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drawings/drawing1.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comments2.xml" ContentType="application/vnd.openxmlformats-officedocument.spreadsheetml.comments+xml"/>
  <Override PartName="/xl/threadedComments/threadedComment2.xml" ContentType="application/vnd.ms-excel.threadedcomments+xml"/>
  <Override PartName="/xl/drawings/drawing3.xml" ContentType="application/vnd.openxmlformats-officedocument.drawing+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comments3.xml" ContentType="application/vnd.openxmlformats-officedocument.spreadsheetml.comments+xml"/>
  <Override PartName="/xl/threadedComments/threadedComment3.xml" ContentType="application/vnd.ms-excel.threadedcomments+xml"/>
  <Override PartName="/xl/drawings/drawing4.xml" ContentType="application/vnd.openxmlformats-officedocument.drawing+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comments4.xml" ContentType="application/vnd.openxmlformats-officedocument.spreadsheetml.comments+xml"/>
  <Override PartName="/xl/threadedComments/threadedComment4.xml" ContentType="application/vnd.ms-excel.threadedcomments+xml"/>
  <Override PartName="/xl/drawings/drawing5.xml" ContentType="application/vnd.openxmlformats-officedocument.drawing+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comments5.xml" ContentType="application/vnd.openxmlformats-officedocument.spreadsheetml.comments+xml"/>
  <Override PartName="/xl/threadedComments/threadedComment5.xml" ContentType="application/vnd.ms-excel.threadedcomments+xml"/>
  <Override PartName="/xl/drawings/drawing6.xml" ContentType="application/vnd.openxmlformats-officedocument.drawing+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comments6.xml" ContentType="application/vnd.openxmlformats-officedocument.spreadsheetml.comments+xml"/>
  <Override PartName="/xl/threadedComments/threadedComment6.xml" ContentType="application/vnd.ms-excel.threadedcomments+xml"/>
  <Override PartName="/xl/drawings/drawing7.xml" ContentType="application/vnd.openxmlformats-officedocument.drawing+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comments7.xml" ContentType="application/vnd.openxmlformats-officedocument.spreadsheetml.comments+xml"/>
  <Override PartName="/xl/threadedComments/threadedComment7.xml" ContentType="application/vnd.ms-excel.threadedcomments+xml"/>
  <Override PartName="/xl/drawings/drawing8.xml" ContentType="application/vnd.openxmlformats-officedocument.drawing+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comments8.xml" ContentType="application/vnd.openxmlformats-officedocument.spreadsheetml.comments+xml"/>
  <Override PartName="/xl/threadedComments/threadedComment8.xml" ContentType="application/vnd.ms-excel.threadedcomments+xml"/>
  <Override PartName="/xl/drawings/drawing9.xml" ContentType="application/vnd.openxmlformats-officedocument.drawing+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comments9.xml" ContentType="application/vnd.openxmlformats-officedocument.spreadsheetml.comments+xml"/>
  <Override PartName="/xl/threadedComments/threadedComment9.xml" ContentType="application/vnd.ms-excel.threadedcomments+xml"/>
  <Override PartName="/xl/drawings/drawing10.xml" ContentType="application/vnd.openxmlformats-officedocument.drawing+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comments10.xml" ContentType="application/vnd.openxmlformats-officedocument.spreadsheetml.comments+xml"/>
  <Override PartName="/xl/threadedComments/threadedComment10.xml" ContentType="application/vnd.ms-excel.threadedcomments+xml"/>
  <Override PartName="/xl/drawings/drawing11.xml" ContentType="application/vnd.openxmlformats-officedocument.drawing+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comments11.xml" ContentType="application/vnd.openxmlformats-officedocument.spreadsheetml.comments+xml"/>
  <Override PartName="/xl/threadedComments/threadedComment11.xml" ContentType="application/vnd.ms-excel.threadedcomments+xml"/>
  <Override PartName="/xl/drawings/drawing12.xml" ContentType="application/vnd.openxmlformats-officedocument.drawing+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comments12.xml" ContentType="application/vnd.openxmlformats-officedocument.spreadsheetml.comments+xml"/>
  <Override PartName="/xl/threadedComments/threadedComment12.xml" ContentType="application/vnd.ms-excel.threadedcomments+xml"/>
  <Override PartName="/xl/drawings/drawing13.xml" ContentType="application/vnd.openxmlformats-officedocument.drawing+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comments13.xml" ContentType="application/vnd.openxmlformats-officedocument.spreadsheetml.comments+xml"/>
  <Override PartName="/xl/threadedComments/threadedComment13.xml" ContentType="application/vnd.ms-excel.threadedcomments+xml"/>
  <Override PartName="/xl/drawings/drawing14.xml" ContentType="application/vnd.openxmlformats-officedocument.drawing+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comments14.xml" ContentType="application/vnd.openxmlformats-officedocument.spreadsheetml.comments+xml"/>
  <Override PartName="/xl/threadedComments/threadedComment14.xml" ContentType="application/vnd.ms-excel.threadedcomments+xml"/>
  <Override PartName="/xl/drawings/drawing15.xml" ContentType="application/vnd.openxmlformats-officedocument.drawing+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comments15.xml" ContentType="application/vnd.openxmlformats-officedocument.spreadsheetml.comments+xml"/>
  <Override PartName="/xl/threadedComments/threadedComment15.xml" ContentType="application/vnd.ms-excel.threadedcomments+xml"/>
  <Override PartName="/xl/drawings/drawing16.xml" ContentType="application/vnd.openxmlformats-officedocument.drawing+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comments16.xml" ContentType="application/vnd.openxmlformats-officedocument.spreadsheetml.comments+xml"/>
  <Override PartName="/xl/threadedComments/threadedComment16.xml" ContentType="application/vnd.ms-excel.threadedcomments+xml"/>
  <Override PartName="/xl/drawings/drawing17.xml" ContentType="application/vnd.openxmlformats-officedocument.drawing+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drawings/drawing18.xml" ContentType="application/vnd.openxmlformats-officedocument.drawing+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comments17.xml" ContentType="application/vnd.openxmlformats-officedocument.spreadsheetml.comments+xml"/>
  <Override PartName="/xl/threadedComments/threadedComment17.xml" ContentType="application/vnd.ms-excel.threadedcomments+xml"/>
  <Override PartName="/xl/drawings/drawing19.xml" ContentType="application/vnd.openxmlformats-officedocument.drawing+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comments18.xml" ContentType="application/vnd.openxmlformats-officedocument.spreadsheetml.comments+xml"/>
  <Override PartName="/xl/threadedComments/threadedComment18.xml" ContentType="application/vnd.ms-excel.threadedcomments+xml"/>
  <Override PartName="/xl/drawings/drawing20.xml" ContentType="application/vnd.openxmlformats-officedocument.drawing+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comments19.xml" ContentType="application/vnd.openxmlformats-officedocument.spreadsheetml.comments+xml"/>
  <Override PartName="/xl/threadedComments/threadedComment19.xml" ContentType="application/vnd.ms-excel.threadedcomments+xml"/>
  <Override PartName="/xl/drawings/drawing21.xml" ContentType="application/vnd.openxmlformats-officedocument.drawing+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comments20.xml" ContentType="application/vnd.openxmlformats-officedocument.spreadsheetml.comments+xml"/>
  <Override PartName="/xl/threadedComments/threadedComment20.xml" ContentType="application/vnd.ms-excel.threadedcomments+xml"/>
  <Override PartName="/xl/drawings/drawing22.xml" ContentType="application/vnd.openxmlformats-officedocument.drawing+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comments21.xml" ContentType="application/vnd.openxmlformats-officedocument.spreadsheetml.comments+xml"/>
  <Override PartName="/xl/threadedComments/threadedComment21.xml" ContentType="application/vnd.ms-excel.threadedcomments+xml"/>
  <Override PartName="/xl/drawings/drawing23.xml" ContentType="application/vnd.openxmlformats-officedocument.drawing+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comments22.xml" ContentType="application/vnd.openxmlformats-officedocument.spreadsheetml.comments+xml"/>
  <Override PartName="/xl/threadedComments/threadedComment22.xml" ContentType="application/vnd.ms-excel.threadedcomments+xml"/>
  <Override PartName="/xl/drawings/drawing24.xml" ContentType="application/vnd.openxmlformats-officedocument.drawing+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comments23.xml" ContentType="application/vnd.openxmlformats-officedocument.spreadsheetml.comments+xml"/>
  <Override PartName="/xl/threadedComments/threadedComment23.xml" ContentType="application/vnd.ms-excel.threadedcomments+xml"/>
  <Override PartName="/xl/drawings/drawing25.xml" ContentType="application/vnd.openxmlformats-officedocument.drawing+xml"/>
  <Override PartName="/xl/tables/table146.xml" ContentType="application/vnd.openxmlformats-officedocument.spreadsheetml.table+xml"/>
  <Override PartName="/xl/tables/table147.xml" ContentType="application/vnd.openxmlformats-officedocument.spreadsheetml.table+xml"/>
  <Override PartName="/xl/tables/table148.xml" ContentType="application/vnd.openxmlformats-officedocument.spreadsheetml.table+xml"/>
  <Override PartName="/xl/tables/table149.xml" ContentType="application/vnd.openxmlformats-officedocument.spreadsheetml.table+xml"/>
  <Override PartName="/xl/tables/table150.xml" ContentType="application/vnd.openxmlformats-officedocument.spreadsheetml.table+xml"/>
  <Override PartName="/xl/tables/table151.xml" ContentType="application/vnd.openxmlformats-officedocument.spreadsheetml.table+xml"/>
  <Override PartName="/xl/comments24.xml" ContentType="application/vnd.openxmlformats-officedocument.spreadsheetml.comments+xml"/>
  <Override PartName="/xl/threadedComments/threadedComment24.xml" ContentType="application/vnd.ms-excel.threadedcomments+xml"/>
  <Override PartName="/xl/drawings/drawing26.xml" ContentType="application/vnd.openxmlformats-officedocument.drawing+xml"/>
  <Override PartName="/xl/tables/table152.xml" ContentType="application/vnd.openxmlformats-officedocument.spreadsheetml.table+xml"/>
  <Override PartName="/xl/tables/table153.xml" ContentType="application/vnd.openxmlformats-officedocument.spreadsheetml.table+xml"/>
  <Override PartName="/xl/tables/table154.xml" ContentType="application/vnd.openxmlformats-officedocument.spreadsheetml.table+xml"/>
  <Override PartName="/xl/tables/table155.xml" ContentType="application/vnd.openxmlformats-officedocument.spreadsheetml.table+xml"/>
  <Override PartName="/xl/tables/table156.xml" ContentType="application/vnd.openxmlformats-officedocument.spreadsheetml.table+xml"/>
  <Override PartName="/xl/tables/table157.xml" ContentType="application/vnd.openxmlformats-officedocument.spreadsheetml.table+xml"/>
  <Override PartName="/xl/comments25.xml" ContentType="application/vnd.openxmlformats-officedocument.spreadsheetml.comments+xml"/>
  <Override PartName="/xl/threadedComments/threadedComment25.xml" ContentType="application/vnd.ms-excel.threadedcomments+xml"/>
  <Override PartName="/xl/drawings/drawing27.xml" ContentType="application/vnd.openxmlformats-officedocument.drawing+xml"/>
  <Override PartName="/xl/tables/table158.xml" ContentType="application/vnd.openxmlformats-officedocument.spreadsheetml.table+xml"/>
  <Override PartName="/xl/tables/table159.xml" ContentType="application/vnd.openxmlformats-officedocument.spreadsheetml.table+xml"/>
  <Override PartName="/xl/tables/table160.xml" ContentType="application/vnd.openxmlformats-officedocument.spreadsheetml.table+xml"/>
  <Override PartName="/xl/tables/table161.xml" ContentType="application/vnd.openxmlformats-officedocument.spreadsheetml.table+xml"/>
  <Override PartName="/xl/tables/table162.xml" ContentType="application/vnd.openxmlformats-officedocument.spreadsheetml.table+xml"/>
  <Override PartName="/xl/tables/table163.xml" ContentType="application/vnd.openxmlformats-officedocument.spreadsheetml.table+xml"/>
  <Override PartName="/xl/comments26.xml" ContentType="application/vnd.openxmlformats-officedocument.spreadsheetml.comments+xml"/>
  <Override PartName="/xl/threadedComments/threadedComment26.xml" ContentType="application/vnd.ms-excel.threadedcomments+xml"/>
  <Override PartName="/xl/drawings/drawing28.xml" ContentType="application/vnd.openxmlformats-officedocument.drawing+xml"/>
  <Override PartName="/xl/tables/table164.xml" ContentType="application/vnd.openxmlformats-officedocument.spreadsheetml.table+xml"/>
  <Override PartName="/xl/tables/table165.xml" ContentType="application/vnd.openxmlformats-officedocument.spreadsheetml.table+xml"/>
  <Override PartName="/xl/tables/table166.xml" ContentType="application/vnd.openxmlformats-officedocument.spreadsheetml.table+xml"/>
  <Override PartName="/xl/tables/table167.xml" ContentType="application/vnd.openxmlformats-officedocument.spreadsheetml.table+xml"/>
  <Override PartName="/xl/tables/table168.xml" ContentType="application/vnd.openxmlformats-officedocument.spreadsheetml.table+xml"/>
  <Override PartName="/xl/tables/table169.xml" ContentType="application/vnd.openxmlformats-officedocument.spreadsheetml.table+xml"/>
  <Override PartName="/xl/comments27.xml" ContentType="application/vnd.openxmlformats-officedocument.spreadsheetml.comments+xml"/>
  <Override PartName="/xl/threadedComments/threadedComment27.xml" ContentType="application/vnd.ms-excel.threadedcomments+xml"/>
  <Override PartName="/xl/drawings/drawing29.xml" ContentType="application/vnd.openxmlformats-officedocument.drawing+xml"/>
  <Override PartName="/xl/tables/table170.xml" ContentType="application/vnd.openxmlformats-officedocument.spreadsheetml.table+xml"/>
  <Override PartName="/xl/tables/table171.xml" ContentType="application/vnd.openxmlformats-officedocument.spreadsheetml.table+xml"/>
  <Override PartName="/xl/tables/table172.xml" ContentType="application/vnd.openxmlformats-officedocument.spreadsheetml.table+xml"/>
  <Override PartName="/xl/tables/table173.xml" ContentType="application/vnd.openxmlformats-officedocument.spreadsheetml.table+xml"/>
  <Override PartName="/xl/tables/table174.xml" ContentType="application/vnd.openxmlformats-officedocument.spreadsheetml.table+xml"/>
  <Override PartName="/xl/tables/table175.xml" ContentType="application/vnd.openxmlformats-officedocument.spreadsheetml.table+xml"/>
  <Override PartName="/xl/comments28.xml" ContentType="application/vnd.openxmlformats-officedocument.spreadsheetml.comments+xml"/>
  <Override PartName="/xl/threadedComments/threadedComment28.xml" ContentType="application/vnd.ms-excel.threadedcomments+xml"/>
  <Override PartName="/xl/drawings/drawing30.xml" ContentType="application/vnd.openxmlformats-officedocument.drawing+xml"/>
  <Override PartName="/xl/tables/table176.xml" ContentType="application/vnd.openxmlformats-officedocument.spreadsheetml.table+xml"/>
  <Override PartName="/xl/tables/table177.xml" ContentType="application/vnd.openxmlformats-officedocument.spreadsheetml.table+xml"/>
  <Override PartName="/xl/tables/table178.xml" ContentType="application/vnd.openxmlformats-officedocument.spreadsheetml.table+xml"/>
  <Override PartName="/xl/tables/table179.xml" ContentType="application/vnd.openxmlformats-officedocument.spreadsheetml.table+xml"/>
  <Override PartName="/xl/tables/table180.xml" ContentType="application/vnd.openxmlformats-officedocument.spreadsheetml.table+xml"/>
  <Override PartName="/xl/tables/table181.xml" ContentType="application/vnd.openxmlformats-officedocument.spreadsheetml.table+xml"/>
  <Override PartName="/xl/drawings/drawing31.xml" ContentType="application/vnd.openxmlformats-officedocument.drawing+xml"/>
  <Override PartName="/xl/tables/table182.xml" ContentType="application/vnd.openxmlformats-officedocument.spreadsheetml.table+xml"/>
  <Override PartName="/xl/tables/table183.xml" ContentType="application/vnd.openxmlformats-officedocument.spreadsheetml.table+xml"/>
  <Override PartName="/xl/tables/table184.xml" ContentType="application/vnd.openxmlformats-officedocument.spreadsheetml.table+xml"/>
  <Override PartName="/xl/tables/table185.xml" ContentType="application/vnd.openxmlformats-officedocument.spreadsheetml.table+xml"/>
  <Override PartName="/xl/tables/table186.xml" ContentType="application/vnd.openxmlformats-officedocument.spreadsheetml.table+xml"/>
  <Override PartName="/xl/tables/table187.xml" ContentType="application/vnd.openxmlformats-officedocument.spreadsheetml.table+xml"/>
  <Override PartName="/xl/comments29.xml" ContentType="application/vnd.openxmlformats-officedocument.spreadsheetml.comments+xml"/>
  <Override PartName="/xl/threadedComments/threadedComment29.xml" ContentType="application/vnd.ms-excel.threadedcomments+xml"/>
  <Override PartName="/xl/drawings/drawing32.xml" ContentType="application/vnd.openxmlformats-officedocument.drawing+xml"/>
  <Override PartName="/xl/tables/table188.xml" ContentType="application/vnd.openxmlformats-officedocument.spreadsheetml.table+xml"/>
  <Override PartName="/xl/tables/table189.xml" ContentType="application/vnd.openxmlformats-officedocument.spreadsheetml.table+xml"/>
  <Override PartName="/xl/tables/table190.xml" ContentType="application/vnd.openxmlformats-officedocument.spreadsheetml.table+xml"/>
  <Override PartName="/xl/tables/table191.xml" ContentType="application/vnd.openxmlformats-officedocument.spreadsheetml.table+xml"/>
  <Override PartName="/xl/tables/table192.xml" ContentType="application/vnd.openxmlformats-officedocument.spreadsheetml.table+xml"/>
  <Override PartName="/xl/tables/table193.xml" ContentType="application/vnd.openxmlformats-officedocument.spreadsheetml.table+xml"/>
  <Override PartName="/xl/comments30.xml" ContentType="application/vnd.openxmlformats-officedocument.spreadsheetml.comments+xml"/>
  <Override PartName="/xl/threadedComments/threadedComment30.xml" ContentType="application/vnd.ms-excel.threadedcomments+xml"/>
  <Override PartName="/xl/drawings/drawing33.xml" ContentType="application/vnd.openxmlformats-officedocument.drawing+xml"/>
  <Override PartName="/xl/tables/table194.xml" ContentType="application/vnd.openxmlformats-officedocument.spreadsheetml.table+xml"/>
  <Override PartName="/xl/tables/table195.xml" ContentType="application/vnd.openxmlformats-officedocument.spreadsheetml.table+xml"/>
  <Override PartName="/xl/tables/table196.xml" ContentType="application/vnd.openxmlformats-officedocument.spreadsheetml.table+xml"/>
  <Override PartName="/xl/tables/table197.xml" ContentType="application/vnd.openxmlformats-officedocument.spreadsheetml.table+xml"/>
  <Override PartName="/xl/tables/table198.xml" ContentType="application/vnd.openxmlformats-officedocument.spreadsheetml.table+xml"/>
  <Override PartName="/xl/tables/table199.xml" ContentType="application/vnd.openxmlformats-officedocument.spreadsheetml.table+xml"/>
  <Override PartName="/xl/comments31.xml" ContentType="application/vnd.openxmlformats-officedocument.spreadsheetml.comments+xml"/>
  <Override PartName="/xl/threadedComments/threadedComment31.xml" ContentType="application/vnd.ms-excel.threadedcomments+xml"/>
  <Override PartName="/xl/tables/table200.xml" ContentType="application/vnd.openxmlformats-officedocument.spreadsheetml.table+xml"/>
  <Override PartName="/xl/drawings/drawing34.xml" ContentType="application/vnd.openxmlformats-officedocument.drawing+xml"/>
  <Override PartName="/xl/tables/table201.xml" ContentType="application/vnd.openxmlformats-officedocument.spreadsheetml.table+xml"/>
  <Override PartName="/xl/tables/table202.xml" ContentType="application/vnd.openxmlformats-officedocument.spreadsheetml.table+xml"/>
  <Override PartName="/xl/tables/table203.xml" ContentType="application/vnd.openxmlformats-officedocument.spreadsheetml.table+xml"/>
  <Override PartName="/xl/tables/table204.xml" ContentType="application/vnd.openxmlformats-officedocument.spreadsheetml.table+xml"/>
  <Override PartName="/xl/tables/table205.xml" ContentType="application/vnd.openxmlformats-officedocument.spreadsheetml.table+xml"/>
  <Override PartName="/xl/tables/table206.xml" ContentType="application/vnd.openxmlformats-officedocument.spreadsheetml.table+xml"/>
  <Override PartName="/xl/comments32.xml" ContentType="application/vnd.openxmlformats-officedocument.spreadsheetml.comments+xml"/>
  <Override PartName="/xl/threadedComments/threadedComment32.xml" ContentType="application/vnd.ms-excel.threadedcomments+xml"/>
  <Override PartName="/xl/drawings/drawing35.xml" ContentType="application/vnd.openxmlformats-officedocument.drawing+xml"/>
  <Override PartName="/xl/tables/table207.xml" ContentType="application/vnd.openxmlformats-officedocument.spreadsheetml.table+xml"/>
  <Override PartName="/xl/tables/table208.xml" ContentType="application/vnd.openxmlformats-officedocument.spreadsheetml.table+xml"/>
  <Override PartName="/xl/tables/table209.xml" ContentType="application/vnd.openxmlformats-officedocument.spreadsheetml.table+xml"/>
  <Override PartName="/xl/tables/table210.xml" ContentType="application/vnd.openxmlformats-officedocument.spreadsheetml.table+xml"/>
  <Override PartName="/xl/tables/table211.xml" ContentType="application/vnd.openxmlformats-officedocument.spreadsheetml.table+xml"/>
  <Override PartName="/xl/tables/table212.xml" ContentType="application/vnd.openxmlformats-officedocument.spreadsheetml.table+xml"/>
  <Override PartName="/xl/comments33.xml" ContentType="application/vnd.openxmlformats-officedocument.spreadsheetml.comments+xml"/>
  <Override PartName="/xl/threadedComments/threadedComment33.xml" ContentType="application/vnd.ms-excel.threadedcomments+xml"/>
  <Override PartName="/xl/drawings/drawing36.xml" ContentType="application/vnd.openxmlformats-officedocument.drawing+xml"/>
  <Override PartName="/xl/tables/table213.xml" ContentType="application/vnd.openxmlformats-officedocument.spreadsheetml.table+xml"/>
  <Override PartName="/xl/tables/table214.xml" ContentType="application/vnd.openxmlformats-officedocument.spreadsheetml.table+xml"/>
  <Override PartName="/xl/tables/table215.xml" ContentType="application/vnd.openxmlformats-officedocument.spreadsheetml.table+xml"/>
  <Override PartName="/xl/tables/table216.xml" ContentType="application/vnd.openxmlformats-officedocument.spreadsheetml.table+xml"/>
  <Override PartName="/xl/tables/table217.xml" ContentType="application/vnd.openxmlformats-officedocument.spreadsheetml.table+xml"/>
  <Override PartName="/xl/tables/table218.xml" ContentType="application/vnd.openxmlformats-officedocument.spreadsheetml.table+xml"/>
  <Override PartName="/xl/comments34.xml" ContentType="application/vnd.openxmlformats-officedocument.spreadsheetml.comments+xml"/>
  <Override PartName="/xl/threadedComments/threadedComment34.xml" ContentType="application/vnd.ms-excel.threadedcomments+xml"/>
  <Override PartName="/xl/drawings/drawing37.xml" ContentType="application/vnd.openxmlformats-officedocument.drawing+xml"/>
  <Override PartName="/xl/tables/table219.xml" ContentType="application/vnd.openxmlformats-officedocument.spreadsheetml.table+xml"/>
  <Override PartName="/xl/tables/table220.xml" ContentType="application/vnd.openxmlformats-officedocument.spreadsheetml.table+xml"/>
  <Override PartName="/xl/tables/table221.xml" ContentType="application/vnd.openxmlformats-officedocument.spreadsheetml.table+xml"/>
  <Override PartName="/xl/tables/table222.xml" ContentType="application/vnd.openxmlformats-officedocument.spreadsheetml.table+xml"/>
  <Override PartName="/xl/tables/table223.xml" ContentType="application/vnd.openxmlformats-officedocument.spreadsheetml.table+xml"/>
  <Override PartName="/xl/tables/table224.xml" ContentType="application/vnd.openxmlformats-officedocument.spreadsheetml.table+xml"/>
  <Override PartName="/xl/comments35.xml" ContentType="application/vnd.openxmlformats-officedocument.spreadsheetml.comments+xml"/>
  <Override PartName="/xl/threadedComments/threadedComment35.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12"/>
  <workbookPr/>
  <mc:AlternateContent xmlns:mc="http://schemas.openxmlformats.org/markup-compatibility/2006">
    <mc:Choice Requires="x15">
      <x15ac:absPath xmlns:x15ac="http://schemas.microsoft.com/office/spreadsheetml/2010/11/ac" url="https://universiteittwente.sharepoint.com/sites/SportsCoordinatorsSUT/Gedeelde documenten/General/"/>
    </mc:Choice>
  </mc:AlternateContent>
  <xr:revisionPtr revIDLastSave="4668" documentId="120_S{117EDA4B-08BD-5846-B9D5-6850EC4CFAB2}" xr6:coauthVersionLast="47" xr6:coauthVersionMax="47" xr10:uidLastSave="{13E161C6-4C4A-4467-90B1-2A7F586D3B31}"/>
  <bookViews>
    <workbookView xWindow="4440" yWindow="880" windowWidth="31560" windowHeight="22500" firstSheet="16" xr2:uid="{00000000-000D-0000-FFFF-FFFF00000000}"/>
  </bookViews>
  <sheets>
    <sheet name="Total Budget" sheetId="1" r:id="rId1"/>
    <sheet name="Logboek " sheetId="4" r:id="rId2"/>
    <sheet name="Constants" sheetId="2" r:id="rId3"/>
    <sheet name="Student Trainers" sheetId="3" r:id="rId4"/>
    <sheet name="Data" sheetId="5" r:id="rId5"/>
    <sheet name="Aloha" sheetId="59" r:id="rId6"/>
    <sheet name="Arashi" sheetId="71" r:id="rId7"/>
    <sheet name="Arriba" sheetId="51" r:id="rId8"/>
    <sheet name="Buitenwesten" sheetId="73" r:id="rId9"/>
    <sheet name="Cabezota" sheetId="56" r:id="rId10"/>
    <sheet name="DHC" sheetId="60" r:id="rId11"/>
    <sheet name="DKV Euros" sheetId="46" r:id="rId12"/>
    <sheet name="DIOK" sheetId="81" r:id="rId13"/>
    <sheet name="DRV Euros" sheetId="55" r:id="rId14"/>
    <sheet name="DZ Euros" sheetId="72" r:id="rId15"/>
    <sheet name="Harambee" sheetId="50" r:id="rId16"/>
    <sheet name="Hardboard" sheetId="45" r:id="rId17"/>
    <sheet name="Hippocampus" sheetId="77" r:id="rId18"/>
    <sheet name="Hercules" sheetId="87" r:id="rId19"/>
    <sheet name="High-Tech Hitters" sheetId="65" r:id="rId20"/>
    <sheet name="Klein Verzet" sheetId="66" r:id="rId21"/>
    <sheet name="Kronos" sheetId="58" r:id="rId22"/>
    <sheet name="Linea Recta" sheetId="75" r:id="rId23"/>
    <sheet name="Ludica" sheetId="64" r:id="rId24"/>
    <sheet name="Messed Up" sheetId="69" r:id="rId25"/>
    <sheet name="MSG" sheetId="68" r:id="rId26"/>
    <sheet name="Phoenix" sheetId="62" r:id="rId27"/>
    <sheet name="Piranha Duiken" sheetId="53" r:id="rId28"/>
    <sheet name="Piranha ZPR" sheetId="52" r:id="rId29"/>
    <sheet name="Sagittarius" sheetId="48" r:id="rId30"/>
    <sheet name="Skeuvel" sheetId="63" r:id="rId31"/>
    <sheet name="Slapping Studs" sheetId="67" r:id="rId32"/>
    <sheet name="Stretchers" sheetId="79" r:id="rId33"/>
    <sheet name="Tartaros" sheetId="47" r:id="rId34"/>
    <sheet name="Thibats" sheetId="70" r:id="rId35"/>
    <sheet name="TSAC" sheetId="54" r:id="rId36"/>
    <sheet name="Vakgericht" sheetId="61" r:id="rId37"/>
    <sheet name="VV Drienerlo" sheetId="49" r:id="rId38"/>
    <sheet name="StOF Data" sheetId="76" r:id="rId39"/>
    <sheet name="Blueshell" sheetId="88" r:id="rId40"/>
    <sheet name="Klokus" sheetId="83" r:id="rId41"/>
    <sheet name="Leap" sheetId="90" r:id="rId42"/>
    <sheet name="TheStrals" sheetId="89" r:id="rId43"/>
  </sheets>
  <externalReferences>
    <externalReference r:id="rId44"/>
  </externalReferences>
  <definedNames>
    <definedName name="LocationNames" localSheetId="5">Constants!$A$2:$AC$2</definedName>
    <definedName name="LocationNames" localSheetId="6">Constants!$A$2:$AC$2</definedName>
    <definedName name="LocationNames" localSheetId="7">Constants!$A$2:$AC$2</definedName>
    <definedName name="LocationNames" localSheetId="39">Constants!$A$2:$AC$2</definedName>
    <definedName name="LocationNames" localSheetId="8">Constants!$A$2:$AC$2</definedName>
    <definedName name="LocationNames" localSheetId="9">Constants!$A$2:$AC$2</definedName>
    <definedName name="LocationNames" localSheetId="10">Constants!$A$2:$AC$2</definedName>
    <definedName name="LocationNames" localSheetId="12">Constants!$A$2:$AC$2</definedName>
    <definedName name="LocationNames" localSheetId="11">Constants!$A$2:$AC$2</definedName>
    <definedName name="LocationNames" localSheetId="13">Constants!$A$2:$AC$2</definedName>
    <definedName name="LocationNames" localSheetId="14">Constants!$A$2:$AC$2</definedName>
    <definedName name="LocationNames" localSheetId="15">Constants!$A$2:$AC$2</definedName>
    <definedName name="LocationNames" localSheetId="16">Constants!$A$2:$AC$2</definedName>
    <definedName name="LocationNames" localSheetId="18">Constants!$A$2:$AC$2</definedName>
    <definedName name="LocationNames" localSheetId="19">Constants!$A$2:$AC$2</definedName>
    <definedName name="LocationNames" localSheetId="17">Constants!$A$2:$AC$2</definedName>
    <definedName name="LocationNames" localSheetId="20">Constants!$A$2:$AC$2</definedName>
    <definedName name="LocationNames" localSheetId="40">Constants!$A$2:$AC$2</definedName>
    <definedName name="LocationNames" localSheetId="21">Constants!$A$2:$AC$2</definedName>
    <definedName name="LocationNames" localSheetId="41">Constants!$A$2:$AC$2</definedName>
    <definedName name="LocationNames" localSheetId="22">Constants!$A$2:$AC$2</definedName>
    <definedName name="LocationNames" localSheetId="23">Constants!$A$2:$AC$2</definedName>
    <definedName name="LocationNames" localSheetId="24">Constants!$A$2:$AC$2</definedName>
    <definedName name="LocationNames" localSheetId="25">Constants!$A$2:$AC$2</definedName>
    <definedName name="LocationNames" localSheetId="26">Constants!$A$2:$AC$2</definedName>
    <definedName name="LocationNames" localSheetId="27">Constants!$A$2:$AC$2</definedName>
    <definedName name="LocationNames" localSheetId="28">Constants!$A$2:$AC$2</definedName>
    <definedName name="LocationNames" localSheetId="29">Constants!$A$2:$AC$2</definedName>
    <definedName name="LocationNames" localSheetId="30">Constants!$A$2:$AC$2</definedName>
    <definedName name="LocationNames" localSheetId="31">Constants!$A$2:$AC$2</definedName>
    <definedName name="LocationNames" localSheetId="32">Constants!$A$2:$AC$2</definedName>
    <definedName name="LocationNames" localSheetId="33">Constants!$A$2:$AC$2</definedName>
    <definedName name="LocationNames" localSheetId="42">Constants!$A$2:$AC$2</definedName>
    <definedName name="LocationNames" localSheetId="34">Constants!$A$2:$AC$2</definedName>
    <definedName name="LocationNames" localSheetId="35">Constants!$A$2:$AC$2</definedName>
    <definedName name="LocationNames" localSheetId="36">Constants!$A$2:$AC$2</definedName>
    <definedName name="LocationNames" localSheetId="37">Constants!$A$2:$AC$2</definedName>
    <definedName name="LocationNames">Constants!$A$2:$C$2</definedName>
    <definedName name="TypesOfTrainers" localSheetId="5">Constants!$E$6:$E$10</definedName>
    <definedName name="TypesOfTrainers" localSheetId="6">Constants!$E$6:$E$10</definedName>
    <definedName name="TypesOfTrainers" localSheetId="7">Constants!$E$6:$E$10</definedName>
    <definedName name="TypesOfTrainers" localSheetId="39">Constants!$E$6:$E$10</definedName>
    <definedName name="TypesOfTrainers" localSheetId="8">Constants!$E$6:$E$10</definedName>
    <definedName name="TypesOfTrainers" localSheetId="9">Constants!$E$6:$E$10</definedName>
    <definedName name="TypesOfTrainers" localSheetId="10">Constants!$E$6:$E$10</definedName>
    <definedName name="TypesOfTrainers" localSheetId="12">Constants!$E$6:$E$10</definedName>
    <definedName name="TypesOfTrainers" localSheetId="11">Constants!$E$6:$E$10</definedName>
    <definedName name="TypesOfTrainers" localSheetId="13">Constants!$E$6:$E$10</definedName>
    <definedName name="TypesOfTrainers" localSheetId="14">Constants!$E$6:$E$10</definedName>
    <definedName name="TypesOfTrainers" localSheetId="15">Constants!$E$6:$E$10</definedName>
    <definedName name="TypesOfTrainers" localSheetId="16">Constants!$E$6:$E$10</definedName>
    <definedName name="TypesOfTrainers" localSheetId="18">Constants!$E$6:$E$10</definedName>
    <definedName name="TypesOfTrainers" localSheetId="19">Constants!$E$6:$E$10</definedName>
    <definedName name="TypesOfTrainers" localSheetId="17">Constants!$E$6:$E$10</definedName>
    <definedName name="TypesOfTrainers" localSheetId="20">Constants!$E$6:$E$10</definedName>
    <definedName name="TypesOfTrainers" localSheetId="40">Constants!$E$6:$E$10</definedName>
    <definedName name="TypesOfTrainers" localSheetId="21">Constants!$E$6:$E$10</definedName>
    <definedName name="TypesOfTrainers" localSheetId="41">Constants!$E$6:$E$10</definedName>
    <definedName name="TypesOfTrainers" localSheetId="22">Constants!$E$6:$E$10</definedName>
    <definedName name="TypesOfTrainers" localSheetId="23">Constants!$E$6:$E$10</definedName>
    <definedName name="TypesOfTrainers" localSheetId="24">Constants!$E$6:$E$10</definedName>
    <definedName name="TypesOfTrainers" localSheetId="25">Constants!$E$6:$E$10</definedName>
    <definedName name="TypesOfTrainers" localSheetId="26">Constants!$E$6:$E$10</definedName>
    <definedName name="TypesOfTrainers" localSheetId="27">Constants!$E$6:$E$10</definedName>
    <definedName name="TypesOfTrainers" localSheetId="28">Constants!$E$6:$E$10</definedName>
    <definedName name="TypesOfTrainers" localSheetId="29">Constants!$E$6:$E$10</definedName>
    <definedName name="TypesOfTrainers" localSheetId="30">Constants!$E$6:$E$10</definedName>
    <definedName name="TypesOfTrainers" localSheetId="31">Constants!$E$6:$E$10</definedName>
    <definedName name="TypesOfTrainers" localSheetId="32">Constants!$E$6:$E$10</definedName>
    <definedName name="TypesOfTrainers" localSheetId="33">Constants!$E$6:$E$10</definedName>
    <definedName name="TypesOfTrainers" localSheetId="42">Constants!$E$6:$E$10</definedName>
    <definedName name="TypesOfTrainers" localSheetId="34">Constants!$E$6:$E$10</definedName>
    <definedName name="TypesOfTrainers" localSheetId="35">Constants!$E$6:$E$10</definedName>
    <definedName name="TypesOfTrainers" localSheetId="36">Constants!$E$6:$E$10</definedName>
    <definedName name="TypesOfTrainers" localSheetId="37">Constants!$E$6:$E$10</definedName>
    <definedName name="TypesOfTrainers">Constants!$E$6:$E$10</definedName>
    <definedName name="TypesOfTraining" localSheetId="5">Constants!$H$6:$H$9</definedName>
    <definedName name="TypesOfTraining" localSheetId="6">Constants!$H$6:$H$9</definedName>
    <definedName name="TypesOfTraining" localSheetId="7">Constants!$H$6:$H$9</definedName>
    <definedName name="TypesOfTraining" localSheetId="39">Constants!$H$6:$H$9</definedName>
    <definedName name="TypesOfTraining" localSheetId="8">Constants!$H$6:$H$9</definedName>
    <definedName name="TypesOfTraining" localSheetId="9">Constants!$H$6:$H$9</definedName>
    <definedName name="TypesOfTraining" localSheetId="10">Constants!$H$6:$H$9</definedName>
    <definedName name="TypesOfTraining" localSheetId="12">Constants!$H$6:$H$9</definedName>
    <definedName name="TypesOfTraining" localSheetId="11">Constants!$H$6:$H$9</definedName>
    <definedName name="TypesOfTraining" localSheetId="13">Constants!$H$6:$H$9</definedName>
    <definedName name="TypesOfTraining" localSheetId="14">Constants!$H$6:$H$9</definedName>
    <definedName name="TypesOfTraining" localSheetId="15">Constants!$H$6:$H$9</definedName>
    <definedName name="TypesOfTraining" localSheetId="16">Constants!$H$6:$H$9</definedName>
    <definedName name="TypesOfTraining" localSheetId="18">Constants!$H$6:$H$9</definedName>
    <definedName name="TypesOfTraining" localSheetId="19">Constants!$H$6:$H$9</definedName>
    <definedName name="TypesOfTraining" localSheetId="17">Constants!$H$6:$H$9</definedName>
    <definedName name="TypesOfTraining" localSheetId="20">Constants!$H$6:$H$9</definedName>
    <definedName name="TypesOfTraining" localSheetId="40">Constants!$H$6:$H$9</definedName>
    <definedName name="TypesOfTraining" localSheetId="21">Constants!$H$6:$H$9</definedName>
    <definedName name="TypesOfTraining" localSheetId="41">Constants!$H$6:$H$9</definedName>
    <definedName name="TypesOfTraining" localSheetId="22">Constants!$H$6:$H$9</definedName>
    <definedName name="TypesOfTraining" localSheetId="23">Constants!$H$6:$H$9</definedName>
    <definedName name="TypesOfTraining" localSheetId="24">Constants!$H$6:$H$9</definedName>
    <definedName name="TypesOfTraining" localSheetId="25">Constants!$H$6:$H$9</definedName>
    <definedName name="TypesOfTraining" localSheetId="26">Constants!$H$6:$H$9</definedName>
    <definedName name="TypesOfTraining" localSheetId="27">Constants!$H$6:$H$9</definedName>
    <definedName name="TypesOfTraining" localSheetId="28">Constants!$H$6:$H$9</definedName>
    <definedName name="TypesOfTraining" localSheetId="29">Constants!$H$6:$H$9</definedName>
    <definedName name="TypesOfTraining" localSheetId="30">Constants!$H$6:$H$9</definedName>
    <definedName name="TypesOfTraining" localSheetId="31">Constants!$H$6:$H$9</definedName>
    <definedName name="TypesOfTraining" localSheetId="32">Constants!$H$6:$H$9</definedName>
    <definedName name="TypesOfTraining" localSheetId="33">Constants!$H$6:$H$9</definedName>
    <definedName name="TypesOfTraining" localSheetId="42">Constants!$H$6:$H$9</definedName>
    <definedName name="TypesOfTraining" localSheetId="34">Constants!$H$6:$H$9</definedName>
    <definedName name="TypesOfTraining" localSheetId="35">Constants!$H$6:$H$9</definedName>
    <definedName name="TypesOfTraining" localSheetId="36">Constants!$H$6:$H$9</definedName>
    <definedName name="TypesOfTraining" localSheetId="37">Constants!$H$6:$H$9</definedName>
    <definedName name="TypesOfTraining">Constants!$H$6:$H$9</definedName>
  </definedNames>
  <calcPr calcId="191028"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73" roundtripDataChecksum="eTbW9o9ybSk+KYQSXgNvbGIOUxvX+IoTj38ldqN9JWI="/>
    </ext>
  </extLst>
</workbook>
</file>

<file path=xl/calcChain.xml><?xml version="1.0" encoding="utf-8"?>
<calcChain xmlns="http://schemas.openxmlformats.org/spreadsheetml/2006/main">
  <c r="BC35" i="5" l="1"/>
  <c r="G3" i="3"/>
  <c r="G4" i="3"/>
  <c r="G5" i="3"/>
  <c r="G6" i="3"/>
  <c r="G7" i="3"/>
  <c r="G8" i="3"/>
  <c r="G9" i="3"/>
  <c r="G10" i="3"/>
  <c r="G11" i="3"/>
  <c r="G12" i="3"/>
  <c r="G13" i="3"/>
  <c r="G14" i="3"/>
  <c r="G15" i="3"/>
  <c r="G16" i="3"/>
  <c r="G17" i="3"/>
  <c r="G18" i="3"/>
  <c r="G19" i="3"/>
  <c r="G20" i="3"/>
  <c r="G21" i="3"/>
  <c r="G22" i="3"/>
  <c r="G23" i="3"/>
  <c r="G24" i="3"/>
  <c r="G25" i="3"/>
  <c r="G26" i="3"/>
  <c r="G27" i="3"/>
  <c r="G28" i="3"/>
  <c r="G29" i="3"/>
  <c r="G30" i="3"/>
  <c r="G31" i="3"/>
  <c r="G32" i="3"/>
  <c r="G33" i="3"/>
  <c r="G34" i="3"/>
  <c r="G2" i="3"/>
  <c r="E37" i="3"/>
  <c r="D37" i="3"/>
  <c r="C35" i="5" a="1"/>
  <c r="C35" i="5"/>
  <c r="D22" i="87" a="1"/>
  <c r="D22" i="87"/>
  <c r="I17" i="45" a="1"/>
  <c r="I17" i="45"/>
  <c r="I16" i="45"/>
  <c r="J16" i="45"/>
  <c r="K16" i="45"/>
  <c r="E24" i="45"/>
  <c r="C5" i="5" a="1"/>
  <c r="C5" i="5"/>
  <c r="C32" i="5" a="1"/>
  <c r="C32" i="5"/>
  <c r="C4" i="5" a="1"/>
  <c r="C4" i="5"/>
  <c r="C35" i="3"/>
  <c r="B35" i="3"/>
  <c r="BC15" i="5"/>
  <c r="BC12" i="5"/>
  <c r="E35" i="3"/>
  <c r="C3" i="76" a="1"/>
  <c r="C3" i="76"/>
  <c r="C4" i="76" a="1"/>
  <c r="C4" i="76"/>
  <c r="C5" i="76" a="1"/>
  <c r="C5" i="76"/>
  <c r="C7" i="76" a="1"/>
  <c r="C7" i="76"/>
  <c r="C8" i="76" a="1"/>
  <c r="C8" i="76"/>
  <c r="C9" i="76" a="1"/>
  <c r="C9" i="76"/>
  <c r="C10" i="76" a="1"/>
  <c r="C10" i="76"/>
  <c r="C11" i="76" a="1"/>
  <c r="C11" i="76"/>
  <c r="C12" i="76" a="1"/>
  <c r="C12" i="76"/>
  <c r="C13" i="76" a="1"/>
  <c r="C13" i="76"/>
  <c r="C14" i="76" a="1"/>
  <c r="C14" i="76"/>
  <c r="C15" i="76" a="1"/>
  <c r="C15" i="76"/>
  <c r="C16" i="76" a="1"/>
  <c r="C16" i="76"/>
  <c r="C17" i="76" a="1"/>
  <c r="C17" i="76"/>
  <c r="C18" i="76" a="1"/>
  <c r="C18" i="76"/>
  <c r="C19" i="76" a="1"/>
  <c r="C19" i="76"/>
  <c r="C20" i="76" a="1"/>
  <c r="C20" i="76"/>
  <c r="C21" i="76" a="1"/>
  <c r="C21" i="76"/>
  <c r="C22" i="76" a="1"/>
  <c r="C22" i="76"/>
  <c r="C23" i="76" a="1"/>
  <c r="C23" i="76"/>
  <c r="C24" i="76" a="1"/>
  <c r="C24" i="76"/>
  <c r="C25" i="76" a="1"/>
  <c r="C25" i="76"/>
  <c r="C26" i="76" a="1"/>
  <c r="C26" i="76"/>
  <c r="C27" i="76" a="1"/>
  <c r="C27" i="76"/>
  <c r="C28" i="76" a="1"/>
  <c r="C28" i="76"/>
  <c r="C29" i="76" a="1"/>
  <c r="C29" i="76"/>
  <c r="C30" i="76" a="1"/>
  <c r="C30" i="76"/>
  <c r="C31" i="76" a="1"/>
  <c r="C31" i="76"/>
  <c r="C32" i="76" a="1"/>
  <c r="C32" i="76"/>
  <c r="C33" i="76" a="1"/>
  <c r="C33" i="76"/>
  <c r="C34" i="76" a="1"/>
  <c r="C34" i="76"/>
  <c r="C35" i="76" a="1"/>
  <c r="C35" i="76"/>
  <c r="C36" i="76" a="1"/>
  <c r="C36" i="76"/>
  <c r="C37" i="76" a="1"/>
  <c r="C37" i="76"/>
  <c r="C38" i="76" a="1"/>
  <c r="C38" i="76"/>
  <c r="K16" i="54"/>
  <c r="M15" i="54" a="1"/>
  <c r="M15" i="54"/>
  <c r="H17" i="54"/>
  <c r="D17" i="54"/>
  <c r="B21" i="54" a="1"/>
  <c r="B21" i="54"/>
  <c r="B18" i="54"/>
  <c r="D32" i="5" a="1"/>
  <c r="D32" i="5"/>
  <c r="AF30" i="89"/>
  <c r="AF30" i="90"/>
  <c r="AF30" i="83"/>
  <c r="AF30" i="88"/>
  <c r="AF30" i="49"/>
  <c r="AF30" i="61"/>
  <c r="AF30" i="54"/>
  <c r="AF30" i="70"/>
  <c r="AF30" i="47"/>
  <c r="AF30" i="79"/>
  <c r="AF30" i="67"/>
  <c r="AF30" i="63"/>
  <c r="AF30" i="48"/>
  <c r="AF30" i="52"/>
  <c r="AF30" i="53"/>
  <c r="AF30" i="62"/>
  <c r="AF30" i="68"/>
  <c r="AF30" i="69"/>
  <c r="AF30" i="64"/>
  <c r="AF30" i="75"/>
  <c r="AF30" i="66"/>
  <c r="AF30" i="65"/>
  <c r="AF30" i="87"/>
  <c r="AF30" i="77"/>
  <c r="AF30" i="45"/>
  <c r="AF30" i="50"/>
  <c r="AF30" i="72"/>
  <c r="AF30" i="55"/>
  <c r="AF30" i="81"/>
  <c r="AF30" i="46"/>
  <c r="AF30" i="60"/>
  <c r="AF30" i="56"/>
  <c r="AF30" i="73"/>
  <c r="AF30" i="51"/>
  <c r="AF30" i="71"/>
  <c r="AF30" i="58"/>
  <c r="O56" i="76" a="1"/>
  <c r="O56" i="76" s="1"/>
  <c r="N56" i="76" a="1"/>
  <c r="N56" i="76" s="1"/>
  <c r="M56" i="76" a="1"/>
  <c r="M56" i="76" s="1"/>
  <c r="L56" i="76" a="1"/>
  <c r="L56" i="76" s="1"/>
  <c r="K56" i="76" a="1"/>
  <c r="K56" i="76" s="1"/>
  <c r="J56" i="76" a="1"/>
  <c r="J56" i="76" s="1"/>
  <c r="I56" i="76" a="1"/>
  <c r="I56" i="76" s="1"/>
  <c r="H56" i="76" a="1"/>
  <c r="H56" i="76" s="1"/>
  <c r="G56" i="76" a="1"/>
  <c r="G56" i="76" s="1"/>
  <c r="F56" i="76" a="1"/>
  <c r="F56" i="76" s="1"/>
  <c r="E56" i="76" a="1"/>
  <c r="E56" i="76" s="1"/>
  <c r="P56" i="76" s="1"/>
  <c r="O55" i="76" a="1"/>
  <c r="O55" i="76" s="1"/>
  <c r="N55" i="76" a="1"/>
  <c r="N55" i="76" s="1"/>
  <c r="M55" i="76" a="1"/>
  <c r="M55" i="76" s="1"/>
  <c r="L55" i="76" a="1"/>
  <c r="L55" i="76" s="1"/>
  <c r="K55" i="76" a="1"/>
  <c r="K55" i="76" s="1"/>
  <c r="J55" i="76" a="1"/>
  <c r="J55" i="76" s="1"/>
  <c r="I55" i="76" a="1"/>
  <c r="I55" i="76" s="1"/>
  <c r="H55" i="76" a="1"/>
  <c r="H55" i="76" s="1"/>
  <c r="G55" i="76" a="1"/>
  <c r="G55" i="76" s="1"/>
  <c r="F55" i="76" a="1"/>
  <c r="F55" i="76" s="1"/>
  <c r="E55" i="76" a="1"/>
  <c r="E55" i="76" s="1"/>
  <c r="P55" i="76" s="1"/>
  <c r="P6" i="76" s="1"/>
  <c r="Q6" i="76" s="1"/>
  <c r="S6" i="76" s="1"/>
  <c r="L4" i="76" a="1"/>
  <c r="L4" i="76"/>
  <c r="O4" i="76" a="1"/>
  <c r="O4" i="76"/>
  <c r="O3" i="76" a="1"/>
  <c r="O3" i="76"/>
  <c r="O5" i="76" a="1"/>
  <c r="O5" i="76"/>
  <c r="O7" i="76" a="1"/>
  <c r="O7" i="76"/>
  <c r="O8" i="76" a="1"/>
  <c r="O8" i="76"/>
  <c r="O9" i="76" a="1"/>
  <c r="O9" i="76"/>
  <c r="O11" i="76" a="1"/>
  <c r="O11" i="76"/>
  <c r="O14" i="76" a="1"/>
  <c r="O14" i="76"/>
  <c r="O12" i="76" a="1"/>
  <c r="O12" i="76"/>
  <c r="O15" i="76" a="1"/>
  <c r="O15" i="76"/>
  <c r="O13" i="76" a="1"/>
  <c r="O13" i="76"/>
  <c r="O16" i="76" a="1"/>
  <c r="O16" i="76"/>
  <c r="O17" i="76" a="1"/>
  <c r="O17" i="76"/>
  <c r="O19" i="76" a="1"/>
  <c r="O19" i="76"/>
  <c r="O18" i="76" a="1"/>
  <c r="O18" i="76"/>
  <c r="O20" i="76" a="1"/>
  <c r="O20" i="76"/>
  <c r="O21" i="76" a="1"/>
  <c r="O21" i="76"/>
  <c r="O22" i="76" a="1"/>
  <c r="O22" i="76"/>
  <c r="O23" i="76" a="1"/>
  <c r="O23" i="76"/>
  <c r="O26" i="76" a="1"/>
  <c r="O26" i="76"/>
  <c r="O24" i="76" a="1"/>
  <c r="O24" i="76"/>
  <c r="O29" i="76" a="1"/>
  <c r="O29" i="76"/>
  <c r="O31" i="76" a="1"/>
  <c r="O31" i="76"/>
  <c r="O32" i="76" a="1"/>
  <c r="O32" i="76"/>
  <c r="O27" i="76" a="1"/>
  <c r="O27" i="76"/>
  <c r="O33" i="76" a="1"/>
  <c r="O33" i="76"/>
  <c r="O28" i="76" a="1"/>
  <c r="O28" i="76"/>
  <c r="O30" i="76" a="1"/>
  <c r="O30" i="76"/>
  <c r="O34" i="76" a="1"/>
  <c r="O34" i="76"/>
  <c r="O35" i="76" a="1"/>
  <c r="O35" i="76"/>
  <c r="O36" i="76" a="1"/>
  <c r="O36" i="76"/>
  <c r="O38" i="76" a="1"/>
  <c r="O38" i="76"/>
  <c r="O25" i="76" a="1"/>
  <c r="O25" i="76"/>
  <c r="O37" i="76" a="1"/>
  <c r="O37" i="76"/>
  <c r="N4" i="76" a="1"/>
  <c r="N4" i="76"/>
  <c r="N3" i="76" a="1"/>
  <c r="N3" i="76"/>
  <c r="N5" i="76" a="1"/>
  <c r="N5" i="76"/>
  <c r="N7" i="76" a="1"/>
  <c r="N7" i="76"/>
  <c r="N8" i="76" a="1"/>
  <c r="N8" i="76"/>
  <c r="N9" i="76" a="1"/>
  <c r="N9" i="76"/>
  <c r="N11" i="76" a="1"/>
  <c r="N11" i="76"/>
  <c r="N14" i="76" a="1"/>
  <c r="N14" i="76"/>
  <c r="N12" i="76" a="1"/>
  <c r="N12" i="76"/>
  <c r="N15" i="76" a="1"/>
  <c r="N15" i="76"/>
  <c r="N13" i="76" a="1"/>
  <c r="N13" i="76"/>
  <c r="N16" i="76" a="1"/>
  <c r="N16" i="76"/>
  <c r="N17" i="76" a="1"/>
  <c r="N17" i="76"/>
  <c r="N19" i="76" a="1"/>
  <c r="N19" i="76"/>
  <c r="N18" i="76" a="1"/>
  <c r="N18" i="76"/>
  <c r="N20" i="76" a="1"/>
  <c r="N20" i="76"/>
  <c r="N21" i="76" a="1"/>
  <c r="N21" i="76"/>
  <c r="N22" i="76" a="1"/>
  <c r="N22" i="76"/>
  <c r="N23" i="76" a="1"/>
  <c r="N23" i="76"/>
  <c r="N26" i="76" a="1"/>
  <c r="N26" i="76"/>
  <c r="N24" i="76" a="1"/>
  <c r="N24" i="76"/>
  <c r="N29" i="76" a="1"/>
  <c r="N29" i="76"/>
  <c r="N31" i="76" a="1"/>
  <c r="N31" i="76"/>
  <c r="N32" i="76" a="1"/>
  <c r="N32" i="76"/>
  <c r="N27" i="76" a="1"/>
  <c r="N27" i="76"/>
  <c r="N33" i="76" a="1"/>
  <c r="N33" i="76"/>
  <c r="N28" i="76" a="1"/>
  <c r="N28" i="76"/>
  <c r="N30" i="76" a="1"/>
  <c r="N30" i="76"/>
  <c r="N34" i="76" a="1"/>
  <c r="N34" i="76"/>
  <c r="N35" i="76" a="1"/>
  <c r="N35" i="76"/>
  <c r="N36" i="76" a="1"/>
  <c r="N36" i="76"/>
  <c r="N38" i="76" a="1"/>
  <c r="N38" i="76"/>
  <c r="N25" i="76" a="1"/>
  <c r="N25" i="76"/>
  <c r="N37" i="76" a="1"/>
  <c r="N37" i="76"/>
  <c r="M4" i="76" a="1"/>
  <c r="M4" i="76"/>
  <c r="M3" i="76" a="1"/>
  <c r="M3" i="76"/>
  <c r="M5" i="76" a="1"/>
  <c r="M5" i="76"/>
  <c r="M7" i="76" a="1"/>
  <c r="M7" i="76"/>
  <c r="M8" i="76" a="1"/>
  <c r="M8" i="76"/>
  <c r="M9" i="76" a="1"/>
  <c r="M9" i="76"/>
  <c r="M11" i="76" a="1"/>
  <c r="M11" i="76"/>
  <c r="M14" i="76" a="1"/>
  <c r="M14" i="76"/>
  <c r="M12" i="76" a="1"/>
  <c r="M12" i="76"/>
  <c r="M15" i="76" a="1"/>
  <c r="M15" i="76"/>
  <c r="M13" i="76" a="1"/>
  <c r="M13" i="76"/>
  <c r="M16" i="76" a="1"/>
  <c r="M16" i="76"/>
  <c r="M17" i="76" a="1"/>
  <c r="M17" i="76"/>
  <c r="M19" i="76" a="1"/>
  <c r="M19" i="76"/>
  <c r="M18" i="76" a="1"/>
  <c r="M18" i="76"/>
  <c r="M20" i="76" a="1"/>
  <c r="M20" i="76"/>
  <c r="M21" i="76" a="1"/>
  <c r="M21" i="76"/>
  <c r="M22" i="76" a="1"/>
  <c r="M22" i="76"/>
  <c r="M23" i="76" a="1"/>
  <c r="M23" i="76"/>
  <c r="M26" i="76" a="1"/>
  <c r="M26" i="76"/>
  <c r="M24" i="76" a="1"/>
  <c r="M24" i="76"/>
  <c r="M29" i="76" a="1"/>
  <c r="M29" i="76"/>
  <c r="M31" i="76" a="1"/>
  <c r="M31" i="76"/>
  <c r="M32" i="76" a="1"/>
  <c r="M32" i="76"/>
  <c r="M27" i="76" a="1"/>
  <c r="M27" i="76"/>
  <c r="M33" i="76" a="1"/>
  <c r="M33" i="76"/>
  <c r="M28" i="76" a="1"/>
  <c r="M28" i="76"/>
  <c r="M30" i="76" a="1"/>
  <c r="M30" i="76"/>
  <c r="M34" i="76" a="1"/>
  <c r="M34" i="76"/>
  <c r="M35" i="76" a="1"/>
  <c r="M35" i="76"/>
  <c r="M36" i="76" a="1"/>
  <c r="M36" i="76"/>
  <c r="M38" i="76" a="1"/>
  <c r="M38" i="76"/>
  <c r="M25" i="76" a="1"/>
  <c r="M25" i="76"/>
  <c r="M37" i="76" a="1"/>
  <c r="M37" i="76"/>
  <c r="L3" i="76" a="1"/>
  <c r="L3" i="76"/>
  <c r="L5" i="76" a="1"/>
  <c r="L5" i="76"/>
  <c r="L7" i="76" a="1"/>
  <c r="L7" i="76"/>
  <c r="L8" i="76" a="1"/>
  <c r="L8" i="76"/>
  <c r="L9" i="76" a="1"/>
  <c r="L9" i="76"/>
  <c r="L11" i="76" a="1"/>
  <c r="L11" i="76"/>
  <c r="L14" i="76" a="1"/>
  <c r="L14" i="76"/>
  <c r="L12" i="76" a="1"/>
  <c r="L12" i="76"/>
  <c r="L15" i="76" a="1"/>
  <c r="L15" i="76"/>
  <c r="L13" i="76" a="1"/>
  <c r="L13" i="76"/>
  <c r="L16" i="76" a="1"/>
  <c r="L16" i="76"/>
  <c r="L17" i="76" a="1"/>
  <c r="L17" i="76"/>
  <c r="L19" i="76" a="1"/>
  <c r="L19" i="76"/>
  <c r="L18" i="76" a="1"/>
  <c r="L18" i="76"/>
  <c r="L20" i="76" a="1"/>
  <c r="L20" i="76"/>
  <c r="L21" i="76" a="1"/>
  <c r="L21" i="76"/>
  <c r="L22" i="76" a="1"/>
  <c r="L22" i="76"/>
  <c r="L23" i="76" a="1"/>
  <c r="L23" i="76"/>
  <c r="L26" i="76" a="1"/>
  <c r="L26" i="76"/>
  <c r="L24" i="76" a="1"/>
  <c r="L24" i="76"/>
  <c r="L29" i="76" a="1"/>
  <c r="L29" i="76"/>
  <c r="L31" i="76" a="1"/>
  <c r="L31" i="76"/>
  <c r="L32" i="76" a="1"/>
  <c r="L32" i="76"/>
  <c r="L27" i="76" a="1"/>
  <c r="L27" i="76"/>
  <c r="L33" i="76" a="1"/>
  <c r="L33" i="76"/>
  <c r="L28" i="76" a="1"/>
  <c r="L28" i="76"/>
  <c r="L30" i="76" a="1"/>
  <c r="L30" i="76"/>
  <c r="L34" i="76" a="1"/>
  <c r="L34" i="76"/>
  <c r="L35" i="76" a="1"/>
  <c r="L35" i="76"/>
  <c r="L36" i="76" a="1"/>
  <c r="L36" i="76"/>
  <c r="L38" i="76" a="1"/>
  <c r="L38" i="76"/>
  <c r="L25" i="76" a="1"/>
  <c r="L25" i="76"/>
  <c r="L37" i="76" a="1"/>
  <c r="L37" i="76"/>
  <c r="K4" i="76" a="1"/>
  <c r="K4" i="76"/>
  <c r="K3" i="76" a="1"/>
  <c r="K3" i="76"/>
  <c r="K5" i="76" a="1"/>
  <c r="K5" i="76"/>
  <c r="K7" i="76" a="1"/>
  <c r="K7" i="76"/>
  <c r="K8" i="76" a="1"/>
  <c r="K8" i="76"/>
  <c r="K9" i="76" a="1"/>
  <c r="K9" i="76"/>
  <c r="K11" i="76" a="1"/>
  <c r="K11" i="76"/>
  <c r="K14" i="76" a="1"/>
  <c r="K14" i="76"/>
  <c r="K12" i="76" a="1"/>
  <c r="K12" i="76"/>
  <c r="K15" i="76" a="1"/>
  <c r="K15" i="76"/>
  <c r="K13" i="76" a="1"/>
  <c r="K13" i="76"/>
  <c r="K16" i="76" a="1"/>
  <c r="K16" i="76"/>
  <c r="K17" i="76" a="1"/>
  <c r="K17" i="76"/>
  <c r="K19" i="76" a="1"/>
  <c r="K19" i="76"/>
  <c r="K18" i="76" a="1"/>
  <c r="K18" i="76"/>
  <c r="K20" i="76" a="1"/>
  <c r="K20" i="76"/>
  <c r="K21" i="76" a="1"/>
  <c r="K21" i="76"/>
  <c r="K22" i="76" a="1"/>
  <c r="K22" i="76"/>
  <c r="K23" i="76" a="1"/>
  <c r="K23" i="76"/>
  <c r="K26" i="76" a="1"/>
  <c r="K26" i="76"/>
  <c r="K24" i="76" a="1"/>
  <c r="K24" i="76"/>
  <c r="K29" i="76" a="1"/>
  <c r="K29" i="76"/>
  <c r="K31" i="76" a="1"/>
  <c r="K31" i="76"/>
  <c r="K32" i="76" a="1"/>
  <c r="K32" i="76"/>
  <c r="K27" i="76" a="1"/>
  <c r="K27" i="76"/>
  <c r="K33" i="76" a="1"/>
  <c r="K33" i="76"/>
  <c r="K28" i="76" a="1"/>
  <c r="K28" i="76"/>
  <c r="K30" i="76" a="1"/>
  <c r="K30" i="76"/>
  <c r="K34" i="76" a="1"/>
  <c r="K34" i="76"/>
  <c r="K35" i="76" a="1"/>
  <c r="K35" i="76"/>
  <c r="K36" i="76" a="1"/>
  <c r="K36" i="76"/>
  <c r="K38" i="76" a="1"/>
  <c r="K38" i="76"/>
  <c r="K25" i="76" a="1"/>
  <c r="K25" i="76"/>
  <c r="K37" i="76" a="1"/>
  <c r="K37" i="76"/>
  <c r="J4" i="76" a="1"/>
  <c r="J4" i="76"/>
  <c r="J3" i="76" a="1"/>
  <c r="J3" i="76"/>
  <c r="J5" i="76" a="1"/>
  <c r="J5" i="76"/>
  <c r="J7" i="76" a="1"/>
  <c r="J7" i="76"/>
  <c r="J8" i="76" a="1"/>
  <c r="J8" i="76"/>
  <c r="J9" i="76" a="1"/>
  <c r="J9" i="76"/>
  <c r="J11" i="76" a="1"/>
  <c r="J11" i="76"/>
  <c r="J14" i="76" a="1"/>
  <c r="J14" i="76"/>
  <c r="J12" i="76" a="1"/>
  <c r="J12" i="76"/>
  <c r="J15" i="76" a="1"/>
  <c r="J15" i="76"/>
  <c r="J13" i="76" a="1"/>
  <c r="J13" i="76"/>
  <c r="J16" i="76" a="1"/>
  <c r="J16" i="76"/>
  <c r="J17" i="76" a="1"/>
  <c r="J17" i="76"/>
  <c r="J19" i="76" a="1"/>
  <c r="J19" i="76"/>
  <c r="J18" i="76" a="1"/>
  <c r="J18" i="76"/>
  <c r="J20" i="76" a="1"/>
  <c r="J20" i="76"/>
  <c r="J21" i="76" a="1"/>
  <c r="J21" i="76"/>
  <c r="J22" i="76" a="1"/>
  <c r="J22" i="76"/>
  <c r="J23" i="76" a="1"/>
  <c r="J23" i="76"/>
  <c r="J26" i="76" a="1"/>
  <c r="J26" i="76"/>
  <c r="J24" i="76" a="1"/>
  <c r="J24" i="76"/>
  <c r="J29" i="76" a="1"/>
  <c r="J29" i="76"/>
  <c r="J31" i="76" a="1"/>
  <c r="J31" i="76"/>
  <c r="J32" i="76" a="1"/>
  <c r="J32" i="76"/>
  <c r="J27" i="76" a="1"/>
  <c r="J27" i="76"/>
  <c r="J33" i="76" a="1"/>
  <c r="J33" i="76"/>
  <c r="J28" i="76" a="1"/>
  <c r="J28" i="76"/>
  <c r="J30" i="76" a="1"/>
  <c r="J30" i="76"/>
  <c r="J34" i="76" a="1"/>
  <c r="J34" i="76"/>
  <c r="J35" i="76" a="1"/>
  <c r="J35" i="76"/>
  <c r="J36" i="76" a="1"/>
  <c r="J36" i="76"/>
  <c r="J38" i="76" a="1"/>
  <c r="J38" i="76"/>
  <c r="J25" i="76" a="1"/>
  <c r="J25" i="76"/>
  <c r="J37" i="76" a="1"/>
  <c r="J37" i="76"/>
  <c r="I4" i="76" a="1"/>
  <c r="I4" i="76"/>
  <c r="I3" i="76" a="1"/>
  <c r="I3" i="76"/>
  <c r="I5" i="76" a="1"/>
  <c r="I5" i="76"/>
  <c r="I7" i="76" a="1"/>
  <c r="I7" i="76"/>
  <c r="I8" i="76" a="1"/>
  <c r="I8" i="76"/>
  <c r="I9" i="76" a="1"/>
  <c r="I9" i="76"/>
  <c r="I11" i="76" a="1"/>
  <c r="I11" i="76"/>
  <c r="I14" i="76" a="1"/>
  <c r="I14" i="76"/>
  <c r="I12" i="76" a="1"/>
  <c r="I12" i="76"/>
  <c r="I15" i="76" a="1"/>
  <c r="I15" i="76"/>
  <c r="I13" i="76" a="1"/>
  <c r="I13" i="76"/>
  <c r="I16" i="76" a="1"/>
  <c r="I16" i="76"/>
  <c r="I17" i="76" a="1"/>
  <c r="I17" i="76"/>
  <c r="I19" i="76" a="1"/>
  <c r="I19" i="76"/>
  <c r="I18" i="76" a="1"/>
  <c r="I18" i="76"/>
  <c r="I20" i="76" a="1"/>
  <c r="I20" i="76"/>
  <c r="I21" i="76" a="1"/>
  <c r="I21" i="76"/>
  <c r="I22" i="76" a="1"/>
  <c r="I22" i="76"/>
  <c r="I23" i="76" a="1"/>
  <c r="I23" i="76"/>
  <c r="I26" i="76" a="1"/>
  <c r="I26" i="76"/>
  <c r="I24" i="76" a="1"/>
  <c r="I24" i="76"/>
  <c r="I29" i="76" a="1"/>
  <c r="I29" i="76"/>
  <c r="I31" i="76" a="1"/>
  <c r="I31" i="76"/>
  <c r="I32" i="76" a="1"/>
  <c r="I32" i="76"/>
  <c r="I27" i="76" a="1"/>
  <c r="I27" i="76"/>
  <c r="I33" i="76" a="1"/>
  <c r="I33" i="76"/>
  <c r="I28" i="76" a="1"/>
  <c r="I28" i="76"/>
  <c r="I30" i="76" a="1"/>
  <c r="I30" i="76"/>
  <c r="I34" i="76" a="1"/>
  <c r="I34" i="76"/>
  <c r="I35" i="76" a="1"/>
  <c r="I35" i="76"/>
  <c r="I36" i="76" a="1"/>
  <c r="I36" i="76"/>
  <c r="I38" i="76" a="1"/>
  <c r="I38" i="76"/>
  <c r="I25" i="76" a="1"/>
  <c r="I25" i="76"/>
  <c r="I37" i="76" a="1"/>
  <c r="I37" i="76"/>
  <c r="H4" i="76" a="1"/>
  <c r="H4" i="76"/>
  <c r="H3" i="76" a="1"/>
  <c r="H3" i="76"/>
  <c r="H5" i="76" a="1"/>
  <c r="H5" i="76"/>
  <c r="H7" i="76" a="1"/>
  <c r="H7" i="76"/>
  <c r="H8" i="76" a="1"/>
  <c r="H8" i="76"/>
  <c r="H9" i="76" a="1"/>
  <c r="H9" i="76"/>
  <c r="H11" i="76" a="1"/>
  <c r="H11" i="76"/>
  <c r="H14" i="76" a="1"/>
  <c r="H14" i="76"/>
  <c r="H12" i="76" a="1"/>
  <c r="H12" i="76"/>
  <c r="H15" i="76" a="1"/>
  <c r="H15" i="76"/>
  <c r="H13" i="76" a="1"/>
  <c r="H13" i="76"/>
  <c r="H16" i="76" a="1"/>
  <c r="H16" i="76"/>
  <c r="H17" i="76" a="1"/>
  <c r="H17" i="76"/>
  <c r="H18" i="76" a="1"/>
  <c r="H18" i="76"/>
  <c r="H20" i="76" a="1"/>
  <c r="H20" i="76"/>
  <c r="H21" i="76" a="1"/>
  <c r="H21" i="76"/>
  <c r="H22" i="76" a="1"/>
  <c r="H22" i="76"/>
  <c r="H23" i="76" a="1"/>
  <c r="H23" i="76"/>
  <c r="H26" i="76" a="1"/>
  <c r="H26" i="76"/>
  <c r="H24" i="76" a="1"/>
  <c r="H24" i="76"/>
  <c r="H29" i="76" a="1"/>
  <c r="H29" i="76"/>
  <c r="H31" i="76" a="1"/>
  <c r="H31" i="76"/>
  <c r="H32" i="76" a="1"/>
  <c r="H32" i="76"/>
  <c r="H27" i="76" a="1"/>
  <c r="H27" i="76"/>
  <c r="H33" i="76" a="1"/>
  <c r="H33" i="76"/>
  <c r="H28" i="76" a="1"/>
  <c r="H28" i="76"/>
  <c r="H30" i="76" a="1"/>
  <c r="H30" i="76"/>
  <c r="H34" i="76" a="1"/>
  <c r="H34" i="76"/>
  <c r="H35" i="76" a="1"/>
  <c r="H35" i="76"/>
  <c r="H36" i="76" a="1"/>
  <c r="H36" i="76"/>
  <c r="H38" i="76" a="1"/>
  <c r="H38" i="76"/>
  <c r="H25" i="76" a="1"/>
  <c r="H25" i="76"/>
  <c r="H37" i="76" a="1"/>
  <c r="H37" i="76"/>
  <c r="G4" i="76" a="1"/>
  <c r="G4" i="76"/>
  <c r="G3" i="76" a="1"/>
  <c r="G3" i="76"/>
  <c r="G5" i="76" a="1"/>
  <c r="G5" i="76"/>
  <c r="G7" i="76" a="1"/>
  <c r="G7" i="76"/>
  <c r="G8" i="76" a="1"/>
  <c r="G8" i="76"/>
  <c r="G9" i="76" a="1"/>
  <c r="G9" i="76"/>
  <c r="G11" i="76" a="1"/>
  <c r="G11" i="76"/>
  <c r="G14" i="76" a="1"/>
  <c r="G14" i="76"/>
  <c r="G12" i="76" a="1"/>
  <c r="G12" i="76"/>
  <c r="G15" i="76" a="1"/>
  <c r="G15" i="76"/>
  <c r="G13" i="76" a="1"/>
  <c r="G13" i="76"/>
  <c r="G16" i="76" a="1"/>
  <c r="G16" i="76"/>
  <c r="G17" i="76" a="1"/>
  <c r="G17" i="76"/>
  <c r="G18" i="76" a="1"/>
  <c r="G18" i="76"/>
  <c r="G20" i="76" a="1"/>
  <c r="G20" i="76"/>
  <c r="G21" i="76" a="1"/>
  <c r="G21" i="76"/>
  <c r="G22" i="76" a="1"/>
  <c r="G22" i="76"/>
  <c r="G23" i="76" a="1"/>
  <c r="G23" i="76"/>
  <c r="G26" i="76" a="1"/>
  <c r="G26" i="76"/>
  <c r="G24" i="76" a="1"/>
  <c r="G24" i="76"/>
  <c r="G29" i="76" a="1"/>
  <c r="G29" i="76"/>
  <c r="G31" i="76" a="1"/>
  <c r="G31" i="76"/>
  <c r="G32" i="76" a="1"/>
  <c r="G32" i="76"/>
  <c r="G27" i="76" a="1"/>
  <c r="G27" i="76"/>
  <c r="G33" i="76" a="1"/>
  <c r="G33" i="76"/>
  <c r="G28" i="76" a="1"/>
  <c r="G28" i="76"/>
  <c r="G30" i="76" a="1"/>
  <c r="G30" i="76"/>
  <c r="G34" i="76" a="1"/>
  <c r="G34" i="76"/>
  <c r="G35" i="76" a="1"/>
  <c r="G35" i="76"/>
  <c r="G36" i="76" a="1"/>
  <c r="G36" i="76"/>
  <c r="G38" i="76" a="1"/>
  <c r="G38" i="76"/>
  <c r="G25" i="76" a="1"/>
  <c r="G25" i="76"/>
  <c r="G37" i="76" a="1"/>
  <c r="G37" i="76"/>
  <c r="E4" i="76" a="1"/>
  <c r="E4" i="76"/>
  <c r="E3" i="76" a="1"/>
  <c r="E3" i="76"/>
  <c r="E5" i="76" a="1"/>
  <c r="E5" i="76"/>
  <c r="E7" i="76" a="1"/>
  <c r="E7" i="76"/>
  <c r="E8" i="76" a="1"/>
  <c r="E8" i="76"/>
  <c r="E9" i="76" a="1"/>
  <c r="E9" i="76"/>
  <c r="E11" i="76" a="1"/>
  <c r="E11" i="76"/>
  <c r="E14" i="76" a="1"/>
  <c r="E14" i="76"/>
  <c r="E12" i="76" a="1"/>
  <c r="E12" i="76"/>
  <c r="E15" i="76" a="1"/>
  <c r="E15" i="76"/>
  <c r="E13" i="76" a="1"/>
  <c r="E13" i="76"/>
  <c r="E16" i="76" a="1"/>
  <c r="E16" i="76"/>
  <c r="E17" i="76" a="1"/>
  <c r="E17" i="76"/>
  <c r="E19" i="76" a="1"/>
  <c r="E19" i="76"/>
  <c r="E18" i="76" a="1"/>
  <c r="E18" i="76"/>
  <c r="E20" i="76" a="1"/>
  <c r="E20" i="76"/>
  <c r="E21" i="76" a="1"/>
  <c r="E21" i="76"/>
  <c r="E22" i="76" a="1"/>
  <c r="E22" i="76"/>
  <c r="E23" i="76" a="1"/>
  <c r="E23" i="76"/>
  <c r="E26" i="76" a="1"/>
  <c r="E26" i="76"/>
  <c r="E24" i="76" a="1"/>
  <c r="E24" i="76"/>
  <c r="E29" i="76" a="1"/>
  <c r="E29" i="76"/>
  <c r="E31" i="76" a="1"/>
  <c r="E31" i="76"/>
  <c r="E32" i="76" a="1"/>
  <c r="E32" i="76"/>
  <c r="E27" i="76" a="1"/>
  <c r="E27" i="76"/>
  <c r="E33" i="76" a="1"/>
  <c r="E33" i="76"/>
  <c r="E30" i="76" a="1"/>
  <c r="E30" i="76"/>
  <c r="E34" i="76" a="1"/>
  <c r="E34" i="76"/>
  <c r="E35" i="76" a="1"/>
  <c r="E35" i="76"/>
  <c r="E36" i="76" a="1"/>
  <c r="E36" i="76"/>
  <c r="E38" i="76" a="1"/>
  <c r="E38" i="76"/>
  <c r="E25" i="76" a="1"/>
  <c r="E25" i="76"/>
  <c r="E37" i="76" a="1"/>
  <c r="E37" i="76"/>
  <c r="F4" i="76" a="1"/>
  <c r="F4" i="76"/>
  <c r="F3" i="76" a="1"/>
  <c r="F3" i="76"/>
  <c r="F5" i="76" a="1"/>
  <c r="F5" i="76"/>
  <c r="F7" i="76" a="1"/>
  <c r="F7" i="76"/>
  <c r="F8" i="76" a="1"/>
  <c r="F8" i="76"/>
  <c r="F9" i="76" a="1"/>
  <c r="F9" i="76"/>
  <c r="F11" i="76" a="1"/>
  <c r="F11" i="76"/>
  <c r="F14" i="76" a="1"/>
  <c r="F14" i="76"/>
  <c r="F12" i="76" a="1"/>
  <c r="F12" i="76"/>
  <c r="F15" i="76" a="1"/>
  <c r="F15" i="76"/>
  <c r="F13" i="76" a="1"/>
  <c r="F13" i="76"/>
  <c r="F16" i="76" a="1"/>
  <c r="F16" i="76"/>
  <c r="F17" i="76" a="1"/>
  <c r="F17" i="76"/>
  <c r="F18" i="76" a="1"/>
  <c r="F18" i="76"/>
  <c r="F20" i="76" a="1"/>
  <c r="F20" i="76"/>
  <c r="F21" i="76" a="1"/>
  <c r="F21" i="76"/>
  <c r="F22" i="76" a="1"/>
  <c r="F22" i="76"/>
  <c r="F23" i="76" a="1"/>
  <c r="F23" i="76"/>
  <c r="F26" i="76" a="1"/>
  <c r="F26" i="76"/>
  <c r="F24" i="76" a="1"/>
  <c r="F24" i="76"/>
  <c r="F29" i="76" a="1"/>
  <c r="F29" i="76"/>
  <c r="F31" i="76" a="1"/>
  <c r="F31" i="76"/>
  <c r="F32" i="76" a="1"/>
  <c r="F32" i="76"/>
  <c r="F27" i="76" a="1"/>
  <c r="F27" i="76"/>
  <c r="F33" i="76" a="1"/>
  <c r="F33" i="76"/>
  <c r="F30" i="76" a="1"/>
  <c r="F30" i="76"/>
  <c r="F34" i="76" a="1"/>
  <c r="F34" i="76"/>
  <c r="F35" i="76" a="1"/>
  <c r="F35" i="76"/>
  <c r="F36" i="76" a="1"/>
  <c r="F36" i="76"/>
  <c r="F38" i="76" a="1"/>
  <c r="F38" i="76"/>
  <c r="F25" i="76" a="1"/>
  <c r="F25" i="76"/>
  <c r="F37" i="76" a="1"/>
  <c r="F37" i="76"/>
  <c r="F59" i="54"/>
  <c r="F60" i="54"/>
  <c r="F61" i="54"/>
  <c r="F62" i="54"/>
  <c r="F63" i="54"/>
  <c r="F64" i="54"/>
  <c r="F65" i="54"/>
  <c r="F66" i="54"/>
  <c r="F67" i="54"/>
  <c r="F68" i="54"/>
  <c r="F69" i="54"/>
  <c r="F58" i="54"/>
  <c r="F56" i="70"/>
  <c r="F55" i="70"/>
  <c r="F68" i="47"/>
  <c r="F69" i="47"/>
  <c r="F70" i="47"/>
  <c r="F71" i="47"/>
  <c r="F67" i="47"/>
  <c r="F55" i="48"/>
  <c r="F56" i="48"/>
  <c r="F57" i="48"/>
  <c r="F58" i="48"/>
  <c r="F59" i="48"/>
  <c r="F60" i="48"/>
  <c r="F61" i="48"/>
  <c r="F62" i="48"/>
  <c r="F63" i="48"/>
  <c r="F64" i="48"/>
  <c r="F65" i="48"/>
  <c r="F66" i="48"/>
  <c r="F67" i="48"/>
  <c r="F61" i="52"/>
  <c r="F62" i="52"/>
  <c r="F63" i="52"/>
  <c r="F64" i="52"/>
  <c r="F65" i="52"/>
  <c r="F66" i="52"/>
  <c r="F67" i="52"/>
  <c r="F68" i="52"/>
  <c r="F69" i="52"/>
  <c r="F70" i="52"/>
  <c r="F71" i="52"/>
  <c r="F72" i="52"/>
  <c r="F73" i="52"/>
  <c r="F74" i="52"/>
  <c r="F75" i="52"/>
  <c r="F76" i="52"/>
  <c r="F77" i="52"/>
  <c r="F78" i="52"/>
  <c r="F79" i="52"/>
  <c r="F80" i="52"/>
  <c r="F81" i="52"/>
  <c r="F82" i="52"/>
  <c r="F83" i="52"/>
  <c r="F84" i="52"/>
  <c r="F85" i="52"/>
  <c r="F86" i="52"/>
  <c r="F87" i="52"/>
  <c r="F60" i="52"/>
  <c r="F74" i="69"/>
  <c r="F75" i="69"/>
  <c r="F76" i="69"/>
  <c r="F73" i="69"/>
  <c r="F58" i="69"/>
  <c r="F59" i="69"/>
  <c r="F57" i="69"/>
  <c r="F56" i="72"/>
  <c r="F55" i="72"/>
  <c r="F95" i="55"/>
  <c r="F80" i="55"/>
  <c r="F81" i="55"/>
  <c r="F82" i="55"/>
  <c r="F83" i="55"/>
  <c r="F84" i="55"/>
  <c r="F85" i="55"/>
  <c r="F86" i="55"/>
  <c r="F87" i="55"/>
  <c r="F88" i="55"/>
  <c r="F89" i="55"/>
  <c r="F90" i="55"/>
  <c r="F91" i="55"/>
  <c r="F92" i="55"/>
  <c r="F93" i="55"/>
  <c r="F94" i="55"/>
  <c r="F79" i="55"/>
  <c r="I17" i="52" a="1"/>
  <c r="I17" i="52"/>
  <c r="C24" i="5" a="1"/>
  <c r="C24" i="5"/>
  <c r="C34" i="5" a="1"/>
  <c r="C34" i="5"/>
  <c r="K35" i="5"/>
  <c r="D35" i="5" a="1"/>
  <c r="D35" i="5"/>
  <c r="J16" i="49"/>
  <c r="H16" i="54"/>
  <c r="H16" i="49"/>
  <c r="I16" i="61"/>
  <c r="H16" i="61"/>
  <c r="H17" i="70"/>
  <c r="I16" i="70"/>
  <c r="H16" i="70"/>
  <c r="I16" i="47"/>
  <c r="H16" i="47"/>
  <c r="I16" i="79"/>
  <c r="H16" i="79"/>
  <c r="I16" i="63"/>
  <c r="H16" i="63"/>
  <c r="I16" i="48"/>
  <c r="H16" i="48"/>
  <c r="I16" i="52"/>
  <c r="H16" i="52"/>
  <c r="I16" i="53"/>
  <c r="H16" i="53"/>
  <c r="I16" i="62"/>
  <c r="H16" i="62"/>
  <c r="I16" i="68"/>
  <c r="H16" i="68"/>
  <c r="I16" i="69"/>
  <c r="H16" i="69"/>
  <c r="I16" i="64"/>
  <c r="H16" i="64"/>
  <c r="I16" i="75"/>
  <c r="H16" i="75"/>
  <c r="I16" i="58"/>
  <c r="H16" i="58"/>
  <c r="I16" i="66"/>
  <c r="H16" i="66"/>
  <c r="I16" i="65"/>
  <c r="H16" i="65"/>
  <c r="I16" i="87"/>
  <c r="H16" i="87"/>
  <c r="I16" i="77"/>
  <c r="H16" i="77"/>
  <c r="H16" i="45"/>
  <c r="H16" i="50"/>
  <c r="H16" i="81"/>
  <c r="H16" i="55"/>
  <c r="H16" i="72"/>
  <c r="I16" i="51"/>
  <c r="I16" i="72"/>
  <c r="I16" i="50"/>
  <c r="H16" i="46"/>
  <c r="H16" i="60"/>
  <c r="H16" i="56"/>
  <c r="H16" i="73"/>
  <c r="H16" i="51"/>
  <c r="H16" i="71"/>
  <c r="M16" i="46"/>
  <c r="M15" i="49" a="1"/>
  <c r="M15" i="49"/>
  <c r="F16" i="55"/>
  <c r="F93" i="49"/>
  <c r="F75" i="49"/>
  <c r="K16" i="50"/>
  <c r="K16" i="46"/>
  <c r="AE30" i="90"/>
  <c r="F105" i="90"/>
  <c r="F104" i="90"/>
  <c r="F103" i="90"/>
  <c r="F102" i="90"/>
  <c r="F101" i="90"/>
  <c r="F100" i="90"/>
  <c r="F99" i="90"/>
  <c r="F98" i="90"/>
  <c r="F97" i="90"/>
  <c r="F96" i="90"/>
  <c r="F95" i="90"/>
  <c r="F94" i="90"/>
  <c r="F93" i="90"/>
  <c r="F92" i="90"/>
  <c r="H87" i="90"/>
  <c r="I87" i="90" s="1"/>
  <c r="F87" i="90"/>
  <c r="H86" i="90"/>
  <c r="I86" i="90" s="1"/>
  <c r="F86" i="90"/>
  <c r="H85" i="90"/>
  <c r="I85" i="90" s="1"/>
  <c r="F85" i="90"/>
  <c r="H84" i="90"/>
  <c r="I84" i="90" s="1"/>
  <c r="F84" i="90"/>
  <c r="H83" i="90"/>
  <c r="I83" i="90" s="1"/>
  <c r="F83" i="90"/>
  <c r="H82" i="90"/>
  <c r="I82" i="90" s="1"/>
  <c r="F82" i="90"/>
  <c r="H81" i="90"/>
  <c r="I81" i="90" s="1"/>
  <c r="F81" i="90"/>
  <c r="H80" i="90"/>
  <c r="I80" i="90" s="1"/>
  <c r="F80" i="90"/>
  <c r="H79" i="90"/>
  <c r="I79" i="90" s="1"/>
  <c r="F79" i="90"/>
  <c r="H78" i="90"/>
  <c r="I78" i="90" s="1"/>
  <c r="F78" i="90"/>
  <c r="H77" i="90"/>
  <c r="I77" i="90" s="1"/>
  <c r="F77" i="90"/>
  <c r="H76" i="90"/>
  <c r="I76" i="90" s="1"/>
  <c r="F76" i="90"/>
  <c r="H75" i="90"/>
  <c r="I75" i="90" s="1"/>
  <c r="F75" i="90"/>
  <c r="H74" i="90"/>
  <c r="I74" i="90" s="1"/>
  <c r="F74" i="90"/>
  <c r="H73" i="90"/>
  <c r="I73" i="90" s="1"/>
  <c r="F73" i="90"/>
  <c r="H72" i="90"/>
  <c r="I72" i="90" s="1"/>
  <c r="F72" i="90"/>
  <c r="H71" i="90"/>
  <c r="I71" i="90" s="1"/>
  <c r="F71" i="90"/>
  <c r="AD40" i="90"/>
  <c r="AF39" i="90"/>
  <c r="AD39" i="90"/>
  <c r="AF38" i="90"/>
  <c r="AD38" i="90"/>
  <c r="AF37" i="90"/>
  <c r="AD37" i="90"/>
  <c r="AF36" i="90"/>
  <c r="AD36" i="90"/>
  <c r="AF35" i="90"/>
  <c r="AD35" i="90"/>
  <c r="AD34" i="90"/>
  <c r="AD33" i="90"/>
  <c r="AF32" i="90"/>
  <c r="AD32" i="90"/>
  <c r="AF31" i="90"/>
  <c r="AD31" i="90"/>
  <c r="AD30" i="90"/>
  <c r="E24" i="90"/>
  <c r="F23" i="90" a="1"/>
  <c r="F23" i="90" s="1"/>
  <c r="F22" i="90" a="1"/>
  <c r="F22" i="90" s="1"/>
  <c r="F21" i="90" a="1"/>
  <c r="F21" i="90" s="1"/>
  <c r="A20" i="90"/>
  <c r="A19" i="90"/>
  <c r="F19" i="90" s="1"/>
  <c r="A18" i="90"/>
  <c r="I17" i="90" a="1"/>
  <c r="I17" i="90" s="1"/>
  <c r="A17" i="90"/>
  <c r="F17" i="90" s="1"/>
  <c r="J16" i="90"/>
  <c r="I16" i="90"/>
  <c r="H16" i="90"/>
  <c r="A16" i="90"/>
  <c r="F16" i="90" s="1"/>
  <c r="M15" i="90" a="1"/>
  <c r="M15" i="90" s="1"/>
  <c r="E15" i="90"/>
  <c r="D15" i="90"/>
  <c r="C15" i="90"/>
  <c r="B15" i="90"/>
  <c r="AD14" i="90" a="1"/>
  <c r="AD13" i="90" a="1"/>
  <c r="B11" i="90"/>
  <c r="B10" i="90"/>
  <c r="AF34" i="90" s="1"/>
  <c r="AE32" i="55"/>
  <c r="AE31" i="55" a="1"/>
  <c r="AE31" i="55" s="1"/>
  <c r="E24" i="55"/>
  <c r="H90" i="51"/>
  <c r="H89" i="51"/>
  <c r="H88" i="51"/>
  <c r="H87" i="51"/>
  <c r="H86" i="51"/>
  <c r="H85" i="51"/>
  <c r="H84" i="51"/>
  <c r="H83" i="51"/>
  <c r="H82" i="51"/>
  <c r="H80" i="51"/>
  <c r="H81" i="51"/>
  <c r="H79" i="51"/>
  <c r="H78" i="51"/>
  <c r="H77" i="51"/>
  <c r="H76" i="51"/>
  <c r="H75" i="51"/>
  <c r="H74" i="51"/>
  <c r="H75" i="56"/>
  <c r="H74" i="56"/>
  <c r="H73" i="56"/>
  <c r="H72" i="56"/>
  <c r="H71" i="56"/>
  <c r="AD13" i="54" a="1"/>
  <c r="AD13" i="54" s="1"/>
  <c r="AD13" i="49" a="1"/>
  <c r="AD13" i="49" s="1"/>
  <c r="AD13" i="61" a="1"/>
  <c r="AD13" i="61"/>
  <c r="AD13" i="70" a="1"/>
  <c r="AD13" i="70"/>
  <c r="AD13" i="47" a="1"/>
  <c r="AD13" i="47" s="1"/>
  <c r="AD13" i="79" a="1"/>
  <c r="AD13" i="79" s="1"/>
  <c r="AD13" i="67" a="1"/>
  <c r="AD13" i="67"/>
  <c r="AD13" i="63" a="1"/>
  <c r="AD13" i="63"/>
  <c r="AD13" i="48" a="1"/>
  <c r="AD13" i="48"/>
  <c r="AD13" i="52" a="1"/>
  <c r="AD13" i="52" s="1"/>
  <c r="AD13" i="53" a="1"/>
  <c r="AD13" i="53" s="1"/>
  <c r="AD13" i="62" a="1"/>
  <c r="AD13" i="62"/>
  <c r="AD13" i="68" a="1"/>
  <c r="AD13" i="68"/>
  <c r="AD13" i="69" a="1"/>
  <c r="AD13" i="69"/>
  <c r="AD13" i="64" a="1"/>
  <c r="AD13" i="64"/>
  <c r="AD13" i="75" a="1"/>
  <c r="AD13" i="75"/>
  <c r="AD13" i="58" a="1"/>
  <c r="AD13" i="58"/>
  <c r="AD13" i="66" a="1"/>
  <c r="AD13" i="66"/>
  <c r="AD13" i="65" a="1"/>
  <c r="AD13" i="65"/>
  <c r="AD13" i="87" a="1"/>
  <c r="AD13" i="87"/>
  <c r="AD13" i="77" a="1"/>
  <c r="AD13" i="77"/>
  <c r="AD13" i="45" a="1"/>
  <c r="AD13" i="45"/>
  <c r="AD13" i="50" a="1"/>
  <c r="AD13" i="50"/>
  <c r="AD13" i="72" a="1"/>
  <c r="AD13" i="72"/>
  <c r="AD13" i="55" a="1"/>
  <c r="AD13" i="55"/>
  <c r="AD13" i="81" a="1"/>
  <c r="AD13" i="81"/>
  <c r="AD13" i="46" a="1"/>
  <c r="AD13" i="46" s="1"/>
  <c r="AD13" i="60" a="1"/>
  <c r="AD13" i="60"/>
  <c r="AD13" i="56" a="1"/>
  <c r="AD13" i="56"/>
  <c r="AD13" i="73" a="1"/>
  <c r="AD13" i="73"/>
  <c r="AD13" i="51" a="1"/>
  <c r="AD13" i="51" s="1"/>
  <c r="AD13" i="59" a="1"/>
  <c r="AD13" i="59"/>
  <c r="AD13" i="71" a="1"/>
  <c r="AD13" i="71"/>
  <c r="AE33" i="55"/>
  <c r="B11" i="56"/>
  <c r="J16" i="73"/>
  <c r="M15" i="73" a="1"/>
  <c r="M15" i="73"/>
  <c r="AF37" i="89"/>
  <c r="AD40" i="89"/>
  <c r="AF40" i="89" s="1"/>
  <c r="AF39" i="89"/>
  <c r="AD39" i="89"/>
  <c r="AF38" i="89"/>
  <c r="AD38" i="89"/>
  <c r="AD37" i="89"/>
  <c r="AF36" i="89"/>
  <c r="AD36" i="89"/>
  <c r="AF35" i="89"/>
  <c r="AD35" i="89"/>
  <c r="AD34" i="89"/>
  <c r="AF33" i="89"/>
  <c r="AD33" i="89"/>
  <c r="AF32" i="89"/>
  <c r="AD32" i="89"/>
  <c r="AF31" i="89"/>
  <c r="AD31" i="89"/>
  <c r="AE30" i="89"/>
  <c r="AD30" i="89"/>
  <c r="F105" i="89"/>
  <c r="F104" i="89"/>
  <c r="F103" i="89"/>
  <c r="F102" i="89"/>
  <c r="F101" i="89"/>
  <c r="F100" i="89"/>
  <c r="F99" i="89"/>
  <c r="F98" i="89"/>
  <c r="F97" i="89"/>
  <c r="F96" i="89"/>
  <c r="F95" i="89"/>
  <c r="F94" i="89"/>
  <c r="F93" i="89"/>
  <c r="F92" i="89"/>
  <c r="J16" i="89" s="1"/>
  <c r="H87" i="89"/>
  <c r="I87" i="89" s="1"/>
  <c r="F87" i="89"/>
  <c r="H86" i="89"/>
  <c r="I86" i="89" s="1"/>
  <c r="F86" i="89"/>
  <c r="H85" i="89"/>
  <c r="I85" i="89" s="1"/>
  <c r="F85" i="89"/>
  <c r="H84" i="89"/>
  <c r="I84" i="89" s="1"/>
  <c r="F84" i="89"/>
  <c r="H83" i="89"/>
  <c r="I83" i="89" s="1"/>
  <c r="F83" i="89"/>
  <c r="H82" i="89"/>
  <c r="I82" i="89" s="1"/>
  <c r="F82" i="89"/>
  <c r="H81" i="89"/>
  <c r="I81" i="89" s="1"/>
  <c r="F81" i="89"/>
  <c r="H80" i="89"/>
  <c r="I80" i="89" s="1"/>
  <c r="F80" i="89"/>
  <c r="H79" i="89"/>
  <c r="I79" i="89" s="1"/>
  <c r="F79" i="89"/>
  <c r="H78" i="89"/>
  <c r="I78" i="89" s="1"/>
  <c r="F78" i="89"/>
  <c r="H77" i="89"/>
  <c r="I77" i="89" s="1"/>
  <c r="F77" i="89"/>
  <c r="H76" i="89"/>
  <c r="I76" i="89" s="1"/>
  <c r="F76" i="89"/>
  <c r="H75" i="89"/>
  <c r="I75" i="89" s="1"/>
  <c r="F75" i="89"/>
  <c r="H74" i="89"/>
  <c r="F74" i="89"/>
  <c r="H73" i="89"/>
  <c r="I73" i="89" s="1"/>
  <c r="F73" i="89"/>
  <c r="H72" i="89"/>
  <c r="I72" i="89" s="1"/>
  <c r="F72" i="89"/>
  <c r="H71" i="89"/>
  <c r="I71" i="89" s="1"/>
  <c r="F71" i="89"/>
  <c r="E24" i="89"/>
  <c r="F23" i="89" a="1"/>
  <c r="F23" i="89" s="1"/>
  <c r="F22" i="89" a="1"/>
  <c r="F22" i="89" s="1"/>
  <c r="F21" i="89" a="1"/>
  <c r="F21" i="89" s="1"/>
  <c r="A20" i="89"/>
  <c r="A22" i="89" s="1"/>
  <c r="A19" i="89"/>
  <c r="F19" i="89" s="1"/>
  <c r="A18" i="89"/>
  <c r="A21" i="89" s="1"/>
  <c r="A17" i="89"/>
  <c r="F17" i="89" s="1"/>
  <c r="I16" i="89"/>
  <c r="H16" i="89"/>
  <c r="A16" i="89"/>
  <c r="F16" i="89" s="1"/>
  <c r="M15" i="89" a="1"/>
  <c r="M15" i="89" s="1"/>
  <c r="E15" i="89"/>
  <c r="E16" i="89" s="1"/>
  <c r="D15" i="89"/>
  <c r="D22" i="89" s="1" a="1"/>
  <c r="D22" i="89" s="1"/>
  <c r="C15" i="89"/>
  <c r="C20" i="89" s="1"/>
  <c r="B15" i="89"/>
  <c r="AD14" i="89" a="1"/>
  <c r="AD13" i="89" a="1"/>
  <c r="AX13" i="89" s="1"/>
  <c r="AX15" i="89" s="1"/>
  <c r="AE34" i="89"/>
  <c r="AF34" i="89" s="1"/>
  <c r="AF38" i="88"/>
  <c r="AD38" i="88"/>
  <c r="AD40" i="88"/>
  <c r="AF39" i="88"/>
  <c r="AD39" i="88"/>
  <c r="AF37" i="88"/>
  <c r="AD37" i="88"/>
  <c r="AF36" i="88"/>
  <c r="AD36" i="88"/>
  <c r="AF35" i="88"/>
  <c r="AD35" i="88"/>
  <c r="AD34" i="88"/>
  <c r="AE33" i="88"/>
  <c r="AD33" i="88"/>
  <c r="AF32" i="88"/>
  <c r="AD32" i="88"/>
  <c r="AF31" i="88"/>
  <c r="AD31" i="88"/>
  <c r="AE30" i="88"/>
  <c r="AD30" i="88"/>
  <c r="F105" i="88"/>
  <c r="F104" i="88"/>
  <c r="F103" i="88"/>
  <c r="F102" i="88"/>
  <c r="F101" i="88"/>
  <c r="F100" i="88"/>
  <c r="F99" i="88"/>
  <c r="F98" i="88"/>
  <c r="F97" i="88"/>
  <c r="F96" i="88"/>
  <c r="F95" i="88"/>
  <c r="F94" i="88"/>
  <c r="F93" i="88"/>
  <c r="F92" i="88"/>
  <c r="H87" i="88"/>
  <c r="I87" i="88" s="1"/>
  <c r="F87" i="88"/>
  <c r="H86" i="88"/>
  <c r="I86" i="88" s="1"/>
  <c r="F86" i="88"/>
  <c r="H85" i="88"/>
  <c r="I85" i="88" s="1"/>
  <c r="F85" i="88"/>
  <c r="H84" i="88"/>
  <c r="I84" i="88" s="1"/>
  <c r="F84" i="88"/>
  <c r="H83" i="88"/>
  <c r="I83" i="88" s="1"/>
  <c r="F83" i="88"/>
  <c r="H82" i="88"/>
  <c r="I82" i="88" s="1"/>
  <c r="F82" i="88"/>
  <c r="H81" i="88"/>
  <c r="I81" i="88" s="1"/>
  <c r="F81" i="88"/>
  <c r="H80" i="88"/>
  <c r="I80" i="88" s="1"/>
  <c r="F80" i="88"/>
  <c r="H16" i="88" s="1"/>
  <c r="H79" i="88"/>
  <c r="I79" i="88" s="1"/>
  <c r="F79" i="88"/>
  <c r="H78" i="88"/>
  <c r="I78" i="88" s="1"/>
  <c r="F78" i="88"/>
  <c r="H77" i="88"/>
  <c r="I77" i="88" s="1"/>
  <c r="F77" i="88"/>
  <c r="H76" i="88"/>
  <c r="I76" i="88" s="1"/>
  <c r="F76" i="88"/>
  <c r="H75" i="88"/>
  <c r="I75" i="88" s="1"/>
  <c r="F75" i="88"/>
  <c r="H74" i="88"/>
  <c r="I74" i="88" s="1"/>
  <c r="F74" i="88"/>
  <c r="H73" i="88"/>
  <c r="I73" i="88" s="1"/>
  <c r="F73" i="88"/>
  <c r="H72" i="88"/>
  <c r="I72" i="88" s="1"/>
  <c r="F72" i="88"/>
  <c r="H71" i="88"/>
  <c r="I71" i="88" s="1"/>
  <c r="F71" i="88"/>
  <c r="E24" i="88"/>
  <c r="F23" i="88" a="1"/>
  <c r="F23" i="88" s="1"/>
  <c r="F22" i="88" a="1"/>
  <c r="F22" i="88" s="1"/>
  <c r="F21" i="88" a="1"/>
  <c r="F21" i="88" s="1"/>
  <c r="F20" i="88"/>
  <c r="A20" i="88"/>
  <c r="A22" i="88" s="1"/>
  <c r="A19" i="88"/>
  <c r="A18" i="88"/>
  <c r="F18" i="88" s="1"/>
  <c r="A17" i="88"/>
  <c r="I16" i="88"/>
  <c r="A16" i="88"/>
  <c r="F16" i="88" s="1"/>
  <c r="M15" i="88" a="1"/>
  <c r="M15" i="88" s="1"/>
  <c r="E15" i="88"/>
  <c r="E20" i="88" s="1"/>
  <c r="D15" i="88"/>
  <c r="D22" i="88" s="1" a="1"/>
  <c r="D22" i="88" s="1"/>
  <c r="C15" i="88"/>
  <c r="C20" i="88" s="1"/>
  <c r="B15" i="88"/>
  <c r="B22" i="88" s="1" a="1"/>
  <c r="B22" i="88" s="1"/>
  <c r="AD14" i="88" a="1"/>
  <c r="BB14" i="88" s="1"/>
  <c r="AD13" i="88" a="1"/>
  <c r="AV13" i="88" s="1"/>
  <c r="AV15" i="88" s="1"/>
  <c r="B11" i="88"/>
  <c r="B10" i="88"/>
  <c r="AE34" i="88" s="1"/>
  <c r="AF34" i="88" s="1"/>
  <c r="M15" i="87" a="1"/>
  <c r="M15" i="87"/>
  <c r="AD40" i="87"/>
  <c r="AE40" i="87" s="1"/>
  <c r="AF40" i="87" s="1"/>
  <c r="AF39" i="87"/>
  <c r="AD39" i="87"/>
  <c r="AF38" i="87"/>
  <c r="AD38" i="87"/>
  <c r="AF37" i="87"/>
  <c r="AD37" i="87"/>
  <c r="AF36" i="87"/>
  <c r="AD36" i="87"/>
  <c r="AF35" i="87"/>
  <c r="AD35" i="87"/>
  <c r="AD34" i="87"/>
  <c r="AE33" i="87"/>
  <c r="AF33" i="87" s="1"/>
  <c r="AD33" i="87"/>
  <c r="AE32" i="87"/>
  <c r="AF32" i="87" s="1"/>
  <c r="AD32" i="87"/>
  <c r="AE31" i="87" a="1"/>
  <c r="AE31" i="87" s="1"/>
  <c r="AF31" i="87" s="1"/>
  <c r="AD31" i="87"/>
  <c r="AE30" i="87"/>
  <c r="AD30" i="87"/>
  <c r="F105" i="87"/>
  <c r="F104" i="87"/>
  <c r="F103" i="87"/>
  <c r="F102" i="87"/>
  <c r="F101" i="87"/>
  <c r="F100" i="87"/>
  <c r="F99" i="87"/>
  <c r="F98" i="87"/>
  <c r="F97" i="87"/>
  <c r="F96" i="87"/>
  <c r="F95" i="87"/>
  <c r="F94" i="87"/>
  <c r="F93" i="87"/>
  <c r="F92" i="87"/>
  <c r="H87" i="87"/>
  <c r="I87" i="87" s="1"/>
  <c r="F87" i="87"/>
  <c r="H86" i="87"/>
  <c r="I86" i="87" s="1"/>
  <c r="F86" i="87"/>
  <c r="H85" i="87"/>
  <c r="I85" i="87" s="1"/>
  <c r="F85" i="87"/>
  <c r="H84" i="87"/>
  <c r="I84" i="87" s="1"/>
  <c r="F84" i="87"/>
  <c r="H83" i="87"/>
  <c r="I83" i="87" s="1"/>
  <c r="F83" i="87"/>
  <c r="H82" i="87"/>
  <c r="I82" i="87" s="1"/>
  <c r="F82" i="87"/>
  <c r="H81" i="87"/>
  <c r="I81" i="87" s="1"/>
  <c r="F81" i="87"/>
  <c r="H80" i="87"/>
  <c r="I80" i="87" s="1"/>
  <c r="F80" i="87"/>
  <c r="H79" i="87"/>
  <c r="I79" i="87" s="1"/>
  <c r="F79" i="87"/>
  <c r="H78" i="87"/>
  <c r="I78" i="87" s="1"/>
  <c r="F78" i="87"/>
  <c r="H77" i="87"/>
  <c r="I77" i="87" s="1"/>
  <c r="F77" i="87"/>
  <c r="H76" i="87"/>
  <c r="I76" i="87" s="1"/>
  <c r="F76" i="87"/>
  <c r="H75" i="87"/>
  <c r="I75" i="87" s="1"/>
  <c r="F75" i="87"/>
  <c r="H74" i="87"/>
  <c r="I74" i="87" s="1"/>
  <c r="F74" i="87"/>
  <c r="I73" i="87"/>
  <c r="F73" i="87"/>
  <c r="I72" i="87"/>
  <c r="F72" i="87"/>
  <c r="I71" i="87"/>
  <c r="F71" i="87"/>
  <c r="E24" i="87"/>
  <c r="F23" i="87" a="1"/>
  <c r="F23" i="87" s="1"/>
  <c r="F22" i="87" a="1"/>
  <c r="F22" i="87" s="1"/>
  <c r="F21" i="87" a="1"/>
  <c r="F21" i="87" s="1"/>
  <c r="A20" i="87"/>
  <c r="A19" i="87"/>
  <c r="F19" i="87" s="1"/>
  <c r="A18" i="87"/>
  <c r="A17" i="87"/>
  <c r="F17" i="87" s="1"/>
  <c r="J16" i="87"/>
  <c r="A16" i="87"/>
  <c r="F16" i="87" s="1"/>
  <c r="E15" i="87"/>
  <c r="D15" i="87"/>
  <c r="C15" i="87"/>
  <c r="B15" i="87"/>
  <c r="B11" i="87"/>
  <c r="B10" i="87"/>
  <c r="AE34" i="87" s="1"/>
  <c r="AF34" i="87" s="1"/>
  <c r="AE30" i="83"/>
  <c r="AF40" i="83"/>
  <c r="AD40" i="83"/>
  <c r="AE40" i="83" s="1"/>
  <c r="AF39" i="83"/>
  <c r="AD39" i="83"/>
  <c r="AF38" i="83"/>
  <c r="AD38" i="83"/>
  <c r="AF37" i="83"/>
  <c r="AD37" i="83"/>
  <c r="AF36" i="83"/>
  <c r="AD36" i="83"/>
  <c r="AF35" i="83"/>
  <c r="AD35" i="83"/>
  <c r="AD34" i="83"/>
  <c r="AF33" i="83"/>
  <c r="AD33" i="83"/>
  <c r="AF32" i="83"/>
  <c r="AD32" i="83"/>
  <c r="AF31" i="83"/>
  <c r="AD31" i="83"/>
  <c r="AD30" i="83"/>
  <c r="F105" i="83"/>
  <c r="F104" i="83"/>
  <c r="F103" i="83"/>
  <c r="F102" i="83"/>
  <c r="F101" i="83"/>
  <c r="J16" i="83" s="1"/>
  <c r="F100" i="83"/>
  <c r="F99" i="83"/>
  <c r="F98" i="83"/>
  <c r="F97" i="83"/>
  <c r="F96" i="83"/>
  <c r="F95" i="83"/>
  <c r="F94" i="83"/>
  <c r="F93" i="83"/>
  <c r="F92" i="83"/>
  <c r="H87" i="83"/>
  <c r="I87" i="83" s="1"/>
  <c r="F87" i="83"/>
  <c r="H86" i="83"/>
  <c r="I86" i="83" s="1"/>
  <c r="F86" i="83"/>
  <c r="H85" i="83"/>
  <c r="I85" i="83" s="1"/>
  <c r="F85" i="83"/>
  <c r="H84" i="83"/>
  <c r="I84" i="83" s="1"/>
  <c r="F84" i="83"/>
  <c r="H83" i="83"/>
  <c r="I83" i="83" s="1"/>
  <c r="F83" i="83"/>
  <c r="H82" i="83"/>
  <c r="I82" i="83" s="1"/>
  <c r="F82" i="83"/>
  <c r="H81" i="83"/>
  <c r="I81" i="83" s="1"/>
  <c r="F81" i="83"/>
  <c r="H80" i="83"/>
  <c r="I80" i="83" s="1"/>
  <c r="F80" i="83"/>
  <c r="H79" i="83"/>
  <c r="I79" i="83" s="1"/>
  <c r="F79" i="83"/>
  <c r="H78" i="83"/>
  <c r="I78" i="83" s="1"/>
  <c r="F78" i="83"/>
  <c r="H77" i="83"/>
  <c r="I77" i="83" s="1"/>
  <c r="F77" i="83"/>
  <c r="H76" i="83"/>
  <c r="I76" i="83" s="1"/>
  <c r="F76" i="83"/>
  <c r="H75" i="83"/>
  <c r="I75" i="83" s="1"/>
  <c r="F75" i="83"/>
  <c r="H74" i="83"/>
  <c r="I74" i="83" s="1"/>
  <c r="F74" i="83"/>
  <c r="H73" i="83"/>
  <c r="I73" i="83" s="1"/>
  <c r="F73" i="83"/>
  <c r="H72" i="83"/>
  <c r="I72" i="83" s="1"/>
  <c r="F72" i="83"/>
  <c r="H71" i="83"/>
  <c r="I71" i="83" s="1"/>
  <c r="F71" i="83"/>
  <c r="E24" i="83"/>
  <c r="F23" i="83" a="1"/>
  <c r="F23" i="83" s="1"/>
  <c r="F22" i="83" a="1"/>
  <c r="F22" i="83" s="1"/>
  <c r="A22" i="83"/>
  <c r="F21" i="83" a="1"/>
  <c r="F21" i="83" s="1"/>
  <c r="A21" i="83"/>
  <c r="A20" i="83"/>
  <c r="F20" i="83" s="1"/>
  <c r="A19" i="83"/>
  <c r="B19" i="83" s="1"/>
  <c r="A18" i="83"/>
  <c r="F18" i="83" s="1"/>
  <c r="F17" i="83"/>
  <c r="A17" i="83"/>
  <c r="I16" i="83"/>
  <c r="H16" i="83"/>
  <c r="A16" i="83"/>
  <c r="F16" i="83" s="1"/>
  <c r="M15" i="83" a="1"/>
  <c r="M15" i="83" s="1"/>
  <c r="E15" i="83"/>
  <c r="D15" i="83"/>
  <c r="C15" i="83"/>
  <c r="C20" i="83" s="1"/>
  <c r="B15" i="83"/>
  <c r="B20" i="83" s="1"/>
  <c r="AD14" i="83" a="1"/>
  <c r="BD14" i="83" s="1"/>
  <c r="AD13" i="83" a="1"/>
  <c r="BD13" i="83" s="1"/>
  <c r="BD15" i="83" s="1"/>
  <c r="B11" i="83"/>
  <c r="B10" i="83"/>
  <c r="AF34" i="83" s="1"/>
  <c r="D35" i="76" a="1"/>
  <c r="G10" i="5" a="1"/>
  <c r="P37" i="76" l="1"/>
  <c r="Q37" i="76" s="1"/>
  <c r="S37" i="76" s="1"/>
  <c r="P25" i="76"/>
  <c r="Q25" i="76" s="1"/>
  <c r="S25" i="76" s="1"/>
  <c r="P38" i="76"/>
  <c r="Q38" i="76" s="1"/>
  <c r="S38" i="76" s="1"/>
  <c r="P36" i="76"/>
  <c r="Q36" i="76" s="1"/>
  <c r="S36" i="76" s="1"/>
  <c r="P35" i="76"/>
  <c r="Q35" i="76" s="1"/>
  <c r="S35" i="76" s="1"/>
  <c r="P34" i="76"/>
  <c r="Q34" i="76" s="1"/>
  <c r="S34" i="76" s="1"/>
  <c r="P30" i="76"/>
  <c r="Q30" i="76" s="1"/>
  <c r="S30" i="76" s="1"/>
  <c r="P33" i="76"/>
  <c r="Q33" i="76" s="1"/>
  <c r="S33" i="76" s="1"/>
  <c r="P27" i="76"/>
  <c r="Q27" i="76" s="1"/>
  <c r="S27" i="76" s="1"/>
  <c r="P32" i="76"/>
  <c r="Q32" i="76" s="1"/>
  <c r="S32" i="76" s="1"/>
  <c r="P31" i="76"/>
  <c r="Q31" i="76" s="1"/>
  <c r="S31" i="76" s="1"/>
  <c r="P29" i="76"/>
  <c r="Q29" i="76" s="1"/>
  <c r="S29" i="76" s="1"/>
  <c r="P24" i="76"/>
  <c r="Q24" i="76" s="1"/>
  <c r="S24" i="76" s="1"/>
  <c r="P26" i="76"/>
  <c r="Q26" i="76" s="1"/>
  <c r="S26" i="76" s="1"/>
  <c r="P23" i="76"/>
  <c r="Q23" i="76" s="1"/>
  <c r="S23" i="76" s="1"/>
  <c r="P22" i="76"/>
  <c r="Q22" i="76" s="1"/>
  <c r="S22" i="76" s="1"/>
  <c r="P21" i="76"/>
  <c r="Q21" i="76" s="1"/>
  <c r="S21" i="76" s="1"/>
  <c r="P20" i="76"/>
  <c r="Q20" i="76" s="1"/>
  <c r="S20" i="76" s="1"/>
  <c r="P18" i="76"/>
  <c r="Q18" i="76" s="1"/>
  <c r="S18" i="76" s="1"/>
  <c r="P17" i="76"/>
  <c r="Q17" i="76" s="1"/>
  <c r="S17" i="76" s="1"/>
  <c r="P16" i="76"/>
  <c r="Q16" i="76" s="1"/>
  <c r="S16" i="76" s="1"/>
  <c r="P13" i="76"/>
  <c r="Q13" i="76" s="1"/>
  <c r="S13" i="76" s="1"/>
  <c r="P15" i="76"/>
  <c r="Q15" i="76" s="1"/>
  <c r="S15" i="76" s="1"/>
  <c r="P12" i="76"/>
  <c r="Q12" i="76" s="1"/>
  <c r="S12" i="76" s="1"/>
  <c r="P14" i="76"/>
  <c r="Q14" i="76" s="1"/>
  <c r="S14" i="76" s="1"/>
  <c r="P11" i="76"/>
  <c r="Q11" i="76" s="1"/>
  <c r="S11" i="76" s="1"/>
  <c r="P9" i="76"/>
  <c r="Q9" i="76" s="1"/>
  <c r="S9" i="76" s="1"/>
  <c r="P8" i="76"/>
  <c r="Q8" i="76" s="1"/>
  <c r="S8" i="76" s="1"/>
  <c r="P7" i="76"/>
  <c r="Q7" i="76" s="1"/>
  <c r="S7" i="76" s="1"/>
  <c r="P5" i="76"/>
  <c r="Q5" i="76" s="1"/>
  <c r="S5" i="76" s="1"/>
  <c r="P3" i="76"/>
  <c r="Q3" i="76" s="1"/>
  <c r="P4" i="76"/>
  <c r="Q4" i="76" s="1"/>
  <c r="S4" i="76" s="1"/>
  <c r="BD14" i="89"/>
  <c r="BF14" i="89"/>
  <c r="BE14" i="89"/>
  <c r="AX14" i="89"/>
  <c r="AT14" i="89"/>
  <c r="AS14" i="89"/>
  <c r="AM14" i="89"/>
  <c r="AL14" i="89"/>
  <c r="AH14" i="89"/>
  <c r="AG14" i="89"/>
  <c r="I17" i="89" a="1"/>
  <c r="I17" i="89" s="1"/>
  <c r="G10" i="5"/>
  <c r="BF13" i="90"/>
  <c r="BF15" i="90" s="1"/>
  <c r="BE13" i="90"/>
  <c r="BE15" i="90" s="1"/>
  <c r="BD13" i="90"/>
  <c r="BD15" i="90" s="1"/>
  <c r="BC13" i="90"/>
  <c r="BC15" i="90" s="1"/>
  <c r="BB13" i="90"/>
  <c r="BB15" i="90" s="1"/>
  <c r="BA13" i="90"/>
  <c r="BA15" i="90" s="1"/>
  <c r="AZ13" i="90"/>
  <c r="AZ15" i="90" s="1"/>
  <c r="AY13" i="90"/>
  <c r="AY15" i="90" s="1"/>
  <c r="AX13" i="90"/>
  <c r="AX15" i="90" s="1"/>
  <c r="AW13" i="90"/>
  <c r="AW15" i="90" s="1"/>
  <c r="AV13" i="90"/>
  <c r="AV15" i="90" s="1"/>
  <c r="AU13" i="90"/>
  <c r="AU15" i="90" s="1"/>
  <c r="AT13" i="90"/>
  <c r="AT15" i="90" s="1"/>
  <c r="AS13" i="90"/>
  <c r="AS15" i="90" s="1"/>
  <c r="AR13" i="90"/>
  <c r="AR15" i="90" s="1"/>
  <c r="AQ13" i="90"/>
  <c r="AQ15" i="90" s="1"/>
  <c r="AP13" i="90"/>
  <c r="AP15" i="90" s="1"/>
  <c r="AO13" i="90"/>
  <c r="AO15" i="90" s="1"/>
  <c r="AN13" i="90"/>
  <c r="AN15" i="90" s="1"/>
  <c r="AM13" i="90"/>
  <c r="AM15" i="90" s="1"/>
  <c r="AL13" i="90"/>
  <c r="AL15" i="90" s="1"/>
  <c r="AK13" i="90"/>
  <c r="AK15" i="90" s="1"/>
  <c r="AJ13" i="90"/>
  <c r="AJ15" i="90" s="1"/>
  <c r="AI13" i="90"/>
  <c r="AI15" i="90" s="1"/>
  <c r="AH13" i="90"/>
  <c r="AH15" i="90" s="1"/>
  <c r="AG13" i="90"/>
  <c r="AG15" i="90" s="1"/>
  <c r="AF13" i="90"/>
  <c r="AF15" i="90" s="1"/>
  <c r="AE13" i="90"/>
  <c r="AE15" i="90" s="1"/>
  <c r="AD13" i="90"/>
  <c r="AD15" i="90" s="1"/>
  <c r="BF14" i="90"/>
  <c r="BF16" i="90" s="1"/>
  <c r="BE14" i="90"/>
  <c r="BE16" i="90" s="1"/>
  <c r="BD14" i="90"/>
  <c r="BD16" i="90" s="1"/>
  <c r="BC14" i="90"/>
  <c r="BC16" i="90" s="1"/>
  <c r="BB14" i="90"/>
  <c r="BB16" i="90" s="1"/>
  <c r="BA14" i="90"/>
  <c r="BA16" i="90" s="1"/>
  <c r="AZ14" i="90"/>
  <c r="AZ16" i="90" s="1"/>
  <c r="AY14" i="90"/>
  <c r="AY16" i="90" s="1"/>
  <c r="AX14" i="90"/>
  <c r="AX16" i="90" s="1"/>
  <c r="AW14" i="90"/>
  <c r="AW16" i="90" s="1"/>
  <c r="AV14" i="90"/>
  <c r="AV16" i="90" s="1"/>
  <c r="AU14" i="90"/>
  <c r="AU16" i="90" s="1"/>
  <c r="AT14" i="90"/>
  <c r="AT16" i="90" s="1"/>
  <c r="AS14" i="90"/>
  <c r="AS16" i="90" s="1"/>
  <c r="AR14" i="90"/>
  <c r="AR16" i="90" s="1"/>
  <c r="AQ14" i="90"/>
  <c r="AQ16" i="90" s="1"/>
  <c r="AP14" i="90"/>
  <c r="AP16" i="90" s="1"/>
  <c r="AO14" i="90"/>
  <c r="AO16" i="90" s="1"/>
  <c r="AN14" i="90"/>
  <c r="AN16" i="90" s="1"/>
  <c r="AM14" i="90"/>
  <c r="AM16" i="90" s="1"/>
  <c r="AL14" i="90"/>
  <c r="AL16" i="90" s="1"/>
  <c r="AK14" i="90"/>
  <c r="AK16" i="90" s="1"/>
  <c r="AJ14" i="90"/>
  <c r="AJ16" i="90" s="1"/>
  <c r="AI14" i="90"/>
  <c r="AI16" i="90" s="1"/>
  <c r="AH14" i="90"/>
  <c r="AH16" i="90" s="1"/>
  <c r="AG14" i="90"/>
  <c r="AG16" i="90" s="1"/>
  <c r="AF14" i="90"/>
  <c r="AF16" i="90" s="1"/>
  <c r="AE14" i="90"/>
  <c r="AE16" i="90" s="1"/>
  <c r="AD14" i="90"/>
  <c r="AD16" i="90" s="1"/>
  <c r="H17" i="90" s="1"/>
  <c r="B22" i="90" a="1"/>
  <c r="B22" i="90" s="1"/>
  <c r="B21" i="90" a="1"/>
  <c r="B21" i="90" s="1"/>
  <c r="B20" i="90"/>
  <c r="B19" i="90"/>
  <c r="B18" i="90"/>
  <c r="B17" i="90"/>
  <c r="B16" i="90"/>
  <c r="C22" i="90" a="1"/>
  <c r="C22" i="90" s="1"/>
  <c r="C21" i="90" a="1"/>
  <c r="C21" i="90" s="1"/>
  <c r="C20" i="90"/>
  <c r="C19" i="90"/>
  <c r="C18" i="90"/>
  <c r="C17" i="90"/>
  <c r="C16" i="90"/>
  <c r="D22" i="90" a="1"/>
  <c r="D22" i="90" s="1"/>
  <c r="D21" i="90" a="1"/>
  <c r="D21" i="90" s="1"/>
  <c r="D20" i="90"/>
  <c r="D19" i="90"/>
  <c r="D18" i="90"/>
  <c r="D17" i="90"/>
  <c r="D16" i="90"/>
  <c r="E22" i="90" a="1"/>
  <c r="E22" i="90" s="1"/>
  <c r="E21" i="90" a="1"/>
  <c r="E21" i="90" s="1"/>
  <c r="E20" i="90"/>
  <c r="E19" i="90"/>
  <c r="E18" i="90"/>
  <c r="E17" i="90"/>
  <c r="E16" i="90"/>
  <c r="M16" i="90" s="1"/>
  <c r="K16" i="90"/>
  <c r="M17" i="90" s="1"/>
  <c r="I19" i="90"/>
  <c r="M18" i="90"/>
  <c r="A21" i="90"/>
  <c r="F18" i="90"/>
  <c r="A22" i="90"/>
  <c r="F20" i="90"/>
  <c r="AF40" i="90"/>
  <c r="AF41" i="90"/>
  <c r="C19" i="89"/>
  <c r="B19" i="89"/>
  <c r="I74" i="89"/>
  <c r="E18" i="83"/>
  <c r="D19" i="89"/>
  <c r="AX14" i="88"/>
  <c r="AE40" i="88"/>
  <c r="B21" i="89" a="1"/>
  <c r="B21" i="89" s="1"/>
  <c r="C18" i="89"/>
  <c r="C17" i="83"/>
  <c r="I17" i="83" a="1"/>
  <c r="I17" i="83" s="1"/>
  <c r="D19" i="88"/>
  <c r="D18" i="89"/>
  <c r="B22" i="89" a="1"/>
  <c r="B22" i="89" s="1"/>
  <c r="D18" i="88"/>
  <c r="D18" i="83"/>
  <c r="D20" i="83"/>
  <c r="E20" i="83"/>
  <c r="D17" i="83"/>
  <c r="I17" i="87" a="1"/>
  <c r="I17" i="87" s="1"/>
  <c r="AY14" i="89"/>
  <c r="F18" i="89"/>
  <c r="AF41" i="87"/>
  <c r="D35" i="76"/>
  <c r="K16" i="89"/>
  <c r="M17" i="89" s="1"/>
  <c r="AF41" i="89"/>
  <c r="AX16" i="89"/>
  <c r="M18" i="89"/>
  <c r="I19" i="89"/>
  <c r="AO13" i="89"/>
  <c r="AO15" i="89" s="1"/>
  <c r="BA13" i="89"/>
  <c r="BA15" i="89" s="1"/>
  <c r="AI14" i="89"/>
  <c r="AU14" i="89"/>
  <c r="B16" i="89"/>
  <c r="E19" i="89"/>
  <c r="C21" i="89" a="1"/>
  <c r="C21" i="89" s="1"/>
  <c r="C22" i="89" a="1"/>
  <c r="C22" i="89" s="1"/>
  <c r="AN13" i="89"/>
  <c r="AN15" i="89" s="1"/>
  <c r="AZ13" i="89"/>
  <c r="AZ15" i="89" s="1"/>
  <c r="AD13" i="89"/>
  <c r="AD15" i="89" s="1"/>
  <c r="AP13" i="89"/>
  <c r="AP15" i="89" s="1"/>
  <c r="BB13" i="89"/>
  <c r="BB15" i="89" s="1"/>
  <c r="AJ14" i="89"/>
  <c r="AV14" i="89"/>
  <c r="C16" i="89"/>
  <c r="AM13" i="89"/>
  <c r="AM15" i="89" s="1"/>
  <c r="AM16" i="89" s="1"/>
  <c r="AY13" i="89"/>
  <c r="AY15" i="89" s="1"/>
  <c r="AY16" i="89" s="1"/>
  <c r="AE13" i="89"/>
  <c r="AE15" i="89" s="1"/>
  <c r="AQ13" i="89"/>
  <c r="AQ15" i="89" s="1"/>
  <c r="BC13" i="89"/>
  <c r="BC15" i="89" s="1"/>
  <c r="AK14" i="89"/>
  <c r="AW14" i="89"/>
  <c r="D16" i="89"/>
  <c r="B18" i="89"/>
  <c r="D21" i="89" a="1"/>
  <c r="D21" i="89" s="1"/>
  <c r="B20" i="89"/>
  <c r="E21" i="89" a="1"/>
  <c r="E21" i="89" s="1"/>
  <c r="E22" i="89" a="1"/>
  <c r="E22" i="89" s="1"/>
  <c r="AG13" i="89"/>
  <c r="AG15" i="89" s="1"/>
  <c r="AG16" i="89" s="1"/>
  <c r="AS13" i="89"/>
  <c r="AS15" i="89" s="1"/>
  <c r="AS16" i="89" s="1"/>
  <c r="BE13" i="89"/>
  <c r="BE15" i="89" s="1"/>
  <c r="BE16" i="89" s="1"/>
  <c r="B17" i="89"/>
  <c r="AH13" i="89"/>
  <c r="AH15" i="89" s="1"/>
  <c r="AH16" i="89" s="1"/>
  <c r="AT13" i="89"/>
  <c r="AT15" i="89" s="1"/>
  <c r="AT16" i="89" s="1"/>
  <c r="BF13" i="89"/>
  <c r="BF15" i="89" s="1"/>
  <c r="BF16" i="89" s="1"/>
  <c r="AN14" i="89"/>
  <c r="AZ14" i="89"/>
  <c r="C17" i="89"/>
  <c r="E18" i="89"/>
  <c r="D20" i="89"/>
  <c r="AJ13" i="89"/>
  <c r="AJ15" i="89" s="1"/>
  <c r="AV13" i="89"/>
  <c r="AV15" i="89" s="1"/>
  <c r="AD14" i="89"/>
  <c r="AP14" i="89"/>
  <c r="BB14" i="89"/>
  <c r="E17" i="89"/>
  <c r="E20" i="89"/>
  <c r="AF13" i="89"/>
  <c r="AF15" i="89" s="1"/>
  <c r="AR13" i="89"/>
  <c r="AR15" i="89" s="1"/>
  <c r="BD13" i="89"/>
  <c r="BD15" i="89" s="1"/>
  <c r="BD16" i="89" s="1"/>
  <c r="AI13" i="89"/>
  <c r="AI15" i="89" s="1"/>
  <c r="AU13" i="89"/>
  <c r="AU15" i="89" s="1"/>
  <c r="AO14" i="89"/>
  <c r="AO16" i="89" s="1"/>
  <c r="BA14" i="89"/>
  <c r="D17" i="89"/>
  <c r="AK13" i="89"/>
  <c r="AK15" i="89" s="1"/>
  <c r="AW13" i="89"/>
  <c r="AW15" i="89" s="1"/>
  <c r="AE14" i="89"/>
  <c r="AE16" i="89" s="1"/>
  <c r="AQ14" i="89"/>
  <c r="AQ16" i="89" s="1"/>
  <c r="BC14" i="89"/>
  <c r="F20" i="89"/>
  <c r="AL13" i="89"/>
  <c r="AL15" i="89" s="1"/>
  <c r="AL16" i="89" s="1"/>
  <c r="AF14" i="89"/>
  <c r="AR14" i="89"/>
  <c r="AR16" i="89" s="1"/>
  <c r="AF40" i="88"/>
  <c r="AF41" i="88" s="1"/>
  <c r="A21" i="88"/>
  <c r="J16" i="88"/>
  <c r="K16" i="88" s="1"/>
  <c r="M17" i="88" s="1"/>
  <c r="B21" i="88" a="1"/>
  <c r="B21" i="88" s="1"/>
  <c r="C21" i="88" a="1"/>
  <c r="C21" i="88" s="1"/>
  <c r="D17" i="88"/>
  <c r="C22" i="88" a="1"/>
  <c r="C22" i="88" s="1"/>
  <c r="AL14" i="88"/>
  <c r="C18" i="88"/>
  <c r="B18" i="88"/>
  <c r="AU13" i="88"/>
  <c r="AU15" i="88" s="1"/>
  <c r="AX13" i="88"/>
  <c r="AX15" i="88" s="1"/>
  <c r="AY13" i="88"/>
  <c r="AY15" i="88" s="1"/>
  <c r="BD13" i="88"/>
  <c r="BD15" i="88" s="1"/>
  <c r="AF13" i="88"/>
  <c r="AF15" i="88" s="1"/>
  <c r="AI13" i="88"/>
  <c r="AI15" i="88" s="1"/>
  <c r="AK13" i="88"/>
  <c r="AK15" i="88" s="1"/>
  <c r="AL13" i="88"/>
  <c r="AL15" i="88" s="1"/>
  <c r="AL16" i="88" s="1"/>
  <c r="AM13" i="88"/>
  <c r="AM15" i="88" s="1"/>
  <c r="AW13" i="88"/>
  <c r="AW15" i="88" s="1"/>
  <c r="AR13" i="88"/>
  <c r="AR15" i="88" s="1"/>
  <c r="AX16" i="88"/>
  <c r="I17" i="88" a="1"/>
  <c r="I17" i="88" s="1"/>
  <c r="C19" i="88"/>
  <c r="E16" i="88"/>
  <c r="F17" i="88"/>
  <c r="BF14" i="88"/>
  <c r="AF14" i="88"/>
  <c r="BD14" i="88"/>
  <c r="BD16" i="88" s="1"/>
  <c r="B19" i="88"/>
  <c r="AG14" i="88"/>
  <c r="AS14" i="88"/>
  <c r="BE14" i="88"/>
  <c r="AO13" i="88"/>
  <c r="AO15" i="88" s="1"/>
  <c r="BA13" i="88"/>
  <c r="BA15" i="88" s="1"/>
  <c r="AI14" i="88"/>
  <c r="AU14" i="88"/>
  <c r="B16" i="88"/>
  <c r="E19" i="88"/>
  <c r="AO14" i="88"/>
  <c r="BA14" i="88"/>
  <c r="AE14" i="88"/>
  <c r="AQ14" i="88"/>
  <c r="BC14" i="88"/>
  <c r="AR14" i="88"/>
  <c r="AN13" i="88"/>
  <c r="AN15" i="88" s="1"/>
  <c r="AZ13" i="88"/>
  <c r="AZ15" i="88" s="1"/>
  <c r="AH14" i="88"/>
  <c r="AT14" i="88"/>
  <c r="AD13" i="88"/>
  <c r="AD15" i="88" s="1"/>
  <c r="AP13" i="88"/>
  <c r="AP15" i="88" s="1"/>
  <c r="BB13" i="88"/>
  <c r="BB15" i="88" s="1"/>
  <c r="BB16" i="88" s="1"/>
  <c r="AJ14" i="88"/>
  <c r="AV14" i="88"/>
  <c r="AV16" i="88" s="1"/>
  <c r="C16" i="88"/>
  <c r="F19" i="88"/>
  <c r="AE13" i="88"/>
  <c r="AE15" i="88" s="1"/>
  <c r="AQ13" i="88"/>
  <c r="AQ15" i="88" s="1"/>
  <c r="BC13" i="88"/>
  <c r="BC15" i="88" s="1"/>
  <c r="AK14" i="88"/>
  <c r="AW14" i="88"/>
  <c r="D16" i="88"/>
  <c r="D21" i="88" a="1"/>
  <c r="D21" i="88" s="1"/>
  <c r="B20" i="88"/>
  <c r="E22" i="88" a="1"/>
  <c r="E22" i="88" s="1"/>
  <c r="AG13" i="88"/>
  <c r="AG15" i="88" s="1"/>
  <c r="AS13" i="88"/>
  <c r="AS15" i="88" s="1"/>
  <c r="BE13" i="88"/>
  <c r="BE15" i="88" s="1"/>
  <c r="AM14" i="88"/>
  <c r="AY14" i="88"/>
  <c r="AY16" i="88" s="1"/>
  <c r="B17" i="88"/>
  <c r="E21" i="88" a="1"/>
  <c r="E21" i="88" s="1"/>
  <c r="AH13" i="88"/>
  <c r="AH15" i="88" s="1"/>
  <c r="AT13" i="88"/>
  <c r="AT15" i="88" s="1"/>
  <c r="BF13" i="88"/>
  <c r="BF15" i="88" s="1"/>
  <c r="AN14" i="88"/>
  <c r="AZ14" i="88"/>
  <c r="C17" i="88"/>
  <c r="E18" i="88"/>
  <c r="D20" i="88"/>
  <c r="AJ13" i="88"/>
  <c r="AJ15" i="88" s="1"/>
  <c r="AD14" i="88"/>
  <c r="AP14" i="88"/>
  <c r="E17" i="88"/>
  <c r="BF15" i="87"/>
  <c r="BE15" i="87"/>
  <c r="BE16" i="87" s="1"/>
  <c r="BD15" i="87"/>
  <c r="BD16" i="87" s="1"/>
  <c r="BC15" i="87"/>
  <c r="BB15" i="87"/>
  <c r="BA15" i="87"/>
  <c r="AZ15" i="87"/>
  <c r="AY15" i="87"/>
  <c r="AX15" i="87"/>
  <c r="AW15" i="87"/>
  <c r="AW16" i="87" s="1"/>
  <c r="AV15" i="87"/>
  <c r="AU15" i="87"/>
  <c r="AT15" i="87"/>
  <c r="AT16" i="87" s="1"/>
  <c r="AS15" i="87"/>
  <c r="AR15" i="87"/>
  <c r="AQ15" i="87"/>
  <c r="AP15" i="87"/>
  <c r="AO15" i="87"/>
  <c r="AN15" i="87"/>
  <c r="AM15" i="87"/>
  <c r="AL15" i="87"/>
  <c r="AL16" i="87" s="1"/>
  <c r="AK15" i="87"/>
  <c r="AJ15" i="87"/>
  <c r="AI15" i="87"/>
  <c r="AI16" i="87" s="1"/>
  <c r="AH15" i="87"/>
  <c r="AH16" i="87" s="1"/>
  <c r="AG15" i="87"/>
  <c r="AG16" i="87" s="1"/>
  <c r="AF15" i="87"/>
  <c r="AF16" i="87" s="1"/>
  <c r="AE15" i="87"/>
  <c r="AD15" i="87"/>
  <c r="AX16" i="87"/>
  <c r="AU16" i="87"/>
  <c r="AS16" i="87"/>
  <c r="AR16" i="87"/>
  <c r="B22" i="87" a="1"/>
  <c r="B22" i="87" s="1"/>
  <c r="B21" i="87" a="1"/>
  <c r="B21" i="87" s="1"/>
  <c r="B20" i="87"/>
  <c r="B19" i="87"/>
  <c r="B18" i="87"/>
  <c r="B17" i="87"/>
  <c r="B16" i="87"/>
  <c r="C22" i="87" a="1"/>
  <c r="C22" i="87" s="1"/>
  <c r="C21" i="87" a="1"/>
  <c r="C21" i="87" s="1"/>
  <c r="C20" i="87"/>
  <c r="C19" i="87"/>
  <c r="C18" i="87"/>
  <c r="C17" i="87"/>
  <c r="C16" i="87"/>
  <c r="D21" i="87" a="1"/>
  <c r="D21" i="87" s="1"/>
  <c r="D20" i="87"/>
  <c r="D19" i="87"/>
  <c r="D18" i="87"/>
  <c r="D17" i="87"/>
  <c r="D16" i="87"/>
  <c r="E22" i="87" a="1"/>
  <c r="E22" i="87" s="1"/>
  <c r="E21" i="87" a="1"/>
  <c r="E21" i="87" s="1"/>
  <c r="E20" i="87"/>
  <c r="E19" i="87"/>
  <c r="E18" i="87"/>
  <c r="E17" i="87"/>
  <c r="E16" i="87"/>
  <c r="K16" i="87"/>
  <c r="M17" i="87" s="1"/>
  <c r="I19" i="87"/>
  <c r="M18" i="87"/>
  <c r="A21" i="87"/>
  <c r="F18" i="87"/>
  <c r="A22" i="87"/>
  <c r="F20" i="87"/>
  <c r="AF41" i="83"/>
  <c r="AW13" i="83"/>
  <c r="AW15" i="83" s="1"/>
  <c r="AS13" i="83"/>
  <c r="AS15" i="83" s="1"/>
  <c r="AU13" i="83"/>
  <c r="AU15" i="83" s="1"/>
  <c r="AG13" i="83"/>
  <c r="AG15" i="83" s="1"/>
  <c r="AX13" i="83"/>
  <c r="AX15" i="83" s="1"/>
  <c r="AN13" i="83"/>
  <c r="AN15" i="83" s="1"/>
  <c r="AV13" i="83"/>
  <c r="AV15" i="83" s="1"/>
  <c r="AH13" i="83"/>
  <c r="AH15" i="83" s="1"/>
  <c r="AZ13" i="83"/>
  <c r="AZ15" i="83" s="1"/>
  <c r="AT13" i="83"/>
  <c r="AT15" i="83" s="1"/>
  <c r="AI13" i="83"/>
  <c r="AI15" i="83" s="1"/>
  <c r="BE13" i="83"/>
  <c r="BE15" i="83" s="1"/>
  <c r="AK13" i="83"/>
  <c r="AK15" i="83" s="1"/>
  <c r="AJ13" i="83"/>
  <c r="AJ15" i="83" s="1"/>
  <c r="BF13" i="83"/>
  <c r="BF15" i="83" s="1"/>
  <c r="AL13" i="83"/>
  <c r="AL15" i="83" s="1"/>
  <c r="M18" i="83"/>
  <c r="I19" i="83"/>
  <c r="K16" i="83"/>
  <c r="M17" i="83" s="1"/>
  <c r="BD16" i="83"/>
  <c r="AM13" i="83"/>
  <c r="AM15" i="83" s="1"/>
  <c r="AY13" i="83"/>
  <c r="AY15" i="83" s="1"/>
  <c r="AG14" i="83"/>
  <c r="AS14" i="83"/>
  <c r="BE14" i="83"/>
  <c r="C19" i="83"/>
  <c r="B21" i="83" a="1"/>
  <c r="B21" i="83" s="1"/>
  <c r="B22" i="83" a="1"/>
  <c r="B22" i="83" s="1"/>
  <c r="AN14" i="83"/>
  <c r="AT14" i="83"/>
  <c r="AO13" i="83"/>
  <c r="AO15" i="83" s="1"/>
  <c r="BA13" i="83"/>
  <c r="BA15" i="83" s="1"/>
  <c r="AI14" i="83"/>
  <c r="AU14" i="83"/>
  <c r="B16" i="83"/>
  <c r="E19" i="83"/>
  <c r="C21" i="83" a="1"/>
  <c r="C21" i="83" s="1"/>
  <c r="C22" i="83" a="1"/>
  <c r="C22" i="83" s="1"/>
  <c r="AR14" i="83"/>
  <c r="BF14" i="83"/>
  <c r="D19" i="83"/>
  <c r="F19" i="83"/>
  <c r="AE13" i="83"/>
  <c r="AE15" i="83" s="1"/>
  <c r="AQ13" i="83"/>
  <c r="AQ15" i="83" s="1"/>
  <c r="BC13" i="83"/>
  <c r="BC15" i="83" s="1"/>
  <c r="AK14" i="83"/>
  <c r="AK16" i="83" s="1"/>
  <c r="AW14" i="83"/>
  <c r="D16" i="83"/>
  <c r="B18" i="83"/>
  <c r="D21" i="83" a="1"/>
  <c r="D21" i="83" s="1"/>
  <c r="D22" i="83" a="1"/>
  <c r="D22" i="83" s="1"/>
  <c r="AD13" i="83"/>
  <c r="AD15" i="83" s="1"/>
  <c r="AP13" i="83"/>
  <c r="AP15" i="83" s="1"/>
  <c r="BB13" i="83"/>
  <c r="BB15" i="83" s="1"/>
  <c r="AJ14" i="83"/>
  <c r="AJ16" i="83" s="1"/>
  <c r="AV14" i="83"/>
  <c r="C16" i="83"/>
  <c r="AF13" i="83"/>
  <c r="AF15" i="83" s="1"/>
  <c r="AR13" i="83"/>
  <c r="AR15" i="83" s="1"/>
  <c r="AL14" i="83"/>
  <c r="AX14" i="83"/>
  <c r="AX16" i="83" s="1"/>
  <c r="E16" i="83"/>
  <c r="C18" i="83"/>
  <c r="AF14" i="83"/>
  <c r="AH14" i="83"/>
  <c r="AM14" i="83"/>
  <c r="AY14" i="83"/>
  <c r="B17" i="83"/>
  <c r="E21" i="83" a="1"/>
  <c r="E21" i="83" s="1"/>
  <c r="E22" i="83" a="1"/>
  <c r="E22" i="83" s="1"/>
  <c r="AO14" i="83"/>
  <c r="BA14" i="83"/>
  <c r="AD14" i="83"/>
  <c r="AP14" i="83"/>
  <c r="BB14" i="83"/>
  <c r="E17" i="83"/>
  <c r="AZ14" i="83"/>
  <c r="AE14" i="83"/>
  <c r="AQ14" i="83"/>
  <c r="BC14" i="83"/>
  <c r="S3" i="76" l="1"/>
  <c r="M21" i="90"/>
  <c r="B8" i="90" s="1"/>
  <c r="M16" i="83"/>
  <c r="M21" i="83" s="1"/>
  <c r="B8" i="83" s="1"/>
  <c r="AV16" i="83"/>
  <c r="M16" i="87"/>
  <c r="AF16" i="89"/>
  <c r="BA16" i="89"/>
  <c r="M16" i="89"/>
  <c r="M21" i="89"/>
  <c r="B8" i="89" s="1"/>
  <c r="AZ16" i="89"/>
  <c r="AM16" i="87"/>
  <c r="AY16" i="87"/>
  <c r="BB16" i="89"/>
  <c r="BB16" i="83"/>
  <c r="AZ16" i="87"/>
  <c r="AD16" i="89"/>
  <c r="AL16" i="83"/>
  <c r="AU16" i="89"/>
  <c r="AV16" i="89"/>
  <c r="AI16" i="89"/>
  <c r="AJ16" i="89"/>
  <c r="BC16" i="89"/>
  <c r="AN16" i="89"/>
  <c r="AW16" i="89"/>
  <c r="AK16" i="89"/>
  <c r="AP16" i="89"/>
  <c r="AN16" i="88"/>
  <c r="AO16" i="88"/>
  <c r="AF16" i="88"/>
  <c r="AK16" i="88"/>
  <c r="AI16" i="88"/>
  <c r="BF16" i="87"/>
  <c r="AJ16" i="87"/>
  <c r="AV16" i="87"/>
  <c r="AN16" i="83"/>
  <c r="AK16" i="87"/>
  <c r="AE16" i="83"/>
  <c r="AN16" i="87"/>
  <c r="AO16" i="87"/>
  <c r="BA16" i="87"/>
  <c r="AW16" i="88"/>
  <c r="AU16" i="88"/>
  <c r="AD16" i="87"/>
  <c r="AP16" i="87"/>
  <c r="BB16" i="87"/>
  <c r="AS16" i="83"/>
  <c r="AO16" i="83"/>
  <c r="AW16" i="83"/>
  <c r="AG16" i="83"/>
  <c r="AE16" i="87"/>
  <c r="AQ16" i="87"/>
  <c r="BC16" i="87"/>
  <c r="AM16" i="88"/>
  <c r="AR16" i="88"/>
  <c r="AT16" i="88"/>
  <c r="AH16" i="88"/>
  <c r="BF16" i="88"/>
  <c r="M18" i="88"/>
  <c r="I19" i="88"/>
  <c r="AD16" i="88"/>
  <c r="BE16" i="88"/>
  <c r="BC16" i="88"/>
  <c r="AS16" i="88"/>
  <c r="M16" i="88"/>
  <c r="AQ16" i="88"/>
  <c r="AG16" i="88"/>
  <c r="AP16" i="88"/>
  <c r="AE16" i="88"/>
  <c r="AZ16" i="88"/>
  <c r="AJ16" i="88"/>
  <c r="BA16" i="88"/>
  <c r="BA16" i="83"/>
  <c r="AU16" i="83"/>
  <c r="AI16" i="83"/>
  <c r="AQ16" i="83"/>
  <c r="AY16" i="83"/>
  <c r="AM16" i="83"/>
  <c r="AT16" i="83"/>
  <c r="AZ16" i="83"/>
  <c r="AH16" i="83"/>
  <c r="AF16" i="83"/>
  <c r="BF16" i="83"/>
  <c r="AP16" i="83"/>
  <c r="AD16" i="83"/>
  <c r="BE16" i="83"/>
  <c r="BC16" i="83"/>
  <c r="AR16" i="83"/>
  <c r="H17" i="89" l="1"/>
  <c r="H17" i="87"/>
  <c r="M21" i="88"/>
  <c r="B8" i="88" s="1"/>
  <c r="H17" i="88"/>
  <c r="H17" i="83"/>
  <c r="F55" i="81" l="1"/>
  <c r="F56" i="81"/>
  <c r="F57" i="81"/>
  <c r="F58" i="81"/>
  <c r="F59" i="81"/>
  <c r="F60" i="81"/>
  <c r="F61" i="81"/>
  <c r="F62" i="81"/>
  <c r="F63" i="81"/>
  <c r="F64" i="81"/>
  <c r="F65" i="81"/>
  <c r="F66" i="81"/>
  <c r="F67" i="81"/>
  <c r="AD40" i="81"/>
  <c r="AE40" i="81" s="1"/>
  <c r="AF40" i="81" s="1"/>
  <c r="AF39" i="81"/>
  <c r="AD39" i="81"/>
  <c r="AF38" i="81"/>
  <c r="AD38" i="81"/>
  <c r="AF37" i="81"/>
  <c r="AD37" i="81"/>
  <c r="AF36" i="81"/>
  <c r="AD36" i="81"/>
  <c r="AF35" i="81"/>
  <c r="AD35" i="81"/>
  <c r="AD34" i="81"/>
  <c r="AD33" i="81"/>
  <c r="AE32" i="81"/>
  <c r="AF32" i="81" s="1"/>
  <c r="AD32" i="81"/>
  <c r="AE31" i="81" a="1"/>
  <c r="AE31" i="81" s="1"/>
  <c r="AF31" i="81" s="1"/>
  <c r="AD31" i="81"/>
  <c r="AE30" i="81"/>
  <c r="AD30" i="81"/>
  <c r="F105" i="81"/>
  <c r="F104" i="81"/>
  <c r="F103" i="81"/>
  <c r="F102" i="81"/>
  <c r="F101" i="81"/>
  <c r="F100" i="81"/>
  <c r="F99" i="81"/>
  <c r="F98" i="81"/>
  <c r="F97" i="81"/>
  <c r="F96" i="81"/>
  <c r="F95" i="81"/>
  <c r="F94" i="81"/>
  <c r="F93" i="81"/>
  <c r="F92" i="81"/>
  <c r="H87" i="81"/>
  <c r="I87" i="81" s="1"/>
  <c r="F87" i="81"/>
  <c r="H86" i="81"/>
  <c r="I86" i="81" s="1"/>
  <c r="F86" i="81"/>
  <c r="H85" i="81"/>
  <c r="I85" i="81" s="1"/>
  <c r="F85" i="81"/>
  <c r="H84" i="81"/>
  <c r="I84" i="81" s="1"/>
  <c r="F84" i="81"/>
  <c r="H83" i="81"/>
  <c r="I83" i="81" s="1"/>
  <c r="F83" i="81"/>
  <c r="H82" i="81"/>
  <c r="I82" i="81" s="1"/>
  <c r="F82" i="81"/>
  <c r="H81" i="81"/>
  <c r="F81" i="81"/>
  <c r="H80" i="81"/>
  <c r="F80" i="81"/>
  <c r="H79" i="81"/>
  <c r="F79" i="81"/>
  <c r="H78" i="81"/>
  <c r="F78" i="81"/>
  <c r="H77" i="81"/>
  <c r="F77" i="81"/>
  <c r="H76" i="81"/>
  <c r="I76" i="81" s="1"/>
  <c r="F76" i="81"/>
  <c r="H75" i="81"/>
  <c r="I75" i="81" s="1"/>
  <c r="F75" i="81"/>
  <c r="H74" i="81"/>
  <c r="I74" i="81" s="1"/>
  <c r="F74" i="81"/>
  <c r="H73" i="81"/>
  <c r="F73" i="81"/>
  <c r="H72" i="81"/>
  <c r="F72" i="81"/>
  <c r="H71" i="81"/>
  <c r="F71" i="81"/>
  <c r="E24" i="81"/>
  <c r="A20" i="81"/>
  <c r="F20" i="81" s="1"/>
  <c r="A19" i="81"/>
  <c r="F19" i="81" s="1"/>
  <c r="A18" i="81"/>
  <c r="A21" i="81" s="1"/>
  <c r="A17" i="81"/>
  <c r="I16" i="81"/>
  <c r="A16" i="81"/>
  <c r="M15" i="81" a="1"/>
  <c r="M15" i="81" s="1"/>
  <c r="E15" i="81"/>
  <c r="D15" i="81"/>
  <c r="C15" i="81"/>
  <c r="B15" i="81"/>
  <c r="B11" i="81"/>
  <c r="B10" i="81"/>
  <c r="AE34" i="81" s="1"/>
  <c r="AF34" i="81" s="1"/>
  <c r="AF38" i="68"/>
  <c r="F55" i="79"/>
  <c r="F56" i="79"/>
  <c r="F21" i="79" a="1"/>
  <c r="F21" i="79" s="1"/>
  <c r="AD40" i="79"/>
  <c r="AE40" i="79" s="1"/>
  <c r="AF40" i="79" s="1"/>
  <c r="AF39" i="79"/>
  <c r="AD39" i="79"/>
  <c r="AF38" i="79"/>
  <c r="AD38" i="79"/>
  <c r="AF37" i="79"/>
  <c r="AD37" i="79"/>
  <c r="AF36" i="79"/>
  <c r="AD36" i="79"/>
  <c r="AF35" i="79"/>
  <c r="AD35" i="79"/>
  <c r="AD34" i="79"/>
  <c r="AD33" i="79"/>
  <c r="AE32" i="79"/>
  <c r="AF32" i="79" s="1"/>
  <c r="AD32" i="79"/>
  <c r="AE31" i="79" a="1"/>
  <c r="AE31" i="79" s="1"/>
  <c r="AF31" i="79" s="1"/>
  <c r="AD31" i="79"/>
  <c r="AE30" i="79"/>
  <c r="AD30" i="79"/>
  <c r="F105" i="79"/>
  <c r="F104" i="79"/>
  <c r="F103" i="79"/>
  <c r="F102" i="79"/>
  <c r="F101" i="79"/>
  <c r="F100" i="79"/>
  <c r="F99" i="79"/>
  <c r="F98" i="79"/>
  <c r="F97" i="79"/>
  <c r="F96" i="79"/>
  <c r="F95" i="79"/>
  <c r="F94" i="79"/>
  <c r="F93" i="79"/>
  <c r="F92" i="79"/>
  <c r="H87" i="79"/>
  <c r="I87" i="79" s="1"/>
  <c r="F87" i="79"/>
  <c r="H86" i="79"/>
  <c r="I86" i="79" s="1"/>
  <c r="F86" i="79"/>
  <c r="H85" i="79"/>
  <c r="I85" i="79" s="1"/>
  <c r="F85" i="79"/>
  <c r="H84" i="79"/>
  <c r="I84" i="79" s="1"/>
  <c r="F84" i="79"/>
  <c r="H83" i="79"/>
  <c r="I83" i="79" s="1"/>
  <c r="F83" i="79"/>
  <c r="H82" i="79"/>
  <c r="I82" i="79" s="1"/>
  <c r="F82" i="79"/>
  <c r="H81" i="79"/>
  <c r="I81" i="79" s="1"/>
  <c r="F81" i="79"/>
  <c r="H80" i="79"/>
  <c r="I80" i="79" s="1"/>
  <c r="F80" i="79"/>
  <c r="H79" i="79"/>
  <c r="I79" i="79" s="1"/>
  <c r="F79" i="79"/>
  <c r="H78" i="79"/>
  <c r="I78" i="79" s="1"/>
  <c r="F78" i="79"/>
  <c r="H77" i="79"/>
  <c r="I77" i="79" s="1"/>
  <c r="F77" i="79"/>
  <c r="H76" i="79"/>
  <c r="I76" i="79" s="1"/>
  <c r="F76" i="79"/>
  <c r="H75" i="79"/>
  <c r="I75" i="79" s="1"/>
  <c r="F75" i="79"/>
  <c r="H74" i="79"/>
  <c r="I74" i="79" s="1"/>
  <c r="F74" i="79"/>
  <c r="H73" i="79"/>
  <c r="I73" i="79" s="1"/>
  <c r="F73" i="79"/>
  <c r="H72" i="79"/>
  <c r="F72" i="79"/>
  <c r="H71" i="79"/>
  <c r="F71" i="79"/>
  <c r="E24" i="79"/>
  <c r="F23" i="79" a="1"/>
  <c r="F23" i="79" s="1"/>
  <c r="A20" i="79"/>
  <c r="A19" i="79"/>
  <c r="F19" i="79" s="1"/>
  <c r="A18" i="79"/>
  <c r="A17" i="79"/>
  <c r="F17" i="79" s="1"/>
  <c r="J16" i="79"/>
  <c r="A16" i="79"/>
  <c r="F16" i="79" s="1"/>
  <c r="M15" i="79" a="1"/>
  <c r="M15" i="79" s="1"/>
  <c r="E15" i="79"/>
  <c r="D15" i="79"/>
  <c r="C15" i="79"/>
  <c r="B15" i="79"/>
  <c r="B11" i="79"/>
  <c r="B10" i="79"/>
  <c r="AE34" i="79" s="1"/>
  <c r="AF34" i="79" s="1"/>
  <c r="AD40" i="77"/>
  <c r="AE40" i="77" s="1"/>
  <c r="AF40" i="77" s="1"/>
  <c r="AF39" i="77"/>
  <c r="AD39" i="77"/>
  <c r="AF38" i="77"/>
  <c r="AD38" i="77"/>
  <c r="AF37" i="77"/>
  <c r="AD37" i="77"/>
  <c r="AF36" i="77"/>
  <c r="AD36" i="77"/>
  <c r="AF35" i="77"/>
  <c r="AD35" i="77"/>
  <c r="AD34" i="77"/>
  <c r="AF33" i="77"/>
  <c r="AD33" i="77"/>
  <c r="AF32" i="77"/>
  <c r="AD32" i="77"/>
  <c r="AF31" i="77"/>
  <c r="AD31" i="77"/>
  <c r="AE30" i="77"/>
  <c r="AD30" i="77"/>
  <c r="F105" i="77"/>
  <c r="F104" i="77"/>
  <c r="F103" i="77"/>
  <c r="F102" i="77"/>
  <c r="F101" i="77"/>
  <c r="F100" i="77"/>
  <c r="F99" i="77"/>
  <c r="F98" i="77"/>
  <c r="F97" i="77"/>
  <c r="F96" i="77"/>
  <c r="F95" i="77"/>
  <c r="F94" i="77"/>
  <c r="F93" i="77"/>
  <c r="F92" i="77"/>
  <c r="H87" i="77"/>
  <c r="I87" i="77" s="1"/>
  <c r="F87" i="77"/>
  <c r="H86" i="77"/>
  <c r="I86" i="77" s="1"/>
  <c r="F86" i="77"/>
  <c r="H85" i="77"/>
  <c r="I85" i="77" s="1"/>
  <c r="F85" i="77"/>
  <c r="H84" i="77"/>
  <c r="I84" i="77" s="1"/>
  <c r="F84" i="77"/>
  <c r="H83" i="77"/>
  <c r="I83" i="77" s="1"/>
  <c r="F83" i="77"/>
  <c r="H82" i="77"/>
  <c r="I82" i="77" s="1"/>
  <c r="F82" i="77"/>
  <c r="H81" i="77"/>
  <c r="I81" i="77" s="1"/>
  <c r="F81" i="77"/>
  <c r="H80" i="77"/>
  <c r="I80" i="77" s="1"/>
  <c r="F80" i="77"/>
  <c r="H79" i="77"/>
  <c r="I79" i="77" s="1"/>
  <c r="F79" i="77"/>
  <c r="H78" i="77"/>
  <c r="I78" i="77" s="1"/>
  <c r="F78" i="77"/>
  <c r="H77" i="77"/>
  <c r="I77" i="77" s="1"/>
  <c r="F77" i="77"/>
  <c r="I76" i="77"/>
  <c r="F76" i="77"/>
  <c r="I75" i="77"/>
  <c r="F75" i="77"/>
  <c r="I74" i="77"/>
  <c r="F74" i="77"/>
  <c r="I73" i="77"/>
  <c r="F73" i="77"/>
  <c r="I72" i="77"/>
  <c r="F72" i="77"/>
  <c r="I71" i="77"/>
  <c r="F71" i="77"/>
  <c r="E24" i="77"/>
  <c r="F23" i="77" a="1"/>
  <c r="F23" i="77" s="1"/>
  <c r="F22" i="77" a="1"/>
  <c r="F22" i="77" s="1"/>
  <c r="F21" i="77" a="1"/>
  <c r="F21" i="77" s="1"/>
  <c r="A20" i="77"/>
  <c r="A19" i="77"/>
  <c r="F19" i="77" s="1"/>
  <c r="A18" i="77"/>
  <c r="A17" i="77"/>
  <c r="F17" i="77" s="1"/>
  <c r="J16" i="77"/>
  <c r="A16" i="77"/>
  <c r="F16" i="77" s="1"/>
  <c r="M15" i="77" a="1"/>
  <c r="M15" i="77" s="1"/>
  <c r="E15" i="77"/>
  <c r="D15" i="77"/>
  <c r="C15" i="77"/>
  <c r="B15" i="77"/>
  <c r="B11" i="77"/>
  <c r="B10" i="77"/>
  <c r="AE34" i="77" s="1"/>
  <c r="AF34" i="77" s="1"/>
  <c r="F117" i="64"/>
  <c r="H117" i="64"/>
  <c r="I117" i="64" s="1"/>
  <c r="F114" i="64"/>
  <c r="F115" i="64"/>
  <c r="H114" i="64"/>
  <c r="H115" i="64"/>
  <c r="I115" i="64" s="1"/>
  <c r="I114" i="64"/>
  <c r="F116" i="64"/>
  <c r="H116" i="64"/>
  <c r="I116" i="64" s="1"/>
  <c r="F113" i="64"/>
  <c r="H113" i="64"/>
  <c r="I113" i="64" s="1"/>
  <c r="F118" i="64"/>
  <c r="H118" i="64"/>
  <c r="I118" i="64" s="1"/>
  <c r="AD41" i="45"/>
  <c r="AF40" i="45"/>
  <c r="AF39" i="45"/>
  <c r="AF38" i="45"/>
  <c r="AF37" i="45"/>
  <c r="AF36" i="45"/>
  <c r="AF35" i="45"/>
  <c r="AD41" i="46"/>
  <c r="AF40" i="46"/>
  <c r="AF39" i="46"/>
  <c r="AF38" i="46"/>
  <c r="AF37" i="46"/>
  <c r="AF36" i="46"/>
  <c r="AF35" i="46"/>
  <c r="F59" i="46"/>
  <c r="F60" i="46"/>
  <c r="F61" i="46"/>
  <c r="F62" i="46"/>
  <c r="F63" i="46"/>
  <c r="F64" i="46"/>
  <c r="F65" i="46"/>
  <c r="F66" i="46"/>
  <c r="F67" i="46"/>
  <c r="F68" i="46"/>
  <c r="F69" i="46"/>
  <c r="F70" i="46"/>
  <c r="F71" i="46"/>
  <c r="F55" i="59"/>
  <c r="F56" i="59"/>
  <c r="F57" i="59"/>
  <c r="F58" i="59"/>
  <c r="F59" i="59"/>
  <c r="F60" i="59"/>
  <c r="F61" i="59"/>
  <c r="F62" i="59"/>
  <c r="F63" i="59"/>
  <c r="F64" i="59"/>
  <c r="F65" i="59"/>
  <c r="F66" i="59"/>
  <c r="F67" i="59"/>
  <c r="F55" i="75"/>
  <c r="F56" i="75"/>
  <c r="AE33" i="75"/>
  <c r="AF33" i="75" s="1"/>
  <c r="F92" i="75"/>
  <c r="F93" i="75"/>
  <c r="F94" i="75"/>
  <c r="F95" i="75"/>
  <c r="F96" i="75"/>
  <c r="F97" i="75"/>
  <c r="F98" i="75"/>
  <c r="F99" i="75"/>
  <c r="F100" i="75"/>
  <c r="F101" i="75"/>
  <c r="F102" i="75"/>
  <c r="F103" i="75"/>
  <c r="F104" i="75"/>
  <c r="F105" i="75"/>
  <c r="AD40" i="75"/>
  <c r="AE40" i="75" s="1"/>
  <c r="AF40" i="75" s="1"/>
  <c r="AF39" i="75"/>
  <c r="AD39" i="75"/>
  <c r="AF38" i="75"/>
  <c r="AD38" i="75"/>
  <c r="AF37" i="75"/>
  <c r="AD37" i="75"/>
  <c r="AF36" i="75"/>
  <c r="AD36" i="75"/>
  <c r="AF35" i="75"/>
  <c r="AD35" i="75"/>
  <c r="AD34" i="75"/>
  <c r="AD33" i="75"/>
  <c r="AE32" i="75"/>
  <c r="AF32" i="75" s="1"/>
  <c r="AD32" i="75"/>
  <c r="AE31" i="75" a="1"/>
  <c r="AE31" i="75" s="1"/>
  <c r="AF31" i="75" s="1"/>
  <c r="AD31" i="75"/>
  <c r="AE30" i="75"/>
  <c r="AD30" i="75"/>
  <c r="H87" i="75"/>
  <c r="I87" i="75" s="1"/>
  <c r="F87" i="75"/>
  <c r="H86" i="75"/>
  <c r="I86" i="75" s="1"/>
  <c r="F86" i="75"/>
  <c r="H85" i="75"/>
  <c r="I85" i="75" s="1"/>
  <c r="F85" i="75"/>
  <c r="H84" i="75"/>
  <c r="I84" i="75" s="1"/>
  <c r="F84" i="75"/>
  <c r="H83" i="75"/>
  <c r="I83" i="75" s="1"/>
  <c r="F83" i="75"/>
  <c r="H82" i="75"/>
  <c r="I82" i="75" s="1"/>
  <c r="F82" i="75"/>
  <c r="H81" i="75"/>
  <c r="I81" i="75" s="1"/>
  <c r="F81" i="75"/>
  <c r="H80" i="75"/>
  <c r="I80" i="75" s="1"/>
  <c r="F80" i="75"/>
  <c r="H79" i="75"/>
  <c r="I79" i="75" s="1"/>
  <c r="F79" i="75"/>
  <c r="H78" i="75"/>
  <c r="I78" i="75" s="1"/>
  <c r="F78" i="75"/>
  <c r="F77" i="75"/>
  <c r="F76" i="75"/>
  <c r="H75" i="75"/>
  <c r="I75" i="75" s="1"/>
  <c r="F75" i="75"/>
  <c r="H74" i="75"/>
  <c r="I74" i="75" s="1"/>
  <c r="F74" i="75"/>
  <c r="H73" i="75"/>
  <c r="I73" i="75" s="1"/>
  <c r="F73" i="75"/>
  <c r="H72" i="75"/>
  <c r="I72" i="75" s="1"/>
  <c r="F72" i="75"/>
  <c r="H71" i="75"/>
  <c r="F71" i="75"/>
  <c r="E24" i="75"/>
  <c r="F21" i="75" a="1"/>
  <c r="F21" i="75" s="1"/>
  <c r="F20" i="75"/>
  <c r="A20" i="75"/>
  <c r="A22" i="75" s="1"/>
  <c r="C19" i="75"/>
  <c r="A19" i="75"/>
  <c r="F19" i="75" s="1"/>
  <c r="A18" i="75"/>
  <c r="A21" i="75" s="1"/>
  <c r="F17" i="75"/>
  <c r="A17" i="75"/>
  <c r="A16" i="75"/>
  <c r="F16" i="75" s="1"/>
  <c r="M15" i="75" a="1"/>
  <c r="M15" i="75" s="1"/>
  <c r="E15" i="75"/>
  <c r="E20" i="75" s="1"/>
  <c r="D15" i="75"/>
  <c r="C15" i="75"/>
  <c r="B15" i="75"/>
  <c r="AX15" i="75"/>
  <c r="B11" i="75"/>
  <c r="B10" i="75"/>
  <c r="AE34" i="75" s="1"/>
  <c r="AF34" i="75" s="1"/>
  <c r="BG15" i="50"/>
  <c r="H146" i="50"/>
  <c r="I146" i="50" s="1"/>
  <c r="H147" i="50"/>
  <c r="I147" i="50" s="1"/>
  <c r="H148" i="50"/>
  <c r="I148" i="50" s="1"/>
  <c r="H149" i="50"/>
  <c r="I149" i="50" s="1"/>
  <c r="H150" i="50"/>
  <c r="I150" i="50" s="1"/>
  <c r="H151" i="50"/>
  <c r="I151" i="50" s="1"/>
  <c r="H152" i="50"/>
  <c r="I152" i="50" s="1"/>
  <c r="H153" i="50"/>
  <c r="I153" i="50" s="1"/>
  <c r="H154" i="50"/>
  <c r="I154" i="50" s="1"/>
  <c r="H155" i="50"/>
  <c r="I155" i="50" s="1"/>
  <c r="H156" i="50"/>
  <c r="I156" i="50" s="1"/>
  <c r="H157" i="50"/>
  <c r="I157" i="50" s="1"/>
  <c r="H158" i="50"/>
  <c r="I158" i="50" s="1"/>
  <c r="H159" i="50"/>
  <c r="I159" i="50" s="1"/>
  <c r="H160" i="50"/>
  <c r="I160" i="50" s="1"/>
  <c r="H161" i="50"/>
  <c r="I161" i="50" s="1"/>
  <c r="H162" i="50"/>
  <c r="I162" i="50" s="1"/>
  <c r="H163" i="50"/>
  <c r="I163" i="50" s="1"/>
  <c r="H164" i="50"/>
  <c r="I164" i="50" s="1"/>
  <c r="H165" i="50"/>
  <c r="I165" i="50" s="1"/>
  <c r="H166" i="50"/>
  <c r="I166" i="50" s="1"/>
  <c r="H167" i="50"/>
  <c r="I167" i="50" s="1"/>
  <c r="H168" i="50"/>
  <c r="I168" i="50" s="1"/>
  <c r="H169" i="50"/>
  <c r="I169" i="50" s="1"/>
  <c r="F71" i="73"/>
  <c r="H71" i="73"/>
  <c r="F72" i="73"/>
  <c r="H72" i="73"/>
  <c r="F73" i="73"/>
  <c r="H73" i="73"/>
  <c r="F74" i="73"/>
  <c r="H74" i="73"/>
  <c r="F55" i="73"/>
  <c r="F56" i="73"/>
  <c r="F57" i="73"/>
  <c r="F59" i="73"/>
  <c r="AD40" i="73"/>
  <c r="AE40" i="73" s="1"/>
  <c r="AF40" i="73" s="1"/>
  <c r="AF39" i="73"/>
  <c r="AD39" i="73"/>
  <c r="AF38" i="73"/>
  <c r="AD38" i="73"/>
  <c r="AF37" i="73"/>
  <c r="AD37" i="73"/>
  <c r="AF36" i="73"/>
  <c r="AD36" i="73"/>
  <c r="AF35" i="73"/>
  <c r="AD35" i="73"/>
  <c r="AD34" i="73"/>
  <c r="AD33" i="73"/>
  <c r="AE32" i="73"/>
  <c r="AF32" i="73" s="1"/>
  <c r="AD32" i="73"/>
  <c r="AE31" i="73" a="1"/>
  <c r="AE31" i="73" s="1"/>
  <c r="AF31" i="73" s="1"/>
  <c r="AD31" i="73"/>
  <c r="AE30" i="73"/>
  <c r="AD30" i="73"/>
  <c r="F105" i="73"/>
  <c r="F104" i="73"/>
  <c r="F103" i="73"/>
  <c r="F102" i="73"/>
  <c r="F101" i="73"/>
  <c r="F100" i="73"/>
  <c r="F99" i="73"/>
  <c r="F98" i="73"/>
  <c r="F97" i="73"/>
  <c r="F96" i="73"/>
  <c r="F95" i="73"/>
  <c r="F94" i="73"/>
  <c r="F93" i="73"/>
  <c r="F92" i="73"/>
  <c r="H87" i="73"/>
  <c r="I87" i="73" s="1"/>
  <c r="F87" i="73"/>
  <c r="H86" i="73"/>
  <c r="I86" i="73" s="1"/>
  <c r="F86" i="73"/>
  <c r="H85" i="73"/>
  <c r="I85" i="73" s="1"/>
  <c r="F85" i="73"/>
  <c r="H84" i="73"/>
  <c r="I84" i="73" s="1"/>
  <c r="F84" i="73"/>
  <c r="H83" i="73"/>
  <c r="I83" i="73" s="1"/>
  <c r="F83" i="73"/>
  <c r="H82" i="73"/>
  <c r="I82" i="73" s="1"/>
  <c r="F82" i="73"/>
  <c r="H81" i="73"/>
  <c r="I81" i="73" s="1"/>
  <c r="F81" i="73"/>
  <c r="H80" i="73"/>
  <c r="I80" i="73" s="1"/>
  <c r="F80" i="73"/>
  <c r="H79" i="73"/>
  <c r="I79" i="73" s="1"/>
  <c r="F79" i="73"/>
  <c r="H78" i="73"/>
  <c r="I78" i="73" s="1"/>
  <c r="F78" i="73"/>
  <c r="H77" i="73"/>
  <c r="I77" i="73" s="1"/>
  <c r="F77" i="73"/>
  <c r="H76" i="73"/>
  <c r="I76" i="73" s="1"/>
  <c r="F76" i="73"/>
  <c r="H75" i="73"/>
  <c r="F75" i="73"/>
  <c r="I73" i="73"/>
  <c r="E24" i="73"/>
  <c r="F23" i="73" a="1"/>
  <c r="F23" i="73" s="1"/>
  <c r="A20" i="73"/>
  <c r="A22" i="73" s="1"/>
  <c r="A19" i="73"/>
  <c r="F19" i="73" s="1"/>
  <c r="A18" i="73"/>
  <c r="A21" i="73" s="1"/>
  <c r="A17" i="73"/>
  <c r="F17" i="73" s="1"/>
  <c r="I16" i="73"/>
  <c r="A16" i="73"/>
  <c r="F16" i="73" s="1"/>
  <c r="E15" i="73"/>
  <c r="D15" i="73"/>
  <c r="C15" i="73"/>
  <c r="C20" i="73" s="1"/>
  <c r="B15" i="73"/>
  <c r="B19" i="73" s="1"/>
  <c r="AX15" i="73"/>
  <c r="B11" i="73"/>
  <c r="B10" i="73"/>
  <c r="AE34" i="73" s="1"/>
  <c r="AF34" i="73" s="1"/>
  <c r="M15" i="58" a="1"/>
  <c r="M15" i="58" s="1"/>
  <c r="I56" i="72"/>
  <c r="AD40" i="72"/>
  <c r="AF40" i="72" s="1"/>
  <c r="AF39" i="72"/>
  <c r="AD39" i="72"/>
  <c r="AF38" i="72"/>
  <c r="AD38" i="72"/>
  <c r="AF37" i="72"/>
  <c r="AD37" i="72"/>
  <c r="AF36" i="72"/>
  <c r="AD36" i="72"/>
  <c r="AF35" i="72"/>
  <c r="AD35" i="72"/>
  <c r="AD34" i="72"/>
  <c r="AE33" i="72"/>
  <c r="AF33" i="72" s="1"/>
  <c r="AD33" i="72"/>
  <c r="AE32" i="72"/>
  <c r="AF32" i="72" s="1"/>
  <c r="AD32" i="72"/>
  <c r="AE31" i="72" a="1"/>
  <c r="AE31" i="72" s="1"/>
  <c r="AF31" i="72" s="1"/>
  <c r="AD31" i="72"/>
  <c r="AE30" i="72"/>
  <c r="AD30" i="72"/>
  <c r="F119" i="72"/>
  <c r="F118" i="72"/>
  <c r="F117" i="72"/>
  <c r="F116" i="72"/>
  <c r="F115" i="72"/>
  <c r="F114" i="72"/>
  <c r="F113" i="72"/>
  <c r="F112" i="72"/>
  <c r="F111" i="72"/>
  <c r="F110" i="72"/>
  <c r="F109" i="72"/>
  <c r="F108" i="72"/>
  <c r="F107" i="72"/>
  <c r="F106" i="72"/>
  <c r="H87" i="72"/>
  <c r="I87" i="72" s="1"/>
  <c r="F87" i="72"/>
  <c r="H86" i="72"/>
  <c r="I86" i="72" s="1"/>
  <c r="F86" i="72"/>
  <c r="H85" i="72"/>
  <c r="I85" i="72" s="1"/>
  <c r="F85" i="72"/>
  <c r="H84" i="72"/>
  <c r="I84" i="72" s="1"/>
  <c r="F84" i="72"/>
  <c r="H83" i="72"/>
  <c r="I83" i="72" s="1"/>
  <c r="F83" i="72"/>
  <c r="H82" i="72"/>
  <c r="I82" i="72" s="1"/>
  <c r="F82" i="72"/>
  <c r="H81" i="72"/>
  <c r="I81" i="72" s="1"/>
  <c r="F81" i="72"/>
  <c r="H80" i="72"/>
  <c r="I80" i="72" s="1"/>
  <c r="F80" i="72"/>
  <c r="H79" i="72"/>
  <c r="I79" i="72" s="1"/>
  <c r="F79" i="72"/>
  <c r="H78" i="72"/>
  <c r="I78" i="72" s="1"/>
  <c r="F78" i="72"/>
  <c r="H77" i="72"/>
  <c r="I77" i="72" s="1"/>
  <c r="F77" i="72"/>
  <c r="H76" i="72"/>
  <c r="I76" i="72" s="1"/>
  <c r="F76" i="72"/>
  <c r="F75" i="72"/>
  <c r="I75" i="72" s="1"/>
  <c r="H74" i="72"/>
  <c r="I17" i="72" s="1" a="1"/>
  <c r="I17" i="72" s="1"/>
  <c r="F74" i="72"/>
  <c r="F73" i="72"/>
  <c r="I73" i="72" s="1"/>
  <c r="F72" i="72"/>
  <c r="I72" i="72" s="1"/>
  <c r="F71" i="72"/>
  <c r="I71" i="72" s="1"/>
  <c r="E24" i="72"/>
  <c r="F23" i="72" a="1"/>
  <c r="F23" i="72" s="1"/>
  <c r="F22" i="72" a="1"/>
  <c r="F22" i="72" s="1"/>
  <c r="F21" i="72" a="1"/>
  <c r="F21" i="72" s="1"/>
  <c r="A20" i="72"/>
  <c r="A19" i="72"/>
  <c r="F19" i="72" s="1"/>
  <c r="A18" i="72"/>
  <c r="A17" i="72"/>
  <c r="F17" i="72" s="1"/>
  <c r="A16" i="72"/>
  <c r="F16" i="72" s="1"/>
  <c r="M15" i="72" a="1"/>
  <c r="M15" i="72" s="1"/>
  <c r="E15" i="72"/>
  <c r="D15" i="72"/>
  <c r="C15" i="72"/>
  <c r="B15" i="72"/>
  <c r="B11" i="72"/>
  <c r="B10" i="72"/>
  <c r="AE34" i="72" s="1"/>
  <c r="AF34" i="72" s="1"/>
  <c r="AE30" i="71"/>
  <c r="F56" i="71"/>
  <c r="F57" i="71"/>
  <c r="F58" i="71"/>
  <c r="F59" i="71"/>
  <c r="F60" i="71"/>
  <c r="F61" i="71"/>
  <c r="F62" i="71"/>
  <c r="F63" i="71"/>
  <c r="F64" i="71"/>
  <c r="F65" i="71"/>
  <c r="F23" i="71" s="1" a="1"/>
  <c r="F23" i="71" s="1"/>
  <c r="F66" i="71"/>
  <c r="F67" i="71"/>
  <c r="F68" i="71"/>
  <c r="F55" i="61"/>
  <c r="F56" i="61"/>
  <c r="F57" i="61"/>
  <c r="F58" i="61"/>
  <c r="F59" i="61"/>
  <c r="F60" i="61"/>
  <c r="F61" i="61"/>
  <c r="F62" i="61"/>
  <c r="F63" i="61"/>
  <c r="F64" i="61"/>
  <c r="F65" i="61"/>
  <c r="F66" i="61"/>
  <c r="F67" i="61"/>
  <c r="F93" i="71"/>
  <c r="F94" i="71"/>
  <c r="F95" i="71"/>
  <c r="F96" i="71"/>
  <c r="F97" i="71"/>
  <c r="F98" i="71"/>
  <c r="F99" i="71"/>
  <c r="F100" i="71"/>
  <c r="F101" i="71"/>
  <c r="F102" i="71"/>
  <c r="F103" i="71"/>
  <c r="F104" i="71"/>
  <c r="F105" i="71"/>
  <c r="F106" i="71"/>
  <c r="AD40" i="71"/>
  <c r="AE40" i="71" s="1"/>
  <c r="AF40" i="71" s="1"/>
  <c r="AF39" i="71"/>
  <c r="AD39" i="71"/>
  <c r="AF38" i="71"/>
  <c r="AD38" i="71"/>
  <c r="AF37" i="71"/>
  <c r="AD37" i="71"/>
  <c r="AF36" i="71"/>
  <c r="AD36" i="71"/>
  <c r="AF35" i="71"/>
  <c r="AD35" i="71"/>
  <c r="AD34" i="71"/>
  <c r="AD33" i="71"/>
  <c r="AE32" i="71"/>
  <c r="AF32" i="71" s="1"/>
  <c r="AD32" i="71"/>
  <c r="AE31" i="71" a="1"/>
  <c r="AE31" i="71" s="1"/>
  <c r="AF31" i="71" s="1"/>
  <c r="AD31" i="71"/>
  <c r="AD30" i="71"/>
  <c r="H88" i="71"/>
  <c r="I88" i="71" s="1"/>
  <c r="F88" i="71"/>
  <c r="H87" i="71"/>
  <c r="I87" i="71" s="1"/>
  <c r="F87" i="71"/>
  <c r="H86" i="71"/>
  <c r="I86" i="71" s="1"/>
  <c r="F86" i="71"/>
  <c r="H85" i="71"/>
  <c r="I85" i="71" s="1"/>
  <c r="F85" i="71"/>
  <c r="H84" i="71"/>
  <c r="I84" i="71" s="1"/>
  <c r="F84" i="71"/>
  <c r="H83" i="71"/>
  <c r="I83" i="71" s="1"/>
  <c r="F83" i="71"/>
  <c r="H82" i="71"/>
  <c r="F82" i="71"/>
  <c r="H81" i="71"/>
  <c r="F81" i="71"/>
  <c r="H80" i="71"/>
  <c r="F80" i="71"/>
  <c r="H79" i="71"/>
  <c r="F79" i="71"/>
  <c r="H78" i="71"/>
  <c r="F78" i="71"/>
  <c r="H77" i="71"/>
  <c r="F77" i="71"/>
  <c r="H76" i="71"/>
  <c r="F76" i="71"/>
  <c r="H75" i="71"/>
  <c r="F75" i="71"/>
  <c r="H74" i="71"/>
  <c r="F74" i="71"/>
  <c r="H73" i="71"/>
  <c r="F73" i="71"/>
  <c r="H72" i="71"/>
  <c r="F72" i="71"/>
  <c r="E24" i="71"/>
  <c r="A20" i="71"/>
  <c r="A22" i="71" s="1"/>
  <c r="A19" i="71"/>
  <c r="A18" i="71"/>
  <c r="F18" i="71" s="1"/>
  <c r="A17" i="71"/>
  <c r="I16" i="71"/>
  <c r="A16" i="71"/>
  <c r="F16" i="71" s="1"/>
  <c r="M15" i="71" a="1"/>
  <c r="M15" i="71" s="1"/>
  <c r="E15" i="71"/>
  <c r="D15" i="71"/>
  <c r="C15" i="71"/>
  <c r="B15" i="71"/>
  <c r="AX15" i="71"/>
  <c r="B11" i="71"/>
  <c r="B10" i="71"/>
  <c r="AE34" i="71" s="1"/>
  <c r="AF34" i="71" s="1"/>
  <c r="AD40" i="70"/>
  <c r="AE40" i="70" s="1"/>
  <c r="AF40" i="70" s="1"/>
  <c r="AF39" i="70"/>
  <c r="AD39" i="70"/>
  <c r="AF38" i="70"/>
  <c r="AD38" i="70"/>
  <c r="AF37" i="70"/>
  <c r="AD37" i="70"/>
  <c r="AF36" i="70"/>
  <c r="AD36" i="70"/>
  <c r="AF35" i="70"/>
  <c r="AD35" i="70"/>
  <c r="AD34" i="70"/>
  <c r="AE33" i="70"/>
  <c r="AF33" i="70" s="1"/>
  <c r="AD33" i="70"/>
  <c r="AF32" i="70"/>
  <c r="AD32" i="70"/>
  <c r="AE31" i="70" a="1"/>
  <c r="AE31" i="70" s="1"/>
  <c r="AF31" i="70" s="1"/>
  <c r="AD31" i="70"/>
  <c r="AE30" i="70"/>
  <c r="AD30" i="70"/>
  <c r="F105" i="70"/>
  <c r="F104" i="70"/>
  <c r="F103" i="70"/>
  <c r="F102" i="70"/>
  <c r="F101" i="70"/>
  <c r="F100" i="70"/>
  <c r="F99" i="70"/>
  <c r="F98" i="70"/>
  <c r="F97" i="70"/>
  <c r="F96" i="70"/>
  <c r="F95" i="70"/>
  <c r="F94" i="70"/>
  <c r="F93" i="70"/>
  <c r="F92" i="70"/>
  <c r="H87" i="70"/>
  <c r="I87" i="70" s="1"/>
  <c r="F87" i="70"/>
  <c r="H86" i="70"/>
  <c r="I86" i="70" s="1"/>
  <c r="F86" i="70"/>
  <c r="H85" i="70"/>
  <c r="I85" i="70" s="1"/>
  <c r="F85" i="70"/>
  <c r="H84" i="70"/>
  <c r="I84" i="70" s="1"/>
  <c r="F84" i="70"/>
  <c r="H83" i="70"/>
  <c r="I83" i="70" s="1"/>
  <c r="F83" i="70"/>
  <c r="H82" i="70"/>
  <c r="I82" i="70" s="1"/>
  <c r="F82" i="70"/>
  <c r="H81" i="70"/>
  <c r="I81" i="70" s="1"/>
  <c r="F81" i="70"/>
  <c r="H80" i="70"/>
  <c r="I80" i="70" s="1"/>
  <c r="F80" i="70"/>
  <c r="H79" i="70"/>
  <c r="I79" i="70" s="1"/>
  <c r="F79" i="70"/>
  <c r="H78" i="70"/>
  <c r="I78" i="70" s="1"/>
  <c r="F78" i="70"/>
  <c r="H77" i="70"/>
  <c r="I77" i="70" s="1"/>
  <c r="F77" i="70"/>
  <c r="H76" i="70"/>
  <c r="I76" i="70" s="1"/>
  <c r="F76" i="70"/>
  <c r="H75" i="70"/>
  <c r="I75" i="70" s="1"/>
  <c r="F75" i="70"/>
  <c r="H74" i="70"/>
  <c r="I74" i="70" s="1"/>
  <c r="F74" i="70"/>
  <c r="H73" i="70"/>
  <c r="I73" i="70" s="1"/>
  <c r="F73" i="70"/>
  <c r="H72" i="70"/>
  <c r="I72" i="70" s="1"/>
  <c r="F72" i="70"/>
  <c r="H71" i="70"/>
  <c r="I71" i="70" s="1"/>
  <c r="F71" i="70"/>
  <c r="E24" i="70"/>
  <c r="F23" i="70" a="1"/>
  <c r="F23" i="70" s="1"/>
  <c r="F22" i="70" a="1"/>
  <c r="F22" i="70" s="1"/>
  <c r="F21" i="70" a="1"/>
  <c r="F21" i="70" s="1"/>
  <c r="B21" i="70" a="1"/>
  <c r="B21" i="70" s="1"/>
  <c r="A20" i="70"/>
  <c r="A22" i="70" s="1"/>
  <c r="A19" i="70"/>
  <c r="F19" i="70" s="1"/>
  <c r="A18" i="70"/>
  <c r="A21" i="70" s="1"/>
  <c r="A17" i="70"/>
  <c r="D17" i="70" s="1"/>
  <c r="F16" i="70"/>
  <c r="A16" i="70"/>
  <c r="E15" i="70"/>
  <c r="D15" i="70"/>
  <c r="D22" i="70" s="1" a="1"/>
  <c r="D22" i="70" s="1"/>
  <c r="C15" i="70"/>
  <c r="C20" i="70" s="1"/>
  <c r="B15" i="70"/>
  <c r="AX15" i="70"/>
  <c r="B11" i="70"/>
  <c r="B10" i="70"/>
  <c r="AE34" i="70" s="1"/>
  <c r="AF34" i="70" s="1"/>
  <c r="D16" i="76" a="1"/>
  <c r="D8" i="76" a="1"/>
  <c r="D38" i="76" a="1"/>
  <c r="D18" i="76" a="1"/>
  <c r="D15" i="76" a="1"/>
  <c r="D55" i="76" a="1"/>
  <c r="C56" i="76" a="1"/>
  <c r="D36" i="76" a="1"/>
  <c r="D31" i="76" a="1"/>
  <c r="D17" i="76" a="1"/>
  <c r="D3" i="76" a="1"/>
  <c r="D4" i="76" a="1"/>
  <c r="D24" i="76" a="1"/>
  <c r="D13" i="76" a="1"/>
  <c r="D29" i="76" a="1"/>
  <c r="D22" i="76" a="1"/>
  <c r="D32" i="76" a="1"/>
  <c r="D10" i="76" a="1"/>
  <c r="D9" i="76" a="1"/>
  <c r="D12" i="76" a="1"/>
  <c r="D33" i="76" a="1"/>
  <c r="D34" i="76" a="1"/>
  <c r="D23" i="76" a="1"/>
  <c r="D19" i="76" a="1"/>
  <c r="D25" i="76" a="1"/>
  <c r="D30" i="76" a="1"/>
  <c r="D7" i="76" a="1"/>
  <c r="D21" i="76" a="1"/>
  <c r="D28" i="76" a="1"/>
  <c r="D14" i="76" a="1"/>
  <c r="D37" i="76" a="1"/>
  <c r="D20" i="76" a="1"/>
  <c r="D5" i="76" a="1"/>
  <c r="D11" i="76" a="1"/>
  <c r="D27" i="76" a="1"/>
  <c r="D56" i="76" a="1"/>
  <c r="D26" i="76" a="1"/>
  <c r="I81" i="71" l="1"/>
  <c r="D18" i="75"/>
  <c r="C18" i="70"/>
  <c r="C18" i="73"/>
  <c r="B19" i="70"/>
  <c r="B22" i="70" a="1"/>
  <c r="B22" i="70" s="1"/>
  <c r="E20" i="70"/>
  <c r="D18" i="70"/>
  <c r="D18" i="73"/>
  <c r="F18" i="73"/>
  <c r="D19" i="75"/>
  <c r="I17" i="75" a="1"/>
  <c r="I17" i="75" s="1"/>
  <c r="F18" i="70"/>
  <c r="B20" i="71"/>
  <c r="E20" i="73"/>
  <c r="I17" i="77" a="1"/>
  <c r="I17" i="77" s="1"/>
  <c r="B19" i="75"/>
  <c r="C20" i="75"/>
  <c r="D17" i="75"/>
  <c r="D20" i="75"/>
  <c r="AF41" i="77"/>
  <c r="F22" i="81" a="1"/>
  <c r="F22" i="81" s="1"/>
  <c r="AE33" i="81"/>
  <c r="AF33" i="81" s="1"/>
  <c r="AF41" i="81" s="1"/>
  <c r="F22" i="73" a="1"/>
  <c r="F22" i="73" s="1"/>
  <c r="E21" i="73" a="1"/>
  <c r="E21" i="73" s="1"/>
  <c r="BF15" i="81"/>
  <c r="AY15" i="81"/>
  <c r="I81" i="81"/>
  <c r="I80" i="81"/>
  <c r="I78" i="81"/>
  <c r="I79" i="81"/>
  <c r="I77" i="81"/>
  <c r="I73" i="81"/>
  <c r="I72" i="81"/>
  <c r="I71" i="81"/>
  <c r="C21" i="81" a="1"/>
  <c r="C21" i="81" s="1"/>
  <c r="F23" i="81" a="1"/>
  <c r="F23" i="81" s="1"/>
  <c r="F21" i="81" a="1"/>
  <c r="F21" i="81" s="1"/>
  <c r="C22" i="81" a="1"/>
  <c r="C22" i="81" s="1"/>
  <c r="D21" i="81" a="1"/>
  <c r="D21" i="81" s="1"/>
  <c r="B22" i="81" a="1"/>
  <c r="B22" i="81" s="1"/>
  <c r="B21" i="81" a="1"/>
  <c r="B21" i="81" s="1"/>
  <c r="AI15" i="81"/>
  <c r="I17" i="81" a="1"/>
  <c r="I17" i="81" s="1"/>
  <c r="I19" i="81" s="1"/>
  <c r="AQ15" i="81"/>
  <c r="C16" i="81"/>
  <c r="J16" i="81"/>
  <c r="K16" i="81" s="1"/>
  <c r="M17" i="81" s="1"/>
  <c r="B17" i="81"/>
  <c r="E18" i="81"/>
  <c r="F18" i="81"/>
  <c r="D22" i="81" a="1"/>
  <c r="D22" i="81" s="1"/>
  <c r="AZ15" i="81"/>
  <c r="AZ16" i="81" s="1"/>
  <c r="AD15" i="81"/>
  <c r="BB15" i="81"/>
  <c r="C17" i="81"/>
  <c r="C20" i="81"/>
  <c r="AF15" i="81"/>
  <c r="AN15" i="81"/>
  <c r="AV15" i="81"/>
  <c r="BD15" i="81"/>
  <c r="BF16" i="81"/>
  <c r="E16" i="81"/>
  <c r="E17" i="81"/>
  <c r="C18" i="81"/>
  <c r="D19" i="81"/>
  <c r="E20" i="81"/>
  <c r="AJ15" i="81"/>
  <c r="AR15" i="81"/>
  <c r="B16" i="81"/>
  <c r="B20" i="81"/>
  <c r="E22" i="81" a="1"/>
  <c r="E22" i="81" s="1"/>
  <c r="AT15" i="81"/>
  <c r="A22" i="81"/>
  <c r="AE15" i="81"/>
  <c r="AU15" i="81"/>
  <c r="D16" i="81"/>
  <c r="D17" i="81"/>
  <c r="C19" i="81"/>
  <c r="D20" i="81"/>
  <c r="AG15" i="81"/>
  <c r="AO15" i="81"/>
  <c r="AW15" i="81"/>
  <c r="BE15" i="81"/>
  <c r="AY16" i="81"/>
  <c r="F16" i="81"/>
  <c r="F17" i="81"/>
  <c r="D18" i="81"/>
  <c r="E19" i="81"/>
  <c r="E21" i="81" a="1"/>
  <c r="E21" i="81" s="1"/>
  <c r="AK15" i="81"/>
  <c r="AS15" i="81"/>
  <c r="BA15" i="81"/>
  <c r="AL15" i="81"/>
  <c r="B19" i="81"/>
  <c r="AM15" i="81"/>
  <c r="BC15" i="81"/>
  <c r="B18" i="81"/>
  <c r="AH15" i="81"/>
  <c r="AP15" i="81"/>
  <c r="AX15" i="81"/>
  <c r="I72" i="79"/>
  <c r="I71" i="79"/>
  <c r="I17" i="79" a="1"/>
  <c r="I17" i="79" s="1"/>
  <c r="M18" i="79" s="1"/>
  <c r="F22" i="79" a="1"/>
  <c r="F22" i="79" s="1"/>
  <c r="AE33" i="79"/>
  <c r="AF33" i="79" s="1"/>
  <c r="AF41" i="79" s="1"/>
  <c r="D37" i="76"/>
  <c r="D36" i="76"/>
  <c r="D12" i="76"/>
  <c r="BF15" i="79"/>
  <c r="BE15" i="79"/>
  <c r="BD15" i="79"/>
  <c r="BC15" i="79"/>
  <c r="BB15" i="79"/>
  <c r="BA15" i="79"/>
  <c r="AZ15" i="79"/>
  <c r="AY15" i="79"/>
  <c r="AX15" i="79"/>
  <c r="AW15" i="79"/>
  <c r="AV15" i="79"/>
  <c r="AU15" i="79"/>
  <c r="AT15" i="79"/>
  <c r="AS15" i="79"/>
  <c r="AR15" i="79"/>
  <c r="AQ15" i="79"/>
  <c r="AP15" i="79"/>
  <c r="AO15" i="79"/>
  <c r="AN15" i="79"/>
  <c r="AM15" i="79"/>
  <c r="AL15" i="79"/>
  <c r="AK15" i="79"/>
  <c r="AJ15" i="79"/>
  <c r="AI15" i="79"/>
  <c r="AH15" i="79"/>
  <c r="AG15" i="79"/>
  <c r="AF15" i="79"/>
  <c r="AE15" i="79"/>
  <c r="AD15" i="79"/>
  <c r="B22" i="79" a="1"/>
  <c r="B22" i="79" s="1"/>
  <c r="B21" i="79" a="1"/>
  <c r="B21" i="79" s="1"/>
  <c r="B20" i="79"/>
  <c r="B19" i="79"/>
  <c r="B18" i="79"/>
  <c r="B17" i="79"/>
  <c r="B16" i="79"/>
  <c r="C22" i="79" a="1"/>
  <c r="C22" i="79" s="1"/>
  <c r="C21" i="79" a="1"/>
  <c r="C21" i="79" s="1"/>
  <c r="C20" i="79"/>
  <c r="C19" i="79"/>
  <c r="C18" i="79"/>
  <c r="C17" i="79"/>
  <c r="C16" i="79"/>
  <c r="D22" i="79" a="1"/>
  <c r="D22" i="79" s="1"/>
  <c r="D21" i="79" a="1"/>
  <c r="D21" i="79" s="1"/>
  <c r="D20" i="79"/>
  <c r="D19" i="79"/>
  <c r="D18" i="79"/>
  <c r="D17" i="79"/>
  <c r="D16" i="79"/>
  <c r="E22" i="79" a="1"/>
  <c r="E22" i="79" s="1"/>
  <c r="E21" i="79" a="1"/>
  <c r="E21" i="79" s="1"/>
  <c r="E20" i="79"/>
  <c r="E19" i="79"/>
  <c r="E18" i="79"/>
  <c r="E17" i="79"/>
  <c r="E16" i="79"/>
  <c r="K16" i="79"/>
  <c r="M17" i="79" s="1"/>
  <c r="A21" i="79"/>
  <c r="F18" i="79"/>
  <c r="A22" i="79"/>
  <c r="F20" i="79"/>
  <c r="BF15" i="77"/>
  <c r="BE15" i="77"/>
  <c r="BD15" i="77"/>
  <c r="BC15" i="77"/>
  <c r="BB15" i="77"/>
  <c r="BA15" i="77"/>
  <c r="AZ15" i="77"/>
  <c r="AY15" i="77"/>
  <c r="AX15" i="77"/>
  <c r="AW15" i="77"/>
  <c r="AV15" i="77"/>
  <c r="AU15" i="77"/>
  <c r="AT15" i="77"/>
  <c r="AS15" i="77"/>
  <c r="AR15" i="77"/>
  <c r="AQ15" i="77"/>
  <c r="AP15" i="77"/>
  <c r="AO15" i="77"/>
  <c r="AN15" i="77"/>
  <c r="AM15" i="77"/>
  <c r="AL15" i="77"/>
  <c r="AK15" i="77"/>
  <c r="AJ15" i="77"/>
  <c r="AI15" i="77"/>
  <c r="AH15" i="77"/>
  <c r="AG15" i="77"/>
  <c r="AF15" i="77"/>
  <c r="AE15" i="77"/>
  <c r="AD15" i="77"/>
  <c r="B22" i="77" a="1"/>
  <c r="B22" i="77" s="1"/>
  <c r="B21" i="77" a="1"/>
  <c r="B21" i="77" s="1"/>
  <c r="B20" i="77"/>
  <c r="B19" i="77"/>
  <c r="B18" i="77"/>
  <c r="B17" i="77"/>
  <c r="B16" i="77"/>
  <c r="C22" i="77" a="1"/>
  <c r="C22" i="77" s="1"/>
  <c r="C21" i="77" a="1"/>
  <c r="C21" i="77" s="1"/>
  <c r="C20" i="77"/>
  <c r="C19" i="77"/>
  <c r="C18" i="77"/>
  <c r="C17" i="77"/>
  <c r="C16" i="77"/>
  <c r="D22" i="77" a="1"/>
  <c r="D22" i="77" s="1"/>
  <c r="D21" i="77" a="1"/>
  <c r="D21" i="77" s="1"/>
  <c r="D20" i="77"/>
  <c r="D19" i="77"/>
  <c r="D18" i="77"/>
  <c r="D17" i="77"/>
  <c r="D16" i="77"/>
  <c r="E22" i="77" a="1"/>
  <c r="E22" i="77" s="1"/>
  <c r="E21" i="77" a="1"/>
  <c r="E21" i="77" s="1"/>
  <c r="E20" i="77"/>
  <c r="E19" i="77"/>
  <c r="E18" i="77"/>
  <c r="E17" i="77"/>
  <c r="E16" i="77"/>
  <c r="K16" i="77"/>
  <c r="M17" i="77" s="1"/>
  <c r="I19" i="77"/>
  <c r="M18" i="77"/>
  <c r="A21" i="77"/>
  <c r="F18" i="77"/>
  <c r="A22" i="77"/>
  <c r="F20" i="77"/>
  <c r="D7" i="76"/>
  <c r="D32" i="76"/>
  <c r="D34" i="76"/>
  <c r="D30" i="76"/>
  <c r="D20" i="76"/>
  <c r="D29" i="76"/>
  <c r="D9" i="76"/>
  <c r="D28" i="76"/>
  <c r="D56" i="76"/>
  <c r="D4" i="76"/>
  <c r="D25" i="76"/>
  <c r="D5" i="76"/>
  <c r="D16" i="76"/>
  <c r="D11" i="76"/>
  <c r="D33" i="76"/>
  <c r="D21" i="76"/>
  <c r="D19" i="76"/>
  <c r="D23" i="76"/>
  <c r="D13" i="76"/>
  <c r="D3" i="76"/>
  <c r="D18" i="76"/>
  <c r="D55" i="76"/>
  <c r="D15" i="76"/>
  <c r="D26" i="76"/>
  <c r="D38" i="76"/>
  <c r="D14" i="76"/>
  <c r="D27" i="76"/>
  <c r="D31" i="76"/>
  <c r="D24" i="76"/>
  <c r="D22" i="76"/>
  <c r="D8" i="76"/>
  <c r="D17" i="76"/>
  <c r="D10" i="76"/>
  <c r="C56" i="76"/>
  <c r="I71" i="75"/>
  <c r="B22" i="75" a="1"/>
  <c r="B22" i="75" s="1"/>
  <c r="B21" i="75" a="1"/>
  <c r="B21" i="75" s="1"/>
  <c r="F22" i="75" a="1"/>
  <c r="F22" i="75" s="1"/>
  <c r="F23" i="75" a="1"/>
  <c r="F23" i="75" s="1"/>
  <c r="J16" i="75"/>
  <c r="K16" i="75" s="1"/>
  <c r="M17" i="75" s="1"/>
  <c r="AU15" i="75"/>
  <c r="AW15" i="75"/>
  <c r="AK15" i="75"/>
  <c r="AY15" i="75"/>
  <c r="AZ15" i="75"/>
  <c r="BB15" i="75"/>
  <c r="AD15" i="75"/>
  <c r="AI15" i="75"/>
  <c r="AM15" i="75"/>
  <c r="AN15" i="75"/>
  <c r="AP15" i="75"/>
  <c r="I19" i="75"/>
  <c r="AF41" i="75"/>
  <c r="AO15" i="75"/>
  <c r="BA15" i="75"/>
  <c r="B16" i="75"/>
  <c r="E19" i="75"/>
  <c r="C21" i="75" a="1"/>
  <c r="C21" i="75" s="1"/>
  <c r="C22" i="75" a="1"/>
  <c r="C22" i="75" s="1"/>
  <c r="AE15" i="75"/>
  <c r="AQ15" i="75"/>
  <c r="BC15" i="75"/>
  <c r="D16" i="75"/>
  <c r="B18" i="75"/>
  <c r="D21" i="75" a="1"/>
  <c r="D21" i="75" s="1"/>
  <c r="D22" i="75" a="1"/>
  <c r="D22" i="75" s="1"/>
  <c r="C16" i="75"/>
  <c r="AF15" i="75"/>
  <c r="AR15" i="75"/>
  <c r="BD15" i="75"/>
  <c r="BD16" i="75" s="1"/>
  <c r="AX16" i="75"/>
  <c r="E16" i="75"/>
  <c r="C18" i="75"/>
  <c r="AG15" i="75"/>
  <c r="AG16" i="75" s="1"/>
  <c r="AS15" i="75"/>
  <c r="AS16" i="75" s="1"/>
  <c r="BE15" i="75"/>
  <c r="BE16" i="75" s="1"/>
  <c r="B17" i="75"/>
  <c r="B20" i="75"/>
  <c r="E21" i="75" a="1"/>
  <c r="E21" i="75" s="1"/>
  <c r="E22" i="75" a="1"/>
  <c r="E22" i="75" s="1"/>
  <c r="AH15" i="75"/>
  <c r="AH16" i="75" s="1"/>
  <c r="AT15" i="75"/>
  <c r="AT16" i="75" s="1"/>
  <c r="BF15" i="75"/>
  <c r="BF16" i="75" s="1"/>
  <c r="C17" i="75"/>
  <c r="E18" i="75"/>
  <c r="F18" i="75"/>
  <c r="AJ15" i="75"/>
  <c r="AV15" i="75"/>
  <c r="E17" i="75"/>
  <c r="AL15" i="75"/>
  <c r="I75" i="73"/>
  <c r="I72" i="73"/>
  <c r="I71" i="73"/>
  <c r="I17" i="73" a="1"/>
  <c r="I17" i="73" s="1"/>
  <c r="M18" i="73" s="1"/>
  <c r="I74" i="73"/>
  <c r="B22" i="73" a="1"/>
  <c r="B22" i="73" s="1"/>
  <c r="AE33" i="73"/>
  <c r="AF33" i="73" s="1"/>
  <c r="AF41" i="73" s="1"/>
  <c r="B21" i="73" a="1"/>
  <c r="B21" i="73" s="1"/>
  <c r="F21" i="73" a="1"/>
  <c r="F21" i="73" s="1"/>
  <c r="K16" i="73"/>
  <c r="M17" i="73" s="1"/>
  <c r="AG15" i="73"/>
  <c r="BB15" i="73"/>
  <c r="AI15" i="73"/>
  <c r="BD15" i="73"/>
  <c r="BD16" i="73" s="1"/>
  <c r="AJ15" i="73"/>
  <c r="BE15" i="73"/>
  <c r="AK15" i="73"/>
  <c r="AM15" i="73"/>
  <c r="AP15" i="73"/>
  <c r="AX16" i="73"/>
  <c r="AR15" i="73"/>
  <c r="AS15" i="73"/>
  <c r="AU15" i="73"/>
  <c r="AD15" i="73"/>
  <c r="AW15" i="73"/>
  <c r="AV15" i="73"/>
  <c r="AF15" i="73"/>
  <c r="AY15" i="73"/>
  <c r="AN15" i="73"/>
  <c r="AZ15" i="73"/>
  <c r="D19" i="73"/>
  <c r="AO15" i="73"/>
  <c r="BA15" i="73"/>
  <c r="B16" i="73"/>
  <c r="E19" i="73"/>
  <c r="C21" i="73" a="1"/>
  <c r="C21" i="73" s="1"/>
  <c r="C22" i="73" a="1"/>
  <c r="C22" i="73" s="1"/>
  <c r="C19" i="73"/>
  <c r="C16" i="73"/>
  <c r="AE15" i="73"/>
  <c r="AQ15" i="73"/>
  <c r="BC15" i="73"/>
  <c r="D16" i="73"/>
  <c r="B18" i="73"/>
  <c r="D21" i="73" a="1"/>
  <c r="D21" i="73" s="1"/>
  <c r="D22" i="73" a="1"/>
  <c r="D22" i="73" s="1"/>
  <c r="B17" i="73"/>
  <c r="B20" i="73"/>
  <c r="E22" i="73" a="1"/>
  <c r="E22" i="73" s="1"/>
  <c r="E16" i="73"/>
  <c r="AH15" i="73"/>
  <c r="AT15" i="73"/>
  <c r="BF15" i="73"/>
  <c r="C17" i="73"/>
  <c r="E18" i="73"/>
  <c r="D17" i="73"/>
  <c r="D20" i="73"/>
  <c r="E17" i="73"/>
  <c r="F20" i="73"/>
  <c r="AL15" i="73"/>
  <c r="AL16" i="73" s="1"/>
  <c r="J16" i="72"/>
  <c r="AF41" i="72"/>
  <c r="I74" i="72"/>
  <c r="BF15" i="72"/>
  <c r="BE15" i="72"/>
  <c r="BD15" i="72"/>
  <c r="BC15" i="72"/>
  <c r="BB15" i="72"/>
  <c r="BA15" i="72"/>
  <c r="AZ15" i="72"/>
  <c r="AY15" i="72"/>
  <c r="AX15" i="72"/>
  <c r="AW15" i="72"/>
  <c r="AV15" i="72"/>
  <c r="AU15" i="72"/>
  <c r="AT15" i="72"/>
  <c r="AS15" i="72"/>
  <c r="AR15" i="72"/>
  <c r="AQ15" i="72"/>
  <c r="AP15" i="72"/>
  <c r="AO15" i="72"/>
  <c r="AN15" i="72"/>
  <c r="AM15" i="72"/>
  <c r="AL15" i="72"/>
  <c r="AK15" i="72"/>
  <c r="AJ15" i="72"/>
  <c r="AI15" i="72"/>
  <c r="AH15" i="72"/>
  <c r="AG15" i="72"/>
  <c r="AF15" i="72"/>
  <c r="AE15" i="72"/>
  <c r="AD15" i="72"/>
  <c r="B22" i="72" a="1"/>
  <c r="B22" i="72" s="1"/>
  <c r="B21" i="72" a="1"/>
  <c r="B21" i="72" s="1"/>
  <c r="B20" i="72"/>
  <c r="B19" i="72"/>
  <c r="B18" i="72"/>
  <c r="B17" i="72"/>
  <c r="B16" i="72"/>
  <c r="C22" i="72" a="1"/>
  <c r="C22" i="72" s="1"/>
  <c r="C21" i="72" a="1"/>
  <c r="C21" i="72" s="1"/>
  <c r="C20" i="72"/>
  <c r="C19" i="72"/>
  <c r="C18" i="72"/>
  <c r="C17" i="72"/>
  <c r="C16" i="72"/>
  <c r="D22" i="72" a="1"/>
  <c r="D22" i="72" s="1"/>
  <c r="D21" i="72" a="1"/>
  <c r="D21" i="72" s="1"/>
  <c r="D20" i="72"/>
  <c r="D19" i="72"/>
  <c r="D18" i="72"/>
  <c r="D17" i="72"/>
  <c r="D16" i="72"/>
  <c r="E22" i="72" a="1"/>
  <c r="E22" i="72" s="1"/>
  <c r="E21" i="72" a="1"/>
  <c r="E21" i="72" s="1"/>
  <c r="E20" i="72"/>
  <c r="E19" i="72"/>
  <c r="E18" i="72"/>
  <c r="E17" i="72"/>
  <c r="E16" i="72"/>
  <c r="M16" i="72" s="1"/>
  <c r="K16" i="72"/>
  <c r="M17" i="72" s="1"/>
  <c r="I19" i="72"/>
  <c r="M18" i="72"/>
  <c r="A21" i="72"/>
  <c r="F18" i="72"/>
  <c r="A22" i="72"/>
  <c r="F20" i="72"/>
  <c r="C20" i="71"/>
  <c r="F22" i="71" a="1"/>
  <c r="F22" i="71" s="1"/>
  <c r="E17" i="71"/>
  <c r="F20" i="71"/>
  <c r="I77" i="71"/>
  <c r="I75" i="71"/>
  <c r="I73" i="71"/>
  <c r="I79" i="71"/>
  <c r="I72" i="71"/>
  <c r="I78" i="71"/>
  <c r="I74" i="71"/>
  <c r="I80" i="71"/>
  <c r="I76" i="71"/>
  <c r="I82" i="71"/>
  <c r="AE33" i="71"/>
  <c r="AF33" i="71" s="1"/>
  <c r="AF41" i="71" s="1"/>
  <c r="B21" i="71" a="1"/>
  <c r="B21" i="71" s="1"/>
  <c r="F21" i="71" a="1"/>
  <c r="F21" i="71" s="1"/>
  <c r="A21" i="71"/>
  <c r="F17" i="71"/>
  <c r="I17" i="71" a="1"/>
  <c r="I17" i="71" s="1"/>
  <c r="I19" i="71" s="1"/>
  <c r="D18" i="71"/>
  <c r="B19" i="71"/>
  <c r="E18" i="71"/>
  <c r="D20" i="71"/>
  <c r="C18" i="71"/>
  <c r="E20" i="71"/>
  <c r="J16" i="71"/>
  <c r="K16" i="71" s="1"/>
  <c r="M17" i="71" s="1"/>
  <c r="AJ15" i="71"/>
  <c r="AU15" i="71"/>
  <c r="AV15" i="71"/>
  <c r="AI15" i="71"/>
  <c r="B22" i="71" a="1"/>
  <c r="B22" i="71" s="1"/>
  <c r="AM15" i="71"/>
  <c r="C19" i="71"/>
  <c r="AN15" i="71"/>
  <c r="AZ15" i="71"/>
  <c r="D19" i="71"/>
  <c r="AO15" i="71"/>
  <c r="BA15" i="71"/>
  <c r="B16" i="71"/>
  <c r="E19" i="71"/>
  <c r="C21" i="71" a="1"/>
  <c r="C21" i="71" s="1"/>
  <c r="C22" i="71" a="1"/>
  <c r="C22" i="71" s="1"/>
  <c r="AD15" i="71"/>
  <c r="AP15" i="71"/>
  <c r="BB15" i="71"/>
  <c r="C16" i="71"/>
  <c r="F19" i="71"/>
  <c r="AY15" i="71"/>
  <c r="AE15" i="71"/>
  <c r="AQ15" i="71"/>
  <c r="BC15" i="71"/>
  <c r="D16" i="71"/>
  <c r="B18" i="71"/>
  <c r="D21" i="71" a="1"/>
  <c r="D21" i="71" s="1"/>
  <c r="D22" i="71" a="1"/>
  <c r="D22" i="71" s="1"/>
  <c r="AW15" i="71"/>
  <c r="B17" i="71"/>
  <c r="E21" i="71" a="1"/>
  <c r="E21" i="71" s="1"/>
  <c r="E22" i="71" a="1"/>
  <c r="E22" i="71" s="1"/>
  <c r="AK15" i="71"/>
  <c r="AF15" i="71"/>
  <c r="AR15" i="71"/>
  <c r="BD15" i="71"/>
  <c r="BD16" i="71" s="1"/>
  <c r="AX16" i="71"/>
  <c r="E16" i="71"/>
  <c r="AG15" i="71"/>
  <c r="AS15" i="71"/>
  <c r="BE15" i="71"/>
  <c r="AH15" i="71"/>
  <c r="AT15" i="71"/>
  <c r="BF15" i="71"/>
  <c r="C17" i="71"/>
  <c r="AL15" i="71"/>
  <c r="J16" i="70"/>
  <c r="AF15" i="70"/>
  <c r="BD15" i="70"/>
  <c r="BD16" i="70" s="1"/>
  <c r="AM15" i="70"/>
  <c r="AQ15" i="70"/>
  <c r="AI15" i="70"/>
  <c r="AK15" i="70"/>
  <c r="AR15" i="70"/>
  <c r="AS15" i="70"/>
  <c r="BE15" i="70"/>
  <c r="AU15" i="70"/>
  <c r="AG15" i="70"/>
  <c r="AW15" i="70"/>
  <c r="AY15" i="70"/>
  <c r="AE15" i="70"/>
  <c r="BC15" i="70"/>
  <c r="AX16" i="70"/>
  <c r="AF41" i="70"/>
  <c r="I17" i="70" a="1"/>
  <c r="I17" i="70" s="1"/>
  <c r="AN15" i="70"/>
  <c r="AZ15" i="70"/>
  <c r="D19" i="70"/>
  <c r="E16" i="70"/>
  <c r="AO15" i="70"/>
  <c r="BA15" i="70"/>
  <c r="B16" i="70"/>
  <c r="E19" i="70"/>
  <c r="C21" i="70" a="1"/>
  <c r="C21" i="70" s="1"/>
  <c r="C22" i="70" a="1"/>
  <c r="C22" i="70" s="1"/>
  <c r="F17" i="70"/>
  <c r="F20" i="70"/>
  <c r="C19" i="70"/>
  <c r="AD15" i="70"/>
  <c r="AP15" i="70"/>
  <c r="BB15" i="70"/>
  <c r="C16" i="70"/>
  <c r="D16" i="70"/>
  <c r="B18" i="70"/>
  <c r="D21" i="70" a="1"/>
  <c r="D21" i="70" s="1"/>
  <c r="B17" i="70"/>
  <c r="B20" i="70"/>
  <c r="E21" i="70" a="1"/>
  <c r="E21" i="70" s="1"/>
  <c r="E22" i="70" a="1"/>
  <c r="E22" i="70" s="1"/>
  <c r="AH15" i="70"/>
  <c r="AT15" i="70"/>
  <c r="BF15" i="70"/>
  <c r="C17" i="70"/>
  <c r="E18" i="70"/>
  <c r="D20" i="70"/>
  <c r="AJ15" i="70"/>
  <c r="AV15" i="70"/>
  <c r="E17" i="70"/>
  <c r="AL15" i="70"/>
  <c r="AL16" i="70" s="1"/>
  <c r="BK20" i="5" a="1"/>
  <c r="BJ20" i="5" a="1"/>
  <c r="M18" i="71" l="1"/>
  <c r="BJ20" i="5"/>
  <c r="M16" i="77"/>
  <c r="K16" i="70"/>
  <c r="M17" i="70" s="1"/>
  <c r="M18" i="75"/>
  <c r="BK20" i="5"/>
  <c r="AN16" i="77"/>
  <c r="AZ16" i="77"/>
  <c r="BF16" i="77"/>
  <c r="AY16" i="79"/>
  <c r="BB16" i="79"/>
  <c r="AP16" i="77"/>
  <c r="AM16" i="79"/>
  <c r="AO16" i="79"/>
  <c r="AQ16" i="81"/>
  <c r="AI16" i="81"/>
  <c r="M18" i="81"/>
  <c r="BB16" i="81"/>
  <c r="AR16" i="77"/>
  <c r="BD16" i="77"/>
  <c r="AN16" i="79"/>
  <c r="AZ16" i="79"/>
  <c r="AJ16" i="77"/>
  <c r="AV16" i="77"/>
  <c r="AX16" i="77"/>
  <c r="AW16" i="81"/>
  <c r="AS16" i="81"/>
  <c r="AR16" i="81"/>
  <c r="AK16" i="77"/>
  <c r="AS16" i="77"/>
  <c r="BA16" i="77"/>
  <c r="BA16" i="79"/>
  <c r="AD16" i="77"/>
  <c r="AL16" i="77"/>
  <c r="AT16" i="77"/>
  <c r="BB16" i="77"/>
  <c r="AR16" i="75"/>
  <c r="AU16" i="81"/>
  <c r="AF16" i="77"/>
  <c r="AM16" i="81"/>
  <c r="AT16" i="81"/>
  <c r="AP16" i="81"/>
  <c r="AV16" i="81"/>
  <c r="BC16" i="81"/>
  <c r="BE16" i="81"/>
  <c r="AH16" i="81"/>
  <c r="BD16" i="81"/>
  <c r="AG16" i="81"/>
  <c r="AL16" i="81"/>
  <c r="M16" i="81"/>
  <c r="AJ16" i="81"/>
  <c r="AN16" i="81"/>
  <c r="AD16" i="81"/>
  <c r="AO16" i="81"/>
  <c r="BA16" i="81"/>
  <c r="AE16" i="81"/>
  <c r="AF16" i="81"/>
  <c r="AX16" i="81"/>
  <c r="AK16" i="81"/>
  <c r="AI16" i="77"/>
  <c r="AQ16" i="77"/>
  <c r="AY16" i="77"/>
  <c r="AE16" i="77"/>
  <c r="AM16" i="77"/>
  <c r="AU16" i="77"/>
  <c r="BC16" i="77"/>
  <c r="AG16" i="77"/>
  <c r="AO16" i="77"/>
  <c r="AW16" i="77"/>
  <c r="BE16" i="77"/>
  <c r="AH16" i="77"/>
  <c r="I19" i="79"/>
  <c r="AL16" i="79"/>
  <c r="AX16" i="79"/>
  <c r="AW16" i="79"/>
  <c r="AD16" i="79"/>
  <c r="AP16" i="79"/>
  <c r="AK16" i="79"/>
  <c r="AE16" i="79"/>
  <c r="AQ16" i="79"/>
  <c r="BC16" i="79"/>
  <c r="AF16" i="79"/>
  <c r="AR16" i="79"/>
  <c r="BD16" i="79"/>
  <c r="AG16" i="79"/>
  <c r="AS16" i="79"/>
  <c r="BE16" i="79"/>
  <c r="AH16" i="79"/>
  <c r="AT16" i="79"/>
  <c r="BF16" i="79"/>
  <c r="AI16" i="79"/>
  <c r="AU16" i="79"/>
  <c r="AJ16" i="79"/>
  <c r="AV16" i="79"/>
  <c r="M16" i="79"/>
  <c r="AL16" i="75"/>
  <c r="AE16" i="70"/>
  <c r="AD16" i="75"/>
  <c r="AJ16" i="75"/>
  <c r="AF16" i="75"/>
  <c r="AN16" i="75"/>
  <c r="BA16" i="75"/>
  <c r="AE16" i="75"/>
  <c r="AZ16" i="75"/>
  <c r="AM16" i="75"/>
  <c r="AU16" i="75"/>
  <c r="AI16" i="75"/>
  <c r="M16" i="75"/>
  <c r="BC16" i="72"/>
  <c r="AF16" i="72"/>
  <c r="AY16" i="75"/>
  <c r="AX16" i="72"/>
  <c r="AM16" i="72"/>
  <c r="AY16" i="72"/>
  <c r="BB16" i="75"/>
  <c r="AL16" i="72"/>
  <c r="AN16" i="72"/>
  <c r="AZ16" i="72"/>
  <c r="AP16" i="75"/>
  <c r="AW16" i="75"/>
  <c r="AI16" i="70"/>
  <c r="AK16" i="75"/>
  <c r="AR16" i="72"/>
  <c r="BD16" i="72"/>
  <c r="AG16" i="72"/>
  <c r="AS16" i="72"/>
  <c r="BE16" i="72"/>
  <c r="AH16" i="72"/>
  <c r="AT16" i="72"/>
  <c r="BF16" i="72"/>
  <c r="BC16" i="75"/>
  <c r="AQ16" i="75"/>
  <c r="AO16" i="75"/>
  <c r="AV16" i="75"/>
  <c r="AZ16" i="73"/>
  <c r="AE16" i="73"/>
  <c r="AK16" i="73"/>
  <c r="AY16" i="73"/>
  <c r="BE16" i="73"/>
  <c r="AD16" i="73"/>
  <c r="I19" i="73"/>
  <c r="AF16" i="73"/>
  <c r="BB16" i="73"/>
  <c r="AI16" i="73"/>
  <c r="AG16" i="73"/>
  <c r="AN16" i="73"/>
  <c r="AS16" i="73"/>
  <c r="AP16" i="73"/>
  <c r="AU16" i="73"/>
  <c r="AR16" i="70"/>
  <c r="AO16" i="72"/>
  <c r="BA16" i="72"/>
  <c r="AP16" i="70"/>
  <c r="AF16" i="70"/>
  <c r="AD16" i="72"/>
  <c r="AP16" i="72"/>
  <c r="BB16" i="72"/>
  <c r="AE16" i="72"/>
  <c r="AQ16" i="72"/>
  <c r="AR16" i="73"/>
  <c r="AV16" i="73"/>
  <c r="AN16" i="70"/>
  <c r="AM16" i="73"/>
  <c r="AJ16" i="73"/>
  <c r="BC16" i="73"/>
  <c r="AI16" i="72"/>
  <c r="AU16" i="72"/>
  <c r="AJ16" i="72"/>
  <c r="AV16" i="72"/>
  <c r="BA16" i="73"/>
  <c r="AK16" i="72"/>
  <c r="AW16" i="72"/>
  <c r="AO16" i="73"/>
  <c r="AW16" i="73"/>
  <c r="AQ16" i="73"/>
  <c r="BF16" i="73"/>
  <c r="AT16" i="73"/>
  <c r="AH16" i="73"/>
  <c r="M16" i="73"/>
  <c r="M21" i="73" s="1"/>
  <c r="B8" i="73" s="1"/>
  <c r="AH16" i="70"/>
  <c r="M21" i="72"/>
  <c r="B8" i="72" s="1"/>
  <c r="AV16" i="71"/>
  <c r="AN16" i="71"/>
  <c r="AZ16" i="71"/>
  <c r="AL16" i="71"/>
  <c r="AI16" i="71"/>
  <c r="AG16" i="71"/>
  <c r="BE16" i="71"/>
  <c r="BC16" i="71"/>
  <c r="AM16" i="70"/>
  <c r="AJ16" i="70"/>
  <c r="AY16" i="70"/>
  <c r="AJ16" i="71"/>
  <c r="AD16" i="71"/>
  <c r="BA16" i="70"/>
  <c r="AO16" i="70"/>
  <c r="AK16" i="70"/>
  <c r="AO16" i="71"/>
  <c r="AS16" i="71"/>
  <c r="AU16" i="70"/>
  <c r="AQ16" i="71"/>
  <c r="AU16" i="71"/>
  <c r="BB16" i="71"/>
  <c r="AY16" i="71"/>
  <c r="AW16" i="71"/>
  <c r="BF16" i="71"/>
  <c r="AE16" i="71"/>
  <c r="AM16" i="71"/>
  <c r="AP16" i="71"/>
  <c r="AK16" i="71"/>
  <c r="AT16" i="71"/>
  <c r="AR16" i="71"/>
  <c r="BA16" i="71"/>
  <c r="AH16" i="71"/>
  <c r="AF16" i="71"/>
  <c r="M16" i="71"/>
  <c r="AW16" i="70"/>
  <c r="BC16" i="70"/>
  <c r="BE16" i="70"/>
  <c r="AQ16" i="70"/>
  <c r="AS16" i="70"/>
  <c r="AG16" i="70"/>
  <c r="AD16" i="70"/>
  <c r="AV16" i="70"/>
  <c r="AT16" i="70"/>
  <c r="AZ16" i="70"/>
  <c r="M18" i="70"/>
  <c r="I19" i="70"/>
  <c r="BB16" i="70"/>
  <c r="M16" i="70"/>
  <c r="BF16" i="70"/>
  <c r="M21" i="81" l="1"/>
  <c r="B8" i="81" s="1"/>
  <c r="H17" i="77"/>
  <c r="H17" i="81"/>
  <c r="H17" i="79"/>
  <c r="H17" i="75"/>
  <c r="H17" i="73"/>
  <c r="H17" i="72"/>
  <c r="H17" i="71"/>
  <c r="F101" i="50" l="1"/>
  <c r="F58" i="51"/>
  <c r="F55" i="56"/>
  <c r="AD40" i="69"/>
  <c r="AE40" i="69" s="1"/>
  <c r="AF40" i="69" s="1"/>
  <c r="AF39" i="69"/>
  <c r="AD39" i="69"/>
  <c r="AF38" i="69"/>
  <c r="AD38" i="69"/>
  <c r="AF37" i="69"/>
  <c r="AD37" i="69"/>
  <c r="AF36" i="69"/>
  <c r="AD36" i="69"/>
  <c r="AF35" i="69"/>
  <c r="AD35" i="69"/>
  <c r="AD34" i="69"/>
  <c r="AE33" i="69"/>
  <c r="AF33" i="69" s="1"/>
  <c r="AD33" i="69"/>
  <c r="AE32" i="69"/>
  <c r="AF32" i="69" s="1"/>
  <c r="AD32" i="69"/>
  <c r="AE31" i="69" a="1"/>
  <c r="AE31" i="69" s="1"/>
  <c r="AF31" i="69" s="1"/>
  <c r="AD31" i="69"/>
  <c r="AE30" i="69"/>
  <c r="AD30" i="69"/>
  <c r="H89" i="69"/>
  <c r="I89" i="69" s="1"/>
  <c r="F89" i="69"/>
  <c r="H88" i="69"/>
  <c r="I88" i="69" s="1"/>
  <c r="F88" i="69"/>
  <c r="H87" i="69"/>
  <c r="I87" i="69" s="1"/>
  <c r="F87" i="69"/>
  <c r="H86" i="69"/>
  <c r="I86" i="69" s="1"/>
  <c r="F86" i="69"/>
  <c r="H85" i="69"/>
  <c r="I85" i="69" s="1"/>
  <c r="F85" i="69"/>
  <c r="H84" i="69"/>
  <c r="I84" i="69" s="1"/>
  <c r="F84" i="69"/>
  <c r="H83" i="69"/>
  <c r="I83" i="69" s="1"/>
  <c r="F83" i="69"/>
  <c r="H82" i="69"/>
  <c r="I82" i="69" s="1"/>
  <c r="F82" i="69"/>
  <c r="H81" i="69"/>
  <c r="I81" i="69" s="1"/>
  <c r="F81" i="69"/>
  <c r="H80" i="69"/>
  <c r="I80" i="69" s="1"/>
  <c r="F80" i="69"/>
  <c r="H79" i="69"/>
  <c r="I79" i="69" s="1"/>
  <c r="F79" i="69"/>
  <c r="H78" i="69"/>
  <c r="I78" i="69" s="1"/>
  <c r="F78" i="69"/>
  <c r="H77" i="69"/>
  <c r="I77" i="69" s="1"/>
  <c r="F77" i="69"/>
  <c r="E24" i="69"/>
  <c r="F23" i="69" a="1"/>
  <c r="F23" i="69" s="1"/>
  <c r="F22" i="69" a="1"/>
  <c r="F22" i="69" s="1"/>
  <c r="F21" i="69" a="1"/>
  <c r="F21" i="69" s="1"/>
  <c r="A20" i="69"/>
  <c r="A19" i="69"/>
  <c r="F19" i="69" s="1"/>
  <c r="A18" i="69"/>
  <c r="A17" i="69"/>
  <c r="F17" i="69" s="1"/>
  <c r="J16" i="69"/>
  <c r="A16" i="69"/>
  <c r="F16" i="69" s="1"/>
  <c r="M15" i="69" a="1"/>
  <c r="M15" i="69" s="1"/>
  <c r="E15" i="69"/>
  <c r="D15" i="69"/>
  <c r="C15" i="69"/>
  <c r="B15" i="69"/>
  <c r="B11" i="69"/>
  <c r="B10" i="69"/>
  <c r="AE34" i="69" s="1"/>
  <c r="AF34" i="69" s="1"/>
  <c r="I124" i="50"/>
  <c r="F124" i="50"/>
  <c r="F75" i="51"/>
  <c r="F76" i="51"/>
  <c r="F77" i="51"/>
  <c r="F78" i="51"/>
  <c r="F79" i="51"/>
  <c r="F80" i="51"/>
  <c r="F81" i="51"/>
  <c r="F82" i="51"/>
  <c r="F83" i="51"/>
  <c r="F84" i="51"/>
  <c r="F85" i="51"/>
  <c r="F86" i="51"/>
  <c r="F87" i="51"/>
  <c r="F88" i="51"/>
  <c r="F89" i="51"/>
  <c r="F90" i="51"/>
  <c r="F91" i="51"/>
  <c r="F59" i="51"/>
  <c r="F60" i="51"/>
  <c r="F61" i="51"/>
  <c r="F62" i="51"/>
  <c r="F63" i="51"/>
  <c r="F64" i="51"/>
  <c r="F65" i="51"/>
  <c r="F66" i="51"/>
  <c r="F67" i="51"/>
  <c r="F68" i="51"/>
  <c r="H102" i="49"/>
  <c r="I102" i="49" s="1"/>
  <c r="H103" i="49"/>
  <c r="H104" i="49"/>
  <c r="I104" i="49" s="1"/>
  <c r="H105" i="49"/>
  <c r="H106" i="49"/>
  <c r="H107" i="49"/>
  <c r="H108" i="49"/>
  <c r="I108" i="49" s="1"/>
  <c r="H109" i="49"/>
  <c r="I109" i="49" s="1"/>
  <c r="H110" i="49"/>
  <c r="H111" i="49"/>
  <c r="H112" i="49"/>
  <c r="I112" i="49" s="1"/>
  <c r="H113" i="49"/>
  <c r="H114" i="49"/>
  <c r="I114" i="49" s="1"/>
  <c r="E54" i="1"/>
  <c r="F54" i="1" s="1"/>
  <c r="E24" i="1"/>
  <c r="F24" i="1" s="1"/>
  <c r="AE31" i="68" a="1"/>
  <c r="AE31" i="68"/>
  <c r="I71" i="68"/>
  <c r="I72" i="68"/>
  <c r="I73" i="68"/>
  <c r="I74" i="68"/>
  <c r="I75" i="68"/>
  <c r="AD40" i="68"/>
  <c r="AE40" i="68" s="1"/>
  <c r="AF40" i="68" s="1"/>
  <c r="AF39" i="68"/>
  <c r="AD39" i="68"/>
  <c r="AD38" i="68"/>
  <c r="AF37" i="68"/>
  <c r="AD37" i="68"/>
  <c r="AF36" i="68"/>
  <c r="AD36" i="68"/>
  <c r="AF35" i="68"/>
  <c r="AD35" i="68"/>
  <c r="AD34" i="68"/>
  <c r="AE33" i="68"/>
  <c r="AF33" i="68" s="1"/>
  <c r="AD33" i="68"/>
  <c r="AE32" i="68"/>
  <c r="AF32" i="68" s="1"/>
  <c r="AD32" i="68"/>
  <c r="AF31" i="68"/>
  <c r="AD31" i="68"/>
  <c r="AE30" i="68"/>
  <c r="AD30" i="68"/>
  <c r="F105" i="68"/>
  <c r="F104" i="68"/>
  <c r="F103" i="68"/>
  <c r="F102" i="68"/>
  <c r="H87" i="68"/>
  <c r="I87" i="68" s="1"/>
  <c r="F87" i="68"/>
  <c r="H86" i="68"/>
  <c r="I86" i="68" s="1"/>
  <c r="F86" i="68"/>
  <c r="H85" i="68"/>
  <c r="I85" i="68" s="1"/>
  <c r="F85" i="68"/>
  <c r="H84" i="68"/>
  <c r="I84" i="68" s="1"/>
  <c r="F84" i="68"/>
  <c r="H83" i="68"/>
  <c r="I83" i="68" s="1"/>
  <c r="F83" i="68"/>
  <c r="H82" i="68"/>
  <c r="I82" i="68" s="1"/>
  <c r="F82" i="68"/>
  <c r="H81" i="68"/>
  <c r="I81" i="68" s="1"/>
  <c r="F81" i="68"/>
  <c r="H80" i="68"/>
  <c r="I80" i="68" s="1"/>
  <c r="F80" i="68"/>
  <c r="H79" i="68"/>
  <c r="I79" i="68" s="1"/>
  <c r="F79" i="68"/>
  <c r="H78" i="68"/>
  <c r="I78" i="68" s="1"/>
  <c r="F78" i="68"/>
  <c r="H77" i="68"/>
  <c r="I77" i="68" s="1"/>
  <c r="F77" i="68"/>
  <c r="H76" i="68"/>
  <c r="I76" i="68" s="1"/>
  <c r="F76" i="68"/>
  <c r="F75" i="68"/>
  <c r="F74" i="68"/>
  <c r="F73" i="68"/>
  <c r="F72" i="68"/>
  <c r="F71" i="68"/>
  <c r="E24" i="68"/>
  <c r="F23" i="68" a="1"/>
  <c r="F23" i="68" s="1"/>
  <c r="F22" i="68" a="1"/>
  <c r="F22" i="68" s="1"/>
  <c r="F21" i="68" a="1"/>
  <c r="F21" i="68" s="1"/>
  <c r="A20" i="68"/>
  <c r="A19" i="68"/>
  <c r="F19" i="68" s="1"/>
  <c r="A18" i="68"/>
  <c r="A17" i="68"/>
  <c r="F17" i="68" s="1"/>
  <c r="J16" i="68"/>
  <c r="A16" i="68"/>
  <c r="F16" i="68" s="1"/>
  <c r="E15" i="68"/>
  <c r="D15" i="68"/>
  <c r="C15" i="68"/>
  <c r="B15" i="68"/>
  <c r="B11" i="68"/>
  <c r="B10" i="68"/>
  <c r="AE34" i="68" s="1"/>
  <c r="AF34" i="68" s="1"/>
  <c r="F56" i="67"/>
  <c r="F57" i="67"/>
  <c r="F58" i="67"/>
  <c r="F59" i="67"/>
  <c r="F60" i="67"/>
  <c r="F61" i="67"/>
  <c r="F62" i="67"/>
  <c r="F63" i="67"/>
  <c r="F64" i="67"/>
  <c r="F65" i="67"/>
  <c r="F66" i="67"/>
  <c r="F67" i="67"/>
  <c r="F68" i="67"/>
  <c r="I56" i="67"/>
  <c r="I57" i="67"/>
  <c r="I58" i="67"/>
  <c r="I59" i="67"/>
  <c r="I60" i="67"/>
  <c r="I61" i="67"/>
  <c r="I62" i="67"/>
  <c r="I63" i="67"/>
  <c r="I64" i="67"/>
  <c r="I65" i="67"/>
  <c r="I66" i="67"/>
  <c r="I67" i="67"/>
  <c r="I68" i="67"/>
  <c r="F75" i="67"/>
  <c r="F95" i="66"/>
  <c r="J16" i="66" s="1"/>
  <c r="F93" i="66"/>
  <c r="F92" i="66"/>
  <c r="F55" i="66"/>
  <c r="F56" i="66"/>
  <c r="F57" i="66"/>
  <c r="F58" i="66"/>
  <c r="F59" i="66"/>
  <c r="F60" i="66"/>
  <c r="F61" i="66"/>
  <c r="F62" i="66"/>
  <c r="F63" i="66"/>
  <c r="F64" i="66"/>
  <c r="F65" i="66"/>
  <c r="F66" i="66"/>
  <c r="F67" i="66"/>
  <c r="AD40" i="67"/>
  <c r="AE40" i="67" s="1"/>
  <c r="AF40" i="67" s="1"/>
  <c r="AF39" i="67"/>
  <c r="AD39" i="67"/>
  <c r="AF38" i="67"/>
  <c r="AD38" i="67"/>
  <c r="AF37" i="67"/>
  <c r="AD37" i="67"/>
  <c r="AF36" i="67"/>
  <c r="AD36" i="67"/>
  <c r="AF35" i="67"/>
  <c r="AD35" i="67"/>
  <c r="AD34" i="67"/>
  <c r="AE33" i="67"/>
  <c r="AF33" i="67" s="1"/>
  <c r="AD33" i="67"/>
  <c r="AE32" i="67"/>
  <c r="AF32" i="67" s="1"/>
  <c r="AD32" i="67"/>
  <c r="AE31" i="67" a="1"/>
  <c r="AE31" i="67" s="1"/>
  <c r="AF31" i="67" s="1"/>
  <c r="F28" i="76" s="1" a="1"/>
  <c r="F28" i="76" s="1"/>
  <c r="AD31" i="67"/>
  <c r="AE30" i="67"/>
  <c r="E28" i="76" s="1" a="1"/>
  <c r="E28" i="76" s="1"/>
  <c r="P28" i="76" s="1"/>
  <c r="Q28" i="76" s="1"/>
  <c r="AD30" i="67"/>
  <c r="F106" i="67"/>
  <c r="F105" i="67"/>
  <c r="F104" i="67"/>
  <c r="F103" i="67"/>
  <c r="F102" i="67"/>
  <c r="F101" i="67"/>
  <c r="F100" i="67"/>
  <c r="F99" i="67"/>
  <c r="F98" i="67"/>
  <c r="F97" i="67"/>
  <c r="F96" i="67"/>
  <c r="H88" i="67"/>
  <c r="I88" i="67" s="1"/>
  <c r="F88" i="67"/>
  <c r="H87" i="67"/>
  <c r="I87" i="67" s="1"/>
  <c r="F87" i="67"/>
  <c r="H86" i="67"/>
  <c r="I86" i="67" s="1"/>
  <c r="F86" i="67"/>
  <c r="H85" i="67"/>
  <c r="I85" i="67" s="1"/>
  <c r="F85" i="67"/>
  <c r="H84" i="67"/>
  <c r="I84" i="67" s="1"/>
  <c r="F84" i="67"/>
  <c r="H83" i="67"/>
  <c r="I83" i="67" s="1"/>
  <c r="F83" i="67"/>
  <c r="H82" i="67"/>
  <c r="I82" i="67" s="1"/>
  <c r="F82" i="67"/>
  <c r="H81" i="67"/>
  <c r="I81" i="67" s="1"/>
  <c r="F81" i="67"/>
  <c r="H80" i="67"/>
  <c r="I80" i="67" s="1"/>
  <c r="F80" i="67"/>
  <c r="H79" i="67"/>
  <c r="I79" i="67" s="1"/>
  <c r="F79" i="67"/>
  <c r="H78" i="67"/>
  <c r="I78" i="67" s="1"/>
  <c r="F78" i="67"/>
  <c r="H77" i="67"/>
  <c r="I77" i="67" s="1"/>
  <c r="F77" i="67"/>
  <c r="H76" i="67"/>
  <c r="I76" i="67" s="1"/>
  <c r="F76" i="67"/>
  <c r="H75" i="67"/>
  <c r="I75" i="67" s="1"/>
  <c r="H74" i="67"/>
  <c r="I74" i="67" s="1"/>
  <c r="F74" i="67"/>
  <c r="H16" i="67" s="1"/>
  <c r="F73" i="67"/>
  <c r="I73" i="67" s="1"/>
  <c r="F72" i="67"/>
  <c r="E24" i="67"/>
  <c r="A20" i="67"/>
  <c r="A19" i="67"/>
  <c r="A18" i="67"/>
  <c r="A21" i="67" s="1"/>
  <c r="A17" i="67"/>
  <c r="F17" i="67" s="1"/>
  <c r="J16" i="67"/>
  <c r="K16" i="67" s="1"/>
  <c r="A16" i="67"/>
  <c r="F16" i="67" s="1"/>
  <c r="M15" i="67" a="1"/>
  <c r="M15" i="67" s="1"/>
  <c r="E15" i="67"/>
  <c r="D15" i="67"/>
  <c r="C15" i="67"/>
  <c r="B15" i="67"/>
  <c r="B11" i="67"/>
  <c r="B10" i="67"/>
  <c r="AE34" i="67" s="1"/>
  <c r="AF34" i="67" s="1"/>
  <c r="AD40" i="66"/>
  <c r="AE40" i="66" s="1"/>
  <c r="AF40" i="66" s="1"/>
  <c r="AF39" i="66"/>
  <c r="AD39" i="66"/>
  <c r="AF38" i="66"/>
  <c r="AD38" i="66"/>
  <c r="AF37" i="66"/>
  <c r="AD37" i="66"/>
  <c r="AF36" i="66"/>
  <c r="AD36" i="66"/>
  <c r="AF35" i="66"/>
  <c r="AD35" i="66"/>
  <c r="AD34" i="66"/>
  <c r="AD33" i="66"/>
  <c r="AE32" i="66"/>
  <c r="AF32" i="66" s="1"/>
  <c r="AD32" i="66"/>
  <c r="AE31" i="66" a="1"/>
  <c r="AE31" i="66" s="1"/>
  <c r="AF31" i="66" s="1"/>
  <c r="AD31" i="66"/>
  <c r="AE30" i="66"/>
  <c r="AD30" i="66"/>
  <c r="F105" i="66"/>
  <c r="F104" i="66"/>
  <c r="F103" i="66"/>
  <c r="F102" i="66"/>
  <c r="F101" i="66"/>
  <c r="F100" i="66"/>
  <c r="F99" i="66"/>
  <c r="F98" i="66"/>
  <c r="F97" i="66"/>
  <c r="F96" i="66"/>
  <c r="H87" i="66"/>
  <c r="I87" i="66" s="1"/>
  <c r="F87" i="66"/>
  <c r="H86" i="66"/>
  <c r="I86" i="66" s="1"/>
  <c r="F86" i="66"/>
  <c r="H85" i="66"/>
  <c r="I85" i="66" s="1"/>
  <c r="F85" i="66"/>
  <c r="H84" i="66"/>
  <c r="I84" i="66" s="1"/>
  <c r="F84" i="66"/>
  <c r="H83" i="66"/>
  <c r="I83" i="66" s="1"/>
  <c r="F83" i="66"/>
  <c r="H82" i="66"/>
  <c r="I82" i="66" s="1"/>
  <c r="F82" i="66"/>
  <c r="H81" i="66"/>
  <c r="I81" i="66" s="1"/>
  <c r="F81" i="66"/>
  <c r="H80" i="66"/>
  <c r="I80" i="66" s="1"/>
  <c r="F80" i="66"/>
  <c r="H79" i="66"/>
  <c r="I79" i="66" s="1"/>
  <c r="F79" i="66"/>
  <c r="H78" i="66"/>
  <c r="I78" i="66" s="1"/>
  <c r="F78" i="66"/>
  <c r="H77" i="66"/>
  <c r="I77" i="66" s="1"/>
  <c r="F77" i="66"/>
  <c r="H76" i="66"/>
  <c r="I76" i="66" s="1"/>
  <c r="F76" i="66"/>
  <c r="H75" i="66"/>
  <c r="I75" i="66" s="1"/>
  <c r="F75" i="66"/>
  <c r="H74" i="66"/>
  <c r="I74" i="66" s="1"/>
  <c r="F74" i="66"/>
  <c r="H73" i="66"/>
  <c r="I73" i="66" s="1"/>
  <c r="F73" i="66"/>
  <c r="H72" i="66"/>
  <c r="I72" i="66" s="1"/>
  <c r="F72" i="66"/>
  <c r="H71" i="66"/>
  <c r="I71" i="66" s="1"/>
  <c r="F71" i="66"/>
  <c r="E24" i="66"/>
  <c r="A20" i="66"/>
  <c r="F20" i="66" s="1"/>
  <c r="A19" i="66"/>
  <c r="F19" i="66" s="1"/>
  <c r="A18" i="66"/>
  <c r="A21" i="66" s="1"/>
  <c r="A17" i="66"/>
  <c r="A16" i="66"/>
  <c r="M15" i="66" a="1"/>
  <c r="M15" i="66" s="1"/>
  <c r="E15" i="66"/>
  <c r="D15" i="66"/>
  <c r="C15" i="66"/>
  <c r="B15" i="66"/>
  <c r="AY15" i="66"/>
  <c r="B11" i="66"/>
  <c r="B10" i="66"/>
  <c r="AE34" i="66" s="1"/>
  <c r="AF34" i="66" s="1"/>
  <c r="F92" i="65"/>
  <c r="F93" i="65"/>
  <c r="F94" i="65"/>
  <c r="F95" i="65"/>
  <c r="F96" i="65"/>
  <c r="F97" i="65"/>
  <c r="J16" i="65" s="1"/>
  <c r="F98" i="65"/>
  <c r="F99" i="65"/>
  <c r="F100" i="65"/>
  <c r="F101" i="65"/>
  <c r="F102" i="65"/>
  <c r="F103" i="65"/>
  <c r="F104" i="65"/>
  <c r="F105" i="65"/>
  <c r="I55" i="65"/>
  <c r="I56" i="65"/>
  <c r="I57" i="65"/>
  <c r="F22" i="65" s="1" a="1"/>
  <c r="F22" i="65" s="1"/>
  <c r="I58" i="65"/>
  <c r="I59" i="65"/>
  <c r="I60" i="65"/>
  <c r="I61" i="65"/>
  <c r="I62" i="65"/>
  <c r="I63" i="65"/>
  <c r="I64" i="65"/>
  <c r="I65" i="65"/>
  <c r="I66" i="65"/>
  <c r="I67" i="65"/>
  <c r="F55" i="65"/>
  <c r="F56" i="65"/>
  <c r="F57" i="65"/>
  <c r="F58" i="65"/>
  <c r="AE33" i="65" s="1"/>
  <c r="AF33" i="65" s="1"/>
  <c r="F59" i="65"/>
  <c r="F60" i="65"/>
  <c r="F61" i="65"/>
  <c r="F62" i="65"/>
  <c r="F63" i="65"/>
  <c r="F64" i="65"/>
  <c r="F65" i="65"/>
  <c r="F66" i="65"/>
  <c r="F67" i="65"/>
  <c r="AD40" i="65"/>
  <c r="AE40" i="65" s="1"/>
  <c r="AF40" i="65" s="1"/>
  <c r="AF39" i="65"/>
  <c r="AD39" i="65"/>
  <c r="AF38" i="65"/>
  <c r="AD38" i="65"/>
  <c r="AF37" i="65"/>
  <c r="AD37" i="65"/>
  <c r="AF36" i="65"/>
  <c r="AD36" i="65"/>
  <c r="AF35" i="65"/>
  <c r="AD35" i="65"/>
  <c r="AE34" i="65"/>
  <c r="AF34" i="65" s="1"/>
  <c r="AD34" i="65"/>
  <c r="AD33" i="65"/>
  <c r="AF32" i="65"/>
  <c r="AD32" i="65"/>
  <c r="AE31" i="65" a="1"/>
  <c r="AE31" i="65" s="1"/>
  <c r="AF31" i="65" s="1"/>
  <c r="AD31" i="65"/>
  <c r="AE30" i="65"/>
  <c r="AD30" i="65"/>
  <c r="H87" i="65"/>
  <c r="I87" i="65" s="1"/>
  <c r="F87" i="65"/>
  <c r="H86" i="65"/>
  <c r="I86" i="65" s="1"/>
  <c r="F86" i="65"/>
  <c r="H85" i="65"/>
  <c r="I85" i="65" s="1"/>
  <c r="F85" i="65"/>
  <c r="H84" i="65"/>
  <c r="I84" i="65" s="1"/>
  <c r="F84" i="65"/>
  <c r="H83" i="65"/>
  <c r="I83" i="65" s="1"/>
  <c r="F83" i="65"/>
  <c r="H82" i="65"/>
  <c r="I82" i="65" s="1"/>
  <c r="F82" i="65"/>
  <c r="H81" i="65"/>
  <c r="I81" i="65" s="1"/>
  <c r="F81" i="65"/>
  <c r="H80" i="65"/>
  <c r="I80" i="65" s="1"/>
  <c r="F80" i="65"/>
  <c r="H79" i="65"/>
  <c r="I79" i="65" s="1"/>
  <c r="F79" i="65"/>
  <c r="H78" i="65"/>
  <c r="I78" i="65" s="1"/>
  <c r="F78" i="65"/>
  <c r="H77" i="65"/>
  <c r="I77" i="65" s="1"/>
  <c r="F77" i="65"/>
  <c r="H76" i="65"/>
  <c r="I76" i="65" s="1"/>
  <c r="F76" i="65"/>
  <c r="H75" i="65"/>
  <c r="I75" i="65" s="1"/>
  <c r="F75" i="65"/>
  <c r="I74" i="65"/>
  <c r="F74" i="65"/>
  <c r="H73" i="65"/>
  <c r="I73" i="65" s="1"/>
  <c r="F73" i="65"/>
  <c r="I72" i="65"/>
  <c r="F72" i="65"/>
  <c r="H71" i="65"/>
  <c r="I71" i="65" s="1"/>
  <c r="F71" i="65"/>
  <c r="E24" i="65"/>
  <c r="A20" i="65"/>
  <c r="F20" i="65" s="1"/>
  <c r="A19" i="65"/>
  <c r="F19" i="65" s="1"/>
  <c r="A18" i="65"/>
  <c r="A21" i="65" s="1"/>
  <c r="A17" i="65"/>
  <c r="A16" i="65"/>
  <c r="F16" i="65" s="1"/>
  <c r="M15" i="65" a="1"/>
  <c r="M15" i="65" s="1"/>
  <c r="E15" i="65"/>
  <c r="D15" i="65"/>
  <c r="C15" i="65"/>
  <c r="B15" i="65"/>
  <c r="AY15" i="65"/>
  <c r="AY16" i="65" s="1"/>
  <c r="B11" i="65"/>
  <c r="B10" i="65"/>
  <c r="F95" i="64"/>
  <c r="F96" i="64"/>
  <c r="F97" i="64"/>
  <c r="F98" i="64"/>
  <c r="F99" i="64"/>
  <c r="F100" i="64"/>
  <c r="F101" i="64"/>
  <c r="F102" i="64"/>
  <c r="F103" i="64"/>
  <c r="H95" i="64"/>
  <c r="H96" i="64"/>
  <c r="H97" i="64"/>
  <c r="I97" i="64" s="1"/>
  <c r="H98" i="64"/>
  <c r="I98" i="64" s="1"/>
  <c r="H99" i="64"/>
  <c r="H100" i="64"/>
  <c r="I100" i="64" s="1"/>
  <c r="H101" i="64"/>
  <c r="I101" i="64" s="1"/>
  <c r="H102" i="64"/>
  <c r="H103" i="64"/>
  <c r="F67" i="64"/>
  <c r="F68" i="64"/>
  <c r="F69" i="64"/>
  <c r="F70" i="64"/>
  <c r="F71" i="64"/>
  <c r="F72" i="64"/>
  <c r="F73" i="64"/>
  <c r="F74" i="64"/>
  <c r="F75" i="64"/>
  <c r="F76" i="64"/>
  <c r="F77" i="64"/>
  <c r="F78" i="64"/>
  <c r="F79" i="64"/>
  <c r="F80" i="64"/>
  <c r="F81" i="64"/>
  <c r="F82" i="64"/>
  <c r="F83" i="64"/>
  <c r="F84" i="64"/>
  <c r="F85" i="64"/>
  <c r="F86" i="64"/>
  <c r="F87" i="64"/>
  <c r="F88" i="64"/>
  <c r="F89" i="64"/>
  <c r="I80" i="64"/>
  <c r="I79" i="64"/>
  <c r="I78" i="64"/>
  <c r="I77" i="64"/>
  <c r="I76" i="64"/>
  <c r="I75" i="64"/>
  <c r="I74" i="64"/>
  <c r="I73" i="64"/>
  <c r="I72" i="64"/>
  <c r="I71" i="64"/>
  <c r="I70" i="64"/>
  <c r="I69" i="64"/>
  <c r="I68" i="64"/>
  <c r="I67" i="64"/>
  <c r="AD40" i="64"/>
  <c r="AE40" i="64" s="1"/>
  <c r="AF40" i="64" s="1"/>
  <c r="AF39" i="64"/>
  <c r="AD39" i="64"/>
  <c r="AF38" i="64"/>
  <c r="AD38" i="64"/>
  <c r="AF37" i="64"/>
  <c r="AD37" i="64"/>
  <c r="AF36" i="64"/>
  <c r="AD36" i="64"/>
  <c r="AF35" i="64"/>
  <c r="AD35" i="64"/>
  <c r="AD34" i="64"/>
  <c r="AD33" i="64"/>
  <c r="AF32" i="64"/>
  <c r="AD32" i="64"/>
  <c r="AE31" i="64" a="1"/>
  <c r="AE31" i="64" s="1"/>
  <c r="AF31" i="64" s="1"/>
  <c r="AD31" i="64"/>
  <c r="AE30" i="64"/>
  <c r="AD30" i="64"/>
  <c r="F142" i="64"/>
  <c r="F141" i="64"/>
  <c r="F140" i="64"/>
  <c r="F139" i="64"/>
  <c r="F138" i="64"/>
  <c r="F137" i="64"/>
  <c r="F136" i="64"/>
  <c r="F135" i="64"/>
  <c r="F134" i="64"/>
  <c r="F133" i="64"/>
  <c r="F132" i="64"/>
  <c r="F131" i="64"/>
  <c r="H124" i="64"/>
  <c r="F124" i="64"/>
  <c r="H123" i="64"/>
  <c r="F123" i="64"/>
  <c r="H122" i="64"/>
  <c r="F122" i="64"/>
  <c r="H121" i="64"/>
  <c r="F121" i="64"/>
  <c r="H120" i="64"/>
  <c r="F120" i="64"/>
  <c r="H119" i="64"/>
  <c r="I119" i="64" s="1"/>
  <c r="F119" i="64"/>
  <c r="H112" i="64"/>
  <c r="F112" i="64"/>
  <c r="H111" i="64"/>
  <c r="F111" i="64"/>
  <c r="H110" i="64"/>
  <c r="F110" i="64"/>
  <c r="H109" i="64"/>
  <c r="F109" i="64"/>
  <c r="H108" i="64"/>
  <c r="F108" i="64"/>
  <c r="H107" i="64"/>
  <c r="F107" i="64"/>
  <c r="H106" i="64"/>
  <c r="F106" i="64"/>
  <c r="H105" i="64"/>
  <c r="F105" i="64"/>
  <c r="H104" i="64"/>
  <c r="F104" i="64"/>
  <c r="H94" i="64"/>
  <c r="F94" i="64"/>
  <c r="H93" i="64"/>
  <c r="F93" i="64"/>
  <c r="E24" i="64"/>
  <c r="A20" i="64"/>
  <c r="A22" i="64" s="1"/>
  <c r="A19" i="64"/>
  <c r="A18" i="64"/>
  <c r="A21" i="64" s="1"/>
  <c r="A17" i="64"/>
  <c r="A16" i="64"/>
  <c r="M15" i="64" a="1"/>
  <c r="M15" i="64" s="1"/>
  <c r="E15" i="64"/>
  <c r="D15" i="64"/>
  <c r="C15" i="64"/>
  <c r="B15" i="64"/>
  <c r="AY15" i="64"/>
  <c r="B11" i="64"/>
  <c r="B10" i="64"/>
  <c r="AE34" i="64" s="1"/>
  <c r="AF34" i="64" s="1"/>
  <c r="F110" i="63"/>
  <c r="F111" i="63"/>
  <c r="F112" i="63"/>
  <c r="F113" i="63"/>
  <c r="F114" i="63"/>
  <c r="F109" i="63"/>
  <c r="H93" i="63"/>
  <c r="F80" i="63"/>
  <c r="H80" i="63"/>
  <c r="I80" i="63" s="1"/>
  <c r="F81" i="63"/>
  <c r="H81" i="63"/>
  <c r="I81" i="63" s="1"/>
  <c r="F82" i="63"/>
  <c r="H82" i="63"/>
  <c r="I82" i="63" s="1"/>
  <c r="F83" i="63"/>
  <c r="H83" i="63"/>
  <c r="I83" i="63" s="1"/>
  <c r="F84" i="63"/>
  <c r="H84" i="63"/>
  <c r="I84" i="63" s="1"/>
  <c r="F85" i="63"/>
  <c r="H85" i="63"/>
  <c r="I85" i="63" s="1"/>
  <c r="F86" i="63"/>
  <c r="H86" i="63"/>
  <c r="I86" i="63" s="1"/>
  <c r="F87" i="63"/>
  <c r="H87" i="63"/>
  <c r="I87" i="63" s="1"/>
  <c r="F88" i="63"/>
  <c r="H88" i="63"/>
  <c r="I88" i="63" s="1"/>
  <c r="F89" i="63"/>
  <c r="I89" i="63"/>
  <c r="F59" i="63"/>
  <c r="F60" i="63"/>
  <c r="F61" i="63"/>
  <c r="F62" i="63"/>
  <c r="F63" i="63"/>
  <c r="F64" i="63"/>
  <c r="F65" i="63"/>
  <c r="F66" i="63"/>
  <c r="F23" i="63" s="1" a="1"/>
  <c r="F23" i="63" s="1"/>
  <c r="F67" i="63"/>
  <c r="F68" i="63"/>
  <c r="F69" i="63"/>
  <c r="F70" i="63"/>
  <c r="F71" i="63"/>
  <c r="F72" i="63"/>
  <c r="F73" i="63"/>
  <c r="F74" i="63"/>
  <c r="F75" i="63"/>
  <c r="F76" i="63"/>
  <c r="F53" i="63"/>
  <c r="F51" i="63"/>
  <c r="F50" i="63"/>
  <c r="B11" i="63"/>
  <c r="B10" i="63"/>
  <c r="AE34" i="63" s="1"/>
  <c r="AF34" i="63" s="1"/>
  <c r="F55" i="62"/>
  <c r="F56" i="62"/>
  <c r="F57" i="62"/>
  <c r="F58" i="62"/>
  <c r="B22" i="62" s="1" a="1"/>
  <c r="B22" i="62" s="1"/>
  <c r="F59" i="62"/>
  <c r="F60" i="62"/>
  <c r="F61" i="62"/>
  <c r="F21" i="62" s="1" a="1"/>
  <c r="F21" i="62" s="1"/>
  <c r="F62" i="62"/>
  <c r="B21" i="62" s="1" a="1"/>
  <c r="B21" i="62" s="1"/>
  <c r="F63" i="62"/>
  <c r="F64" i="62"/>
  <c r="F65" i="62"/>
  <c r="F66" i="62"/>
  <c r="F67" i="62"/>
  <c r="F101" i="62"/>
  <c r="F102" i="62"/>
  <c r="F103" i="62"/>
  <c r="F104" i="62"/>
  <c r="F105" i="62"/>
  <c r="F92" i="62"/>
  <c r="F93" i="62"/>
  <c r="F94" i="62"/>
  <c r="J16" i="62" s="1"/>
  <c r="F95" i="62"/>
  <c r="F96" i="62"/>
  <c r="F97" i="62"/>
  <c r="F98" i="62"/>
  <c r="F99" i="62"/>
  <c r="F100" i="62"/>
  <c r="AD40" i="63"/>
  <c r="AF39" i="63"/>
  <c r="AD39" i="63"/>
  <c r="AF38" i="63"/>
  <c r="AD38" i="63"/>
  <c r="AF37" i="63"/>
  <c r="AD37" i="63"/>
  <c r="AF36" i="63"/>
  <c r="AD36" i="63"/>
  <c r="AF35" i="63"/>
  <c r="AD35" i="63"/>
  <c r="AD34" i="63"/>
  <c r="AD33" i="63"/>
  <c r="AE32" i="63"/>
  <c r="AF32" i="63" s="1"/>
  <c r="AD32" i="63"/>
  <c r="AE31" i="63" a="1"/>
  <c r="AE31" i="63" s="1"/>
  <c r="AF31" i="63" s="1"/>
  <c r="AD31" i="63"/>
  <c r="AE30" i="63"/>
  <c r="AD30" i="63"/>
  <c r="J16" i="63"/>
  <c r="H96" i="63"/>
  <c r="I96" i="63" s="1"/>
  <c r="F96" i="63"/>
  <c r="H95" i="63"/>
  <c r="I95" i="63" s="1"/>
  <c r="F95" i="63"/>
  <c r="H94" i="63"/>
  <c r="I94" i="63" s="1"/>
  <c r="F94" i="63"/>
  <c r="I93" i="63"/>
  <c r="F93" i="63"/>
  <c r="H92" i="63"/>
  <c r="I92" i="63" s="1"/>
  <c r="F92" i="63"/>
  <c r="H91" i="63"/>
  <c r="I91" i="63" s="1"/>
  <c r="F91" i="63"/>
  <c r="H90" i="63"/>
  <c r="I90" i="63" s="1"/>
  <c r="F90" i="63"/>
  <c r="E24" i="63"/>
  <c r="A20" i="63"/>
  <c r="F20" i="63" s="1"/>
  <c r="A19" i="63"/>
  <c r="F19" i="63" s="1"/>
  <c r="A18" i="63"/>
  <c r="A21" i="63" s="1"/>
  <c r="A17" i="63"/>
  <c r="A16" i="63"/>
  <c r="E15" i="63"/>
  <c r="D15" i="63"/>
  <c r="C15" i="63"/>
  <c r="B15" i="63"/>
  <c r="AY15" i="63"/>
  <c r="AD40" i="62"/>
  <c r="AE40" i="62" s="1"/>
  <c r="AF40" i="62" s="1"/>
  <c r="AF39" i="62"/>
  <c r="AD39" i="62"/>
  <c r="AF38" i="62"/>
  <c r="AD38" i="62"/>
  <c r="AF37" i="62"/>
  <c r="AD37" i="62"/>
  <c r="AF36" i="62"/>
  <c r="AD36" i="62"/>
  <c r="AF35" i="62"/>
  <c r="AD35" i="62"/>
  <c r="AD34" i="62"/>
  <c r="AE33" i="62"/>
  <c r="AF33" i="62" s="1"/>
  <c r="AD33" i="62"/>
  <c r="AE32" i="62"/>
  <c r="AF32" i="62" s="1"/>
  <c r="AD32" i="62"/>
  <c r="AE31" i="62" a="1"/>
  <c r="AE31" i="62" s="1"/>
  <c r="AF31" i="62" s="1"/>
  <c r="AD31" i="62"/>
  <c r="AE30" i="62"/>
  <c r="AD30" i="62"/>
  <c r="H87" i="62"/>
  <c r="I87" i="62" s="1"/>
  <c r="F87" i="62"/>
  <c r="H86" i="62"/>
  <c r="I86" i="62" s="1"/>
  <c r="F86" i="62"/>
  <c r="H85" i="62"/>
  <c r="I85" i="62" s="1"/>
  <c r="F85" i="62"/>
  <c r="H84" i="62"/>
  <c r="I84" i="62" s="1"/>
  <c r="F84" i="62"/>
  <c r="H83" i="62"/>
  <c r="I83" i="62" s="1"/>
  <c r="F83" i="62"/>
  <c r="H82" i="62"/>
  <c r="I82" i="62" s="1"/>
  <c r="F82" i="62"/>
  <c r="H81" i="62"/>
  <c r="I81" i="62" s="1"/>
  <c r="F81" i="62"/>
  <c r="H80" i="62"/>
  <c r="I80" i="62" s="1"/>
  <c r="F80" i="62"/>
  <c r="H79" i="62"/>
  <c r="I79" i="62" s="1"/>
  <c r="F79" i="62"/>
  <c r="H78" i="62"/>
  <c r="I78" i="62" s="1"/>
  <c r="F78" i="62"/>
  <c r="H77" i="62"/>
  <c r="I77" i="62" s="1"/>
  <c r="F77" i="62"/>
  <c r="H76" i="62"/>
  <c r="I76" i="62" s="1"/>
  <c r="F76" i="62"/>
  <c r="H75" i="62"/>
  <c r="I75" i="62" s="1"/>
  <c r="F75" i="62"/>
  <c r="H74" i="62"/>
  <c r="F74" i="62"/>
  <c r="H73" i="62"/>
  <c r="F73" i="62"/>
  <c r="H72" i="62"/>
  <c r="F72" i="62"/>
  <c r="H71" i="62"/>
  <c r="I71" i="62" s="1"/>
  <c r="F71" i="62"/>
  <c r="E24" i="62"/>
  <c r="F22" i="62" a="1"/>
  <c r="F22" i="62" s="1"/>
  <c r="A20" i="62"/>
  <c r="A19" i="62"/>
  <c r="A18" i="62"/>
  <c r="A21" i="62" s="1"/>
  <c r="A17" i="62"/>
  <c r="B17" i="62" s="1"/>
  <c r="A16" i="62"/>
  <c r="M15" i="62" a="1"/>
  <c r="M15" i="62" s="1"/>
  <c r="E15" i="62"/>
  <c r="D15" i="62"/>
  <c r="C15" i="62"/>
  <c r="B15" i="62"/>
  <c r="BA15" i="62"/>
  <c r="B11" i="62"/>
  <c r="B10" i="62"/>
  <c r="AE34" i="62" s="1"/>
  <c r="AF34" i="62" s="1"/>
  <c r="F92" i="61"/>
  <c r="AD40" i="61"/>
  <c r="AE40" i="61" s="1"/>
  <c r="AF40" i="61" s="1"/>
  <c r="AF39" i="61"/>
  <c r="AD39" i="61"/>
  <c r="AF38" i="61"/>
  <c r="AD38" i="61"/>
  <c r="AF37" i="61"/>
  <c r="AD37" i="61"/>
  <c r="AF36" i="61"/>
  <c r="AD36" i="61"/>
  <c r="AF35" i="61"/>
  <c r="AD35" i="61"/>
  <c r="AE34" i="61"/>
  <c r="AF34" i="61" s="1"/>
  <c r="AD34" i="61"/>
  <c r="AE33" i="61"/>
  <c r="AF33" i="61" s="1"/>
  <c r="AD33" i="61"/>
  <c r="AE32" i="61"/>
  <c r="AF32" i="61" s="1"/>
  <c r="AD32" i="61"/>
  <c r="AE31" i="61" a="1"/>
  <c r="AE31" i="61" s="1"/>
  <c r="AF31" i="61" s="1"/>
  <c r="AD31" i="61"/>
  <c r="AE30" i="61"/>
  <c r="AD30" i="61"/>
  <c r="H87" i="61"/>
  <c r="I87" i="61" s="1"/>
  <c r="F87" i="61"/>
  <c r="H86" i="61"/>
  <c r="I86" i="61" s="1"/>
  <c r="F86" i="61"/>
  <c r="H85" i="61"/>
  <c r="I85" i="61" s="1"/>
  <c r="F85" i="61"/>
  <c r="H84" i="61"/>
  <c r="I84" i="61" s="1"/>
  <c r="F84" i="61"/>
  <c r="H83" i="61"/>
  <c r="I83" i="61" s="1"/>
  <c r="F83" i="61"/>
  <c r="H82" i="61"/>
  <c r="I82" i="61" s="1"/>
  <c r="F82" i="61"/>
  <c r="H81" i="61"/>
  <c r="I81" i="61" s="1"/>
  <c r="F81" i="61"/>
  <c r="H80" i="61"/>
  <c r="I80" i="61" s="1"/>
  <c r="F80" i="61"/>
  <c r="H79" i="61"/>
  <c r="I79" i="61" s="1"/>
  <c r="F79" i="61"/>
  <c r="H78" i="61"/>
  <c r="I78" i="61" s="1"/>
  <c r="F78" i="61"/>
  <c r="H77" i="61"/>
  <c r="I77" i="61" s="1"/>
  <c r="F77" i="61"/>
  <c r="H76" i="61"/>
  <c r="I76" i="61" s="1"/>
  <c r="F76" i="61"/>
  <c r="H75" i="61"/>
  <c r="I75" i="61" s="1"/>
  <c r="F75" i="61"/>
  <c r="H74" i="61"/>
  <c r="F74" i="61"/>
  <c r="H73" i="61"/>
  <c r="F73" i="61"/>
  <c r="H72" i="61"/>
  <c r="I72" i="61" s="1"/>
  <c r="F72" i="61"/>
  <c r="H71" i="61"/>
  <c r="I71" i="61" s="1"/>
  <c r="F71" i="61"/>
  <c r="E24" i="61"/>
  <c r="F23" i="61" a="1"/>
  <c r="F23" i="61" s="1"/>
  <c r="F22" i="61" a="1"/>
  <c r="F22" i="61" s="1"/>
  <c r="F21" i="61" a="1"/>
  <c r="F21" i="61" s="1"/>
  <c r="D21" i="61" a="1"/>
  <c r="D21" i="61" s="1"/>
  <c r="C21" i="61" a="1"/>
  <c r="C21" i="61" s="1"/>
  <c r="A20" i="61"/>
  <c r="A22" i="61" s="1"/>
  <c r="A19" i="61"/>
  <c r="A18" i="61"/>
  <c r="A21" i="61" s="1"/>
  <c r="A17" i="61"/>
  <c r="C17" i="61" s="1"/>
  <c r="J16" i="61"/>
  <c r="K16" i="61" s="1"/>
  <c r="A16" i="61"/>
  <c r="F16" i="61" s="1"/>
  <c r="M15" i="61" a="1"/>
  <c r="M15" i="61" s="1"/>
  <c r="E15" i="61"/>
  <c r="E20" i="61" s="1"/>
  <c r="D15" i="61"/>
  <c r="D22" i="61" s="1" a="1"/>
  <c r="D22" i="61" s="1"/>
  <c r="C15" i="61"/>
  <c r="C22" i="61" s="1" a="1"/>
  <c r="C22" i="61" s="1"/>
  <c r="B15" i="61"/>
  <c r="B17" i="61" s="1"/>
  <c r="AY15" i="61"/>
  <c r="AY16" i="61" s="1"/>
  <c r="B11" i="61"/>
  <c r="B10" i="61"/>
  <c r="B11" i="58"/>
  <c r="B11" i="59"/>
  <c r="B10" i="59"/>
  <c r="B11" i="60"/>
  <c r="B10" i="60"/>
  <c r="AE34" i="60" s="1"/>
  <c r="AF34" i="60" s="1"/>
  <c r="F67" i="60"/>
  <c r="F68" i="60"/>
  <c r="F69" i="60"/>
  <c r="F70" i="60"/>
  <c r="F71" i="60"/>
  <c r="F72" i="60"/>
  <c r="F73" i="60"/>
  <c r="F74" i="60"/>
  <c r="F75" i="60"/>
  <c r="F76" i="60"/>
  <c r="F77" i="60"/>
  <c r="F78" i="60"/>
  <c r="F79" i="60"/>
  <c r="F80" i="60"/>
  <c r="F81" i="60"/>
  <c r="F82" i="60"/>
  <c r="F83" i="60"/>
  <c r="F84" i="60"/>
  <c r="F85" i="60"/>
  <c r="F86" i="60"/>
  <c r="F87" i="60"/>
  <c r="F88" i="60"/>
  <c r="F89" i="60"/>
  <c r="F90" i="60"/>
  <c r="F91" i="60"/>
  <c r="F92" i="60"/>
  <c r="F93" i="60"/>
  <c r="F94" i="60"/>
  <c r="F95" i="60"/>
  <c r="I95" i="60"/>
  <c r="I94" i="60"/>
  <c r="I93" i="60"/>
  <c r="I90" i="60"/>
  <c r="I89" i="60"/>
  <c r="I88" i="60"/>
  <c r="I86" i="60"/>
  <c r="I85" i="60"/>
  <c r="I84" i="60"/>
  <c r="I83" i="60"/>
  <c r="I82" i="60"/>
  <c r="I78" i="60"/>
  <c r="I77" i="60"/>
  <c r="I76" i="60"/>
  <c r="I75" i="60"/>
  <c r="I74" i="60"/>
  <c r="I73" i="60"/>
  <c r="I72" i="60"/>
  <c r="I71" i="60"/>
  <c r="I70" i="60"/>
  <c r="I69" i="60"/>
  <c r="I68" i="60"/>
  <c r="I67" i="60"/>
  <c r="AF32" i="60"/>
  <c r="AE31" i="60" a="1"/>
  <c r="AE31" i="60" s="1"/>
  <c r="AF31" i="60" s="1"/>
  <c r="E24" i="60"/>
  <c r="F99" i="60"/>
  <c r="H99" i="60"/>
  <c r="I99" i="60" s="1"/>
  <c r="F100" i="60"/>
  <c r="H100" i="60"/>
  <c r="F101" i="60"/>
  <c r="H101" i="60"/>
  <c r="I101" i="60" s="1"/>
  <c r="F102" i="60"/>
  <c r="H102" i="60"/>
  <c r="I102" i="60" s="1"/>
  <c r="F103" i="60"/>
  <c r="H103" i="60"/>
  <c r="I103" i="60" s="1"/>
  <c r="F104" i="60"/>
  <c r="H104" i="60"/>
  <c r="I104" i="60" s="1"/>
  <c r="F125" i="60"/>
  <c r="F126" i="60"/>
  <c r="F127" i="60"/>
  <c r="F128" i="60"/>
  <c r="F129" i="60"/>
  <c r="F130" i="60"/>
  <c r="F131" i="60"/>
  <c r="F132" i="60"/>
  <c r="F133" i="60"/>
  <c r="F134" i="60"/>
  <c r="F135" i="60"/>
  <c r="F136" i="60"/>
  <c r="F137" i="60"/>
  <c r="F138" i="60"/>
  <c r="F139" i="60"/>
  <c r="F140" i="60"/>
  <c r="F141" i="60"/>
  <c r="F142" i="60"/>
  <c r="F143" i="60"/>
  <c r="F144" i="60"/>
  <c r="F145" i="60"/>
  <c r="F146" i="60"/>
  <c r="F147" i="60"/>
  <c r="F148" i="60"/>
  <c r="F149" i="60"/>
  <c r="F150" i="60"/>
  <c r="F151" i="60"/>
  <c r="F124" i="60"/>
  <c r="AD40" i="60"/>
  <c r="AE40" i="60" s="1"/>
  <c r="AF39" i="60"/>
  <c r="AD39" i="60"/>
  <c r="AD38" i="60"/>
  <c r="AF37" i="60"/>
  <c r="AD37" i="60"/>
  <c r="AF36" i="60"/>
  <c r="AD36" i="60"/>
  <c r="AF35" i="60"/>
  <c r="AD35" i="60"/>
  <c r="AD34" i="60"/>
  <c r="AD33" i="60"/>
  <c r="AD32" i="60"/>
  <c r="AD31" i="60"/>
  <c r="AE30" i="60"/>
  <c r="AD30" i="60"/>
  <c r="H119" i="60"/>
  <c r="F119" i="60"/>
  <c r="H118" i="60"/>
  <c r="F118" i="60"/>
  <c r="H117" i="60"/>
  <c r="F117" i="60"/>
  <c r="H116" i="60"/>
  <c r="F116" i="60"/>
  <c r="H115" i="60"/>
  <c r="F115" i="60"/>
  <c r="H114" i="60"/>
  <c r="I114" i="60" s="1"/>
  <c r="F114" i="60"/>
  <c r="H113" i="60"/>
  <c r="I113" i="60" s="1"/>
  <c r="F113" i="60"/>
  <c r="H112" i="60"/>
  <c r="F112" i="60"/>
  <c r="H111" i="60"/>
  <c r="F111" i="60"/>
  <c r="H110" i="60"/>
  <c r="I110" i="60" s="1"/>
  <c r="F110" i="60"/>
  <c r="H109" i="60"/>
  <c r="F109" i="60"/>
  <c r="H108" i="60"/>
  <c r="F108" i="60"/>
  <c r="H107" i="60"/>
  <c r="F107" i="60"/>
  <c r="H106" i="60"/>
  <c r="I106" i="60" s="1"/>
  <c r="F106" i="60"/>
  <c r="H105" i="60"/>
  <c r="F105" i="60"/>
  <c r="A20" i="60"/>
  <c r="A22" i="60" s="1"/>
  <c r="A19" i="60"/>
  <c r="F19" i="60" s="1"/>
  <c r="A18" i="60"/>
  <c r="C18" i="60" s="1"/>
  <c r="A17" i="60"/>
  <c r="F17" i="60" s="1"/>
  <c r="I16" i="60"/>
  <c r="A16" i="60"/>
  <c r="M15" i="60" a="1"/>
  <c r="M15" i="60" s="1"/>
  <c r="E15" i="60"/>
  <c r="D15" i="60"/>
  <c r="C15" i="60"/>
  <c r="B15" i="60"/>
  <c r="BA15" i="60"/>
  <c r="AD40" i="59"/>
  <c r="AE40" i="59" s="1"/>
  <c r="AF40" i="59" s="1"/>
  <c r="O10" i="76" s="1" a="1"/>
  <c r="O10" i="76" s="1"/>
  <c r="AF39" i="59"/>
  <c r="N10" i="76" s="1" a="1"/>
  <c r="N10" i="76" s="1"/>
  <c r="AD39" i="59"/>
  <c r="AF38" i="59"/>
  <c r="M10" i="76" s="1" a="1"/>
  <c r="M10" i="76" s="1"/>
  <c r="AD38" i="59"/>
  <c r="AF37" i="59"/>
  <c r="L10" i="76" s="1" a="1"/>
  <c r="L10" i="76" s="1"/>
  <c r="AD37" i="59"/>
  <c r="AF36" i="59"/>
  <c r="K10" i="76" s="1" a="1"/>
  <c r="K10" i="76" s="1"/>
  <c r="AD36" i="59"/>
  <c r="AF35" i="59"/>
  <c r="J10" i="76" s="1" a="1"/>
  <c r="J10" i="76" s="1"/>
  <c r="AD35" i="59"/>
  <c r="AD34" i="59"/>
  <c r="AE33" i="59"/>
  <c r="AF33" i="59" s="1"/>
  <c r="H10" i="76" s="1" a="1"/>
  <c r="H10" i="76" s="1"/>
  <c r="AD33" i="59"/>
  <c r="AE32" i="59"/>
  <c r="AF32" i="59" s="1"/>
  <c r="G10" i="76" s="1" a="1"/>
  <c r="G10" i="76" s="1"/>
  <c r="AD32" i="59"/>
  <c r="AE31" i="59" a="1"/>
  <c r="AE31" i="59" s="1"/>
  <c r="AF31" i="59" s="1"/>
  <c r="F10" i="76" s="1" a="1"/>
  <c r="F10" i="76" s="1"/>
  <c r="AD31" i="59"/>
  <c r="AE30" i="59"/>
  <c r="AF30" i="59" s="1"/>
  <c r="E10" i="76" s="1" a="1"/>
  <c r="E10" i="76" s="1"/>
  <c r="AD30" i="59"/>
  <c r="H87" i="59"/>
  <c r="I87" i="59" s="1"/>
  <c r="F87" i="59"/>
  <c r="H86" i="59"/>
  <c r="I86" i="59" s="1"/>
  <c r="F86" i="59"/>
  <c r="H85" i="59"/>
  <c r="I85" i="59" s="1"/>
  <c r="F85" i="59"/>
  <c r="H84" i="59"/>
  <c r="I84" i="59" s="1"/>
  <c r="F84" i="59"/>
  <c r="H83" i="59"/>
  <c r="I83" i="59" s="1"/>
  <c r="F83" i="59"/>
  <c r="H82" i="59"/>
  <c r="I82" i="59" s="1"/>
  <c r="F82" i="59"/>
  <c r="H81" i="59"/>
  <c r="I81" i="59" s="1"/>
  <c r="F81" i="59"/>
  <c r="H80" i="59"/>
  <c r="I80" i="59" s="1"/>
  <c r="F80" i="59"/>
  <c r="F79" i="59"/>
  <c r="H78" i="59"/>
  <c r="F78" i="59"/>
  <c r="H77" i="59"/>
  <c r="F77" i="59"/>
  <c r="H76" i="59"/>
  <c r="F76" i="59"/>
  <c r="H75" i="59"/>
  <c r="F75" i="59"/>
  <c r="H74" i="59"/>
  <c r="F74" i="59"/>
  <c r="H73" i="59"/>
  <c r="F73" i="59"/>
  <c r="H72" i="59"/>
  <c r="F72" i="59"/>
  <c r="H71" i="59"/>
  <c r="F71" i="59"/>
  <c r="H16" i="59" s="1"/>
  <c r="E24" i="59"/>
  <c r="F23" i="59" a="1"/>
  <c r="F23" i="59" s="1"/>
  <c r="F22" i="59" a="1"/>
  <c r="F22" i="59" s="1"/>
  <c r="F21" i="59" a="1"/>
  <c r="F21" i="59" s="1"/>
  <c r="A20" i="59"/>
  <c r="A19" i="59"/>
  <c r="F19" i="59" s="1"/>
  <c r="A18" i="59"/>
  <c r="A17" i="59"/>
  <c r="F17" i="59" s="1"/>
  <c r="J16" i="59"/>
  <c r="A16" i="59"/>
  <c r="F16" i="59" s="1"/>
  <c r="M15" i="59" a="1"/>
  <c r="M15" i="59" s="1"/>
  <c r="E15" i="59"/>
  <c r="D15" i="59"/>
  <c r="C15" i="59"/>
  <c r="B15" i="59"/>
  <c r="B17" i="59" s="1"/>
  <c r="BA15" i="59"/>
  <c r="AF34" i="59"/>
  <c r="I10" i="76" s="1" a="1"/>
  <c r="I10" i="76" s="1"/>
  <c r="F116" i="58"/>
  <c r="F117" i="58"/>
  <c r="F118" i="58"/>
  <c r="F119" i="58"/>
  <c r="F120" i="58"/>
  <c r="F121" i="58"/>
  <c r="F122" i="58"/>
  <c r="F123" i="58"/>
  <c r="F124" i="58"/>
  <c r="F125" i="58"/>
  <c r="F126" i="58"/>
  <c r="F127" i="58"/>
  <c r="F128" i="58"/>
  <c r="F129" i="58"/>
  <c r="F130" i="58"/>
  <c r="F131" i="58"/>
  <c r="F132" i="58"/>
  <c r="F133" i="58"/>
  <c r="F134" i="58"/>
  <c r="F135" i="58"/>
  <c r="F136" i="58"/>
  <c r="F138" i="58"/>
  <c r="F139" i="58"/>
  <c r="F140" i="58"/>
  <c r="F141" i="58"/>
  <c r="F142" i="58"/>
  <c r="F143" i="58"/>
  <c r="F144" i="58"/>
  <c r="F145" i="58"/>
  <c r="F114" i="58"/>
  <c r="F115" i="58"/>
  <c r="F95" i="58"/>
  <c r="F96" i="58"/>
  <c r="F97" i="58"/>
  <c r="F98" i="58"/>
  <c r="F99" i="58"/>
  <c r="F100" i="58"/>
  <c r="F101" i="58"/>
  <c r="F102" i="58"/>
  <c r="F103" i="58"/>
  <c r="F104" i="58"/>
  <c r="F105" i="58"/>
  <c r="F106" i="58"/>
  <c r="F107" i="58"/>
  <c r="F108" i="58"/>
  <c r="F109" i="58"/>
  <c r="F110" i="58"/>
  <c r="F111" i="58"/>
  <c r="F112" i="58"/>
  <c r="F113" i="58"/>
  <c r="F94" i="58"/>
  <c r="F58" i="58"/>
  <c r="F59" i="58"/>
  <c r="F60" i="58"/>
  <c r="F61" i="58"/>
  <c r="F62" i="58"/>
  <c r="F63" i="58"/>
  <c r="F65" i="58"/>
  <c r="F57" i="58"/>
  <c r="I65" i="58"/>
  <c r="I63" i="58"/>
  <c r="B10" i="58"/>
  <c r="AE34" i="58" s="1"/>
  <c r="AF34" i="58" s="1"/>
  <c r="AD40" i="58"/>
  <c r="AE40" i="58" s="1"/>
  <c r="AF39" i="58"/>
  <c r="AD39" i="58"/>
  <c r="AF38" i="58"/>
  <c r="AD38" i="58"/>
  <c r="AF37" i="58"/>
  <c r="AD37" i="58"/>
  <c r="AF36" i="58"/>
  <c r="AD36" i="58"/>
  <c r="AF35" i="58"/>
  <c r="AD35" i="58"/>
  <c r="AD34" i="58"/>
  <c r="AD33" i="58"/>
  <c r="AE32" i="58"/>
  <c r="AF32" i="58" s="1"/>
  <c r="AD32" i="58"/>
  <c r="AE31" i="58" a="1"/>
  <c r="AE31" i="58" s="1"/>
  <c r="AF31" i="58" s="1"/>
  <c r="AD31" i="58"/>
  <c r="AE30" i="58"/>
  <c r="AD30" i="58"/>
  <c r="I79" i="58"/>
  <c r="I78" i="58"/>
  <c r="F78" i="58"/>
  <c r="H77" i="58"/>
  <c r="I77" i="58" s="1"/>
  <c r="F77" i="58"/>
  <c r="H76" i="58"/>
  <c r="I76" i="58" s="1"/>
  <c r="F76" i="58"/>
  <c r="H75" i="58"/>
  <c r="I75" i="58" s="1"/>
  <c r="F75" i="58"/>
  <c r="H74" i="58"/>
  <c r="I74" i="58" s="1"/>
  <c r="F74" i="58"/>
  <c r="H73" i="58"/>
  <c r="I73" i="58" s="1"/>
  <c r="F73" i="58"/>
  <c r="E24" i="58"/>
  <c r="A20" i="58"/>
  <c r="A22" i="58" s="1"/>
  <c r="A19" i="58"/>
  <c r="F19" i="58" s="1"/>
  <c r="A18" i="58"/>
  <c r="A17" i="58"/>
  <c r="F17" i="58" s="1"/>
  <c r="A16" i="58"/>
  <c r="E15" i="58"/>
  <c r="D15" i="58"/>
  <c r="C15" i="58"/>
  <c r="B15" i="58"/>
  <c r="BA15" i="58"/>
  <c r="F72" i="56"/>
  <c r="F73" i="56"/>
  <c r="F74" i="56"/>
  <c r="F75" i="56"/>
  <c r="F71" i="56"/>
  <c r="F56" i="56"/>
  <c r="F57" i="56"/>
  <c r="F59" i="56"/>
  <c r="F60" i="56"/>
  <c r="F61" i="56"/>
  <c r="F63" i="56"/>
  <c r="F67" i="56"/>
  <c r="I77" i="56"/>
  <c r="I78" i="56"/>
  <c r="I79" i="56"/>
  <c r="I80" i="56"/>
  <c r="AD40" i="56"/>
  <c r="AE40" i="56" s="1"/>
  <c r="AF40" i="56" s="1"/>
  <c r="AF39" i="56"/>
  <c r="AD39" i="56"/>
  <c r="AF38" i="56"/>
  <c r="AD38" i="56"/>
  <c r="AF37" i="56"/>
  <c r="AD37" i="56"/>
  <c r="AF36" i="56"/>
  <c r="AD36" i="56"/>
  <c r="AF35" i="56"/>
  <c r="AD35" i="56"/>
  <c r="AD34" i="56"/>
  <c r="AE33" i="56"/>
  <c r="AF33" i="56" s="1"/>
  <c r="AD33" i="56"/>
  <c r="AE32" i="56"/>
  <c r="AF32" i="56" s="1"/>
  <c r="AD32" i="56"/>
  <c r="AE31" i="56" a="1"/>
  <c r="AE31" i="56" s="1"/>
  <c r="AF31" i="56" s="1"/>
  <c r="AD31" i="56"/>
  <c r="AE30" i="56"/>
  <c r="AD30" i="56"/>
  <c r="I82" i="56"/>
  <c r="I81" i="56"/>
  <c r="I76" i="56"/>
  <c r="I75" i="56"/>
  <c r="I74" i="56"/>
  <c r="I73" i="56"/>
  <c r="I72" i="56"/>
  <c r="I71" i="56"/>
  <c r="E24" i="56"/>
  <c r="F23" i="56" a="1"/>
  <c r="F23" i="56" s="1"/>
  <c r="F22" i="56" a="1"/>
  <c r="F22" i="56" s="1"/>
  <c r="F21" i="56" a="1"/>
  <c r="F21" i="56" s="1"/>
  <c r="A20" i="56"/>
  <c r="A19" i="56"/>
  <c r="F19" i="56" s="1"/>
  <c r="A18" i="56"/>
  <c r="I17" i="56" a="1"/>
  <c r="I17" i="56" s="1"/>
  <c r="A17" i="56"/>
  <c r="F17" i="56" s="1"/>
  <c r="J16" i="56"/>
  <c r="I16" i="56"/>
  <c r="A16" i="56"/>
  <c r="F16" i="56" s="1"/>
  <c r="M15" i="56" a="1"/>
  <c r="M15" i="56" s="1"/>
  <c r="E15" i="56"/>
  <c r="D15" i="56"/>
  <c r="C15" i="56"/>
  <c r="B15" i="56"/>
  <c r="B10" i="56"/>
  <c r="AE34" i="56" s="1"/>
  <c r="AF34" i="56" s="1"/>
  <c r="B10" i="55"/>
  <c r="B11" i="55"/>
  <c r="AE34" i="55"/>
  <c r="F74" i="51"/>
  <c r="J16" i="55"/>
  <c r="K16" i="55" s="1"/>
  <c r="M17" i="55" s="1"/>
  <c r="I95" i="55"/>
  <c r="I81" i="55"/>
  <c r="I80" i="55"/>
  <c r="I79" i="55"/>
  <c r="M15" i="55" a="1"/>
  <c r="M15" i="55" s="1"/>
  <c r="AD40" i="55"/>
  <c r="AE40" i="55" s="1"/>
  <c r="AF39" i="55"/>
  <c r="AD39" i="55"/>
  <c r="AF38" i="55"/>
  <c r="AD38" i="55"/>
  <c r="AF37" i="55"/>
  <c r="AD37" i="55"/>
  <c r="AF36" i="55"/>
  <c r="AD36" i="55"/>
  <c r="AF35" i="55"/>
  <c r="AD35" i="55"/>
  <c r="AD34" i="55"/>
  <c r="AF33" i="55"/>
  <c r="AD33" i="55"/>
  <c r="AF32" i="55"/>
  <c r="AD32" i="55"/>
  <c r="AF31" i="55"/>
  <c r="AD31" i="55"/>
  <c r="AE30" i="55"/>
  <c r="AD30" i="55"/>
  <c r="H116" i="55"/>
  <c r="I116" i="55" s="1"/>
  <c r="F116" i="55"/>
  <c r="H115" i="55"/>
  <c r="I115" i="55" s="1"/>
  <c r="F115" i="55"/>
  <c r="H114" i="55"/>
  <c r="I114" i="55" s="1"/>
  <c r="F114" i="55"/>
  <c r="H113" i="55"/>
  <c r="I113" i="55" s="1"/>
  <c r="F113" i="55"/>
  <c r="H112" i="55"/>
  <c r="I112" i="55" s="1"/>
  <c r="F112" i="55"/>
  <c r="H111" i="55"/>
  <c r="I111" i="55" s="1"/>
  <c r="F111" i="55"/>
  <c r="H110" i="55"/>
  <c r="I110" i="55" s="1"/>
  <c r="F110" i="55"/>
  <c r="H109" i="55"/>
  <c r="I109" i="55" s="1"/>
  <c r="F109" i="55"/>
  <c r="H108" i="55"/>
  <c r="I108" i="55" s="1"/>
  <c r="F108" i="55"/>
  <c r="H107" i="55"/>
  <c r="I107" i="55" s="1"/>
  <c r="F107" i="55"/>
  <c r="H106" i="55"/>
  <c r="I106" i="55" s="1"/>
  <c r="F106" i="55"/>
  <c r="H105" i="55"/>
  <c r="I105" i="55" s="1"/>
  <c r="F105" i="55"/>
  <c r="H104" i="55"/>
  <c r="I104" i="55" s="1"/>
  <c r="F104" i="55"/>
  <c r="H103" i="55"/>
  <c r="I103" i="55" s="1"/>
  <c r="F103" i="55"/>
  <c r="H102" i="55"/>
  <c r="F102" i="55"/>
  <c r="H101" i="55"/>
  <c r="F101" i="55"/>
  <c r="H100" i="55"/>
  <c r="F100" i="55"/>
  <c r="I17" i="55" s="1" a="1"/>
  <c r="I17" i="55" s="1"/>
  <c r="A20" i="55"/>
  <c r="F20" i="55" s="1"/>
  <c r="A19" i="55"/>
  <c r="F19" i="55" s="1"/>
  <c r="A18" i="55"/>
  <c r="F18" i="55" s="1"/>
  <c r="A17" i="55"/>
  <c r="F17" i="55" s="1"/>
  <c r="I16" i="55"/>
  <c r="A16" i="55"/>
  <c r="E15" i="55"/>
  <c r="D15" i="55"/>
  <c r="C15" i="55"/>
  <c r="B15" i="55"/>
  <c r="AF34" i="55"/>
  <c r="F126" i="50"/>
  <c r="J16" i="54"/>
  <c r="I58" i="54"/>
  <c r="F21" i="54" s="1" a="1"/>
  <c r="F21" i="54" s="1"/>
  <c r="AF40" i="54"/>
  <c r="AD40" i="54"/>
  <c r="AE40" i="54" s="1"/>
  <c r="AF39" i="54"/>
  <c r="AD39" i="54"/>
  <c r="AF38" i="54"/>
  <c r="AD38" i="54"/>
  <c r="AF37" i="54"/>
  <c r="AD37" i="54"/>
  <c r="AF36" i="54"/>
  <c r="AD36" i="54"/>
  <c r="AF35" i="54"/>
  <c r="AD35" i="54"/>
  <c r="AD34" i="54"/>
  <c r="AE33" i="54"/>
  <c r="AF33" i="54" s="1"/>
  <c r="AD33" i="54"/>
  <c r="AE32" i="54"/>
  <c r="AF32" i="54" s="1"/>
  <c r="AD32" i="54"/>
  <c r="AE31" i="54" a="1"/>
  <c r="AE31" i="54" s="1"/>
  <c r="AF31" i="54" s="1"/>
  <c r="AD31" i="54"/>
  <c r="AE30" i="54"/>
  <c r="AD30" i="54"/>
  <c r="H90" i="54"/>
  <c r="I90" i="54" s="1"/>
  <c r="F90" i="54"/>
  <c r="H89" i="54"/>
  <c r="I89" i="54" s="1"/>
  <c r="F89" i="54"/>
  <c r="H88" i="54"/>
  <c r="I88" i="54" s="1"/>
  <c r="F88" i="54"/>
  <c r="H87" i="54"/>
  <c r="I87" i="54" s="1"/>
  <c r="F87" i="54"/>
  <c r="H86" i="54"/>
  <c r="I86" i="54" s="1"/>
  <c r="F86" i="54"/>
  <c r="I85" i="54"/>
  <c r="F85" i="54"/>
  <c r="H84" i="54"/>
  <c r="F84" i="54"/>
  <c r="H83" i="54"/>
  <c r="F83" i="54"/>
  <c r="H82" i="54"/>
  <c r="F82" i="54"/>
  <c r="H81" i="54"/>
  <c r="F81" i="54"/>
  <c r="H80" i="54"/>
  <c r="F80" i="54"/>
  <c r="H79" i="54"/>
  <c r="F79" i="54"/>
  <c r="H78" i="54"/>
  <c r="F78" i="54"/>
  <c r="H77" i="54"/>
  <c r="F77" i="54"/>
  <c r="H76" i="54"/>
  <c r="F76" i="54"/>
  <c r="H75" i="54"/>
  <c r="F75" i="54"/>
  <c r="H74" i="54"/>
  <c r="I17" i="54" s="1" a="1"/>
  <c r="I17" i="54" s="1"/>
  <c r="F74" i="54"/>
  <c r="E24" i="54"/>
  <c r="A20" i="54"/>
  <c r="A19" i="54"/>
  <c r="F19" i="54" s="1"/>
  <c r="A18" i="54"/>
  <c r="A17" i="54"/>
  <c r="F17" i="54" s="1"/>
  <c r="I16" i="54"/>
  <c r="A16" i="54"/>
  <c r="F16" i="54" s="1"/>
  <c r="E15" i="54"/>
  <c r="D15" i="54"/>
  <c r="D16" i="54" s="1"/>
  <c r="C15" i="54"/>
  <c r="B15" i="54"/>
  <c r="AE34" i="54"/>
  <c r="AF34" i="54" s="1"/>
  <c r="J16" i="52"/>
  <c r="AE33" i="52"/>
  <c r="AE32" i="52"/>
  <c r="AE31" i="52" a="1"/>
  <c r="AE31" i="52" s="1"/>
  <c r="AF31" i="52" s="1"/>
  <c r="E24" i="52"/>
  <c r="F23" i="52" a="1"/>
  <c r="F23" i="52" s="1"/>
  <c r="F22" i="52" a="1"/>
  <c r="F22" i="52" s="1"/>
  <c r="F21" i="52" a="1"/>
  <c r="F21" i="52" s="1"/>
  <c r="B11" i="52"/>
  <c r="B10" i="52"/>
  <c r="J16" i="53"/>
  <c r="AE33" i="53"/>
  <c r="AF33" i="53" s="1"/>
  <c r="AE32" i="53"/>
  <c r="AF32" i="53" s="1"/>
  <c r="AE31" i="53" a="1"/>
  <c r="AE31" i="53" s="1"/>
  <c r="AF31" i="53" s="1"/>
  <c r="E24" i="53"/>
  <c r="F23" i="53" a="1"/>
  <c r="F23" i="53" s="1"/>
  <c r="F22" i="53" a="1"/>
  <c r="F22" i="53"/>
  <c r="F21" i="53" a="1"/>
  <c r="F21" i="53" s="1"/>
  <c r="AD40" i="53"/>
  <c r="AE40" i="53" s="1"/>
  <c r="AF40" i="53" s="1"/>
  <c r="AF39" i="53"/>
  <c r="AD39" i="53"/>
  <c r="AF38" i="53"/>
  <c r="AD38" i="53"/>
  <c r="AF37" i="53"/>
  <c r="AD37" i="53"/>
  <c r="AF36" i="53"/>
  <c r="AD36" i="53"/>
  <c r="AF35" i="53"/>
  <c r="AD35" i="53"/>
  <c r="AD34" i="53"/>
  <c r="AD33" i="53"/>
  <c r="AD32" i="53"/>
  <c r="AD31" i="53"/>
  <c r="AE30" i="53"/>
  <c r="AD30" i="53"/>
  <c r="H100" i="53"/>
  <c r="I100" i="53" s="1"/>
  <c r="F100" i="53"/>
  <c r="H99" i="53"/>
  <c r="I99" i="53" s="1"/>
  <c r="F99" i="53"/>
  <c r="H98" i="53"/>
  <c r="I98" i="53" s="1"/>
  <c r="F98" i="53"/>
  <c r="H97" i="53"/>
  <c r="I97" i="53" s="1"/>
  <c r="F97" i="53"/>
  <c r="H96" i="53"/>
  <c r="I96" i="53" s="1"/>
  <c r="F96" i="53"/>
  <c r="H95" i="53"/>
  <c r="I95" i="53" s="1"/>
  <c r="F95" i="53"/>
  <c r="H94" i="53"/>
  <c r="I94" i="53" s="1"/>
  <c r="F94" i="53"/>
  <c r="H93" i="53"/>
  <c r="I93" i="53" s="1"/>
  <c r="F93" i="53"/>
  <c r="H92" i="53"/>
  <c r="I92" i="53" s="1"/>
  <c r="F92" i="53"/>
  <c r="H91" i="53"/>
  <c r="I91" i="53" s="1"/>
  <c r="F91" i="53"/>
  <c r="H90" i="53"/>
  <c r="I90" i="53" s="1"/>
  <c r="F90" i="53"/>
  <c r="H89" i="53"/>
  <c r="I89" i="53" s="1"/>
  <c r="F89" i="53"/>
  <c r="H88" i="53"/>
  <c r="I88" i="53" s="1"/>
  <c r="F88" i="53"/>
  <c r="H87" i="53"/>
  <c r="F87" i="53"/>
  <c r="H86" i="53"/>
  <c r="F86" i="53"/>
  <c r="I85" i="53"/>
  <c r="F85" i="53"/>
  <c r="H84" i="53"/>
  <c r="F84" i="53"/>
  <c r="A20" i="53"/>
  <c r="F20" i="53" s="1"/>
  <c r="A19" i="53"/>
  <c r="F19" i="53" s="1"/>
  <c r="A18" i="53"/>
  <c r="F18" i="53" s="1"/>
  <c r="A17" i="53"/>
  <c r="F17" i="53" s="1"/>
  <c r="A16" i="53"/>
  <c r="F16" i="53" s="1"/>
  <c r="M15" i="53" a="1"/>
  <c r="M15" i="53" s="1"/>
  <c r="E15" i="53"/>
  <c r="D15" i="53"/>
  <c r="C15" i="53"/>
  <c r="B15" i="53"/>
  <c r="B11" i="53"/>
  <c r="B10" i="53"/>
  <c r="AE34" i="53" s="1"/>
  <c r="AF34" i="53" s="1"/>
  <c r="AF40" i="52"/>
  <c r="AD40" i="52"/>
  <c r="AF39" i="52"/>
  <c r="AD39" i="52"/>
  <c r="AF38" i="52"/>
  <c r="AD38" i="52"/>
  <c r="AF37" i="52"/>
  <c r="AD37" i="52"/>
  <c r="AF36" i="52"/>
  <c r="AD36" i="52"/>
  <c r="AF35" i="52"/>
  <c r="AD35" i="52"/>
  <c r="AD34" i="52"/>
  <c r="AF33" i="52"/>
  <c r="AD33" i="52"/>
  <c r="AF32" i="52"/>
  <c r="AD32" i="52"/>
  <c r="AD31" i="52"/>
  <c r="AD30" i="52"/>
  <c r="H103" i="52"/>
  <c r="F103" i="52"/>
  <c r="H102" i="52"/>
  <c r="I102" i="52" s="1"/>
  <c r="F102" i="52"/>
  <c r="H101" i="52"/>
  <c r="I101" i="52" s="1"/>
  <c r="F101" i="52"/>
  <c r="F100" i="52"/>
  <c r="I100" i="52" s="1"/>
  <c r="F99" i="52"/>
  <c r="I99" i="52" s="1"/>
  <c r="H98" i="52"/>
  <c r="I98" i="52" s="1"/>
  <c r="F98" i="52"/>
  <c r="H97" i="52"/>
  <c r="F97" i="52"/>
  <c r="H96" i="52"/>
  <c r="F96" i="52"/>
  <c r="F95" i="52"/>
  <c r="I95" i="52" s="1"/>
  <c r="H94" i="52"/>
  <c r="F94" i="52"/>
  <c r="H93" i="52"/>
  <c r="F93" i="52"/>
  <c r="H92" i="52"/>
  <c r="F92" i="52"/>
  <c r="H91" i="52"/>
  <c r="F91" i="52"/>
  <c r="F90" i="52"/>
  <c r="I90" i="52" s="1"/>
  <c r="A20" i="52"/>
  <c r="F20" i="52" s="1"/>
  <c r="A19" i="52"/>
  <c r="F19" i="52" s="1"/>
  <c r="A18" i="52"/>
  <c r="F18" i="52" s="1"/>
  <c r="A17" i="52"/>
  <c r="F17" i="52" s="1"/>
  <c r="A16" i="52"/>
  <c r="F16" i="52" s="1"/>
  <c r="M15" i="52" a="1"/>
  <c r="M15" i="52" s="1"/>
  <c r="E15" i="52"/>
  <c r="D15" i="52"/>
  <c r="C15" i="52"/>
  <c r="B15" i="52"/>
  <c r="AE34" i="52"/>
  <c r="AF34" i="52" s="1"/>
  <c r="I91" i="51"/>
  <c r="I17" i="51" a="1"/>
  <c r="I17" i="51" s="1"/>
  <c r="B10" i="51"/>
  <c r="B11" i="51"/>
  <c r="AD40" i="51"/>
  <c r="AE40" i="51" s="1"/>
  <c r="AF39" i="51"/>
  <c r="AD39" i="51"/>
  <c r="AF38" i="51"/>
  <c r="AD38" i="51"/>
  <c r="AF37" i="51"/>
  <c r="AD37" i="51"/>
  <c r="AF36" i="51"/>
  <c r="AD36" i="51"/>
  <c r="AF35" i="51"/>
  <c r="AD35" i="51"/>
  <c r="AD34" i="51"/>
  <c r="AE33" i="51"/>
  <c r="AF33" i="51" s="1"/>
  <c r="AD33" i="51"/>
  <c r="AE32" i="51"/>
  <c r="AF32" i="51" s="1"/>
  <c r="AD32" i="51"/>
  <c r="AE31" i="51" a="1"/>
  <c r="AE31" i="51" s="1"/>
  <c r="AF31" i="51" s="1"/>
  <c r="AD31" i="51"/>
  <c r="AE30" i="51"/>
  <c r="AD30" i="51"/>
  <c r="E24" i="51"/>
  <c r="F23" i="51" a="1"/>
  <c r="F23" i="51" s="1"/>
  <c r="F22" i="51" a="1"/>
  <c r="F22" i="51" s="1"/>
  <c r="F21" i="51" a="1"/>
  <c r="F21" i="51" s="1"/>
  <c r="A20" i="51"/>
  <c r="A19" i="51"/>
  <c r="F19" i="51" s="1"/>
  <c r="A18" i="51"/>
  <c r="A17" i="51"/>
  <c r="F17" i="51" s="1"/>
  <c r="J16" i="51"/>
  <c r="A16" i="51"/>
  <c r="F16" i="51" s="1"/>
  <c r="M15" i="51" a="1"/>
  <c r="M15" i="51" s="1"/>
  <c r="E15" i="51"/>
  <c r="D15" i="51"/>
  <c r="C15" i="51"/>
  <c r="B15" i="51"/>
  <c r="AE34" i="51"/>
  <c r="AF34" i="51" s="1"/>
  <c r="F147" i="50"/>
  <c r="F148" i="50"/>
  <c r="F149" i="50"/>
  <c r="F150" i="50"/>
  <c r="F151" i="50"/>
  <c r="F152" i="50"/>
  <c r="F153" i="50"/>
  <c r="F154" i="50"/>
  <c r="F155" i="50"/>
  <c r="F156" i="50"/>
  <c r="F157" i="50"/>
  <c r="F158" i="50"/>
  <c r="F159" i="50"/>
  <c r="F160" i="50"/>
  <c r="F161" i="50"/>
  <c r="F162" i="50"/>
  <c r="F163" i="50"/>
  <c r="F164" i="50"/>
  <c r="F165" i="50"/>
  <c r="F166" i="50"/>
  <c r="F167" i="50"/>
  <c r="F168" i="50"/>
  <c r="F169" i="50"/>
  <c r="F170" i="50"/>
  <c r="F171" i="50"/>
  <c r="F172" i="50"/>
  <c r="F173" i="50"/>
  <c r="F146" i="50"/>
  <c r="F102" i="50"/>
  <c r="F103" i="50"/>
  <c r="F104" i="50"/>
  <c r="F105" i="50"/>
  <c r="F106" i="50"/>
  <c r="F107" i="50"/>
  <c r="F108" i="50"/>
  <c r="F109" i="50"/>
  <c r="F110" i="50"/>
  <c r="F111" i="50"/>
  <c r="F112" i="50"/>
  <c r="F113" i="50"/>
  <c r="F114" i="50"/>
  <c r="F115" i="50"/>
  <c r="F116" i="50"/>
  <c r="F117" i="50"/>
  <c r="F118" i="50"/>
  <c r="F119" i="50"/>
  <c r="F120" i="50"/>
  <c r="F121" i="50"/>
  <c r="F122" i="50"/>
  <c r="F123" i="50"/>
  <c r="F125" i="50"/>
  <c r="F127" i="50"/>
  <c r="F128" i="50"/>
  <c r="F129" i="50"/>
  <c r="F130" i="50"/>
  <c r="F131" i="50"/>
  <c r="F132" i="50"/>
  <c r="F133" i="50"/>
  <c r="F134" i="50"/>
  <c r="F135" i="50"/>
  <c r="F136" i="50"/>
  <c r="F137" i="50"/>
  <c r="F138" i="50"/>
  <c r="F139" i="50"/>
  <c r="F140" i="50"/>
  <c r="F141" i="50"/>
  <c r="F142" i="50"/>
  <c r="H170" i="50"/>
  <c r="I170" i="50" s="1"/>
  <c r="H171" i="50"/>
  <c r="I171" i="50" s="1"/>
  <c r="H172" i="50"/>
  <c r="I172" i="50" s="1"/>
  <c r="H173" i="50"/>
  <c r="I173" i="50" s="1"/>
  <c r="I140" i="50"/>
  <c r="I135" i="50"/>
  <c r="I101" i="50"/>
  <c r="F23" i="50" s="1" a="1"/>
  <c r="F23" i="50" s="1"/>
  <c r="AE33" i="50"/>
  <c r="AF33" i="50" s="1"/>
  <c r="AE32" i="50"/>
  <c r="AF32" i="50" s="1"/>
  <c r="AE31" i="50" a="1"/>
  <c r="AE31" i="50"/>
  <c r="E24" i="50"/>
  <c r="F22" i="50" a="1"/>
  <c r="F22" i="50" s="1"/>
  <c r="F21" i="50" a="1"/>
  <c r="F21" i="50" s="1"/>
  <c r="B11" i="50"/>
  <c r="B10" i="50"/>
  <c r="AE33" i="48"/>
  <c r="AF33" i="48" s="1"/>
  <c r="AD40" i="50"/>
  <c r="AE40" i="50" s="1"/>
  <c r="AF40" i="50" s="1"/>
  <c r="AF39" i="50"/>
  <c r="AD39" i="50"/>
  <c r="AF38" i="50"/>
  <c r="AD38" i="50"/>
  <c r="AF37" i="50"/>
  <c r="AD37" i="50"/>
  <c r="AF36" i="50"/>
  <c r="AD36" i="50"/>
  <c r="AF35" i="50"/>
  <c r="AD35" i="50"/>
  <c r="AD34" i="50"/>
  <c r="AD33" i="50"/>
  <c r="AD32" i="50"/>
  <c r="AF31" i="50"/>
  <c r="AD31" i="50"/>
  <c r="AE30" i="50"/>
  <c r="AD30" i="50"/>
  <c r="A20" i="50"/>
  <c r="F20" i="50" s="1"/>
  <c r="A19" i="50"/>
  <c r="F19" i="50" s="1"/>
  <c r="A18" i="50"/>
  <c r="F18" i="50" s="1"/>
  <c r="A17" i="50"/>
  <c r="F17" i="50" s="1"/>
  <c r="J16" i="50"/>
  <c r="A16" i="50"/>
  <c r="F16" i="50" s="1"/>
  <c r="M15" i="50" a="1"/>
  <c r="M15" i="50" s="1"/>
  <c r="E15" i="50"/>
  <c r="D15" i="50"/>
  <c r="C15" i="50"/>
  <c r="B15" i="50"/>
  <c r="AE34" i="50"/>
  <c r="AF34" i="50" s="1"/>
  <c r="J16" i="48"/>
  <c r="F103" i="49"/>
  <c r="I103" i="49" s="1"/>
  <c r="F104" i="49"/>
  <c r="F105" i="49"/>
  <c r="F106" i="49"/>
  <c r="F107" i="49"/>
  <c r="I107" i="49" s="1"/>
  <c r="F110" i="49"/>
  <c r="F111" i="49"/>
  <c r="I111" i="49" s="1"/>
  <c r="F112" i="49"/>
  <c r="F113" i="49"/>
  <c r="F102" i="49"/>
  <c r="F76" i="49"/>
  <c r="F67" i="49"/>
  <c r="F68" i="49"/>
  <c r="F69" i="49"/>
  <c r="F70" i="49"/>
  <c r="F71" i="49"/>
  <c r="F72" i="49"/>
  <c r="F73" i="49"/>
  <c r="F74" i="49"/>
  <c r="F77" i="49"/>
  <c r="F78" i="49"/>
  <c r="F79" i="49"/>
  <c r="F80" i="49"/>
  <c r="F81" i="49"/>
  <c r="F82" i="49"/>
  <c r="F85" i="49"/>
  <c r="F86" i="49"/>
  <c r="F87" i="49"/>
  <c r="F88" i="49"/>
  <c r="F90" i="49"/>
  <c r="F91" i="49"/>
  <c r="F92" i="49"/>
  <c r="F97" i="49"/>
  <c r="F66" i="49"/>
  <c r="I96" i="49"/>
  <c r="I97" i="49"/>
  <c r="AE32" i="49"/>
  <c r="AF32" i="49" s="1"/>
  <c r="AE31" i="49" a="1"/>
  <c r="AE31" i="49"/>
  <c r="AF31" i="49" s="1"/>
  <c r="E24" i="49"/>
  <c r="B11" i="49"/>
  <c r="B10" i="49"/>
  <c r="AD40" i="49"/>
  <c r="AE40" i="49" s="1"/>
  <c r="AF39" i="49"/>
  <c r="AD39" i="49"/>
  <c r="AF38" i="49"/>
  <c r="AD38" i="49"/>
  <c r="AF37" i="49"/>
  <c r="AD37" i="49"/>
  <c r="AF36" i="49"/>
  <c r="AD36" i="49"/>
  <c r="AF35" i="49"/>
  <c r="AD35" i="49"/>
  <c r="AD34" i="49"/>
  <c r="AD33" i="49"/>
  <c r="AD32" i="49"/>
  <c r="AD31" i="49"/>
  <c r="AE30" i="49"/>
  <c r="AD30" i="49"/>
  <c r="H115" i="49"/>
  <c r="I115" i="49" s="1"/>
  <c r="A20" i="49"/>
  <c r="F20" i="49" s="1"/>
  <c r="A19" i="49"/>
  <c r="F19" i="49" s="1"/>
  <c r="A18" i="49"/>
  <c r="F18" i="49" s="1"/>
  <c r="A17" i="49"/>
  <c r="F17" i="49" s="1"/>
  <c r="I16" i="49"/>
  <c r="A16" i="49"/>
  <c r="F16" i="49" s="1"/>
  <c r="E15" i="49"/>
  <c r="D15" i="49"/>
  <c r="C15" i="49"/>
  <c r="B15" i="49"/>
  <c r="AE34" i="49"/>
  <c r="AF34" i="49" s="1"/>
  <c r="AF40" i="48"/>
  <c r="AD40" i="48"/>
  <c r="AE40" i="48" s="1"/>
  <c r="AF39" i="48"/>
  <c r="AD39" i="48"/>
  <c r="AF38" i="48"/>
  <c r="AD38" i="48"/>
  <c r="AF37" i="48"/>
  <c r="AD37" i="48"/>
  <c r="AF36" i="48"/>
  <c r="AD36" i="48"/>
  <c r="AF35" i="48"/>
  <c r="AD35" i="48"/>
  <c r="AD34" i="48"/>
  <c r="AD33" i="48"/>
  <c r="AE32" i="48"/>
  <c r="AF32" i="48" s="1"/>
  <c r="AD32" i="48"/>
  <c r="AE31" i="48" a="1"/>
  <c r="AE31" i="48" s="1"/>
  <c r="AF31" i="48" s="1"/>
  <c r="AD31" i="48"/>
  <c r="AE30" i="48"/>
  <c r="AD30" i="48"/>
  <c r="H87" i="48"/>
  <c r="I87" i="48" s="1"/>
  <c r="F87" i="48"/>
  <c r="H86" i="48"/>
  <c r="I86" i="48" s="1"/>
  <c r="F86" i="48"/>
  <c r="H85" i="48"/>
  <c r="I85" i="48" s="1"/>
  <c r="F85" i="48"/>
  <c r="H84" i="48"/>
  <c r="I84" i="48" s="1"/>
  <c r="F84" i="48"/>
  <c r="H83" i="48"/>
  <c r="I83" i="48" s="1"/>
  <c r="F83" i="48"/>
  <c r="H82" i="48"/>
  <c r="I82" i="48" s="1"/>
  <c r="F82" i="48"/>
  <c r="H81" i="48"/>
  <c r="I81" i="48" s="1"/>
  <c r="F81" i="48"/>
  <c r="H80" i="48"/>
  <c r="I80" i="48" s="1"/>
  <c r="F80" i="48"/>
  <c r="H79" i="48"/>
  <c r="I79" i="48" s="1"/>
  <c r="F79" i="48"/>
  <c r="H78" i="48"/>
  <c r="I78" i="48" s="1"/>
  <c r="F78" i="48"/>
  <c r="H77" i="48"/>
  <c r="I77" i="48" s="1"/>
  <c r="F77" i="48"/>
  <c r="H76" i="48"/>
  <c r="I76" i="48" s="1"/>
  <c r="F76" i="48"/>
  <c r="H75" i="48"/>
  <c r="I75" i="48" s="1"/>
  <c r="F75" i="48"/>
  <c r="H74" i="48"/>
  <c r="I74" i="48" s="1"/>
  <c r="F74" i="48"/>
  <c r="H73" i="48"/>
  <c r="I73" i="48" s="1"/>
  <c r="F73" i="48"/>
  <c r="H72" i="48"/>
  <c r="F72" i="48"/>
  <c r="H71" i="48"/>
  <c r="I17" i="48" s="1" a="1"/>
  <c r="I17" i="48" s="1"/>
  <c r="F71" i="48"/>
  <c r="E24" i="48"/>
  <c r="F23" i="48" a="1"/>
  <c r="F23" i="48" s="1"/>
  <c r="F22" i="48" a="1"/>
  <c r="F22" i="48" s="1"/>
  <c r="F21" i="48" a="1"/>
  <c r="F21" i="48" s="1"/>
  <c r="A20" i="48"/>
  <c r="A19" i="48"/>
  <c r="F19" i="48" s="1"/>
  <c r="A18" i="48"/>
  <c r="A17" i="48"/>
  <c r="F17" i="48" s="1"/>
  <c r="A16" i="48"/>
  <c r="F16" i="48" s="1"/>
  <c r="M15" i="48" a="1"/>
  <c r="M15" i="48" s="1"/>
  <c r="E15" i="48"/>
  <c r="D15" i="48"/>
  <c r="C15" i="48"/>
  <c r="B15" i="48"/>
  <c r="AE34" i="48"/>
  <c r="AF34" i="48" s="1"/>
  <c r="AE33" i="46"/>
  <c r="AF33" i="46" s="1"/>
  <c r="AE32" i="46"/>
  <c r="AF32" i="46" s="1"/>
  <c r="AE31" i="46" a="1"/>
  <c r="AE31" i="46" s="1"/>
  <c r="AF31" i="46" s="1"/>
  <c r="E24" i="46"/>
  <c r="F23" i="46" a="1"/>
  <c r="F23" i="46" s="1"/>
  <c r="F22" i="46" a="1"/>
  <c r="F22" i="46" s="1"/>
  <c r="F21" i="46" a="1"/>
  <c r="F21" i="46" s="1"/>
  <c r="B11" i="47"/>
  <c r="B10" i="47"/>
  <c r="AE34" i="47" s="1"/>
  <c r="AF34" i="47" s="1"/>
  <c r="AF40" i="47"/>
  <c r="AD40" i="47"/>
  <c r="AE40" i="47" s="1"/>
  <c r="AF39" i="47"/>
  <c r="AD39" i="47"/>
  <c r="AF38" i="47"/>
  <c r="AD38" i="47"/>
  <c r="AF37" i="47"/>
  <c r="AD37" i="47"/>
  <c r="AF36" i="47"/>
  <c r="AD36" i="47"/>
  <c r="AF35" i="47"/>
  <c r="AD35" i="47"/>
  <c r="AD34" i="47"/>
  <c r="AE33" i="47"/>
  <c r="AF33" i="47" s="1"/>
  <c r="AD33" i="47"/>
  <c r="AE32" i="47"/>
  <c r="AF32" i="47" s="1"/>
  <c r="AD32" i="47"/>
  <c r="AE31" i="47" a="1"/>
  <c r="AE31" i="47" s="1"/>
  <c r="AF31" i="47" s="1"/>
  <c r="AD31" i="47"/>
  <c r="AE30" i="47"/>
  <c r="AD30" i="47"/>
  <c r="H99" i="47"/>
  <c r="I99" i="47" s="1"/>
  <c r="F99" i="47"/>
  <c r="H98" i="47"/>
  <c r="I98" i="47" s="1"/>
  <c r="F98" i="47"/>
  <c r="H97" i="47"/>
  <c r="I97" i="47" s="1"/>
  <c r="F97" i="47"/>
  <c r="H96" i="47"/>
  <c r="I96" i="47" s="1"/>
  <c r="F96" i="47"/>
  <c r="H95" i="47"/>
  <c r="I95" i="47" s="1"/>
  <c r="F95" i="47"/>
  <c r="H94" i="47"/>
  <c r="I94" i="47" s="1"/>
  <c r="F94" i="47"/>
  <c r="H93" i="47"/>
  <c r="I93" i="47" s="1"/>
  <c r="F93" i="47"/>
  <c r="H92" i="47"/>
  <c r="I92" i="47" s="1"/>
  <c r="F92" i="47"/>
  <c r="H91" i="47"/>
  <c r="I91" i="47" s="1"/>
  <c r="F91" i="47"/>
  <c r="H90" i="47"/>
  <c r="I90" i="47" s="1"/>
  <c r="F90" i="47"/>
  <c r="H89" i="47"/>
  <c r="I89" i="47" s="1"/>
  <c r="F89" i="47"/>
  <c r="H88" i="47"/>
  <c r="I88" i="47" s="1"/>
  <c r="F88" i="47"/>
  <c r="H87" i="47"/>
  <c r="I87" i="47" s="1"/>
  <c r="F87" i="47"/>
  <c r="H86" i="47"/>
  <c r="I86" i="47" s="1"/>
  <c r="F86" i="47"/>
  <c r="H85" i="47"/>
  <c r="F85" i="47"/>
  <c r="H84" i="47"/>
  <c r="F84" i="47"/>
  <c r="H83" i="47"/>
  <c r="F83" i="47"/>
  <c r="E24" i="47"/>
  <c r="F23" i="47" a="1"/>
  <c r="F23" i="47" s="1"/>
  <c r="F22" i="47" a="1"/>
  <c r="F22" i="47" s="1"/>
  <c r="F21" i="47" a="1"/>
  <c r="F21" i="47" s="1"/>
  <c r="A20" i="47"/>
  <c r="A19" i="47"/>
  <c r="F19" i="47" s="1"/>
  <c r="A18" i="47"/>
  <c r="I17" i="47" a="1"/>
  <c r="I17" i="47" s="1"/>
  <c r="A17" i="47"/>
  <c r="F17" i="47" s="1"/>
  <c r="J16" i="47"/>
  <c r="A16" i="47"/>
  <c r="F16" i="47" s="1"/>
  <c r="M15" i="47" a="1"/>
  <c r="M15" i="47" s="1"/>
  <c r="E15" i="47"/>
  <c r="D15" i="47"/>
  <c r="C15" i="47"/>
  <c r="B15" i="47"/>
  <c r="J16" i="46"/>
  <c r="AD40" i="46"/>
  <c r="AE40" i="46" s="1"/>
  <c r="AD39" i="46"/>
  <c r="AD38" i="46"/>
  <c r="AD37" i="46"/>
  <c r="AD36" i="46"/>
  <c r="AD35" i="46"/>
  <c r="AD34" i="46"/>
  <c r="AD33" i="46"/>
  <c r="AD32" i="46"/>
  <c r="AD31" i="46"/>
  <c r="AE30" i="46"/>
  <c r="AD30" i="46"/>
  <c r="H92" i="46"/>
  <c r="I92" i="46" s="1"/>
  <c r="F92" i="46"/>
  <c r="H91" i="46"/>
  <c r="I91" i="46" s="1"/>
  <c r="F91" i="46"/>
  <c r="H90" i="46"/>
  <c r="I90" i="46" s="1"/>
  <c r="F90" i="46"/>
  <c r="H89" i="46"/>
  <c r="I89" i="46" s="1"/>
  <c r="F89" i="46"/>
  <c r="H88" i="46"/>
  <c r="I88" i="46" s="1"/>
  <c r="F88" i="46"/>
  <c r="H87" i="46"/>
  <c r="I87" i="46" s="1"/>
  <c r="F87" i="46"/>
  <c r="H86" i="46"/>
  <c r="I86" i="46" s="1"/>
  <c r="F86" i="46"/>
  <c r="H85" i="46"/>
  <c r="I85" i="46" s="1"/>
  <c r="F85" i="46"/>
  <c r="H84" i="46"/>
  <c r="I84" i="46" s="1"/>
  <c r="F84" i="46"/>
  <c r="H83" i="46"/>
  <c r="I83" i="46" s="1"/>
  <c r="F83" i="46"/>
  <c r="H82" i="46"/>
  <c r="I82" i="46" s="1"/>
  <c r="F82" i="46"/>
  <c r="H81" i="46"/>
  <c r="F81" i="46"/>
  <c r="H80" i="46"/>
  <c r="F80" i="46"/>
  <c r="H79" i="46"/>
  <c r="F79" i="46"/>
  <c r="H78" i="46"/>
  <c r="F78" i="46"/>
  <c r="H77" i="46"/>
  <c r="F77" i="46"/>
  <c r="H76" i="46"/>
  <c r="F76" i="46"/>
  <c r="A20" i="46"/>
  <c r="F20" i="46" s="1"/>
  <c r="A19" i="46"/>
  <c r="F19" i="46" s="1"/>
  <c r="A18" i="46"/>
  <c r="F18" i="46" s="1"/>
  <c r="A17" i="46"/>
  <c r="F17" i="46" s="1"/>
  <c r="I16" i="46"/>
  <c r="A16" i="46"/>
  <c r="F16" i="46" s="1"/>
  <c r="M15" i="46" a="1"/>
  <c r="M15" i="46" s="1"/>
  <c r="E15" i="46"/>
  <c r="E17" i="46" s="1"/>
  <c r="D15" i="46"/>
  <c r="C15" i="46"/>
  <c r="C20" i="46" s="1"/>
  <c r="B15" i="46"/>
  <c r="AE34" i="46"/>
  <c r="AF34" i="46" s="1"/>
  <c r="I72" i="45"/>
  <c r="F55" i="45"/>
  <c r="F56" i="45"/>
  <c r="F57" i="45"/>
  <c r="F58" i="45"/>
  <c r="F59" i="45"/>
  <c r="F60" i="45"/>
  <c r="F61" i="45"/>
  <c r="F62" i="45"/>
  <c r="F63" i="45"/>
  <c r="F64" i="45"/>
  <c r="F65" i="45"/>
  <c r="F66" i="45"/>
  <c r="F67" i="45"/>
  <c r="AD40" i="45"/>
  <c r="AE40" i="45" s="1"/>
  <c r="AD39" i="45"/>
  <c r="AD38" i="45"/>
  <c r="AD37" i="45"/>
  <c r="AD36" i="45"/>
  <c r="AD35" i="45"/>
  <c r="AD34" i="45"/>
  <c r="AE33" i="45"/>
  <c r="AF33" i="45" s="1"/>
  <c r="H19" i="76" s="1" a="1"/>
  <c r="H19" i="76" s="1"/>
  <c r="AD33" i="45"/>
  <c r="AE32" i="45"/>
  <c r="AF32" i="45" s="1"/>
  <c r="G19" i="76" s="1" a="1"/>
  <c r="G19" i="76" s="1"/>
  <c r="AD32" i="45"/>
  <c r="AE31" i="45" a="1"/>
  <c r="AE31" i="45" s="1"/>
  <c r="AF31" i="45" s="1"/>
  <c r="F19" i="76" s="1" a="1"/>
  <c r="F19" i="76" s="1"/>
  <c r="P19" i="76" s="1"/>
  <c r="Q19" i="76" s="1"/>
  <c r="S19" i="76" s="1"/>
  <c r="AD31" i="45"/>
  <c r="AE30" i="45"/>
  <c r="AD30" i="45"/>
  <c r="H87" i="45"/>
  <c r="I87" i="45" s="1"/>
  <c r="F87" i="45"/>
  <c r="H86" i="45"/>
  <c r="I86" i="45" s="1"/>
  <c r="F86" i="45"/>
  <c r="H85" i="45"/>
  <c r="I85" i="45" s="1"/>
  <c r="F85" i="45"/>
  <c r="H84" i="45"/>
  <c r="I84" i="45" s="1"/>
  <c r="F84" i="45"/>
  <c r="H83" i="45"/>
  <c r="I83" i="45" s="1"/>
  <c r="F83" i="45"/>
  <c r="H82" i="45"/>
  <c r="I82" i="45" s="1"/>
  <c r="F82" i="45"/>
  <c r="H81" i="45"/>
  <c r="I81" i="45" s="1"/>
  <c r="F81" i="45"/>
  <c r="H80" i="45"/>
  <c r="I80" i="45" s="1"/>
  <c r="F80" i="45"/>
  <c r="H79" i="45"/>
  <c r="I79" i="45" s="1"/>
  <c r="F79" i="45"/>
  <c r="H78" i="45"/>
  <c r="I78" i="45" s="1"/>
  <c r="F78" i="45"/>
  <c r="H77" i="45"/>
  <c r="I77" i="45" s="1"/>
  <c r="F77" i="45"/>
  <c r="H76" i="45"/>
  <c r="I76" i="45" s="1"/>
  <c r="F76" i="45"/>
  <c r="H75" i="45"/>
  <c r="I75" i="45" s="1"/>
  <c r="F75" i="45"/>
  <c r="H74" i="45"/>
  <c r="I74" i="45" s="1"/>
  <c r="F74" i="45"/>
  <c r="F23" i="45" a="1"/>
  <c r="F23" i="45" s="1"/>
  <c r="F22" i="45" a="1"/>
  <c r="F22" i="45" s="1"/>
  <c r="F21" i="45" a="1"/>
  <c r="F21" i="45" s="1"/>
  <c r="A20" i="45"/>
  <c r="A19" i="45"/>
  <c r="F19" i="45" s="1"/>
  <c r="A18" i="45"/>
  <c r="A17" i="45"/>
  <c r="F17" i="45" s="1"/>
  <c r="A16" i="45"/>
  <c r="F16" i="45" s="1"/>
  <c r="M15" i="45" a="1"/>
  <c r="M15" i="45" s="1"/>
  <c r="E15" i="45"/>
  <c r="D15" i="45"/>
  <c r="C15" i="45"/>
  <c r="B15" i="45"/>
  <c r="B11" i="45"/>
  <c r="B10" i="45"/>
  <c r="AE34" i="45" s="1"/>
  <c r="AF34" i="45" s="1"/>
  <c r="AF41" i="45" s="1"/>
  <c r="BC5" i="5"/>
  <c r="BC3" i="5"/>
  <c r="BN4" i="5" a="1"/>
  <c r="BN12" i="5" a="1"/>
  <c r="BN15" i="5" a="1"/>
  <c r="BN29" i="5" a="1"/>
  <c r="BN30" i="5" a="1"/>
  <c r="BN34" i="5" a="1"/>
  <c r="BN11" i="5" a="1"/>
  <c r="BN32" i="5" a="1"/>
  <c r="BN6" i="5" a="1"/>
  <c r="BN20" i="5" a="1"/>
  <c r="BN9" i="5" a="1"/>
  <c r="BN17" i="5" a="1"/>
  <c r="C22" i="59" l="1" a="1"/>
  <c r="C22" i="59" s="1"/>
  <c r="C17" i="59"/>
  <c r="D22" i="59" a="1"/>
  <c r="D22" i="59" s="1"/>
  <c r="D21" i="59" a="1"/>
  <c r="D21" i="59" s="1"/>
  <c r="D19" i="59"/>
  <c r="D17" i="59"/>
  <c r="E19" i="59"/>
  <c r="E21" i="59" a="1"/>
  <c r="E21" i="59" s="1"/>
  <c r="E17" i="59"/>
  <c r="D18" i="59"/>
  <c r="A22" i="59"/>
  <c r="F20" i="59"/>
  <c r="I71" i="59"/>
  <c r="I72" i="59"/>
  <c r="I73" i="59"/>
  <c r="I75" i="59"/>
  <c r="I76" i="59"/>
  <c r="I77" i="59"/>
  <c r="I78" i="59"/>
  <c r="I16" i="59"/>
  <c r="I79" i="59"/>
  <c r="P10" i="76"/>
  <c r="Q10" i="76" s="1"/>
  <c r="S10" i="76" s="1"/>
  <c r="R40" i="76"/>
  <c r="S28" i="76"/>
  <c r="R42" i="76"/>
  <c r="I72" i="67"/>
  <c r="I16" i="67"/>
  <c r="I113" i="49"/>
  <c r="I106" i="49"/>
  <c r="I105" i="49"/>
  <c r="I110" i="49"/>
  <c r="C20" i="67"/>
  <c r="D21" i="67" a="1"/>
  <c r="D21" i="67" s="1"/>
  <c r="D22" i="67" a="1"/>
  <c r="D22" i="67" s="1"/>
  <c r="I17" i="49" a="1"/>
  <c r="I17" i="49" s="1"/>
  <c r="F22" i="54" a="1"/>
  <c r="F22" i="54" s="1"/>
  <c r="AL33" i="5" a="1"/>
  <c r="AL33" i="5" s="1"/>
  <c r="AW33" i="5" s="1"/>
  <c r="B19" i="59"/>
  <c r="D20" i="59"/>
  <c r="B22" i="59" a="1"/>
  <c r="B22" i="59" s="1"/>
  <c r="B19" i="61"/>
  <c r="D17" i="46"/>
  <c r="F23" i="54" a="1"/>
  <c r="F23" i="54" s="1"/>
  <c r="C19" i="59"/>
  <c r="E20" i="59"/>
  <c r="E22" i="59" a="1"/>
  <c r="E22" i="59" s="1"/>
  <c r="D22" i="62" a="1"/>
  <c r="D22" i="62" s="1"/>
  <c r="E20" i="67"/>
  <c r="B19" i="67"/>
  <c r="B21" i="61" a="1"/>
  <c r="B21" i="61" s="1"/>
  <c r="B17" i="63"/>
  <c r="C16" i="59"/>
  <c r="C21" i="59" a="1"/>
  <c r="C21" i="59" s="1"/>
  <c r="I96" i="64"/>
  <c r="D16" i="59"/>
  <c r="E16" i="59"/>
  <c r="B17" i="60"/>
  <c r="B16" i="60"/>
  <c r="C16" i="66"/>
  <c r="B22" i="61" a="1"/>
  <c r="B22" i="61" s="1"/>
  <c r="I17" i="68" a="1"/>
  <c r="I17" i="68" s="1"/>
  <c r="B20" i="59"/>
  <c r="C20" i="59"/>
  <c r="B17" i="65"/>
  <c r="D22" i="65" a="1"/>
  <c r="D22" i="65" s="1"/>
  <c r="I17" i="53" a="1"/>
  <c r="I17" i="53" s="1"/>
  <c r="AF41" i="53"/>
  <c r="AF41" i="68"/>
  <c r="AF41" i="69"/>
  <c r="I17" i="69" a="1"/>
  <c r="I17" i="69" s="1"/>
  <c r="F22" i="55" a="1"/>
  <c r="F22" i="55" s="1"/>
  <c r="F21" i="55" a="1"/>
  <c r="F21" i="55" s="1"/>
  <c r="F23" i="55" a="1"/>
  <c r="F23" i="55" s="1"/>
  <c r="B21" i="55" a="1"/>
  <c r="B21" i="55" s="1"/>
  <c r="B18" i="55"/>
  <c r="B20" i="55"/>
  <c r="B16" i="55"/>
  <c r="B19" i="55"/>
  <c r="B22" i="55" a="1"/>
  <c r="B22" i="55" s="1"/>
  <c r="B17" i="55"/>
  <c r="C21" i="55" a="1"/>
  <c r="C21" i="55" s="1"/>
  <c r="C19" i="55"/>
  <c r="C20" i="55"/>
  <c r="C16" i="55"/>
  <c r="C18" i="55"/>
  <c r="C17" i="55"/>
  <c r="C22" i="55" a="1"/>
  <c r="C22" i="55" s="1"/>
  <c r="D21" i="55" a="1"/>
  <c r="D21" i="55" s="1"/>
  <c r="D19" i="55"/>
  <c r="D17" i="55"/>
  <c r="D16" i="55"/>
  <c r="D22" i="55" a="1"/>
  <c r="D22" i="55" s="1"/>
  <c r="D20" i="55"/>
  <c r="D18" i="55"/>
  <c r="E21" i="55" a="1"/>
  <c r="E21" i="55" s="1"/>
  <c r="E19" i="55"/>
  <c r="E17" i="55"/>
  <c r="E16" i="55"/>
  <c r="E20" i="55"/>
  <c r="E22" i="55" a="1"/>
  <c r="E22" i="55" s="1"/>
  <c r="E18" i="55"/>
  <c r="B20" i="46"/>
  <c r="E21" i="46" a="1"/>
  <c r="E21" i="46" s="1"/>
  <c r="E22" i="46" a="1"/>
  <c r="E22" i="46" s="1"/>
  <c r="D20" i="46"/>
  <c r="I17" i="46" a="1"/>
  <c r="I17" i="46" s="1"/>
  <c r="D21" i="46" a="1"/>
  <c r="D21" i="46" s="1"/>
  <c r="B17" i="46"/>
  <c r="C17" i="46"/>
  <c r="E20" i="46"/>
  <c r="C21" i="46" a="1"/>
  <c r="C21" i="46" s="1"/>
  <c r="D22" i="46" a="1"/>
  <c r="D22" i="46" s="1"/>
  <c r="E18" i="46"/>
  <c r="D18" i="46"/>
  <c r="C18" i="46"/>
  <c r="B18" i="46"/>
  <c r="E19" i="46"/>
  <c r="D19" i="46"/>
  <c r="C19" i="46"/>
  <c r="B19" i="46"/>
  <c r="B21" i="46" a="1"/>
  <c r="B21" i="46" s="1"/>
  <c r="AF41" i="46"/>
  <c r="C22" i="46" a="1"/>
  <c r="C22" i="46" s="1"/>
  <c r="B22" i="46" a="1"/>
  <c r="B22" i="46" s="1"/>
  <c r="E16" i="46"/>
  <c r="D16" i="46"/>
  <c r="C16" i="46"/>
  <c r="B16" i="46"/>
  <c r="AF41" i="56"/>
  <c r="I19" i="53"/>
  <c r="I122" i="64"/>
  <c r="I103" i="64"/>
  <c r="I95" i="64"/>
  <c r="I99" i="64"/>
  <c r="I107" i="64"/>
  <c r="I111" i="64"/>
  <c r="I121" i="64"/>
  <c r="I102" i="64"/>
  <c r="B17" i="66"/>
  <c r="AY16" i="66"/>
  <c r="C21" i="66" a="1"/>
  <c r="C21" i="66" s="1"/>
  <c r="D21" i="66" a="1"/>
  <c r="D21" i="66" s="1"/>
  <c r="F23" i="66" a="1"/>
  <c r="F23" i="66" s="1"/>
  <c r="F21" i="66" a="1"/>
  <c r="F21" i="66" s="1"/>
  <c r="B22" i="66" a="1"/>
  <c r="B22" i="66" s="1"/>
  <c r="B21" i="66" a="1"/>
  <c r="B21" i="66" s="1"/>
  <c r="I94" i="64"/>
  <c r="AE33" i="63"/>
  <c r="AF33" i="63" s="1"/>
  <c r="F22" i="63" a="1"/>
  <c r="F22" i="63" s="1"/>
  <c r="F21" i="63" a="1"/>
  <c r="F21" i="63" s="1"/>
  <c r="B22" i="63" a="1"/>
  <c r="B22" i="63" s="1"/>
  <c r="I74" i="61"/>
  <c r="I73" i="61"/>
  <c r="BF15" i="69"/>
  <c r="BE15" i="69"/>
  <c r="BD15" i="69"/>
  <c r="BC15" i="69"/>
  <c r="BB15" i="69"/>
  <c r="BA15" i="69"/>
  <c r="AZ15" i="69"/>
  <c r="AY15" i="69"/>
  <c r="AX15" i="69"/>
  <c r="AW15" i="69"/>
  <c r="AV15" i="69"/>
  <c r="AU15" i="69"/>
  <c r="AT15" i="69"/>
  <c r="AS15" i="69"/>
  <c r="AR15" i="69"/>
  <c r="AQ15" i="69"/>
  <c r="AP15" i="69"/>
  <c r="AO15" i="69"/>
  <c r="AN15" i="69"/>
  <c r="AM15" i="69"/>
  <c r="AL15" i="69"/>
  <c r="AK15" i="69"/>
  <c r="AJ15" i="69"/>
  <c r="AI15" i="69"/>
  <c r="AH15" i="69"/>
  <c r="AG15" i="69"/>
  <c r="AF15" i="69"/>
  <c r="AE15" i="69"/>
  <c r="AD15" i="69"/>
  <c r="BD16" i="69"/>
  <c r="B22" i="69" a="1"/>
  <c r="B22" i="69" s="1"/>
  <c r="B21" i="69" a="1"/>
  <c r="B21" i="69" s="1"/>
  <c r="B20" i="69"/>
  <c r="B19" i="69"/>
  <c r="B18" i="69"/>
  <c r="B17" i="69"/>
  <c r="B16" i="69"/>
  <c r="C22" i="69" a="1"/>
  <c r="C22" i="69" s="1"/>
  <c r="C21" i="69" a="1"/>
  <c r="C21" i="69" s="1"/>
  <c r="C20" i="69"/>
  <c r="C19" i="69"/>
  <c r="C18" i="69"/>
  <c r="C17" i="69"/>
  <c r="C16" i="69"/>
  <c r="D22" i="69" a="1"/>
  <c r="D22" i="69" s="1"/>
  <c r="D21" i="69" a="1"/>
  <c r="D21" i="69" s="1"/>
  <c r="D20" i="69"/>
  <c r="D19" i="69"/>
  <c r="D18" i="69"/>
  <c r="D17" i="69"/>
  <c r="D16" i="69"/>
  <c r="E22" i="69" a="1"/>
  <c r="E22" i="69" s="1"/>
  <c r="E21" i="69" a="1"/>
  <c r="E21" i="69" s="1"/>
  <c r="E20" i="69"/>
  <c r="E19" i="69"/>
  <c r="E18" i="69"/>
  <c r="E17" i="69"/>
  <c r="E16" i="69"/>
  <c r="K16" i="69"/>
  <c r="I19" i="69"/>
  <c r="M18" i="69"/>
  <c r="A21" i="69"/>
  <c r="F18" i="69"/>
  <c r="A22" i="69"/>
  <c r="F20" i="69"/>
  <c r="BF15" i="68"/>
  <c r="BE15" i="68"/>
  <c r="BD15" i="68"/>
  <c r="BC15" i="68"/>
  <c r="BB15" i="68"/>
  <c r="BA15" i="68"/>
  <c r="AZ15" i="68"/>
  <c r="AY15" i="68"/>
  <c r="AX15" i="68"/>
  <c r="AW15" i="68"/>
  <c r="AV15" i="68"/>
  <c r="AU15" i="68"/>
  <c r="AT15" i="68"/>
  <c r="AS15" i="68"/>
  <c r="AR15" i="68"/>
  <c r="AQ15" i="68"/>
  <c r="AP15" i="68"/>
  <c r="AO15" i="68"/>
  <c r="AN15" i="68"/>
  <c r="AM15" i="68"/>
  <c r="AL15" i="68"/>
  <c r="AK15" i="68"/>
  <c r="AJ15" i="68"/>
  <c r="AI15" i="68"/>
  <c r="AH15" i="68"/>
  <c r="AG15" i="68"/>
  <c r="AF15" i="68"/>
  <c r="AE15" i="68"/>
  <c r="AD15" i="68"/>
  <c r="B22" i="68" a="1"/>
  <c r="B22" i="68" s="1"/>
  <c r="B21" i="68" a="1"/>
  <c r="B21" i="68" s="1"/>
  <c r="B20" i="68"/>
  <c r="B19" i="68"/>
  <c r="B18" i="68"/>
  <c r="B17" i="68"/>
  <c r="B16" i="68"/>
  <c r="C22" i="68" a="1"/>
  <c r="C22" i="68" s="1"/>
  <c r="C21" i="68" a="1"/>
  <c r="C21" i="68" s="1"/>
  <c r="C20" i="68"/>
  <c r="C19" i="68"/>
  <c r="C18" i="68"/>
  <c r="C17" i="68"/>
  <c r="C16" i="68"/>
  <c r="D22" i="68" a="1"/>
  <c r="D22" i="68" s="1"/>
  <c r="D21" i="68" a="1"/>
  <c r="D21" i="68" s="1"/>
  <c r="D20" i="68"/>
  <c r="D19" i="68"/>
  <c r="D18" i="68"/>
  <c r="D17" i="68"/>
  <c r="D16" i="68"/>
  <c r="E22" i="68" a="1"/>
  <c r="E22" i="68" s="1"/>
  <c r="E21" i="68" a="1"/>
  <c r="E21" i="68" s="1"/>
  <c r="E20" i="68"/>
  <c r="E19" i="68"/>
  <c r="E18" i="68"/>
  <c r="E17" i="68"/>
  <c r="E16" i="68"/>
  <c r="K16" i="68"/>
  <c r="I19" i="68"/>
  <c r="M18" i="68"/>
  <c r="A21" i="68"/>
  <c r="F18" i="68"/>
  <c r="A22" i="68"/>
  <c r="F20" i="68"/>
  <c r="AY15" i="67"/>
  <c r="AY16" i="67" s="1"/>
  <c r="AJ15" i="67"/>
  <c r="AJ16" i="67" s="1"/>
  <c r="BN11" i="5"/>
  <c r="BN15" i="5"/>
  <c r="BN34" i="5"/>
  <c r="BN30" i="5"/>
  <c r="BN6" i="5"/>
  <c r="BN29" i="5"/>
  <c r="BN17" i="5"/>
  <c r="BN9" i="5"/>
  <c r="BN32" i="5"/>
  <c r="BN20" i="5"/>
  <c r="BN12" i="5"/>
  <c r="BN4" i="5"/>
  <c r="C21" i="67" a="1"/>
  <c r="C21" i="67" s="1"/>
  <c r="I17" i="67" a="1"/>
  <c r="I17" i="67" s="1"/>
  <c r="M18" i="67" s="1"/>
  <c r="B22" i="67" a="1"/>
  <c r="B22" i="67" s="1"/>
  <c r="F21" i="67" a="1"/>
  <c r="F21" i="67" s="1"/>
  <c r="F22" i="67" a="1"/>
  <c r="F22" i="67" s="1"/>
  <c r="C22" i="67" a="1"/>
  <c r="C22" i="67" s="1"/>
  <c r="B21" i="67" a="1"/>
  <c r="B21" i="67" s="1"/>
  <c r="F23" i="67" a="1"/>
  <c r="F23" i="67" s="1"/>
  <c r="I17" i="66" a="1"/>
  <c r="I17" i="66" s="1"/>
  <c r="I19" i="66" s="1"/>
  <c r="C22" i="66" a="1"/>
  <c r="C22" i="66" s="1"/>
  <c r="D22" i="66" a="1"/>
  <c r="D22" i="66" s="1"/>
  <c r="AE33" i="66"/>
  <c r="AF33" i="66" s="1"/>
  <c r="AF41" i="66" s="1"/>
  <c r="E22" i="66" a="1"/>
  <c r="E22" i="66" s="1"/>
  <c r="F22" i="66" a="1"/>
  <c r="F22" i="66" s="1"/>
  <c r="AR15" i="67"/>
  <c r="AR16" i="67" s="1"/>
  <c r="AJ15" i="66"/>
  <c r="AJ16" i="66" s="1"/>
  <c r="AZ15" i="67"/>
  <c r="AZ16" i="67" s="1"/>
  <c r="AF41" i="67"/>
  <c r="B20" i="67"/>
  <c r="AK15" i="67"/>
  <c r="AL15" i="67"/>
  <c r="AL16" i="67" s="1"/>
  <c r="AM15" i="67"/>
  <c r="AM16" i="67" s="1"/>
  <c r="B18" i="67"/>
  <c r="AF15" i="67"/>
  <c r="AF16" i="67" s="1"/>
  <c r="AN15" i="67"/>
  <c r="AN16" i="67" s="1"/>
  <c r="AV15" i="67"/>
  <c r="AV16" i="67" s="1"/>
  <c r="BD15" i="67"/>
  <c r="BD16" i="67" s="1"/>
  <c r="E16" i="67"/>
  <c r="E17" i="67"/>
  <c r="C18" i="67"/>
  <c r="D19" i="67"/>
  <c r="D20" i="67"/>
  <c r="AS15" i="67"/>
  <c r="B16" i="67"/>
  <c r="AD15" i="67"/>
  <c r="AD16" i="67" s="1"/>
  <c r="AT15" i="67"/>
  <c r="AT16" i="67" s="1"/>
  <c r="AG15" i="67"/>
  <c r="AG16" i="67" s="1"/>
  <c r="BA15" i="67"/>
  <c r="BA16" i="67" s="1"/>
  <c r="M17" i="67"/>
  <c r="BB15" i="67"/>
  <c r="BB16" i="67" s="1"/>
  <c r="C16" i="67"/>
  <c r="C17" i="67"/>
  <c r="E22" i="67" a="1"/>
  <c r="E22" i="67" s="1"/>
  <c r="AU15" i="67"/>
  <c r="AU16" i="67" s="1"/>
  <c r="C19" i="67"/>
  <c r="A22" i="67"/>
  <c r="AW15" i="67"/>
  <c r="AW16" i="67" s="1"/>
  <c r="E19" i="67"/>
  <c r="AH15" i="67"/>
  <c r="AH16" i="67" s="1"/>
  <c r="AP15" i="67"/>
  <c r="AP16" i="67" s="1"/>
  <c r="AX15" i="67"/>
  <c r="AX16" i="67" s="1"/>
  <c r="BF15" i="67"/>
  <c r="BF16" i="67" s="1"/>
  <c r="E18" i="67"/>
  <c r="F19" i="67"/>
  <c r="F20" i="67"/>
  <c r="E21" i="67" a="1"/>
  <c r="E21" i="67" s="1"/>
  <c r="B17" i="67"/>
  <c r="AE15" i="67"/>
  <c r="AE16" i="67" s="1"/>
  <c r="BC15" i="67"/>
  <c r="BC16" i="67" s="1"/>
  <c r="D16" i="67"/>
  <c r="D17" i="67"/>
  <c r="AO15" i="67"/>
  <c r="AO16" i="67" s="1"/>
  <c r="BE15" i="67"/>
  <c r="BE16" i="67" s="1"/>
  <c r="D18" i="67"/>
  <c r="AI15" i="67"/>
  <c r="AI16" i="67" s="1"/>
  <c r="AQ15" i="67"/>
  <c r="AQ16" i="67" s="1"/>
  <c r="F18" i="67"/>
  <c r="AR15" i="66"/>
  <c r="AZ15" i="66"/>
  <c r="AZ16" i="66" s="1"/>
  <c r="AD15" i="66"/>
  <c r="AD16" i="66" s="1"/>
  <c r="AT15" i="66"/>
  <c r="AT16" i="66" s="1"/>
  <c r="C17" i="66"/>
  <c r="B19" i="66"/>
  <c r="AE15" i="66"/>
  <c r="AE16" i="66" s="1"/>
  <c r="AM15" i="66"/>
  <c r="AM16" i="66" s="1"/>
  <c r="AU15" i="66"/>
  <c r="AU16" i="66" s="1"/>
  <c r="BC15" i="66"/>
  <c r="BC16" i="66" s="1"/>
  <c r="D16" i="66"/>
  <c r="D17" i="66"/>
  <c r="B18" i="66"/>
  <c r="C19" i="66"/>
  <c r="C20" i="66"/>
  <c r="A22" i="66"/>
  <c r="K16" i="66"/>
  <c r="AF15" i="66"/>
  <c r="AF16" i="66" s="1"/>
  <c r="AN15" i="66"/>
  <c r="AN16" i="66" s="1"/>
  <c r="AV15" i="66"/>
  <c r="AV16" i="66" s="1"/>
  <c r="BD15" i="66"/>
  <c r="BD16" i="66" s="1"/>
  <c r="E16" i="66"/>
  <c r="E17" i="66"/>
  <c r="C18" i="66"/>
  <c r="D19" i="66"/>
  <c r="D20" i="66"/>
  <c r="AG15" i="66"/>
  <c r="AG16" i="66" s="1"/>
  <c r="AO15" i="66"/>
  <c r="AO16" i="66" s="1"/>
  <c r="AW15" i="66"/>
  <c r="AW16" i="66" s="1"/>
  <c r="BE15" i="66"/>
  <c r="F16" i="66"/>
  <c r="F17" i="66"/>
  <c r="D18" i="66"/>
  <c r="E19" i="66"/>
  <c r="E20" i="66"/>
  <c r="AK15" i="66"/>
  <c r="AS15" i="66"/>
  <c r="BA15" i="66"/>
  <c r="BA16" i="66" s="1"/>
  <c r="B16" i="66"/>
  <c r="BB15" i="66"/>
  <c r="BB16" i="66" s="1"/>
  <c r="B20" i="66"/>
  <c r="AH15" i="66"/>
  <c r="AH16" i="66" s="1"/>
  <c r="E18" i="66"/>
  <c r="E21" i="66" a="1"/>
  <c r="E21" i="66" s="1"/>
  <c r="AL15" i="66"/>
  <c r="AP15" i="66"/>
  <c r="AP16" i="66" s="1"/>
  <c r="AX15" i="66"/>
  <c r="AX16" i="66" s="1"/>
  <c r="BF15" i="66"/>
  <c r="BF16" i="66" s="1"/>
  <c r="AI15" i="66"/>
  <c r="AI16" i="66" s="1"/>
  <c r="AQ15" i="66"/>
  <c r="AQ16" i="66" s="1"/>
  <c r="F18" i="66"/>
  <c r="I17" i="65" a="1"/>
  <c r="I17" i="65" s="1"/>
  <c r="I19" i="65" s="1"/>
  <c r="F23" i="65" a="1"/>
  <c r="F23" i="65" s="1"/>
  <c r="E21" i="65" a="1"/>
  <c r="E21" i="65" s="1"/>
  <c r="B21" i="65" a="1"/>
  <c r="B21" i="65" s="1"/>
  <c r="D21" i="65" a="1"/>
  <c r="D21" i="65" s="1"/>
  <c r="C21" i="65" a="1"/>
  <c r="C21" i="65" s="1"/>
  <c r="F21" i="65" a="1"/>
  <c r="F21" i="65" s="1"/>
  <c r="C22" i="65" a="1"/>
  <c r="C22" i="65" s="1"/>
  <c r="B22" i="65" a="1"/>
  <c r="B22" i="65" s="1"/>
  <c r="AJ15" i="65"/>
  <c r="AJ16" i="65" s="1"/>
  <c r="AR15" i="65"/>
  <c r="AR16" i="65" s="1"/>
  <c r="AZ15" i="65"/>
  <c r="AZ16" i="65" s="1"/>
  <c r="AF41" i="65"/>
  <c r="M18" i="65"/>
  <c r="BA15" i="65"/>
  <c r="BA16" i="65" s="1"/>
  <c r="B20" i="65"/>
  <c r="AE15" i="65"/>
  <c r="AE16" i="65" s="1"/>
  <c r="AM15" i="65"/>
  <c r="AM16" i="65" s="1"/>
  <c r="AU15" i="65"/>
  <c r="AU16" i="65" s="1"/>
  <c r="BC15" i="65"/>
  <c r="BC16" i="65" s="1"/>
  <c r="D16" i="65"/>
  <c r="D17" i="65"/>
  <c r="B18" i="65"/>
  <c r="C19" i="65"/>
  <c r="C20" i="65"/>
  <c r="A22" i="65"/>
  <c r="AK15" i="65"/>
  <c r="AT15" i="65"/>
  <c r="AT16" i="65" s="1"/>
  <c r="C16" i="65"/>
  <c r="C17" i="65"/>
  <c r="E22" i="65" a="1"/>
  <c r="E22" i="65" s="1"/>
  <c r="AF15" i="65"/>
  <c r="AF16" i="65" s="1"/>
  <c r="AN15" i="65"/>
  <c r="AN16" i="65" s="1"/>
  <c r="AV15" i="65"/>
  <c r="AV16" i="65" s="1"/>
  <c r="BD15" i="65"/>
  <c r="BD16" i="65" s="1"/>
  <c r="E16" i="65"/>
  <c r="E17" i="65"/>
  <c r="C18" i="65"/>
  <c r="D19" i="65"/>
  <c r="D20" i="65"/>
  <c r="AS15" i="65"/>
  <c r="AW15" i="65"/>
  <c r="AW16" i="65" s="1"/>
  <c r="E19" i="65"/>
  <c r="B16" i="65"/>
  <c r="AD15" i="65"/>
  <c r="AD16" i="65" s="1"/>
  <c r="BB15" i="65"/>
  <c r="BB16" i="65" s="1"/>
  <c r="B19" i="65"/>
  <c r="AG15" i="65"/>
  <c r="AG16" i="65" s="1"/>
  <c r="BE15" i="65"/>
  <c r="BE16" i="65" s="1"/>
  <c r="F17" i="65"/>
  <c r="E20" i="65"/>
  <c r="AH15" i="65"/>
  <c r="AH16" i="65" s="1"/>
  <c r="AP15" i="65"/>
  <c r="AP16" i="65" s="1"/>
  <c r="AX15" i="65"/>
  <c r="AX16" i="65" s="1"/>
  <c r="BF15" i="65"/>
  <c r="BF16" i="65" s="1"/>
  <c r="E18" i="65"/>
  <c r="K16" i="65"/>
  <c r="AL15" i="65"/>
  <c r="AL16" i="65" s="1"/>
  <c r="AO15" i="65"/>
  <c r="AO16" i="65" s="1"/>
  <c r="D18" i="65"/>
  <c r="AI15" i="65"/>
  <c r="AI16" i="65" s="1"/>
  <c r="AQ15" i="65"/>
  <c r="AQ16" i="65" s="1"/>
  <c r="F18" i="65"/>
  <c r="I104" i="64"/>
  <c r="I112" i="64"/>
  <c r="I105" i="64"/>
  <c r="I109" i="64"/>
  <c r="I123" i="64"/>
  <c r="I108" i="64"/>
  <c r="I93" i="64"/>
  <c r="I106" i="64"/>
  <c r="I110" i="64"/>
  <c r="I120" i="64"/>
  <c r="I124" i="64"/>
  <c r="AE33" i="64"/>
  <c r="AF33" i="64" s="1"/>
  <c r="AF41" i="64" s="1"/>
  <c r="F23" i="64" a="1"/>
  <c r="F23" i="64" s="1"/>
  <c r="C22" i="64" a="1"/>
  <c r="C22" i="64" s="1"/>
  <c r="E21" i="64" a="1"/>
  <c r="E21" i="64" s="1"/>
  <c r="F22" i="64" a="1"/>
  <c r="F22" i="64" s="1"/>
  <c r="D22" i="64" a="1"/>
  <c r="D22" i="64" s="1"/>
  <c r="F21" i="64" a="1"/>
  <c r="F21" i="64" s="1"/>
  <c r="B22" i="64" a="1"/>
  <c r="B22" i="64" s="1"/>
  <c r="J16" i="64"/>
  <c r="K16" i="64" s="1"/>
  <c r="C21" i="64" a="1"/>
  <c r="C21" i="64" s="1"/>
  <c r="C16" i="64"/>
  <c r="D21" i="64" a="1"/>
  <c r="D21" i="64" s="1"/>
  <c r="B21" i="64" a="1"/>
  <c r="B21" i="64" s="1"/>
  <c r="B19" i="64"/>
  <c r="I17" i="64" a="1"/>
  <c r="I17" i="64" s="1"/>
  <c r="AY16" i="64"/>
  <c r="C17" i="64"/>
  <c r="AJ15" i="64"/>
  <c r="AR15" i="64"/>
  <c r="AZ15" i="64"/>
  <c r="D16" i="64"/>
  <c r="D20" i="64"/>
  <c r="AS15" i="64"/>
  <c r="AD15" i="64"/>
  <c r="AD16" i="64" s="1"/>
  <c r="AT15" i="64"/>
  <c r="BB15" i="64"/>
  <c r="BB16" i="64" s="1"/>
  <c r="E22" i="64" a="1"/>
  <c r="E22" i="64" s="1"/>
  <c r="D17" i="64"/>
  <c r="C20" i="64"/>
  <c r="AF15" i="64"/>
  <c r="AF16" i="64" s="1"/>
  <c r="AN15" i="64"/>
  <c r="AV15" i="64"/>
  <c r="BD15" i="64"/>
  <c r="E16" i="64"/>
  <c r="E17" i="64"/>
  <c r="AG15" i="64"/>
  <c r="AO15" i="64"/>
  <c r="AW15" i="64"/>
  <c r="BE15" i="64"/>
  <c r="F16" i="64"/>
  <c r="F17" i="64"/>
  <c r="D18" i="64"/>
  <c r="E19" i="64"/>
  <c r="E20" i="64"/>
  <c r="AK15" i="64"/>
  <c r="BA15" i="64"/>
  <c r="BA16" i="64" s="1"/>
  <c r="B16" i="64"/>
  <c r="B17" i="64"/>
  <c r="AU15" i="64"/>
  <c r="C19" i="64"/>
  <c r="D19" i="64"/>
  <c r="AH15" i="64"/>
  <c r="AH16" i="64" s="1"/>
  <c r="AP15" i="64"/>
  <c r="AX15" i="64"/>
  <c r="AX16" i="64" s="1"/>
  <c r="BF15" i="64"/>
  <c r="E18" i="64"/>
  <c r="F19" i="64"/>
  <c r="F20" i="64"/>
  <c r="AL15" i="64"/>
  <c r="B20" i="64"/>
  <c r="AE15" i="64"/>
  <c r="AM15" i="64"/>
  <c r="BC15" i="64"/>
  <c r="B18" i="64"/>
  <c r="C18" i="64"/>
  <c r="AI15" i="64"/>
  <c r="AQ15" i="64"/>
  <c r="F18" i="64"/>
  <c r="B21" i="63" a="1"/>
  <c r="B21" i="63" s="1"/>
  <c r="D22" i="63" a="1"/>
  <c r="D22" i="63" s="1"/>
  <c r="C22" i="63" a="1"/>
  <c r="C22" i="63" s="1"/>
  <c r="M15" i="63" a="1"/>
  <c r="M15" i="63" s="1"/>
  <c r="E17" i="63"/>
  <c r="AY16" i="63"/>
  <c r="D16" i="63"/>
  <c r="C21" i="63" a="1"/>
  <c r="C21" i="63" s="1"/>
  <c r="D21" i="63" a="1"/>
  <c r="D21" i="63" s="1"/>
  <c r="I19" i="63"/>
  <c r="AE40" i="63"/>
  <c r="AF40" i="63" s="1"/>
  <c r="C21" i="62" a="1"/>
  <c r="C21" i="62" s="1"/>
  <c r="D21" i="62" a="1"/>
  <c r="D21" i="62" s="1"/>
  <c r="F23" i="62" a="1"/>
  <c r="F23" i="62" s="1"/>
  <c r="C22" i="62" a="1"/>
  <c r="C22" i="62" s="1"/>
  <c r="I74" i="62"/>
  <c r="I73" i="62"/>
  <c r="I72" i="62"/>
  <c r="AJ15" i="63"/>
  <c r="AJ16" i="63" s="1"/>
  <c r="AR15" i="63"/>
  <c r="AR16" i="63" s="1"/>
  <c r="AZ15" i="63"/>
  <c r="AZ16" i="63" s="1"/>
  <c r="K16" i="63"/>
  <c r="C17" i="63"/>
  <c r="B20" i="63"/>
  <c r="E22" i="63" a="1"/>
  <c r="E22" i="63" s="1"/>
  <c r="BA15" i="63"/>
  <c r="BA16" i="63" s="1"/>
  <c r="C18" i="63"/>
  <c r="D19" i="63"/>
  <c r="D20" i="63"/>
  <c r="AK15" i="63"/>
  <c r="AL15" i="63"/>
  <c r="AL16" i="63" s="1"/>
  <c r="BB15" i="63"/>
  <c r="BB16" i="63" s="1"/>
  <c r="C16" i="63"/>
  <c r="B19" i="63"/>
  <c r="AM15" i="63"/>
  <c r="AU15" i="63"/>
  <c r="AU16" i="63" s="1"/>
  <c r="BC15" i="63"/>
  <c r="BC16" i="63" s="1"/>
  <c r="D17" i="63"/>
  <c r="C20" i="63"/>
  <c r="AG15" i="63"/>
  <c r="AG16" i="63" s="1"/>
  <c r="AO15" i="63"/>
  <c r="AO16" i="63" s="1"/>
  <c r="AW15" i="63"/>
  <c r="AW16" i="63" s="1"/>
  <c r="BE15" i="63"/>
  <c r="F16" i="63"/>
  <c r="F17" i="63"/>
  <c r="D18" i="63"/>
  <c r="E19" i="63"/>
  <c r="E20" i="63"/>
  <c r="B16" i="63"/>
  <c r="AD15" i="63"/>
  <c r="AD16" i="63" s="1"/>
  <c r="AT15" i="63"/>
  <c r="AT16" i="63" s="1"/>
  <c r="AE15" i="63"/>
  <c r="AE16" i="63" s="1"/>
  <c r="C19" i="63"/>
  <c r="A22" i="63"/>
  <c r="AN15" i="63"/>
  <c r="AV15" i="63"/>
  <c r="AV16" i="63" s="1"/>
  <c r="BD15" i="63"/>
  <c r="BD16" i="63" s="1"/>
  <c r="AH15" i="63"/>
  <c r="AH16" i="63" s="1"/>
  <c r="AP15" i="63"/>
  <c r="AP16" i="63" s="1"/>
  <c r="AX15" i="63"/>
  <c r="AX16" i="63" s="1"/>
  <c r="BF15" i="63"/>
  <c r="E18" i="63"/>
  <c r="E21" i="63" a="1"/>
  <c r="E21" i="63" s="1"/>
  <c r="AS15" i="63"/>
  <c r="B18" i="63"/>
  <c r="AF15" i="63"/>
  <c r="AF16" i="63" s="1"/>
  <c r="E16" i="63"/>
  <c r="AI15" i="63"/>
  <c r="AI16" i="63" s="1"/>
  <c r="AQ15" i="63"/>
  <c r="AQ16" i="63" s="1"/>
  <c r="F18" i="63"/>
  <c r="AZ15" i="62"/>
  <c r="AZ16" i="62" s="1"/>
  <c r="E21" i="62" a="1"/>
  <c r="E21" i="62" s="1"/>
  <c r="E18" i="62"/>
  <c r="E17" i="62"/>
  <c r="E16" i="62"/>
  <c r="E22" i="62" a="1"/>
  <c r="E22" i="62" s="1"/>
  <c r="E20" i="62"/>
  <c r="E19" i="62"/>
  <c r="F16" i="62"/>
  <c r="D16" i="62"/>
  <c r="C16" i="62"/>
  <c r="I17" i="62" a="1"/>
  <c r="I17" i="62" s="1"/>
  <c r="B16" i="62"/>
  <c r="BA16" i="62"/>
  <c r="F19" i="62"/>
  <c r="D19" i="62"/>
  <c r="B19" i="62"/>
  <c r="C19" i="62"/>
  <c r="AY15" i="62"/>
  <c r="AY16" i="62" s="1"/>
  <c r="AQ15" i="62"/>
  <c r="AQ16" i="62" s="1"/>
  <c r="AI15" i="62"/>
  <c r="AI16" i="62" s="1"/>
  <c r="BF15" i="62"/>
  <c r="BF16" i="62" s="1"/>
  <c r="AX15" i="62"/>
  <c r="AX16" i="62" s="1"/>
  <c r="AP15" i="62"/>
  <c r="AP16" i="62" s="1"/>
  <c r="AH15" i="62"/>
  <c r="AH16" i="62" s="1"/>
  <c r="BD15" i="62"/>
  <c r="BD16" i="62" s="1"/>
  <c r="AV15" i="62"/>
  <c r="AV16" i="62" s="1"/>
  <c r="AN15" i="62"/>
  <c r="AN16" i="62" s="1"/>
  <c r="AF15" i="62"/>
  <c r="AF16" i="62" s="1"/>
  <c r="BC15" i="62"/>
  <c r="BC16" i="62" s="1"/>
  <c r="AM15" i="62"/>
  <c r="AM16" i="62" s="1"/>
  <c r="BB15" i="62"/>
  <c r="BB16" i="62" s="1"/>
  <c r="BE15" i="62"/>
  <c r="BE16" i="62" s="1"/>
  <c r="AW15" i="62"/>
  <c r="AW16" i="62" s="1"/>
  <c r="AO15" i="62"/>
  <c r="AO16" i="62" s="1"/>
  <c r="AG15" i="62"/>
  <c r="AG16" i="62" s="1"/>
  <c r="AE15" i="62"/>
  <c r="AE16" i="62" s="1"/>
  <c r="AT15" i="62"/>
  <c r="AT16" i="62" s="1"/>
  <c r="AD15" i="62"/>
  <c r="AD16" i="62" s="1"/>
  <c r="AU15" i="62"/>
  <c r="AU16" i="62" s="1"/>
  <c r="AL15" i="62"/>
  <c r="AL16" i="62" s="1"/>
  <c r="AF41" i="62"/>
  <c r="AJ15" i="62"/>
  <c r="AJ16" i="62" s="1"/>
  <c r="F20" i="62"/>
  <c r="D20" i="62"/>
  <c r="C20" i="62"/>
  <c r="A22" i="62"/>
  <c r="B20" i="62"/>
  <c r="AK15" i="62"/>
  <c r="K16" i="62"/>
  <c r="AR15" i="62"/>
  <c r="AR16" i="62" s="1"/>
  <c r="D17" i="62"/>
  <c r="F17" i="62"/>
  <c r="C17" i="62"/>
  <c r="AS15" i="62"/>
  <c r="B18" i="62"/>
  <c r="D18" i="62"/>
  <c r="C18" i="62"/>
  <c r="F18" i="62"/>
  <c r="I17" i="61" a="1"/>
  <c r="I17" i="61" s="1"/>
  <c r="I19" i="61" s="1"/>
  <c r="AZ15" i="59"/>
  <c r="AZ16" i="59" s="1"/>
  <c r="AJ15" i="61"/>
  <c r="AJ16" i="61" s="1"/>
  <c r="AR15" i="61"/>
  <c r="AR16" i="61" s="1"/>
  <c r="AN15" i="59"/>
  <c r="AN16" i="59" s="1"/>
  <c r="AZ15" i="61"/>
  <c r="AZ16" i="61" s="1"/>
  <c r="AF41" i="61"/>
  <c r="M17" i="61"/>
  <c r="AL15" i="61"/>
  <c r="AL16" i="61" s="1"/>
  <c r="C16" i="61"/>
  <c r="B20" i="61"/>
  <c r="E16" i="61"/>
  <c r="E17" i="61"/>
  <c r="C18" i="61"/>
  <c r="D19" i="61"/>
  <c r="D20" i="61"/>
  <c r="AS15" i="61"/>
  <c r="D17" i="61"/>
  <c r="AK15" i="61"/>
  <c r="AM15" i="61"/>
  <c r="AM16" i="61" s="1"/>
  <c r="BC15" i="61"/>
  <c r="BC16" i="61" s="1"/>
  <c r="D16" i="61"/>
  <c r="C19" i="61"/>
  <c r="AF15" i="61"/>
  <c r="AF16" i="61" s="1"/>
  <c r="BD15" i="61"/>
  <c r="BD16" i="61" s="1"/>
  <c r="F17" i="61"/>
  <c r="E19" i="61"/>
  <c r="AH15" i="61"/>
  <c r="AH16" i="61" s="1"/>
  <c r="AP15" i="61"/>
  <c r="AP16" i="61" s="1"/>
  <c r="AX15" i="61"/>
  <c r="AX16" i="61" s="1"/>
  <c r="BF15" i="61"/>
  <c r="BF16" i="61" s="1"/>
  <c r="E18" i="61"/>
  <c r="F19" i="61"/>
  <c r="F20" i="61"/>
  <c r="E21" i="61" a="1"/>
  <c r="E21" i="61" s="1"/>
  <c r="BA15" i="61"/>
  <c r="BA16" i="61" s="1"/>
  <c r="B16" i="61"/>
  <c r="AD15" i="61"/>
  <c r="AD16" i="61" s="1"/>
  <c r="AT15" i="61"/>
  <c r="AT16" i="61" s="1"/>
  <c r="BB15" i="61"/>
  <c r="BB16" i="61" s="1"/>
  <c r="E22" i="61" a="1"/>
  <c r="E22" i="61" s="1"/>
  <c r="AE15" i="61"/>
  <c r="AE16" i="61" s="1"/>
  <c r="AU15" i="61"/>
  <c r="AU16" i="61" s="1"/>
  <c r="B18" i="61"/>
  <c r="C20" i="61"/>
  <c r="AN15" i="61"/>
  <c r="AN16" i="61" s="1"/>
  <c r="AV15" i="61"/>
  <c r="AV16" i="61" s="1"/>
  <c r="AG15" i="61"/>
  <c r="AG16" i="61" s="1"/>
  <c r="AO15" i="61"/>
  <c r="AO16" i="61" s="1"/>
  <c r="AW15" i="61"/>
  <c r="AW16" i="61" s="1"/>
  <c r="BE15" i="61"/>
  <c r="BE16" i="61" s="1"/>
  <c r="D18" i="61"/>
  <c r="AI15" i="61"/>
  <c r="AI16" i="61" s="1"/>
  <c r="AQ15" i="61"/>
  <c r="AQ16" i="61" s="1"/>
  <c r="F18" i="61"/>
  <c r="C16" i="60"/>
  <c r="AF40" i="60"/>
  <c r="AE33" i="60"/>
  <c r="AF33" i="60" s="1"/>
  <c r="F21" i="60" a="1"/>
  <c r="F21" i="60" s="1"/>
  <c r="E20" i="60"/>
  <c r="F16" i="60"/>
  <c r="F22" i="60" a="1"/>
  <c r="F22" i="60" s="1"/>
  <c r="F23" i="60" a="1"/>
  <c r="F23" i="60" s="1"/>
  <c r="E21" i="60" a="1"/>
  <c r="E21" i="60" s="1"/>
  <c r="E22" i="60" a="1"/>
  <c r="E22" i="60" s="1"/>
  <c r="D22" i="60" a="1"/>
  <c r="D22" i="60" s="1"/>
  <c r="B18" i="60"/>
  <c r="E17" i="60"/>
  <c r="E19" i="60"/>
  <c r="C22" i="60" a="1"/>
  <c r="C22" i="60" s="1"/>
  <c r="B22" i="60" a="1"/>
  <c r="B22" i="60" s="1"/>
  <c r="C19" i="60"/>
  <c r="B21" i="60" a="1"/>
  <c r="B21" i="60" s="1"/>
  <c r="D19" i="60"/>
  <c r="C17" i="60"/>
  <c r="D16" i="60"/>
  <c r="B19" i="60"/>
  <c r="F18" i="60"/>
  <c r="E16" i="60"/>
  <c r="E18" i="60"/>
  <c r="D17" i="60"/>
  <c r="D18" i="60"/>
  <c r="F20" i="60"/>
  <c r="B20" i="60"/>
  <c r="D21" i="60" a="1"/>
  <c r="D21" i="60" s="1"/>
  <c r="C20" i="60"/>
  <c r="D20" i="60"/>
  <c r="C21" i="60" a="1"/>
  <c r="C21" i="60" s="1"/>
  <c r="I100" i="60"/>
  <c r="I118" i="60"/>
  <c r="I17" i="60" a="1"/>
  <c r="I17" i="60" s="1"/>
  <c r="M18" i="60" s="1"/>
  <c r="I109" i="60"/>
  <c r="I117" i="60"/>
  <c r="I115" i="60"/>
  <c r="I119" i="60"/>
  <c r="I107" i="60"/>
  <c r="I111" i="60"/>
  <c r="I108" i="60"/>
  <c r="I112" i="60"/>
  <c r="I116" i="60"/>
  <c r="AI15" i="60"/>
  <c r="AQ15" i="60"/>
  <c r="AM15" i="60"/>
  <c r="BF15" i="60"/>
  <c r="AR15" i="60"/>
  <c r="J16" i="60"/>
  <c r="K16" i="60" s="1"/>
  <c r="AF15" i="60"/>
  <c r="AF16" i="60" s="1"/>
  <c r="AW15" i="60"/>
  <c r="AG15" i="60"/>
  <c r="AX15" i="60"/>
  <c r="AV15" i="60"/>
  <c r="AH15" i="60"/>
  <c r="BE15" i="60"/>
  <c r="BE16" i="60" s="1"/>
  <c r="AD15" i="60"/>
  <c r="AO15" i="60"/>
  <c r="AZ15" i="60"/>
  <c r="AN15" i="60"/>
  <c r="AY15" i="60"/>
  <c r="AE15" i="60"/>
  <c r="AP15" i="60"/>
  <c r="BB15" i="60"/>
  <c r="AD15" i="59"/>
  <c r="AP15" i="59"/>
  <c r="AP16" i="59" s="1"/>
  <c r="BF15" i="59"/>
  <c r="BF16" i="59" s="1"/>
  <c r="AG15" i="59"/>
  <c r="AG16" i="59" s="1"/>
  <c r="AW15" i="59"/>
  <c r="AW16" i="59" s="1"/>
  <c r="AH15" i="59"/>
  <c r="AH16" i="59" s="1"/>
  <c r="AX15" i="59"/>
  <c r="AX16" i="59" s="1"/>
  <c r="AJ15" i="60"/>
  <c r="AT15" i="60"/>
  <c r="BC15" i="60"/>
  <c r="BC16" i="60" s="1"/>
  <c r="AO15" i="59"/>
  <c r="AO16" i="59" s="1"/>
  <c r="BE15" i="59"/>
  <c r="BE16" i="59" s="1"/>
  <c r="AE15" i="59"/>
  <c r="AQ15" i="59"/>
  <c r="AQ16" i="59" s="1"/>
  <c r="AF15" i="59"/>
  <c r="AF16" i="59" s="1"/>
  <c r="AV15" i="59"/>
  <c r="AV16" i="59" s="1"/>
  <c r="AM15" i="59"/>
  <c r="AY15" i="59"/>
  <c r="AY16" i="59" s="1"/>
  <c r="AL15" i="60"/>
  <c r="AU15" i="60"/>
  <c r="BD15" i="60"/>
  <c r="BD16" i="60" s="1"/>
  <c r="I105" i="60"/>
  <c r="BA16" i="60"/>
  <c r="A21" i="60"/>
  <c r="AK15" i="60"/>
  <c r="AS15" i="60"/>
  <c r="M16" i="59"/>
  <c r="I74" i="59"/>
  <c r="AI15" i="59"/>
  <c r="AI16" i="59" s="1"/>
  <c r="AR15" i="59"/>
  <c r="AR16" i="59" s="1"/>
  <c r="BB15" i="59"/>
  <c r="AJ15" i="59"/>
  <c r="AJ16" i="59" s="1"/>
  <c r="AT15" i="59"/>
  <c r="BC15" i="59"/>
  <c r="BC16" i="59" s="1"/>
  <c r="AL15" i="59"/>
  <c r="AU15" i="59"/>
  <c r="BD15" i="59"/>
  <c r="BD16" i="59" s="1"/>
  <c r="AF41" i="59"/>
  <c r="E18" i="59"/>
  <c r="BA16" i="59"/>
  <c r="I17" i="59" a="1"/>
  <c r="I17" i="59" s="1"/>
  <c r="F18" i="59"/>
  <c r="A21" i="59"/>
  <c r="B18" i="59"/>
  <c r="B21" i="59" a="1"/>
  <c r="B21" i="59" s="1"/>
  <c r="C18" i="59"/>
  <c r="AK15" i="59"/>
  <c r="AS15" i="59"/>
  <c r="B16" i="59"/>
  <c r="K16" i="59"/>
  <c r="J16" i="58"/>
  <c r="K16" i="58" s="1"/>
  <c r="AE33" i="58"/>
  <c r="AF33" i="58" s="1"/>
  <c r="F22" i="58" a="1"/>
  <c r="F22" i="58" s="1"/>
  <c r="F16" i="58"/>
  <c r="F23" i="58" a="1"/>
  <c r="F23" i="58" s="1"/>
  <c r="C22" i="58" a="1"/>
  <c r="C22" i="58" s="1"/>
  <c r="F21" i="58" a="1"/>
  <c r="F21" i="58" s="1"/>
  <c r="E21" i="58" a="1"/>
  <c r="E21" i="58" s="1"/>
  <c r="E20" i="58"/>
  <c r="F20" i="58"/>
  <c r="D20" i="58"/>
  <c r="AF40" i="58"/>
  <c r="AF41" i="58" s="1"/>
  <c r="D21" i="58" a="1"/>
  <c r="D21" i="58" s="1"/>
  <c r="AJ15" i="58"/>
  <c r="AJ16" i="58" s="1"/>
  <c r="AZ15" i="58"/>
  <c r="AZ16" i="58" s="1"/>
  <c r="E19" i="58"/>
  <c r="E22" i="58" a="1"/>
  <c r="E22" i="58" s="1"/>
  <c r="D19" i="58"/>
  <c r="D22" i="58" a="1"/>
  <c r="D22" i="58" s="1"/>
  <c r="BB15" i="58"/>
  <c r="C19" i="58"/>
  <c r="AO15" i="58"/>
  <c r="C16" i="58"/>
  <c r="C17" i="58"/>
  <c r="AP15" i="58"/>
  <c r="BC15" i="58"/>
  <c r="BC16" i="58" s="1"/>
  <c r="B17" i="58"/>
  <c r="D16" i="58"/>
  <c r="D17" i="58"/>
  <c r="C21" i="58" a="1"/>
  <c r="C21" i="58" s="1"/>
  <c r="AQ15" i="58"/>
  <c r="E16" i="58"/>
  <c r="E17" i="58"/>
  <c r="AF15" i="58"/>
  <c r="AR15" i="58"/>
  <c r="AG15" i="58"/>
  <c r="AT15" i="58"/>
  <c r="AT16" i="58" s="1"/>
  <c r="D18" i="58"/>
  <c r="C20" i="58"/>
  <c r="B20" i="58"/>
  <c r="AH15" i="58"/>
  <c r="AH16" i="58" s="1"/>
  <c r="AX15" i="58"/>
  <c r="AI15" i="58"/>
  <c r="AI16" i="58" s="1"/>
  <c r="AY15" i="58"/>
  <c r="AY16" i="58" s="1"/>
  <c r="B19" i="58"/>
  <c r="B22" i="58" a="1"/>
  <c r="B22" i="58" s="1"/>
  <c r="AL15" i="58"/>
  <c r="AU15" i="58"/>
  <c r="BD15" i="58"/>
  <c r="AD15" i="58"/>
  <c r="AD16" i="58" s="1"/>
  <c r="AM15" i="58"/>
  <c r="AV15" i="58"/>
  <c r="AV16" i="58" s="1"/>
  <c r="BE15" i="58"/>
  <c r="AE15" i="58"/>
  <c r="AN15" i="58"/>
  <c r="AN16" i="58" s="1"/>
  <c r="AW15" i="58"/>
  <c r="AW16" i="58" s="1"/>
  <c r="BF15" i="58"/>
  <c r="BF16" i="58" s="1"/>
  <c r="B18" i="58"/>
  <c r="C18" i="58"/>
  <c r="E18" i="58"/>
  <c r="BA16" i="58"/>
  <c r="I17" i="58" a="1"/>
  <c r="I17" i="58" s="1"/>
  <c r="F18" i="58"/>
  <c r="A21" i="58"/>
  <c r="B21" i="58" a="1"/>
  <c r="B21" i="58" s="1"/>
  <c r="AK15" i="58"/>
  <c r="AS15" i="58"/>
  <c r="B16" i="58"/>
  <c r="BF15" i="56"/>
  <c r="BE15" i="56"/>
  <c r="BD15" i="56"/>
  <c r="BC15" i="56"/>
  <c r="BB15" i="56"/>
  <c r="BA15" i="56"/>
  <c r="AZ15" i="56"/>
  <c r="AY15" i="56"/>
  <c r="AX15" i="56"/>
  <c r="AW15" i="56"/>
  <c r="AV15" i="56"/>
  <c r="AU15" i="56"/>
  <c r="AT15" i="56"/>
  <c r="AS15" i="56"/>
  <c r="AR15" i="56"/>
  <c r="AQ15" i="56"/>
  <c r="AP15" i="56"/>
  <c r="AO15" i="56"/>
  <c r="AN15" i="56"/>
  <c r="AM15" i="56"/>
  <c r="AL15" i="56"/>
  <c r="AK15" i="56"/>
  <c r="AJ15" i="56"/>
  <c r="AI15" i="56"/>
  <c r="AH15" i="56"/>
  <c r="AG15" i="56"/>
  <c r="AF15" i="56"/>
  <c r="AE15" i="56"/>
  <c r="AD15" i="56"/>
  <c r="B22" i="56" a="1"/>
  <c r="B22" i="56" s="1"/>
  <c r="B21" i="56" a="1"/>
  <c r="B21" i="56" s="1"/>
  <c r="B20" i="56"/>
  <c r="B19" i="56"/>
  <c r="B18" i="56"/>
  <c r="B17" i="56"/>
  <c r="B16" i="56"/>
  <c r="C22" i="56" a="1"/>
  <c r="C22" i="56" s="1"/>
  <c r="C21" i="56" a="1"/>
  <c r="C21" i="56" s="1"/>
  <c r="C20" i="56"/>
  <c r="C19" i="56"/>
  <c r="C18" i="56"/>
  <c r="C17" i="56"/>
  <c r="C16" i="56"/>
  <c r="D22" i="56" a="1"/>
  <c r="D22" i="56" s="1"/>
  <c r="D21" i="56" a="1"/>
  <c r="D21" i="56" s="1"/>
  <c r="D20" i="56"/>
  <c r="D19" i="56"/>
  <c r="D18" i="56"/>
  <c r="D17" i="56"/>
  <c r="D16" i="56"/>
  <c r="E22" i="56" a="1"/>
  <c r="E22" i="56" s="1"/>
  <c r="E21" i="56" a="1"/>
  <c r="E21" i="56" s="1"/>
  <c r="E20" i="56"/>
  <c r="E19" i="56"/>
  <c r="E18" i="56"/>
  <c r="E17" i="56"/>
  <c r="E16" i="56"/>
  <c r="M16" i="56" s="1"/>
  <c r="K16" i="56"/>
  <c r="I19" i="56"/>
  <c r="M18" i="56"/>
  <c r="A21" i="56"/>
  <c r="F18" i="56"/>
  <c r="A22" i="56"/>
  <c r="F20" i="56"/>
  <c r="AF40" i="55"/>
  <c r="AF41" i="55" s="1"/>
  <c r="I100" i="55"/>
  <c r="I101" i="55"/>
  <c r="I102" i="55"/>
  <c r="BF15" i="55"/>
  <c r="BE15" i="55"/>
  <c r="BD15" i="55"/>
  <c r="BC15" i="55"/>
  <c r="BB15" i="55"/>
  <c r="BA15" i="55"/>
  <c r="AZ15" i="55"/>
  <c r="AY15" i="55"/>
  <c r="AX15" i="55"/>
  <c r="AW15" i="55"/>
  <c r="AV15" i="55"/>
  <c r="AU15" i="55"/>
  <c r="AT15" i="55"/>
  <c r="AS15" i="55"/>
  <c r="AR15" i="55"/>
  <c r="AQ15" i="55"/>
  <c r="AP15" i="55"/>
  <c r="AO15" i="55"/>
  <c r="AN15" i="55"/>
  <c r="AM15" i="55"/>
  <c r="AL15" i="55"/>
  <c r="AK15" i="55"/>
  <c r="AJ15" i="55"/>
  <c r="AI15" i="55"/>
  <c r="AH15" i="55"/>
  <c r="AG15" i="55"/>
  <c r="AF15" i="55"/>
  <c r="AE15" i="55"/>
  <c r="AD15" i="55"/>
  <c r="I19" i="55"/>
  <c r="M18" i="55"/>
  <c r="A21" i="55"/>
  <c r="A22" i="55"/>
  <c r="AF41" i="50"/>
  <c r="AF41" i="54"/>
  <c r="I74" i="54"/>
  <c r="I75" i="54"/>
  <c r="I76" i="54"/>
  <c r="I77" i="54"/>
  <c r="I78" i="54"/>
  <c r="I79" i="54"/>
  <c r="I80" i="54"/>
  <c r="I81" i="54"/>
  <c r="I82" i="54"/>
  <c r="I83" i="54"/>
  <c r="I84" i="54"/>
  <c r="BF15" i="54"/>
  <c r="BE15" i="54"/>
  <c r="BD15" i="54"/>
  <c r="BC15" i="54"/>
  <c r="BB15" i="54"/>
  <c r="BA15" i="54"/>
  <c r="AZ15" i="54"/>
  <c r="AY15" i="54"/>
  <c r="AX15" i="54"/>
  <c r="AW15" i="54"/>
  <c r="AV15" i="54"/>
  <c r="AU15" i="54"/>
  <c r="AT15" i="54"/>
  <c r="AS15" i="54"/>
  <c r="AR15" i="54"/>
  <c r="AQ15" i="54"/>
  <c r="AP15" i="54"/>
  <c r="AO15" i="54"/>
  <c r="AN15" i="54"/>
  <c r="AM15" i="54"/>
  <c r="AL15" i="54"/>
  <c r="AK15" i="54"/>
  <c r="AJ15" i="54"/>
  <c r="AI15" i="54"/>
  <c r="AH15" i="54"/>
  <c r="AG15" i="54"/>
  <c r="AF15" i="54"/>
  <c r="AE15" i="54"/>
  <c r="AD15" i="54"/>
  <c r="B22" i="54" a="1"/>
  <c r="B22" i="54" s="1"/>
  <c r="B20" i="54"/>
  <c r="B19" i="54"/>
  <c r="B17" i="54"/>
  <c r="B16" i="54"/>
  <c r="C22" i="54" a="1"/>
  <c r="C22" i="54" s="1"/>
  <c r="C21" i="54" a="1"/>
  <c r="C21" i="54" s="1"/>
  <c r="C20" i="54"/>
  <c r="C19" i="54"/>
  <c r="C18" i="54"/>
  <c r="C17" i="54"/>
  <c r="C16" i="54"/>
  <c r="D22" i="54" a="1"/>
  <c r="D22" i="54" s="1"/>
  <c r="D21" i="54" a="1"/>
  <c r="D21" i="54" s="1"/>
  <c r="D20" i="54"/>
  <c r="D19" i="54"/>
  <c r="D18" i="54"/>
  <c r="E22" i="54" a="1"/>
  <c r="E22" i="54" s="1"/>
  <c r="E21" i="54" a="1"/>
  <c r="E21" i="54" s="1"/>
  <c r="E20" i="54"/>
  <c r="E19" i="54"/>
  <c r="E18" i="54"/>
  <c r="E17" i="54"/>
  <c r="E16" i="54"/>
  <c r="I19" i="54"/>
  <c r="M18" i="54"/>
  <c r="A21" i="54"/>
  <c r="F18" i="54"/>
  <c r="A22" i="54"/>
  <c r="F20" i="54"/>
  <c r="I91" i="52"/>
  <c r="I92" i="52"/>
  <c r="I93" i="52"/>
  <c r="I94" i="52"/>
  <c r="I96" i="52"/>
  <c r="I97" i="52"/>
  <c r="I103" i="52"/>
  <c r="B22" i="52" a="1"/>
  <c r="B22" i="52" s="1"/>
  <c r="B21" i="52" a="1"/>
  <c r="B21" i="52" s="1"/>
  <c r="B20" i="52"/>
  <c r="B19" i="52"/>
  <c r="B18" i="52"/>
  <c r="B17" i="52"/>
  <c r="B16" i="52"/>
  <c r="C22" i="52" a="1"/>
  <c r="C22" i="52" s="1"/>
  <c r="C21" i="52" a="1"/>
  <c r="C21" i="52" s="1"/>
  <c r="C20" i="52"/>
  <c r="C19" i="52"/>
  <c r="C18" i="52"/>
  <c r="C17" i="52"/>
  <c r="C16" i="52"/>
  <c r="D22" i="52" a="1"/>
  <c r="D22" i="52" s="1"/>
  <c r="D21" i="52" a="1"/>
  <c r="D21" i="52" s="1"/>
  <c r="D20" i="52"/>
  <c r="D19" i="52"/>
  <c r="D18" i="52"/>
  <c r="D17" i="52"/>
  <c r="D16" i="52"/>
  <c r="E22" i="52" a="1"/>
  <c r="E22" i="52" s="1"/>
  <c r="E21" i="52" a="1"/>
  <c r="E21" i="52" s="1"/>
  <c r="E20" i="52"/>
  <c r="E19" i="52"/>
  <c r="E18" i="52"/>
  <c r="E17" i="52"/>
  <c r="E16" i="52"/>
  <c r="I84" i="53"/>
  <c r="I86" i="53"/>
  <c r="I87" i="53"/>
  <c r="B22" i="53" a="1"/>
  <c r="B22" i="53" s="1"/>
  <c r="B21" i="53" a="1"/>
  <c r="B21" i="53" s="1"/>
  <c r="B20" i="53"/>
  <c r="B19" i="53"/>
  <c r="B18" i="53"/>
  <c r="B17" i="53"/>
  <c r="B16" i="53"/>
  <c r="C22" i="53" a="1"/>
  <c r="C22" i="53" s="1"/>
  <c r="C21" i="53" a="1"/>
  <c r="C21" i="53" s="1"/>
  <c r="C20" i="53"/>
  <c r="C19" i="53"/>
  <c r="C18" i="53"/>
  <c r="C17" i="53"/>
  <c r="C16" i="53"/>
  <c r="D22" i="53" a="1"/>
  <c r="D22" i="53" s="1"/>
  <c r="D21" i="53" a="1"/>
  <c r="D21" i="53" s="1"/>
  <c r="D20" i="53"/>
  <c r="D19" i="53"/>
  <c r="D18" i="53"/>
  <c r="D17" i="53"/>
  <c r="D16" i="53"/>
  <c r="E22" i="53" a="1"/>
  <c r="E22" i="53" s="1"/>
  <c r="M16" i="53" s="1"/>
  <c r="E21" i="53" a="1"/>
  <c r="E21" i="53" s="1"/>
  <c r="E20" i="53"/>
  <c r="E19" i="53"/>
  <c r="E18" i="53"/>
  <c r="E17" i="53"/>
  <c r="E16" i="53"/>
  <c r="BF15" i="53"/>
  <c r="BE15" i="53"/>
  <c r="BD15" i="53"/>
  <c r="BC15" i="53"/>
  <c r="BB15" i="53"/>
  <c r="BA15" i="53"/>
  <c r="AZ15" i="53"/>
  <c r="AY15" i="53"/>
  <c r="AX15" i="53"/>
  <c r="AW15" i="53"/>
  <c r="AV15" i="53"/>
  <c r="AU15" i="53"/>
  <c r="AT15" i="53"/>
  <c r="AS15" i="53"/>
  <c r="AR15" i="53"/>
  <c r="AQ15" i="53"/>
  <c r="AP15" i="53"/>
  <c r="AO15" i="53"/>
  <c r="AN15" i="53"/>
  <c r="AM15" i="53"/>
  <c r="AL15" i="53"/>
  <c r="AK15" i="53"/>
  <c r="AJ15" i="53"/>
  <c r="AI15" i="53"/>
  <c r="AH15" i="53"/>
  <c r="AG15" i="53"/>
  <c r="AF15" i="53"/>
  <c r="AE15" i="53"/>
  <c r="AD15" i="53"/>
  <c r="K16" i="53"/>
  <c r="M18" i="53"/>
  <c r="A21" i="53"/>
  <c r="A22" i="53"/>
  <c r="BF15" i="52"/>
  <c r="BE15" i="52"/>
  <c r="BD15" i="52"/>
  <c r="BC15" i="52"/>
  <c r="BB15" i="52"/>
  <c r="BA15" i="52"/>
  <c r="AZ15" i="52"/>
  <c r="AY15" i="52"/>
  <c r="AX15" i="52"/>
  <c r="AW15" i="52"/>
  <c r="AV15" i="52"/>
  <c r="AU15" i="52"/>
  <c r="AT15" i="52"/>
  <c r="AS15" i="52"/>
  <c r="AR15" i="52"/>
  <c r="AQ15" i="52"/>
  <c r="AP15" i="52"/>
  <c r="AO15" i="52"/>
  <c r="AN15" i="52"/>
  <c r="AM15" i="52"/>
  <c r="AL15" i="52"/>
  <c r="AK15" i="52"/>
  <c r="AJ15" i="52"/>
  <c r="AI15" i="52"/>
  <c r="AH15" i="52"/>
  <c r="AG15" i="52"/>
  <c r="AF15" i="52"/>
  <c r="AE15" i="52"/>
  <c r="AD15" i="52"/>
  <c r="A21" i="52"/>
  <c r="A22" i="52"/>
  <c r="AF40" i="51"/>
  <c r="AF41" i="51" s="1"/>
  <c r="BF15" i="51"/>
  <c r="BE15" i="51"/>
  <c r="BD15" i="51"/>
  <c r="BC15" i="51"/>
  <c r="BB15" i="51"/>
  <c r="BA15" i="51"/>
  <c r="AZ15" i="51"/>
  <c r="AY15" i="51"/>
  <c r="AX15" i="51"/>
  <c r="AW15" i="51"/>
  <c r="AV15" i="51"/>
  <c r="AU15" i="51"/>
  <c r="AT15" i="51"/>
  <c r="AS15" i="51"/>
  <c r="AR15" i="51"/>
  <c r="AQ15" i="51"/>
  <c r="AP15" i="51"/>
  <c r="AO15" i="51"/>
  <c r="AN15" i="51"/>
  <c r="AM15" i="51"/>
  <c r="AL15" i="51"/>
  <c r="AK15" i="51"/>
  <c r="AJ15" i="51"/>
  <c r="AI15" i="51"/>
  <c r="AH15" i="51"/>
  <c r="AG15" i="51"/>
  <c r="AF15" i="51"/>
  <c r="AE15" i="51"/>
  <c r="AD15" i="51"/>
  <c r="B22" i="51" a="1"/>
  <c r="B22" i="51" s="1"/>
  <c r="B21" i="51" a="1"/>
  <c r="B21" i="51" s="1"/>
  <c r="B20" i="51"/>
  <c r="B19" i="51"/>
  <c r="B18" i="51"/>
  <c r="B17" i="51"/>
  <c r="B16" i="51"/>
  <c r="C22" i="51" a="1"/>
  <c r="C22" i="51" s="1"/>
  <c r="C21" i="51" a="1"/>
  <c r="C21" i="51" s="1"/>
  <c r="C20" i="51"/>
  <c r="C19" i="51"/>
  <c r="C18" i="51"/>
  <c r="C17" i="51"/>
  <c r="C16" i="51"/>
  <c r="D22" i="51" a="1"/>
  <c r="D22" i="51" s="1"/>
  <c r="D21" i="51" a="1"/>
  <c r="D21" i="51" s="1"/>
  <c r="D20" i="51"/>
  <c r="D19" i="51"/>
  <c r="D18" i="51"/>
  <c r="D17" i="51"/>
  <c r="D16" i="51"/>
  <c r="E22" i="51" a="1"/>
  <c r="E22" i="51" s="1"/>
  <c r="E21" i="51" a="1"/>
  <c r="E21" i="51" s="1"/>
  <c r="E20" i="51"/>
  <c r="E19" i="51"/>
  <c r="E18" i="51"/>
  <c r="E17" i="51"/>
  <c r="E16" i="51"/>
  <c r="K16" i="51"/>
  <c r="I19" i="51"/>
  <c r="M18" i="51"/>
  <c r="A21" i="51"/>
  <c r="F18" i="51"/>
  <c r="A22" i="51"/>
  <c r="F20" i="51"/>
  <c r="I17" i="50" a="1"/>
  <c r="I17" i="50" s="1"/>
  <c r="I19" i="50" s="1"/>
  <c r="B22" i="50" a="1"/>
  <c r="B22" i="50" s="1"/>
  <c r="B21" i="50" a="1"/>
  <c r="B21" i="50" s="1"/>
  <c r="B20" i="50"/>
  <c r="B19" i="50"/>
  <c r="B18" i="50"/>
  <c r="B17" i="50"/>
  <c r="B16" i="50"/>
  <c r="C22" i="50" a="1"/>
  <c r="C22" i="50" s="1"/>
  <c r="C21" i="50" a="1"/>
  <c r="C21" i="50" s="1"/>
  <c r="C20" i="50"/>
  <c r="C19" i="50"/>
  <c r="C18" i="50"/>
  <c r="C17" i="50"/>
  <c r="C16" i="50"/>
  <c r="D22" i="50" a="1"/>
  <c r="D22" i="50" s="1"/>
  <c r="D21" i="50" a="1"/>
  <c r="D21" i="50" s="1"/>
  <c r="D20" i="50"/>
  <c r="D19" i="50"/>
  <c r="D18" i="50"/>
  <c r="D17" i="50"/>
  <c r="D16" i="50"/>
  <c r="E22" i="50" a="1"/>
  <c r="E22" i="50" s="1"/>
  <c r="E21" i="50" a="1"/>
  <c r="E21" i="50" s="1"/>
  <c r="E20" i="50"/>
  <c r="E19" i="50"/>
  <c r="E18" i="50"/>
  <c r="E17" i="50"/>
  <c r="E16" i="50"/>
  <c r="M16" i="50" s="1"/>
  <c r="BF15" i="50"/>
  <c r="BE15" i="50"/>
  <c r="BD15" i="50"/>
  <c r="BC15" i="50"/>
  <c r="BB15" i="50"/>
  <c r="BA15" i="50"/>
  <c r="AZ15" i="50"/>
  <c r="AY15" i="50"/>
  <c r="AX15" i="50"/>
  <c r="AW15" i="50"/>
  <c r="AV15" i="50"/>
  <c r="AU15" i="50"/>
  <c r="AT15" i="50"/>
  <c r="AS15" i="50"/>
  <c r="AR15" i="50"/>
  <c r="AQ15" i="50"/>
  <c r="AP15" i="50"/>
  <c r="AO15" i="50"/>
  <c r="AN15" i="50"/>
  <c r="AM15" i="50"/>
  <c r="AL15" i="50"/>
  <c r="AK15" i="50"/>
  <c r="AJ15" i="50"/>
  <c r="AI15" i="50"/>
  <c r="AH15" i="50"/>
  <c r="AG15" i="50"/>
  <c r="AF15" i="50"/>
  <c r="AE15" i="50"/>
  <c r="AD15" i="50"/>
  <c r="A21" i="50"/>
  <c r="A22" i="50"/>
  <c r="I72" i="48"/>
  <c r="I71" i="48"/>
  <c r="B20" i="49"/>
  <c r="B19" i="49"/>
  <c r="B18" i="49"/>
  <c r="B17" i="49"/>
  <c r="C20" i="49"/>
  <c r="C19" i="49"/>
  <c r="C18" i="49"/>
  <c r="C17" i="49"/>
  <c r="C16" i="49"/>
  <c r="D20" i="49"/>
  <c r="D19" i="49"/>
  <c r="D18" i="49"/>
  <c r="D17" i="49"/>
  <c r="D16" i="49"/>
  <c r="E20" i="49"/>
  <c r="E19" i="49"/>
  <c r="E18" i="49"/>
  <c r="E17" i="49"/>
  <c r="E16" i="49"/>
  <c r="AF40" i="49"/>
  <c r="BF15" i="49"/>
  <c r="BE15" i="49"/>
  <c r="BD15" i="49"/>
  <c r="BC15" i="49"/>
  <c r="BB15" i="49"/>
  <c r="BA15" i="49"/>
  <c r="AZ15" i="49"/>
  <c r="AY15" i="49"/>
  <c r="AX15" i="49"/>
  <c r="AW15" i="49"/>
  <c r="AV15" i="49"/>
  <c r="AU15" i="49"/>
  <c r="AT15" i="49"/>
  <c r="AS15" i="49"/>
  <c r="AR15" i="49"/>
  <c r="AQ15" i="49"/>
  <c r="AP15" i="49"/>
  <c r="AO15" i="49"/>
  <c r="AN15" i="49"/>
  <c r="AM15" i="49"/>
  <c r="AL15" i="49"/>
  <c r="AK15" i="49"/>
  <c r="AJ15" i="49"/>
  <c r="AI15" i="49"/>
  <c r="AH15" i="49"/>
  <c r="AG15" i="49"/>
  <c r="AF15" i="49"/>
  <c r="AE15" i="49"/>
  <c r="AD15" i="49"/>
  <c r="K16" i="49"/>
  <c r="M17" i="49" s="1"/>
  <c r="I19" i="49"/>
  <c r="M18" i="49"/>
  <c r="A21" i="49"/>
  <c r="A22" i="49"/>
  <c r="BF15" i="48"/>
  <c r="BE15" i="48"/>
  <c r="BD15" i="48"/>
  <c r="BC15" i="48"/>
  <c r="BB15" i="48"/>
  <c r="BA15" i="48"/>
  <c r="AZ15" i="48"/>
  <c r="AY15" i="48"/>
  <c r="AX15" i="48"/>
  <c r="AW15" i="48"/>
  <c r="AV15" i="48"/>
  <c r="AU15" i="48"/>
  <c r="AT15" i="48"/>
  <c r="AS15" i="48"/>
  <c r="AR15" i="48"/>
  <c r="AQ15" i="48"/>
  <c r="AP15" i="48"/>
  <c r="AO15" i="48"/>
  <c r="AN15" i="48"/>
  <c r="AM15" i="48"/>
  <c r="AL15" i="48"/>
  <c r="AK15" i="48"/>
  <c r="AJ15" i="48"/>
  <c r="AI15" i="48"/>
  <c r="AH15" i="48"/>
  <c r="AG15" i="48"/>
  <c r="AF15" i="48"/>
  <c r="AE15" i="48"/>
  <c r="AD15" i="48"/>
  <c r="B22" i="48" a="1"/>
  <c r="B22" i="48" s="1"/>
  <c r="B21" i="48" a="1"/>
  <c r="B21" i="48" s="1"/>
  <c r="B20" i="48"/>
  <c r="B19" i="48"/>
  <c r="B18" i="48"/>
  <c r="B17" i="48"/>
  <c r="B16" i="48"/>
  <c r="C22" i="48" a="1"/>
  <c r="C22" i="48" s="1"/>
  <c r="C21" i="48" a="1"/>
  <c r="C21" i="48" s="1"/>
  <c r="C20" i="48"/>
  <c r="C19" i="48"/>
  <c r="C18" i="48"/>
  <c r="C17" i="48"/>
  <c r="C16" i="48"/>
  <c r="D22" i="48" a="1"/>
  <c r="D22" i="48" s="1"/>
  <c r="D21" i="48" a="1"/>
  <c r="D21" i="48" s="1"/>
  <c r="D20" i="48"/>
  <c r="D19" i="48"/>
  <c r="D18" i="48"/>
  <c r="D17" i="48"/>
  <c r="D16" i="48"/>
  <c r="E22" i="48" a="1"/>
  <c r="E22" i="48" s="1"/>
  <c r="E21" i="48" a="1"/>
  <c r="E21" i="48" s="1"/>
  <c r="E20" i="48"/>
  <c r="E19" i="48"/>
  <c r="E18" i="48"/>
  <c r="E17" i="48"/>
  <c r="E16" i="48"/>
  <c r="K16" i="48"/>
  <c r="I19" i="48"/>
  <c r="M18" i="48"/>
  <c r="A21" i="48"/>
  <c r="F18" i="48"/>
  <c r="A22" i="48"/>
  <c r="F20" i="48"/>
  <c r="AF41" i="48"/>
  <c r="I85" i="47"/>
  <c r="I84" i="47"/>
  <c r="I83" i="47"/>
  <c r="BF15" i="47"/>
  <c r="BE15" i="47"/>
  <c r="BD15" i="47"/>
  <c r="BC15" i="47"/>
  <c r="BB15" i="47"/>
  <c r="BA15" i="47"/>
  <c r="AZ15" i="47"/>
  <c r="AY15" i="47"/>
  <c r="AX15" i="47"/>
  <c r="AW15" i="47"/>
  <c r="AV15" i="47"/>
  <c r="AU15" i="47"/>
  <c r="AT15" i="47"/>
  <c r="AS15" i="47"/>
  <c r="AR15" i="47"/>
  <c r="AQ15" i="47"/>
  <c r="AP15" i="47"/>
  <c r="AO15" i="47"/>
  <c r="AN15" i="47"/>
  <c r="AM15" i="47"/>
  <c r="AL15" i="47"/>
  <c r="AK15" i="47"/>
  <c r="AJ15" i="47"/>
  <c r="AI15" i="47"/>
  <c r="AH15" i="47"/>
  <c r="AG15" i="47"/>
  <c r="AF15" i="47"/>
  <c r="AE15" i="47"/>
  <c r="AD15" i="47"/>
  <c r="B22" i="47" a="1"/>
  <c r="B22" i="47" s="1"/>
  <c r="B21" i="47" a="1"/>
  <c r="B21" i="47" s="1"/>
  <c r="B20" i="47"/>
  <c r="B19" i="47"/>
  <c r="B18" i="47"/>
  <c r="B17" i="47"/>
  <c r="B16" i="47"/>
  <c r="C22" i="47" a="1"/>
  <c r="C22" i="47" s="1"/>
  <c r="C21" i="47" a="1"/>
  <c r="C21" i="47" s="1"/>
  <c r="C20" i="47"/>
  <c r="C19" i="47"/>
  <c r="C18" i="47"/>
  <c r="C17" i="47"/>
  <c r="C16" i="47"/>
  <c r="D22" i="47" a="1"/>
  <c r="D22" i="47" s="1"/>
  <c r="D21" i="47" a="1"/>
  <c r="D21" i="47" s="1"/>
  <c r="D20" i="47"/>
  <c r="D19" i="47"/>
  <c r="D18" i="47"/>
  <c r="D17" i="47"/>
  <c r="D16" i="47"/>
  <c r="E22" i="47" a="1"/>
  <c r="E22" i="47" s="1"/>
  <c r="E21" i="47" a="1"/>
  <c r="E21" i="47" s="1"/>
  <c r="E20" i="47"/>
  <c r="E19" i="47"/>
  <c r="E18" i="47"/>
  <c r="E17" i="47"/>
  <c r="E16" i="47"/>
  <c r="K16" i="47"/>
  <c r="I19" i="47"/>
  <c r="M18" i="47"/>
  <c r="A21" i="47"/>
  <c r="F18" i="47"/>
  <c r="A22" i="47"/>
  <c r="F20" i="47"/>
  <c r="AF41" i="47"/>
  <c r="I81" i="46"/>
  <c r="I80" i="46"/>
  <c r="I79" i="46"/>
  <c r="I78" i="46"/>
  <c r="I77" i="46"/>
  <c r="I76" i="46"/>
  <c r="BF15" i="46"/>
  <c r="BE15" i="46"/>
  <c r="BD15" i="46"/>
  <c r="BC15" i="46"/>
  <c r="BB15" i="46"/>
  <c r="BA15" i="46"/>
  <c r="AZ15" i="46"/>
  <c r="AY15" i="46"/>
  <c r="AX15" i="46"/>
  <c r="AW15" i="46"/>
  <c r="AV15" i="46"/>
  <c r="AU15" i="46"/>
  <c r="AT15" i="46"/>
  <c r="AS15" i="46"/>
  <c r="AR15" i="46"/>
  <c r="AQ15" i="46"/>
  <c r="AP15" i="46"/>
  <c r="AO15" i="46"/>
  <c r="AN15" i="46"/>
  <c r="AM15" i="46"/>
  <c r="AL15" i="46"/>
  <c r="AK15" i="46"/>
  <c r="AJ15" i="46"/>
  <c r="AI15" i="46"/>
  <c r="AH15" i="46"/>
  <c r="AG15" i="46"/>
  <c r="AF15" i="46"/>
  <c r="AE15" i="46"/>
  <c r="AD15" i="46"/>
  <c r="I19" i="46"/>
  <c r="M18" i="46"/>
  <c r="A21" i="46"/>
  <c r="A22" i="46"/>
  <c r="BF15" i="45"/>
  <c r="BE15" i="45"/>
  <c r="BD15" i="45"/>
  <c r="BC15" i="45"/>
  <c r="BB15" i="45"/>
  <c r="BA15" i="45"/>
  <c r="AZ15" i="45"/>
  <c r="AY15" i="45"/>
  <c r="AX15" i="45"/>
  <c r="AW15" i="45"/>
  <c r="AV15" i="45"/>
  <c r="AU15" i="45"/>
  <c r="AT15" i="45"/>
  <c r="AS15" i="45"/>
  <c r="AR15" i="45"/>
  <c r="AQ15" i="45"/>
  <c r="AP15" i="45"/>
  <c r="AO15" i="45"/>
  <c r="AN15" i="45"/>
  <c r="AM15" i="45"/>
  <c r="AL15" i="45"/>
  <c r="AK15" i="45"/>
  <c r="AJ15" i="45"/>
  <c r="AI15" i="45"/>
  <c r="AH15" i="45"/>
  <c r="AG15" i="45"/>
  <c r="AF15" i="45"/>
  <c r="AE15" i="45"/>
  <c r="AD15" i="45"/>
  <c r="B22" i="45" a="1"/>
  <c r="B22" i="45" s="1"/>
  <c r="B21" i="45" a="1"/>
  <c r="B21" i="45" s="1"/>
  <c r="B20" i="45"/>
  <c r="B19" i="45"/>
  <c r="B18" i="45"/>
  <c r="AE41" i="45" s="1"/>
  <c r="B17" i="45"/>
  <c r="B16" i="45"/>
  <c r="C22" i="45" a="1"/>
  <c r="C22" i="45" s="1"/>
  <c r="C21" i="45" a="1"/>
  <c r="C21" i="45" s="1"/>
  <c r="C20" i="45"/>
  <c r="C19" i="45"/>
  <c r="C18" i="45"/>
  <c r="C17" i="45"/>
  <c r="C16" i="45"/>
  <c r="D22" i="45" a="1"/>
  <c r="D22" i="45" s="1"/>
  <c r="D21" i="45" a="1"/>
  <c r="D21" i="45" s="1"/>
  <c r="D20" i="45"/>
  <c r="D19" i="45"/>
  <c r="D18" i="45"/>
  <c r="D17" i="45"/>
  <c r="D16" i="45"/>
  <c r="E22" i="45" a="1"/>
  <c r="E22" i="45" s="1"/>
  <c r="E21" i="45" a="1"/>
  <c r="E21" i="45" s="1"/>
  <c r="E20" i="45"/>
  <c r="E19" i="45"/>
  <c r="E18" i="45"/>
  <c r="E17" i="45"/>
  <c r="E16" i="45"/>
  <c r="I19" i="45"/>
  <c r="M18" i="45"/>
  <c r="A21" i="45"/>
  <c r="F18" i="45"/>
  <c r="A22" i="45"/>
  <c r="F20" i="45"/>
  <c r="BD38" i="5" a="1"/>
  <c r="BD38" i="5" s="1"/>
  <c r="AQ38" i="5" a="1"/>
  <c r="AQ38" i="5" s="1"/>
  <c r="AF38" i="5" a="1"/>
  <c r="AF38" i="5"/>
  <c r="W38" i="5" a="1"/>
  <c r="W38" i="5" s="1"/>
  <c r="N38" i="5" a="1"/>
  <c r="N38" i="5" s="1"/>
  <c r="BC34" i="5"/>
  <c r="BC33" i="5"/>
  <c r="BC32" i="5"/>
  <c r="BC31" i="5"/>
  <c r="BC30" i="5"/>
  <c r="BC29" i="5"/>
  <c r="BC28" i="5"/>
  <c r="BC27" i="5"/>
  <c r="BC26" i="5"/>
  <c r="BC25" i="5"/>
  <c r="BC24" i="5"/>
  <c r="BC23" i="5"/>
  <c r="BC22" i="5"/>
  <c r="BC21" i="5"/>
  <c r="BC20" i="5"/>
  <c r="BC19" i="5"/>
  <c r="BC18" i="5"/>
  <c r="BC17" i="5"/>
  <c r="BC16" i="5"/>
  <c r="BC14" i="5"/>
  <c r="BC13" i="5"/>
  <c r="BC11" i="5"/>
  <c r="BC10" i="5"/>
  <c r="BC9" i="5"/>
  <c r="BC8" i="5"/>
  <c r="BC7" i="5"/>
  <c r="BC6" i="5"/>
  <c r="BC4" i="5"/>
  <c r="D35" i="3"/>
  <c r="G54" i="1"/>
  <c r="F51" i="1"/>
  <c r="E51" i="1"/>
  <c r="D51" i="1"/>
  <c r="G27" i="1"/>
  <c r="G14" i="1"/>
  <c r="BK25" i="5" a="1"/>
  <c r="BK22" i="5" a="1"/>
  <c r="BJ23" i="5" a="1"/>
  <c r="BN27" i="5" a="1"/>
  <c r="BJ24" i="5" a="1"/>
  <c r="BN3" i="5" a="1"/>
  <c r="BJ21" i="5" a="1"/>
  <c r="BN10" i="5" a="1"/>
  <c r="BN8" i="5" a="1"/>
  <c r="BN5" i="5" a="1"/>
  <c r="BN28" i="5" a="1"/>
  <c r="BN7" i="5" a="1"/>
  <c r="BJ22" i="5" a="1"/>
  <c r="BN16" i="5" a="1"/>
  <c r="BN31" i="5" a="1"/>
  <c r="BK23" i="5" a="1"/>
  <c r="BN25" i="5" a="1"/>
  <c r="BN33" i="5" a="1"/>
  <c r="BN18" i="5" a="1"/>
  <c r="BJ25" i="5" a="1"/>
  <c r="BN21" i="5" a="1"/>
  <c r="BN19" i="5" a="1"/>
  <c r="G37" i="3" l="1"/>
  <c r="BC38" i="5"/>
  <c r="R41" i="76"/>
  <c r="S1" i="76"/>
  <c r="AP33" i="5" a="1"/>
  <c r="AP33" i="5" s="1"/>
  <c r="M16" i="52"/>
  <c r="BK23" i="5"/>
  <c r="M16" i="55"/>
  <c r="BN19" i="5"/>
  <c r="BN8" i="5"/>
  <c r="BJ24" i="5"/>
  <c r="BJ23" i="5"/>
  <c r="BN5" i="5"/>
  <c r="BN27" i="5"/>
  <c r="BN33" i="5"/>
  <c r="BN16" i="5"/>
  <c r="BN7" i="5"/>
  <c r="BN3" i="5"/>
  <c r="BN28" i="5"/>
  <c r="M17" i="58"/>
  <c r="M17" i="60"/>
  <c r="I19" i="67"/>
  <c r="M17" i="51"/>
  <c r="I19" i="60"/>
  <c r="M17" i="48"/>
  <c r="M16" i="51"/>
  <c r="M17" i="54"/>
  <c r="M17" i="65"/>
  <c r="M16" i="68"/>
  <c r="M16" i="54"/>
  <c r="M17" i="56"/>
  <c r="M17" i="59"/>
  <c r="H3" i="5" s="1" a="1"/>
  <c r="H3" i="5" s="1"/>
  <c r="M17" i="63"/>
  <c r="BN31" i="5"/>
  <c r="M17" i="47"/>
  <c r="AF41" i="63"/>
  <c r="BN25" i="5"/>
  <c r="BJ25" i="5"/>
  <c r="M17" i="53"/>
  <c r="BJ22" i="5"/>
  <c r="M16" i="69"/>
  <c r="BN10" i="5"/>
  <c r="M17" i="46"/>
  <c r="BK22" i="5"/>
  <c r="M17" i="62"/>
  <c r="AQ16" i="68"/>
  <c r="AY16" i="68"/>
  <c r="AN16" i="69"/>
  <c r="AZ16" i="69"/>
  <c r="AS16" i="68"/>
  <c r="BK25" i="5"/>
  <c r="AM16" i="64"/>
  <c r="AW16" i="64"/>
  <c r="AE16" i="64"/>
  <c r="AG16" i="64"/>
  <c r="AV16" i="64"/>
  <c r="BN21" i="5"/>
  <c r="BJ21" i="5"/>
  <c r="M17" i="64"/>
  <c r="M18" i="64"/>
  <c r="AI16" i="64"/>
  <c r="AJ16" i="64"/>
  <c r="AM16" i="68"/>
  <c r="BC16" i="68"/>
  <c r="AG16" i="68"/>
  <c r="BE16" i="68"/>
  <c r="BN18" i="5"/>
  <c r="M18" i="66"/>
  <c r="M17" i="66"/>
  <c r="AR16" i="66"/>
  <c r="BE16" i="66"/>
  <c r="AL16" i="66"/>
  <c r="AN16" i="68"/>
  <c r="AZ16" i="68"/>
  <c r="AO16" i="69"/>
  <c r="BA16" i="69"/>
  <c r="AR16" i="68"/>
  <c r="BD16" i="68"/>
  <c r="AS16" i="69"/>
  <c r="BE16" i="69"/>
  <c r="M18" i="50"/>
  <c r="M18" i="61"/>
  <c r="AD16" i="69"/>
  <c r="AP16" i="69"/>
  <c r="BB16" i="69"/>
  <c r="AD16" i="68"/>
  <c r="AP16" i="68"/>
  <c r="BB16" i="68"/>
  <c r="AQ16" i="69"/>
  <c r="BC16" i="69"/>
  <c r="AX16" i="68"/>
  <c r="AO16" i="68"/>
  <c r="BA16" i="68"/>
  <c r="AE16" i="69"/>
  <c r="AF16" i="69"/>
  <c r="AR16" i="69"/>
  <c r="AF16" i="68"/>
  <c r="AG16" i="69"/>
  <c r="AE16" i="59"/>
  <c r="AH16" i="69"/>
  <c r="AT16" i="69"/>
  <c r="BF16" i="69"/>
  <c r="AE16" i="68"/>
  <c r="AH16" i="68"/>
  <c r="AT16" i="68"/>
  <c r="BF16" i="68"/>
  <c r="AI16" i="69"/>
  <c r="AU16" i="69"/>
  <c r="AI16" i="68"/>
  <c r="AU16" i="68"/>
  <c r="AJ16" i="69"/>
  <c r="AV16" i="69"/>
  <c r="AJ16" i="68"/>
  <c r="AV16" i="68"/>
  <c r="AK16" i="69"/>
  <c r="AW16" i="69"/>
  <c r="AK16" i="68"/>
  <c r="AW16" i="68"/>
  <c r="AL16" i="69"/>
  <c r="AX16" i="69"/>
  <c r="AL16" i="68"/>
  <c r="AM16" i="69"/>
  <c r="AY16" i="69"/>
  <c r="M17" i="69"/>
  <c r="M21" i="69"/>
  <c r="B8" i="69" s="1"/>
  <c r="M17" i="50"/>
  <c r="M17" i="68"/>
  <c r="AK16" i="67"/>
  <c r="AS16" i="66"/>
  <c r="AS16" i="67"/>
  <c r="M16" i="67"/>
  <c r="AK16" i="66"/>
  <c r="M16" i="66"/>
  <c r="AS16" i="61"/>
  <c r="AS16" i="65"/>
  <c r="AR16" i="58"/>
  <c r="M16" i="65"/>
  <c r="AK16" i="65"/>
  <c r="AU16" i="64"/>
  <c r="BD16" i="64"/>
  <c r="AP16" i="64"/>
  <c r="I19" i="64"/>
  <c r="AO16" i="64"/>
  <c r="AQ16" i="64"/>
  <c r="AL16" i="64"/>
  <c r="AK16" i="64"/>
  <c r="AR16" i="64"/>
  <c r="AT16" i="64"/>
  <c r="BC16" i="64"/>
  <c r="BF16" i="64"/>
  <c r="BE16" i="64"/>
  <c r="AN16" i="64"/>
  <c r="AZ16" i="64"/>
  <c r="AS16" i="64"/>
  <c r="M16" i="64"/>
  <c r="AM16" i="63"/>
  <c r="BE16" i="63"/>
  <c r="AN16" i="63"/>
  <c r="BF16" i="63"/>
  <c r="M18" i="63"/>
  <c r="M16" i="63"/>
  <c r="AL16" i="46"/>
  <c r="AT16" i="46"/>
  <c r="BB16" i="46"/>
  <c r="AG16" i="47"/>
  <c r="AO16" i="47"/>
  <c r="AW16" i="47"/>
  <c r="BE16" i="47"/>
  <c r="AE16" i="48"/>
  <c r="AM16" i="48"/>
  <c r="AU16" i="48"/>
  <c r="BC16" i="48"/>
  <c r="AE16" i="49"/>
  <c r="AM16" i="49"/>
  <c r="AU16" i="49"/>
  <c r="BC16" i="49"/>
  <c r="AG16" i="50"/>
  <c r="AO16" i="50"/>
  <c r="AW16" i="50"/>
  <c r="BE16" i="50"/>
  <c r="AR16" i="60"/>
  <c r="AO16" i="45"/>
  <c r="AW16" i="45"/>
  <c r="BE16" i="45"/>
  <c r="AP16" i="46"/>
  <c r="AX16" i="46"/>
  <c r="BF16" i="46"/>
  <c r="AK16" i="47"/>
  <c r="AS16" i="47"/>
  <c r="BA16" i="47"/>
  <c r="AR16" i="56"/>
  <c r="AZ16" i="56"/>
  <c r="AS16" i="63"/>
  <c r="AK16" i="63"/>
  <c r="AG16" i="45"/>
  <c r="AH16" i="46"/>
  <c r="AE16" i="51"/>
  <c r="AM16" i="51"/>
  <c r="AU16" i="51"/>
  <c r="BC16" i="51"/>
  <c r="AL16" i="59"/>
  <c r="AD16" i="59"/>
  <c r="AK16" i="62"/>
  <c r="M16" i="62"/>
  <c r="I19" i="62"/>
  <c r="M18" i="62"/>
  <c r="AS16" i="62"/>
  <c r="AQ16" i="60"/>
  <c r="AU16" i="59"/>
  <c r="AM16" i="59"/>
  <c r="M16" i="61"/>
  <c r="AK16" i="61"/>
  <c r="AF41" i="60"/>
  <c r="AH16" i="60"/>
  <c r="AN16" i="60"/>
  <c r="BF16" i="60"/>
  <c r="AM16" i="60"/>
  <c r="AZ16" i="60"/>
  <c r="AO16" i="60"/>
  <c r="AP16" i="60"/>
  <c r="AW16" i="60"/>
  <c r="AV16" i="60"/>
  <c r="AY16" i="60"/>
  <c r="AI16" i="60"/>
  <c r="AX16" i="60"/>
  <c r="AG16" i="60"/>
  <c r="AT16" i="60"/>
  <c r="BB16" i="60"/>
  <c r="AJ16" i="60"/>
  <c r="AE16" i="60"/>
  <c r="AK16" i="60"/>
  <c r="M16" i="60"/>
  <c r="AD16" i="60"/>
  <c r="AN16" i="50"/>
  <c r="AV16" i="50"/>
  <c r="BD16" i="50"/>
  <c r="AS16" i="52"/>
  <c r="BA16" i="52"/>
  <c r="AL16" i="53"/>
  <c r="AT16" i="53"/>
  <c r="BB16" i="53"/>
  <c r="AF16" i="54"/>
  <c r="AN16" i="54"/>
  <c r="AV16" i="54"/>
  <c r="BD16" i="54"/>
  <c r="AK16" i="55"/>
  <c r="AS16" i="55"/>
  <c r="BA16" i="55"/>
  <c r="AE16" i="56"/>
  <c r="AM16" i="56"/>
  <c r="AU16" i="56"/>
  <c r="BC16" i="56"/>
  <c r="AU16" i="60"/>
  <c r="AK16" i="45"/>
  <c r="AS16" i="45"/>
  <c r="BA16" i="45"/>
  <c r="AD16" i="46"/>
  <c r="BB16" i="59"/>
  <c r="AP16" i="47"/>
  <c r="AX16" i="47"/>
  <c r="BF16" i="47"/>
  <c r="AQ16" i="58"/>
  <c r="AP16" i="58"/>
  <c r="AL16" i="60"/>
  <c r="AO16" i="46"/>
  <c r="AW16" i="46"/>
  <c r="BE16" i="46"/>
  <c r="AR16" i="54"/>
  <c r="AZ16" i="54"/>
  <c r="AG16" i="55"/>
  <c r="AO16" i="55"/>
  <c r="AW16" i="55"/>
  <c r="BE16" i="55"/>
  <c r="AQ16" i="56"/>
  <c r="AY16" i="56"/>
  <c r="AL16" i="50"/>
  <c r="AT16" i="50"/>
  <c r="BB16" i="50"/>
  <c r="AR16" i="51"/>
  <c r="AZ16" i="51"/>
  <c r="AR16" i="53"/>
  <c r="AZ16" i="53"/>
  <c r="AD16" i="54"/>
  <c r="AL16" i="54"/>
  <c r="AT16" i="54"/>
  <c r="BB16" i="54"/>
  <c r="AI16" i="55"/>
  <c r="AQ16" i="55"/>
  <c r="AY16" i="55"/>
  <c r="AK16" i="56"/>
  <c r="AS16" i="56"/>
  <c r="BA16" i="56"/>
  <c r="AS16" i="60"/>
  <c r="AP16" i="45"/>
  <c r="AX16" i="45"/>
  <c r="BF16" i="45"/>
  <c r="AI16" i="46"/>
  <c r="AQ16" i="46"/>
  <c r="AY16" i="46"/>
  <c r="AD16" i="47"/>
  <c r="AL16" i="47"/>
  <c r="AT16" i="47"/>
  <c r="BB16" i="47"/>
  <c r="AJ16" i="48"/>
  <c r="AR16" i="48"/>
  <c r="AZ16" i="48"/>
  <c r="AJ16" i="49"/>
  <c r="AR16" i="49"/>
  <c r="AZ16" i="49"/>
  <c r="AD16" i="50"/>
  <c r="AJ16" i="51"/>
  <c r="AI16" i="52"/>
  <c r="AQ16" i="52"/>
  <c r="AY16" i="52"/>
  <c r="AJ16" i="53"/>
  <c r="AD16" i="52"/>
  <c r="AL16" i="52"/>
  <c r="AT16" i="52"/>
  <c r="BB16" i="52"/>
  <c r="AE16" i="53"/>
  <c r="AM16" i="53"/>
  <c r="AU16" i="53"/>
  <c r="BC16" i="53"/>
  <c r="AG16" i="54"/>
  <c r="AO16" i="54"/>
  <c r="AW16" i="54"/>
  <c r="BE16" i="54"/>
  <c r="AD16" i="55"/>
  <c r="AL16" i="55"/>
  <c r="AT16" i="55"/>
  <c r="BB16" i="55"/>
  <c r="AF16" i="56"/>
  <c r="AN16" i="56"/>
  <c r="AV16" i="56"/>
  <c r="BD16" i="56"/>
  <c r="AD16" i="45"/>
  <c r="AL16" i="45"/>
  <c r="AT16" i="45"/>
  <c r="BB16" i="45"/>
  <c r="AE16" i="46"/>
  <c r="AM16" i="46"/>
  <c r="AU16" i="46"/>
  <c r="BC16" i="46"/>
  <c r="AH16" i="47"/>
  <c r="AF16" i="48"/>
  <c r="AN16" i="48"/>
  <c r="AV16" i="48"/>
  <c r="BD16" i="48"/>
  <c r="AF16" i="49"/>
  <c r="AN16" i="49"/>
  <c r="AV16" i="49"/>
  <c r="BD16" i="49"/>
  <c r="AH16" i="50"/>
  <c r="AP16" i="50"/>
  <c r="AX16" i="50"/>
  <c r="BF16" i="50"/>
  <c r="AF16" i="51"/>
  <c r="AN16" i="51"/>
  <c r="AV16" i="51"/>
  <c r="BD16" i="51"/>
  <c r="AE16" i="52"/>
  <c r="AM16" i="52"/>
  <c r="AU16" i="52"/>
  <c r="BC16" i="52"/>
  <c r="AF16" i="53"/>
  <c r="AN16" i="53"/>
  <c r="AV16" i="53"/>
  <c r="BD16" i="53"/>
  <c r="AH16" i="54"/>
  <c r="AP16" i="54"/>
  <c r="AX16" i="54"/>
  <c r="BF16" i="54"/>
  <c r="AE16" i="55"/>
  <c r="AM16" i="55"/>
  <c r="AU16" i="55"/>
  <c r="BC16" i="55"/>
  <c r="AG16" i="56"/>
  <c r="AO16" i="56"/>
  <c r="AW16" i="56"/>
  <c r="BE16" i="56"/>
  <c r="AT16" i="59"/>
  <c r="AE16" i="45"/>
  <c r="AM16" i="45"/>
  <c r="AU16" i="45"/>
  <c r="BC16" i="45"/>
  <c r="AF16" i="46"/>
  <c r="AN16" i="46"/>
  <c r="AV16" i="46"/>
  <c r="BD16" i="46"/>
  <c r="AI16" i="47"/>
  <c r="AQ16" i="47"/>
  <c r="AY16" i="47"/>
  <c r="AG16" i="48"/>
  <c r="AO16" i="48"/>
  <c r="AW16" i="48"/>
  <c r="BE16" i="48"/>
  <c r="AG16" i="49"/>
  <c r="AO16" i="49"/>
  <c r="AW16" i="49"/>
  <c r="BE16" i="49"/>
  <c r="AI16" i="50"/>
  <c r="AQ16" i="50"/>
  <c r="AY16" i="50"/>
  <c r="AG16" i="51"/>
  <c r="AO16" i="51"/>
  <c r="AW16" i="51"/>
  <c r="BE16" i="51"/>
  <c r="AF16" i="52"/>
  <c r="AN16" i="52"/>
  <c r="AV16" i="52"/>
  <c r="BD16" i="52"/>
  <c r="AG16" i="53"/>
  <c r="AO16" i="53"/>
  <c r="AW16" i="53"/>
  <c r="BE16" i="53"/>
  <c r="AI16" i="54"/>
  <c r="AQ16" i="54"/>
  <c r="AY16" i="54"/>
  <c r="AF16" i="55"/>
  <c r="AN16" i="55"/>
  <c r="AV16" i="55"/>
  <c r="BD16" i="55"/>
  <c r="AP16" i="56"/>
  <c r="AX16" i="56"/>
  <c r="BF16" i="56"/>
  <c r="M18" i="59"/>
  <c r="I19" i="59"/>
  <c r="AS16" i="59"/>
  <c r="AK16" i="59"/>
  <c r="AG16" i="58"/>
  <c r="AU16" i="58"/>
  <c r="AL16" i="58"/>
  <c r="BE16" i="58"/>
  <c r="AO16" i="58"/>
  <c r="BB16" i="58"/>
  <c r="AF16" i="58"/>
  <c r="AX16" i="58"/>
  <c r="M16" i="58"/>
  <c r="BD16" i="58"/>
  <c r="AS16" i="58"/>
  <c r="AH16" i="56"/>
  <c r="AF16" i="45"/>
  <c r="AN16" i="45"/>
  <c r="BD16" i="45"/>
  <c r="AG16" i="46"/>
  <c r="AJ16" i="47"/>
  <c r="AR16" i="47"/>
  <c r="AZ16" i="47"/>
  <c r="AH16" i="48"/>
  <c r="AP16" i="48"/>
  <c r="AX16" i="48"/>
  <c r="BF16" i="48"/>
  <c r="AH16" i="49"/>
  <c r="AP16" i="49"/>
  <c r="AX16" i="49"/>
  <c r="BF16" i="49"/>
  <c r="AJ16" i="50"/>
  <c r="AR16" i="50"/>
  <c r="AZ16" i="50"/>
  <c r="AH16" i="51"/>
  <c r="AP16" i="51"/>
  <c r="AX16" i="51"/>
  <c r="BF16" i="51"/>
  <c r="AG16" i="52"/>
  <c r="AO16" i="52"/>
  <c r="AW16" i="52"/>
  <c r="BE16" i="52"/>
  <c r="AH16" i="53"/>
  <c r="AP16" i="53"/>
  <c r="AX16" i="53"/>
  <c r="BF16" i="53"/>
  <c r="AJ16" i="54"/>
  <c r="AI16" i="56"/>
  <c r="AV16" i="45"/>
  <c r="AI16" i="48"/>
  <c r="AQ16" i="48"/>
  <c r="AY16" i="48"/>
  <c r="AI16" i="49"/>
  <c r="AQ16" i="49"/>
  <c r="AY16" i="49"/>
  <c r="AK16" i="50"/>
  <c r="AS16" i="50"/>
  <c r="BA16" i="50"/>
  <c r="AI16" i="51"/>
  <c r="AQ16" i="51"/>
  <c r="AY16" i="51"/>
  <c r="AH16" i="52"/>
  <c r="AP16" i="52"/>
  <c r="AX16" i="52"/>
  <c r="BF16" i="52"/>
  <c r="AI16" i="53"/>
  <c r="AQ16" i="53"/>
  <c r="AY16" i="53"/>
  <c r="AK16" i="54"/>
  <c r="AS16" i="54"/>
  <c r="BA16" i="54"/>
  <c r="AH16" i="55"/>
  <c r="AP16" i="55"/>
  <c r="AX16" i="55"/>
  <c r="BF16" i="55"/>
  <c r="AJ16" i="56"/>
  <c r="AM16" i="58"/>
  <c r="AI16" i="45"/>
  <c r="AQ16" i="45"/>
  <c r="AY16" i="45"/>
  <c r="AJ16" i="46"/>
  <c r="AR16" i="46"/>
  <c r="AZ16" i="46"/>
  <c r="AE16" i="47"/>
  <c r="AM16" i="47"/>
  <c r="AU16" i="47"/>
  <c r="BC16" i="47"/>
  <c r="AK16" i="48"/>
  <c r="AS16" i="48"/>
  <c r="BA16" i="48"/>
  <c r="AK16" i="49"/>
  <c r="AS16" i="49"/>
  <c r="BA16" i="49"/>
  <c r="AE16" i="50"/>
  <c r="AM16" i="50"/>
  <c r="AU16" i="50"/>
  <c r="BC16" i="50"/>
  <c r="AK16" i="51"/>
  <c r="AS16" i="51"/>
  <c r="BA16" i="51"/>
  <c r="AJ16" i="52"/>
  <c r="AR16" i="52"/>
  <c r="AZ16" i="52"/>
  <c r="AK16" i="53"/>
  <c r="AS16" i="53"/>
  <c r="BA16" i="53"/>
  <c r="AE16" i="54"/>
  <c r="AM16" i="54"/>
  <c r="AU16" i="54"/>
  <c r="BC16" i="54"/>
  <c r="AJ16" i="55"/>
  <c r="AR16" i="55"/>
  <c r="AZ16" i="55"/>
  <c r="AD16" i="56"/>
  <c r="AL16" i="56"/>
  <c r="AT16" i="56"/>
  <c r="BB16" i="56"/>
  <c r="AE16" i="58"/>
  <c r="AH16" i="45"/>
  <c r="AJ16" i="45"/>
  <c r="AR16" i="45"/>
  <c r="AZ16" i="45"/>
  <c r="AK16" i="46"/>
  <c r="AS16" i="46"/>
  <c r="BA16" i="46"/>
  <c r="AF16" i="47"/>
  <c r="AN16" i="47"/>
  <c r="AV16" i="47"/>
  <c r="BD16" i="47"/>
  <c r="AD16" i="48"/>
  <c r="AL16" i="48"/>
  <c r="AT16" i="48"/>
  <c r="BB16" i="48"/>
  <c r="AD16" i="49"/>
  <c r="AL16" i="49"/>
  <c r="AT16" i="49"/>
  <c r="BB16" i="49"/>
  <c r="AF16" i="50"/>
  <c r="AD16" i="51"/>
  <c r="AL16" i="51"/>
  <c r="AT16" i="51"/>
  <c r="BB16" i="51"/>
  <c r="AK16" i="52"/>
  <c r="AD16" i="53"/>
  <c r="M18" i="58"/>
  <c r="I19" i="58"/>
  <c r="AK16" i="58"/>
  <c r="M16" i="48"/>
  <c r="M16" i="47"/>
  <c r="M16" i="45"/>
  <c r="G51" i="1"/>
  <c r="D48" i="1"/>
  <c r="G24" i="1"/>
  <c r="BN24" i="5" a="1"/>
  <c r="BK24" i="5" a="1"/>
  <c r="BK21" i="5" a="1"/>
  <c r="BN24" i="5" l="1"/>
  <c r="BK24" i="5"/>
  <c r="BK21" i="5"/>
  <c r="H17" i="65"/>
  <c r="H17" i="61"/>
  <c r="H17" i="68"/>
  <c r="H17" i="66"/>
  <c r="H17" i="69"/>
  <c r="H17" i="67"/>
  <c r="H17" i="59"/>
  <c r="H17" i="62"/>
  <c r="H17" i="64"/>
  <c r="H17" i="63"/>
  <c r="H17" i="60"/>
  <c r="H17" i="55"/>
  <c r="H17" i="47"/>
  <c r="H17" i="46"/>
  <c r="H17" i="45"/>
  <c r="H17" i="52"/>
  <c r="H17" i="50"/>
  <c r="H17" i="56"/>
  <c r="H17" i="51"/>
  <c r="H17" i="58"/>
  <c r="H17" i="48"/>
  <c r="H17" i="53"/>
  <c r="H17" i="49"/>
  <c r="F48" i="1"/>
  <c r="E48" i="1"/>
  <c r="G48" i="1" l="1"/>
  <c r="I21" i="5"/>
  <c r="I25" i="5"/>
  <c r="I24" i="5" l="1"/>
  <c r="I23" i="5"/>
  <c r="I22" i="5"/>
  <c r="I20" i="5"/>
  <c r="C21" i="49" l="1" a="1"/>
  <c r="C21" i="49" s="1"/>
  <c r="D21" i="49" a="1"/>
  <c r="D21" i="49" s="1"/>
  <c r="B21" i="49" a="1"/>
  <c r="B21" i="49" s="1"/>
  <c r="B16" i="49"/>
  <c r="E21" i="49" a="1"/>
  <c r="E21" i="49" s="1"/>
  <c r="D22" i="49" a="1"/>
  <c r="D22" i="49" s="1"/>
  <c r="B22" i="49" a="1"/>
  <c r="B22" i="49" s="1"/>
  <c r="F23" i="49" a="1"/>
  <c r="F23" i="49" s="1"/>
  <c r="E22" i="49" a="1"/>
  <c r="E22" i="49" s="1"/>
  <c r="AE33" i="49"/>
  <c r="AF33" i="49" s="1"/>
  <c r="AF41" i="49" s="1"/>
  <c r="C22" i="49" a="1"/>
  <c r="C22" i="49" s="1"/>
  <c r="F21" i="49" a="1"/>
  <c r="F21" i="49" s="1"/>
  <c r="F22" i="49" a="1"/>
  <c r="F22" i="49" s="1"/>
  <c r="M16" i="49" l="1"/>
  <c r="BB33" i="5"/>
  <c r="K5" i="5"/>
  <c r="K32" i="5" l="1"/>
  <c r="O29" i="5" l="1" a="1"/>
  <c r="AY27" i="5" a="1"/>
  <c r="Z9" i="5" a="1"/>
  <c r="AP15" i="5" a="1"/>
  <c r="AN26" i="5" a="1"/>
  <c r="AU33" i="5" a="1"/>
  <c r="AP30" i="5" a="1"/>
  <c r="P11" i="5" a="1"/>
  <c r="AX7" i="5" a="1"/>
  <c r="AI4" i="5" a="1"/>
  <c r="G11" i="5" a="1"/>
  <c r="Q28" i="5" a="1"/>
  <c r="BH21" i="5" a="1"/>
  <c r="AO35" i="5"/>
  <c r="AP27" i="5" a="1"/>
  <c r="AO29" i="5"/>
  <c r="AJ35" i="5" a="1"/>
  <c r="AH25" i="5" a="1"/>
  <c r="BF15" i="5" a="1"/>
  <c r="AM33" i="5" a="1"/>
  <c r="BA15" i="5" a="1"/>
  <c r="Z34" i="5" a="1"/>
  <c r="AP34" i="5" a="1"/>
  <c r="AZ29" i="5" a="1"/>
  <c r="Z26" i="5" a="1"/>
  <c r="G20" i="5" a="1"/>
  <c r="H33" i="5" a="1"/>
  <c r="AM16" i="5" a="1"/>
  <c r="BK11" i="5" a="1"/>
  <c r="AY29" i="5" a="1"/>
  <c r="BA11" i="5" a="1"/>
  <c r="AA33" i="5" a="1"/>
  <c r="F27" i="5" a="1"/>
  <c r="BK31" i="5" a="1"/>
  <c r="F30" i="5" a="1"/>
  <c r="F24" i="5" a="1"/>
  <c r="AG12" i="5" a="1"/>
  <c r="P13" i="5" a="1"/>
  <c r="Q25" i="5" a="1"/>
  <c r="AZ35" i="5" a="1"/>
  <c r="Q33" i="5" a="1"/>
  <c r="AA18" i="5" a="1"/>
  <c r="S15" i="5" a="1"/>
  <c r="AA7" i="5" a="1"/>
  <c r="AX25" i="5" a="1"/>
  <c r="AZ33" i="5" a="1"/>
  <c r="AK6" i="5" a="1"/>
  <c r="Z13" i="5" a="1"/>
  <c r="AX35" i="5" a="1"/>
  <c r="H16" i="5" a="1"/>
  <c r="AT29" i="5" a="1"/>
  <c r="G8" i="5" a="1"/>
  <c r="BF4" i="5" a="1"/>
  <c r="AT34" i="5" a="1"/>
  <c r="AM10" i="5" a="1"/>
  <c r="AK24" i="5" a="1"/>
  <c r="V35" i="5" a="1"/>
  <c r="AM27" i="5" a="1"/>
  <c r="AX31" i="5" a="1"/>
  <c r="AI12" i="5" a="1"/>
  <c r="AD25" i="5" a="1"/>
  <c r="T10" i="5" a="1"/>
  <c r="AG14" i="5" a="1"/>
  <c r="F14" i="5" a="1"/>
  <c r="AT13" i="5" a="1"/>
  <c r="AK28" i="5" a="1"/>
  <c r="U14" i="5" a="1"/>
  <c r="R15" i="5" a="1"/>
  <c r="AZ20" i="5" a="1"/>
  <c r="AO34" i="5"/>
  <c r="AK18" i="5" a="1"/>
  <c r="AJ10" i="5" a="1"/>
  <c r="AY11" i="5" a="1"/>
  <c r="T4" i="5" a="1"/>
  <c r="AL14" i="5" a="1"/>
  <c r="BF35" i="5" a="1"/>
  <c r="AO8" i="5"/>
  <c r="Z29" i="5" a="1"/>
  <c r="AP14" i="5" a="1"/>
  <c r="BM4" i="5" a="1"/>
  <c r="Z15" i="5" a="1"/>
  <c r="AU34" i="5" a="1"/>
  <c r="G17" i="5" a="1"/>
  <c r="S12" i="5" a="1"/>
  <c r="F16" i="5" a="1"/>
  <c r="V21" i="5" a="1"/>
  <c r="C25" i="5" a="1"/>
  <c r="Z8" i="5" a="1"/>
  <c r="O17" i="5" a="1"/>
  <c r="BK18" i="5" a="1"/>
  <c r="BM19" i="5" a="1"/>
  <c r="AK19" i="5" a="1"/>
  <c r="AD27" i="5" a="1"/>
  <c r="F20" i="5" a="1"/>
  <c r="D8" i="5" a="1"/>
  <c r="S6" i="5" a="1"/>
  <c r="BH35" i="5" a="1"/>
  <c r="AK9" i="5" a="1"/>
  <c r="AI33" i="5" a="1"/>
  <c r="AJ17" i="5" a="1"/>
  <c r="P24" i="5" a="1"/>
  <c r="T23" i="5" a="1"/>
  <c r="AU22" i="5" a="1"/>
  <c r="AP16" i="5" a="1"/>
  <c r="AX9" i="5" a="1"/>
  <c r="AM6" i="5" a="1"/>
  <c r="G16" i="5" a="1"/>
  <c r="U35" i="5" a="1"/>
  <c r="AY13" i="5" a="1"/>
  <c r="AM9" i="5" a="1"/>
  <c r="AY3" i="5" a="1"/>
  <c r="AZ8" i="5" a="1"/>
  <c r="Q9" i="5" a="1"/>
  <c r="H4" i="5" a="1"/>
  <c r="D25" i="5" a="1"/>
  <c r="AX34" i="5" a="1"/>
  <c r="U31" i="5" a="1"/>
  <c r="P35" i="5" a="1"/>
  <c r="AL34" i="5" a="1"/>
  <c r="AI3" i="5" a="1"/>
  <c r="AU31" i="5" a="1"/>
  <c r="BF3" i="5" a="1"/>
  <c r="AM30" i="5" a="1"/>
  <c r="BK7" i="5" a="1"/>
  <c r="D4" i="5" a="1"/>
  <c r="AN30" i="5" a="1"/>
  <c r="R16" i="5" a="1"/>
  <c r="AT14" i="5" a="1"/>
  <c r="BM32" i="5" a="1"/>
  <c r="Z32" i="5" a="1"/>
  <c r="AA31" i="5" a="1"/>
  <c r="BN23" i="5" a="1"/>
  <c r="O28" i="5" a="1"/>
  <c r="T32" i="5" a="1"/>
  <c r="AJ26" i="5" a="1"/>
  <c r="AG6" i="5" a="1"/>
  <c r="AA19" i="5" a="1"/>
  <c r="P30" i="5" a="1"/>
  <c r="AY10" i="5" a="1"/>
  <c r="AY17" i="5" a="1"/>
  <c r="P12" i="5" a="1"/>
  <c r="F21" i="5" a="1"/>
  <c r="AU26" i="5" a="1"/>
  <c r="AY34" i="5" a="1"/>
  <c r="AA5" i="5" a="1"/>
  <c r="BE19" i="5" a="1"/>
  <c r="BA4" i="5" a="1"/>
  <c r="BA29" i="5" a="1"/>
  <c r="BH26" i="5" a="1"/>
  <c r="O6" i="5" a="1"/>
  <c r="G13" i="5" a="1"/>
  <c r="BA31" i="5" a="1"/>
  <c r="AG30" i="5" a="1"/>
  <c r="AN15" i="5" a="1"/>
  <c r="R30" i="5" a="1"/>
  <c r="AH35" i="5" a="1"/>
  <c r="AA13" i="5" a="1"/>
  <c r="P4" i="5" a="1"/>
  <c r="D7" i="5" a="1"/>
  <c r="T26" i="5" a="1"/>
  <c r="AI34" i="5" a="1"/>
  <c r="AX22" i="5" a="1"/>
  <c r="AU3" i="5" a="1"/>
  <c r="AP3" i="5" a="1"/>
  <c r="BH18" i="5" a="1"/>
  <c r="BJ32" i="5" a="1"/>
  <c r="BE7" i="5" a="1"/>
  <c r="BF18" i="5" a="1"/>
  <c r="P6" i="5" a="1"/>
  <c r="BK34" i="5" a="1"/>
  <c r="AJ16" i="5" a="1"/>
  <c r="AK23" i="5" a="1"/>
  <c r="AM8" i="5" a="1"/>
  <c r="F7" i="5" a="1"/>
  <c r="AD15" i="5" a="1"/>
  <c r="BF9" i="5" a="1"/>
  <c r="AK20" i="5" a="1"/>
  <c r="AL7" i="5" a="1"/>
  <c r="AH11" i="5" a="1"/>
  <c r="AX17" i="5" a="1"/>
  <c r="AZ15" i="5" a="1"/>
  <c r="AA25" i="5" a="1"/>
  <c r="AH8" i="5" a="1"/>
  <c r="P3" i="5" a="1"/>
  <c r="BH23" i="5" a="1"/>
  <c r="S30" i="5" a="1"/>
  <c r="U9" i="5" a="1"/>
  <c r="AL17" i="5" a="1"/>
  <c r="AD3" i="5" a="1"/>
  <c r="C6" i="5" a="1"/>
  <c r="AJ23" i="5" a="1"/>
  <c r="D12" i="5" a="1"/>
  <c r="C9" i="5" a="1"/>
  <c r="AU23" i="5" a="1"/>
  <c r="BK14" i="5" a="1"/>
  <c r="D21" i="5" a="1"/>
  <c r="AU8" i="5" a="1"/>
  <c r="V32" i="5" a="1"/>
  <c r="AA34" i="5" a="1"/>
  <c r="F29" i="5" a="1"/>
  <c r="H8" i="5" a="1"/>
  <c r="R23" i="5" a="1"/>
  <c r="AJ4" i="5" a="1"/>
  <c r="AM3" i="5" a="1"/>
  <c r="O15" i="5" a="1"/>
  <c r="AX20" i="5" a="1"/>
  <c r="T6" i="5" a="1"/>
  <c r="Q26" i="5" a="1"/>
  <c r="H23" i="5" a="1"/>
  <c r="AY15" i="5" a="1"/>
  <c r="BJ31" i="5" a="1"/>
  <c r="AX14" i="5" a="1"/>
  <c r="Z25" i="5" a="1"/>
  <c r="BA35" i="5" a="1"/>
  <c r="BK5" i="5" a="1"/>
  <c r="AL24" i="5" a="1"/>
  <c r="V7" i="5" a="1"/>
  <c r="BK17" i="5" a="1"/>
  <c r="BN35" i="5" a="1"/>
  <c r="P23" i="5" a="1"/>
  <c r="AY7" i="5" a="1"/>
  <c r="AX13" i="5" a="1"/>
  <c r="AH23" i="5" a="1"/>
  <c r="BF5" i="5" a="1"/>
  <c r="C10" i="5" a="1"/>
  <c r="AP22" i="5" a="1"/>
  <c r="BF34" i="5" a="1"/>
  <c r="BE22" i="5" a="1"/>
  <c r="AL16" i="5" a="1"/>
  <c r="O25" i="5" a="1"/>
  <c r="U24" i="5" a="1"/>
  <c r="S17" i="5" a="1"/>
  <c r="D11" i="5" a="1"/>
  <c r="AY32" i="5" a="1"/>
  <c r="AH14" i="5" a="1"/>
  <c r="BK6" i="5" a="1"/>
  <c r="R31" i="5" a="1"/>
  <c r="AY35" i="5" a="1"/>
  <c r="S33" i="5" a="1"/>
  <c r="BJ33" i="5" a="1"/>
  <c r="BH3" i="5" a="1"/>
  <c r="BJ13" i="5" a="1"/>
  <c r="AJ15" i="5" a="1"/>
  <c r="G19" i="5" a="1"/>
  <c r="AD4" i="5" a="1"/>
  <c r="BF14" i="5" a="1"/>
  <c r="H17" i="5" a="1"/>
  <c r="BH5" i="5" a="1"/>
  <c r="AO17" i="5"/>
  <c r="S8" i="5" a="1"/>
  <c r="AL27" i="5" a="1"/>
  <c r="AD8" i="5" a="1"/>
  <c r="V22" i="5" a="1"/>
  <c r="AA17" i="5" a="1"/>
  <c r="U29" i="5" a="1"/>
  <c r="AM12" i="5" a="1"/>
  <c r="Q27" i="5" a="1"/>
  <c r="R12" i="5" a="1"/>
  <c r="Z4" i="5" a="1"/>
  <c r="V26" i="5" a="1"/>
  <c r="T7" i="5" a="1"/>
  <c r="AX18" i="5" a="1"/>
  <c r="AI13" i="5" a="1"/>
  <c r="AH16" i="5" a="1"/>
  <c r="BK3" i="5" a="1"/>
  <c r="AU20" i="5" a="1"/>
  <c r="AK3" i="5" a="1"/>
  <c r="G14" i="5" a="1"/>
  <c r="AT26" i="5" a="1"/>
  <c r="R34" i="5" a="1"/>
  <c r="BM10" i="5" a="1"/>
  <c r="BA8" i="5" a="1"/>
  <c r="AP28" i="5" a="1"/>
  <c r="O32" i="5" a="1"/>
  <c r="AT19" i="5" a="1"/>
  <c r="AT28" i="5" a="1"/>
  <c r="AX12" i="5" a="1"/>
  <c r="AD11" i="5" a="1"/>
  <c r="R28" i="5" a="1"/>
  <c r="T29" i="5" a="1"/>
  <c r="AG16" i="5" a="1"/>
  <c r="G25" i="5" a="1"/>
  <c r="AG34" i="5" a="1"/>
  <c r="AX29" i="5" a="1"/>
  <c r="BE8" i="5" a="1"/>
  <c r="H10" i="5" a="1"/>
  <c r="AL5" i="5" a="1"/>
  <c r="D26" i="5" a="1"/>
  <c r="D6" i="5" a="1"/>
  <c r="R10" i="5" a="1"/>
  <c r="AN28" i="5" a="1"/>
  <c r="AU35" i="5" a="1"/>
  <c r="AD16" i="5" a="1"/>
  <c r="R14" i="5" a="1"/>
  <c r="Q14" i="5" a="1"/>
  <c r="BM7" i="5" a="1"/>
  <c r="AY16" i="5" a="1"/>
  <c r="O26" i="5" a="1"/>
  <c r="AH5" i="5" a="1"/>
  <c r="BF6" i="5" a="1"/>
  <c r="AU4" i="5" a="1"/>
  <c r="BM29" i="5" a="1"/>
  <c r="BA5" i="5" a="1"/>
  <c r="Z33" i="5" a="1"/>
  <c r="BJ12" i="5" a="1"/>
  <c r="Z24" i="5" a="1"/>
  <c r="S10" i="5" a="1"/>
  <c r="H27" i="5" a="1"/>
  <c r="AG19" i="5" a="1"/>
  <c r="AI7" i="5" a="1"/>
  <c r="AN3" i="5" a="1"/>
  <c r="AM14" i="5" a="1"/>
  <c r="BF27" i="5" a="1"/>
  <c r="U21" i="5" a="1"/>
  <c r="AG4" i="5" a="1"/>
  <c r="BA28" i="5" a="1"/>
  <c r="BA17" i="5" a="1"/>
  <c r="G4" i="5" a="1"/>
  <c r="BM26" i="5" a="1"/>
  <c r="BA9" i="5" a="1"/>
  <c r="BJ8" i="5" a="1"/>
  <c r="U7" i="5" a="1"/>
  <c r="V15" i="5" a="1"/>
  <c r="AN5" i="5" a="1"/>
  <c r="AK15" i="5" a="1"/>
  <c r="AL23" i="5" a="1"/>
  <c r="BH11" i="5" a="1"/>
  <c r="AJ8" i="5" a="1"/>
  <c r="U3" i="5" a="1"/>
  <c r="P22" i="5" a="1"/>
  <c r="AK10" i="5" a="1"/>
  <c r="BE13" i="5" a="1"/>
  <c r="BH27" i="5" a="1"/>
  <c r="Q34" i="5" a="1"/>
  <c r="BM27" i="5" a="1"/>
  <c r="BA22" i="5" a="1"/>
  <c r="P14" i="5" a="1"/>
  <c r="BH25" i="5" a="1"/>
  <c r="BM11" i="5" a="1"/>
  <c r="BA3" i="5" a="1"/>
  <c r="AN24" i="5" a="1"/>
  <c r="V27" i="5" a="1"/>
  <c r="AL20" i="5" a="1"/>
  <c r="AG17" i="5" a="1"/>
  <c r="S4" i="5" a="1"/>
  <c r="AP32" i="5" a="1"/>
  <c r="AA28" i="5" a="1"/>
  <c r="AU16" i="5" a="1"/>
  <c r="BM25" i="5" a="1"/>
  <c r="AX21" i="5" a="1"/>
  <c r="AJ20" i="5" a="1"/>
  <c r="R9" i="5" a="1"/>
  <c r="AA3" i="5" a="1"/>
  <c r="S34" i="5" a="1"/>
  <c r="AG29" i="5" a="1"/>
  <c r="AA21" i="5" a="1"/>
  <c r="BE18" i="5" a="1"/>
  <c r="AO20" i="5"/>
  <c r="BJ11" i="5" a="1"/>
  <c r="BH22" i="5" a="1"/>
  <c r="G12" i="5" a="1"/>
  <c r="AH22" i="5" a="1"/>
  <c r="AA22" i="5" a="1"/>
  <c r="AD29" i="5" a="1"/>
  <c r="AP17" i="5" a="1"/>
  <c r="AJ21" i="5" a="1"/>
  <c r="U11" i="5" a="1"/>
  <c r="O35" i="5" a="1"/>
  <c r="BH8" i="5" a="1"/>
  <c r="AP29" i="5" a="1"/>
  <c r="AY12" i="5" a="1"/>
  <c r="AX33" i="5" a="1"/>
  <c r="G3" i="5" a="1"/>
  <c r="AJ34" i="5" a="1"/>
  <c r="AG3" i="5" a="1"/>
  <c r="BJ29" i="5" a="1"/>
  <c r="F17" i="5" a="1"/>
  <c r="O14" i="5" a="1"/>
  <c r="AO32" i="5"/>
  <c r="G33" i="5" a="1"/>
  <c r="H31" i="5" a="1"/>
  <c r="AY33" i="5" a="1"/>
  <c r="V30" i="5" a="1"/>
  <c r="AD17" i="5" a="1"/>
  <c r="BE25" i="5" a="1"/>
  <c r="BE17" i="5" a="1"/>
  <c r="Z16" i="5" a="1"/>
  <c r="R5" i="5" a="1"/>
  <c r="BE20" i="5" a="1"/>
  <c r="C29" i="5" a="1"/>
  <c r="BA19" i="5" a="1"/>
  <c r="AU10" i="5" a="1"/>
  <c r="AZ14" i="5" a="1"/>
  <c r="AO12" i="5"/>
  <c r="AZ4" i="5" a="1"/>
  <c r="F6" i="5" a="1"/>
  <c r="AM34" i="5" a="1"/>
  <c r="AZ21" i="5" a="1"/>
  <c r="AG35" i="5" a="1"/>
  <c r="F18" i="5" a="1"/>
  <c r="AG13" i="5" a="1"/>
  <c r="BM12" i="5" a="1"/>
  <c r="AY20" i="5" a="1"/>
  <c r="BF23" i="5" a="1"/>
  <c r="AP5" i="5" a="1"/>
  <c r="AM15" i="5" a="1"/>
  <c r="AL9" i="5" a="1"/>
  <c r="G5" i="5" a="1"/>
  <c r="AA29" i="5" a="1"/>
  <c r="AJ13" i="5" a="1"/>
  <c r="BA20" i="5" a="1"/>
  <c r="AP35" i="5" a="1"/>
  <c r="AM22" i="5" a="1"/>
  <c r="BA33" i="5" a="1"/>
  <c r="V9" i="5" a="1"/>
  <c r="R27" i="5" a="1"/>
  <c r="AN6" i="5" a="1"/>
  <c r="AA26" i="5" a="1"/>
  <c r="R22" i="5" a="1"/>
  <c r="BA32" i="5" a="1"/>
  <c r="BJ9" i="5" a="1"/>
  <c r="AH26" i="5" a="1"/>
  <c r="BF32" i="5" a="1"/>
  <c r="AO25" i="5"/>
  <c r="AJ27" i="5" a="1"/>
  <c r="BF33" i="5" a="1"/>
  <c r="T20" i="5" a="1"/>
  <c r="V11" i="5" a="1"/>
  <c r="AI28" i="5" a="1"/>
  <c r="AJ22" i="5" a="1"/>
  <c r="F9" i="5" a="1"/>
  <c r="F26" i="5" a="1"/>
  <c r="AU29" i="5" a="1"/>
  <c r="S31" i="5" a="1"/>
  <c r="AK30" i="5" a="1"/>
  <c r="R13" i="5" a="1"/>
  <c r="BF16" i="5" a="1"/>
  <c r="BK19" i="5" a="1"/>
  <c r="BH30" i="5" a="1"/>
  <c r="AH12" i="5" a="1"/>
  <c r="AM29" i="5" a="1"/>
  <c r="D9" i="5" a="1"/>
  <c r="AA16" i="5" a="1"/>
  <c r="G30" i="5" a="1"/>
  <c r="AU11" i="5" a="1"/>
  <c r="AG20" i="5" a="1"/>
  <c r="AN32" i="5" a="1"/>
  <c r="S3" i="5" a="1"/>
  <c r="BK27" i="5" a="1"/>
  <c r="P25" i="5" a="1"/>
  <c r="AI15" i="5" a="1"/>
  <c r="AO16" i="5"/>
  <c r="U33" i="5" a="1"/>
  <c r="O21" i="5" a="1"/>
  <c r="G27" i="5" a="1"/>
  <c r="AI6" i="5" a="1"/>
  <c r="AU24" i="5" a="1"/>
  <c r="AY22" i="5" a="1"/>
  <c r="AY26" i="5" a="1"/>
  <c r="AM4" i="5" a="1"/>
  <c r="AH18" i="5" a="1"/>
  <c r="AH19" i="5" a="1"/>
  <c r="T11" i="5" a="1"/>
  <c r="AJ30" i="5" a="1"/>
  <c r="BE3" i="5" a="1"/>
  <c r="Q11" i="5" a="1"/>
  <c r="F12" i="5" a="1"/>
  <c r="U15" i="5" a="1"/>
  <c r="BE10" i="5" a="1"/>
  <c r="C33" i="5" a="1"/>
  <c r="C13" i="5" a="1"/>
  <c r="S27" i="5" a="1"/>
  <c r="AI17" i="5" a="1"/>
  <c r="O7" i="5" a="1"/>
  <c r="C22" i="5" a="1"/>
  <c r="S20" i="5" a="1"/>
  <c r="AT22" i="5" a="1"/>
  <c r="H15" i="5" a="1"/>
  <c r="T27" i="5" a="1"/>
  <c r="AO21" i="5"/>
  <c r="AO11" i="5"/>
  <c r="AI32" i="5" a="1"/>
  <c r="C7" i="5" a="1"/>
  <c r="AT24" i="5" a="1"/>
  <c r="AX10" i="5" a="1"/>
  <c r="AK22" i="5" a="1"/>
  <c r="T12" i="5" a="1"/>
  <c r="AZ10" i="5" a="1"/>
  <c r="G22" i="5" a="1"/>
  <c r="F8" i="5" a="1"/>
  <c r="AT11" i="5" a="1"/>
  <c r="AH32" i="5" a="1"/>
  <c r="BE29" i="5" a="1"/>
  <c r="AI25" i="5" a="1"/>
  <c r="Q22" i="5" a="1"/>
  <c r="AY18" i="5" a="1"/>
  <c r="BF8" i="5" a="1"/>
  <c r="AP6" i="5" a="1"/>
  <c r="H21" i="5" a="1"/>
  <c r="Z17" i="5" a="1"/>
  <c r="P29" i="5" a="1"/>
  <c r="H32" i="5" a="1"/>
  <c r="AX8" i="5" a="1"/>
  <c r="BJ3" i="5" a="1"/>
  <c r="AM20" i="5" a="1"/>
  <c r="AT20" i="5" a="1"/>
  <c r="H7" i="5" a="1"/>
  <c r="BF25" i="5" a="1"/>
  <c r="AU12" i="5" a="1"/>
  <c r="D27" i="5" a="1"/>
  <c r="AA20" i="5" a="1"/>
  <c r="BA25" i="5" a="1"/>
  <c r="G29" i="5" a="1"/>
  <c r="AX11" i="5" a="1"/>
  <c r="C23" i="5" a="1"/>
  <c r="AY6" i="5" a="1"/>
  <c r="Z20" i="5" a="1"/>
  <c r="Z30" i="5" a="1"/>
  <c r="AO19" i="5"/>
  <c r="P10" i="5" a="1"/>
  <c r="AN16" i="5" a="1"/>
  <c r="Q15" i="5" a="1"/>
  <c r="T13" i="5" a="1"/>
  <c r="O4" i="5" a="1"/>
  <c r="BM13" i="5" a="1"/>
  <c r="C19" i="5" a="1"/>
  <c r="BK33" i="5" a="1"/>
  <c r="AD7" i="5" a="1"/>
  <c r="C8" i="5" a="1"/>
  <c r="BJ19" i="5" a="1"/>
  <c r="P33" i="5" a="1"/>
  <c r="AM24" i="5" a="1"/>
  <c r="AY28" i="5" a="1"/>
  <c r="AX23" i="5" a="1"/>
  <c r="AU28" i="5" a="1"/>
  <c r="T34" i="5" a="1"/>
  <c r="AU17" i="5" a="1"/>
  <c r="AJ3" i="5" a="1"/>
  <c r="BK12" i="5" a="1"/>
  <c r="AP10" i="5" a="1"/>
  <c r="BH16" i="5" a="1"/>
  <c r="Z14" i="5" a="1"/>
  <c r="U19" i="5" a="1"/>
  <c r="BN13" i="5" a="1"/>
  <c r="AH34" i="5" a="1"/>
  <c r="BH31" i="5" a="1"/>
  <c r="BF19" i="5" a="1"/>
  <c r="V18" i="5" a="1"/>
  <c r="AJ33" i="5" a="1"/>
  <c r="H19" i="5" a="1"/>
  <c r="AI18" i="5" a="1"/>
  <c r="AX6" i="5" a="1"/>
  <c r="AZ31" i="5" a="1"/>
  <c r="R26" i="5" a="1"/>
  <c r="BJ28" i="5" a="1"/>
  <c r="AY24" i="5" a="1"/>
  <c r="BM6" i="5" a="1"/>
  <c r="AZ16" i="5" a="1"/>
  <c r="AT9" i="5" a="1"/>
  <c r="BE32" i="5" a="1"/>
  <c r="AI21" i="5" a="1"/>
  <c r="BE5" i="5" a="1"/>
  <c r="Q18" i="5" a="1"/>
  <c r="AK34" i="5" a="1"/>
  <c r="AK14" i="5" a="1"/>
  <c r="AT12" i="5" a="1"/>
  <c r="F32" i="5" a="1"/>
  <c r="BH9" i="5" a="1"/>
  <c r="U13" i="5" a="1"/>
  <c r="T24" i="5" a="1"/>
  <c r="D22" i="5" a="1"/>
  <c r="V19" i="5" a="1"/>
  <c r="AD31" i="5" a="1"/>
  <c r="S9" i="5" a="1"/>
  <c r="AL10" i="5" a="1"/>
  <c r="O16" i="5" a="1"/>
  <c r="D5" i="5" a="1"/>
  <c r="F33" i="5" a="1"/>
  <c r="AJ29" i="5" a="1"/>
  <c r="F31" i="5" a="1"/>
  <c r="F35" i="5" a="1"/>
  <c r="AI8" i="5" a="1"/>
  <c r="AO18" i="5"/>
  <c r="AL19" i="5" a="1"/>
  <c r="U16" i="5" a="1"/>
  <c r="AZ30" i="5" a="1"/>
  <c r="C14" i="5" a="1"/>
  <c r="AL15" i="5" a="1"/>
  <c r="V33" i="5" a="1"/>
  <c r="AU6" i="5" a="1"/>
  <c r="BH33" i="5" a="1"/>
  <c r="BH19" i="5" a="1"/>
  <c r="BM21" i="5" a="1"/>
  <c r="AX3" i="5" a="1"/>
  <c r="P18" i="5" a="1"/>
  <c r="Q5" i="5" a="1"/>
  <c r="AK32" i="5" a="1"/>
  <c r="AA15" i="5" a="1"/>
  <c r="AK12" i="5" a="1"/>
  <c r="BH6" i="5" a="1"/>
  <c r="T31" i="5" a="1"/>
  <c r="BK10" i="5" a="1"/>
  <c r="F25" i="5" a="1"/>
  <c r="BA34" i="5" a="1"/>
  <c r="AY23" i="5" a="1"/>
  <c r="AU5" i="5" a="1"/>
  <c r="BF28" i="5" a="1"/>
  <c r="O5" i="5" a="1"/>
  <c r="BM24" i="5" a="1"/>
  <c r="AJ7" i="5" a="1"/>
  <c r="AO3" i="5"/>
  <c r="AK25" i="5" a="1"/>
  <c r="Q12" i="5" a="1"/>
  <c r="AA11" i="5" a="1"/>
  <c r="BJ16" i="5" a="1"/>
  <c r="AY8" i="5" a="1"/>
  <c r="V20" i="5" a="1"/>
  <c r="AO15" i="5"/>
  <c r="V4" i="5" a="1"/>
  <c r="D20" i="5" a="1"/>
  <c r="AT4" i="5" a="1"/>
  <c r="V10" i="5" a="1"/>
  <c r="BA6" i="5" a="1"/>
  <c r="AA24" i="5" a="1"/>
  <c r="D30" i="5" a="1"/>
  <c r="AN12" i="5" a="1"/>
  <c r="BJ14" i="5" a="1"/>
  <c r="BM30" i="5" a="1"/>
  <c r="Q29" i="5" a="1"/>
  <c r="AJ18" i="5" a="1"/>
  <c r="AH27" i="5" a="1"/>
  <c r="Q16" i="5" a="1"/>
  <c r="AN17" i="5" a="1"/>
  <c r="AO9" i="5"/>
  <c r="D29" i="5" a="1"/>
  <c r="H11" i="5" a="1"/>
  <c r="AT17" i="5" a="1"/>
  <c r="AA23" i="5" a="1"/>
  <c r="P16" i="5" a="1"/>
  <c r="C12" i="5" a="1"/>
  <c r="R8" i="5" a="1"/>
  <c r="AL32" i="5" a="1"/>
  <c r="BH34" i="5" a="1"/>
  <c r="AK11" i="5" a="1"/>
  <c r="AT8" i="5" a="1"/>
  <c r="V12" i="5" a="1"/>
  <c r="AN21" i="5" a="1"/>
  <c r="P8" i="5" a="1"/>
  <c r="Q17" i="5" a="1"/>
  <c r="AH4" i="5" a="1"/>
  <c r="AA32" i="5" a="1"/>
  <c r="O11" i="5" a="1"/>
  <c r="Z31" i="5" a="1"/>
  <c r="AK31" i="5" a="1"/>
  <c r="Q30" i="5" a="1"/>
  <c r="AT30" i="5" a="1"/>
  <c r="AJ6" i="5" a="1"/>
  <c r="V23" i="5" a="1"/>
  <c r="AZ6" i="5" a="1"/>
  <c r="S32" i="5" a="1"/>
  <c r="P34" i="5" a="1"/>
  <c r="AG8" i="5" a="1"/>
  <c r="AM28" i="5" a="1"/>
  <c r="AD34" i="5" a="1"/>
  <c r="BA30" i="5" a="1"/>
  <c r="BA13" i="5" a="1"/>
  <c r="T30" i="5" a="1"/>
  <c r="AJ19" i="5" a="1"/>
  <c r="S18" i="5" a="1"/>
  <c r="AJ32" i="5" a="1"/>
  <c r="AK26" i="5" a="1"/>
  <c r="AL4" i="5" a="1"/>
  <c r="BK13" i="5" a="1"/>
  <c r="Z3" i="5" a="1"/>
  <c r="S7" i="5" a="1"/>
  <c r="T16" i="5" a="1"/>
  <c r="Z23" i="5" a="1"/>
  <c r="T28" i="5" a="1"/>
  <c r="BJ27" i="5" a="1"/>
  <c r="P20" i="5" a="1"/>
  <c r="BE12" i="5" a="1"/>
  <c r="AY31" i="5" a="1"/>
  <c r="AK21" i="5" a="1"/>
  <c r="AG18" i="5" a="1"/>
  <c r="AT15" i="5" a="1"/>
  <c r="AJ24" i="5" a="1"/>
  <c r="AU18" i="5" a="1"/>
  <c r="P17" i="5" a="1"/>
  <c r="AD26" i="5" a="1"/>
  <c r="BJ4" i="5" a="1"/>
  <c r="AN34" i="5" a="1"/>
  <c r="BM34" i="5" a="1"/>
  <c r="AD13" i="5" a="1"/>
  <c r="AA10" i="5" a="1"/>
  <c r="AH33" i="5" a="1"/>
  <c r="AG33" i="5" a="1"/>
  <c r="BH15" i="5" a="1"/>
  <c r="R6" i="5" a="1"/>
  <c r="BK9" i="5" a="1"/>
  <c r="O30" i="5" a="1"/>
  <c r="Q10" i="5" a="1"/>
  <c r="BM3" i="5" a="1"/>
  <c r="S23" i="5" a="1"/>
  <c r="BH7" i="5" a="1"/>
  <c r="AL28" i="5" a="1"/>
  <c r="O13" i="5" a="1"/>
  <c r="AM31" i="5" a="1"/>
  <c r="BE27" i="5" a="1"/>
  <c r="Q4" i="5" a="1"/>
  <c r="AO13" i="5"/>
  <c r="R21" i="5" a="1"/>
  <c r="AN18" i="5" a="1"/>
  <c r="AG32" i="5" a="1"/>
  <c r="AU30" i="5" a="1"/>
  <c r="U6" i="5" a="1"/>
  <c r="Q24" i="5" a="1"/>
  <c r="AN31" i="5" a="1"/>
  <c r="BF29" i="5" a="1"/>
  <c r="V16" i="5" a="1"/>
  <c r="AI30" i="5" a="1"/>
  <c r="AX5" i="5" a="1"/>
  <c r="BF22" i="5" a="1"/>
  <c r="AA30" i="5" a="1"/>
  <c r="AI19" i="5" a="1"/>
  <c r="R19" i="5" a="1"/>
  <c r="D34" i="5" a="1"/>
  <c r="AK17" i="5" a="1"/>
  <c r="T17" i="5" a="1"/>
  <c r="Q21" i="5" a="1"/>
  <c r="BF24" i="5" a="1"/>
  <c r="BE16" i="5" a="1"/>
  <c r="AD19" i="5" a="1"/>
  <c r="AD18" i="5" a="1"/>
  <c r="BF11" i="5" a="1"/>
  <c r="P27" i="5" a="1"/>
  <c r="BJ34" i="5" a="1"/>
  <c r="AG5" i="5" a="1"/>
  <c r="G18" i="5" a="1"/>
  <c r="AD28" i="5" a="1"/>
  <c r="H20" i="5" a="1"/>
  <c r="AD32" i="5" a="1"/>
  <c r="BE15" i="5" a="1"/>
  <c r="BE21" i="5" a="1"/>
  <c r="AZ22" i="5" a="1"/>
  <c r="AN9" i="5" a="1"/>
  <c r="C31" i="5" a="1"/>
  <c r="Q19" i="5" a="1"/>
  <c r="AU13" i="5" a="1"/>
  <c r="AG27" i="5" a="1"/>
  <c r="BE4" i="5" a="1"/>
  <c r="AZ32" i="5" a="1"/>
  <c r="AU21" i="5" a="1"/>
  <c r="F28" i="5" a="1"/>
  <c r="BA12" i="5" a="1"/>
  <c r="AY19" i="5" a="1"/>
  <c r="BJ26" i="5" a="1"/>
  <c r="BE11" i="5" a="1"/>
  <c r="AO23" i="5"/>
  <c r="BM20" i="5" a="1"/>
  <c r="AT27" i="5" a="1"/>
  <c r="AP26" i="5" a="1"/>
  <c r="BJ10" i="5" a="1"/>
  <c r="AD23" i="5" a="1"/>
  <c r="AL6" i="5" a="1"/>
  <c r="D10" i="5" a="1"/>
  <c r="AL35" i="5" a="1"/>
  <c r="R3" i="5" a="1"/>
  <c r="AM7" i="5" a="1"/>
  <c r="BM35" i="5" a="1"/>
  <c r="AI23" i="5" a="1"/>
  <c r="AT10" i="5" a="1"/>
  <c r="F19" i="5" a="1"/>
  <c r="S11" i="5" a="1"/>
  <c r="AL11" i="5" a="1"/>
  <c r="AH17" i="5" a="1"/>
  <c r="S5" i="5" a="1"/>
  <c r="AL22" i="5" a="1"/>
  <c r="F13" i="5" a="1"/>
  <c r="AM21" i="5" a="1"/>
  <c r="S14" i="5" a="1"/>
  <c r="AP8" i="5" a="1"/>
  <c r="AD33" i="5" a="1"/>
  <c r="BF10" i="5" a="1"/>
  <c r="C16" i="5" a="1"/>
  <c r="AZ25" i="5" a="1"/>
  <c r="BK32" i="5" a="1"/>
  <c r="AK5" i="5" a="1"/>
  <c r="D33" i="5" a="1"/>
  <c r="S13" i="5" a="1"/>
  <c r="S28" i="5" a="1"/>
  <c r="AH15" i="5" a="1"/>
  <c r="AM35" i="5" a="1"/>
  <c r="H24" i="5" a="1"/>
  <c r="AM13" i="5" a="1"/>
  <c r="R7" i="5" a="1"/>
  <c r="AI20" i="5" a="1"/>
  <c r="BM14" i="5" a="1"/>
  <c r="T18" i="5" a="1"/>
  <c r="AZ9" i="5" a="1"/>
  <c r="AT18" i="5" a="1"/>
  <c r="AU7" i="5" a="1"/>
  <c r="U26" i="5" a="1"/>
  <c r="Z28" i="5" a="1"/>
  <c r="U25" i="5" a="1"/>
  <c r="F3" i="5" a="1"/>
  <c r="Z22" i="5" a="1"/>
  <c r="AI26" i="5" a="1"/>
  <c r="AJ11" i="5" a="1"/>
  <c r="AD35" i="5" a="1"/>
  <c r="U8" i="5" a="1"/>
  <c r="AT6" i="5" a="1"/>
  <c r="BF20" i="5" a="1"/>
  <c r="O19" i="5" a="1"/>
  <c r="AZ27" i="5" a="1"/>
  <c r="D23" i="5" a="1"/>
  <c r="H28" i="5" a="1"/>
  <c r="AD5" i="5" a="1"/>
  <c r="AX24" i="5" a="1"/>
  <c r="H29" i="5" a="1"/>
  <c r="AH31" i="5" a="1"/>
  <c r="AI9" i="5" a="1"/>
  <c r="BK16" i="5" a="1"/>
  <c r="AM32" i="5" a="1"/>
  <c r="AI14" i="5" a="1"/>
  <c r="AN25" i="5" a="1"/>
  <c r="BH4" i="5" a="1"/>
  <c r="G26" i="5" a="1"/>
  <c r="AP21" i="5" a="1"/>
  <c r="V14" i="5" a="1"/>
  <c r="BF17" i="5" a="1"/>
  <c r="AU27" i="5" a="1"/>
  <c r="AJ9" i="5" a="1"/>
  <c r="V6" i="5" a="1"/>
  <c r="AG31" i="5" a="1"/>
  <c r="S25" i="5" a="1"/>
  <c r="T19" i="5" a="1"/>
  <c r="H35" i="5" a="1"/>
  <c r="V24" i="5" a="1"/>
  <c r="U18" i="5" a="1"/>
  <c r="Q20" i="5" a="1"/>
  <c r="AG7" i="5" a="1"/>
  <c r="P15" i="5" a="1"/>
  <c r="AA9" i="5" a="1"/>
  <c r="D13" i="5" a="1"/>
  <c r="AH9" i="5" a="1"/>
  <c r="BA26" i="5" a="1"/>
  <c r="V28" i="5" a="1"/>
  <c r="AD9" i="5" a="1"/>
  <c r="AZ23" i="5" a="1"/>
  <c r="BJ35" i="5" a="1"/>
  <c r="AP23" i="5" a="1"/>
  <c r="AZ3" i="5" a="1"/>
  <c r="AZ26" i="5" a="1"/>
  <c r="P31" i="5" a="1"/>
  <c r="AO10" i="5"/>
  <c r="AP11" i="5" a="1"/>
  <c r="D28" i="5" a="1"/>
  <c r="Q32" i="5" a="1"/>
  <c r="BE30" i="5" a="1"/>
  <c r="O20" i="5" a="1"/>
  <c r="R33" i="5" a="1"/>
  <c r="R18" i="5" a="1"/>
  <c r="BH32" i="5" a="1"/>
  <c r="AM26" i="5" a="1"/>
  <c r="BK29" i="5" a="1"/>
  <c r="BK35" i="5" a="1"/>
  <c r="BH10" i="5" a="1"/>
  <c r="AN10" i="5" a="1"/>
  <c r="AN11" i="5" a="1"/>
  <c r="AI16" i="5" a="1"/>
  <c r="BE33" i="5" a="1"/>
  <c r="G28" i="5" a="1"/>
  <c r="BF26" i="5" a="1"/>
  <c r="C11" i="5" a="1"/>
  <c r="AX15" i="5" a="1"/>
  <c r="AT3" i="5" a="1"/>
  <c r="AL29" i="5" a="1"/>
  <c r="R11" i="5" a="1"/>
  <c r="P26" i="5" a="1"/>
  <c r="AA35" i="5" a="1"/>
  <c r="AJ28" i="5" a="1"/>
  <c r="AX32" i="5" a="1"/>
  <c r="AT31" i="5" a="1"/>
  <c r="AZ24" i="5" a="1"/>
  <c r="O18" i="5" a="1"/>
  <c r="AH28" i="5" a="1"/>
  <c r="BK15" i="5" a="1"/>
  <c r="AN22" i="5" a="1"/>
  <c r="AI29" i="5" a="1"/>
  <c r="AN29" i="5" a="1"/>
  <c r="AX27" i="5" a="1"/>
  <c r="BE24" i="5" a="1"/>
  <c r="AT5" i="5" a="1"/>
  <c r="U32" i="5" a="1"/>
  <c r="O9" i="5" a="1"/>
  <c r="C17" i="5" a="1"/>
  <c r="AN4" i="5" a="1"/>
  <c r="D31" i="5" a="1"/>
  <c r="G32" i="5" a="1"/>
  <c r="BK28" i="5" a="1"/>
  <c r="AP24" i="5" a="1"/>
  <c r="AT21" i="5" a="1"/>
  <c r="AK27" i="5" a="1"/>
  <c r="BA7" i="5" a="1"/>
  <c r="Z19" i="5" a="1"/>
  <c r="S24" i="5" a="1"/>
  <c r="R35" i="5" a="1"/>
  <c r="F15" i="5" a="1"/>
  <c r="AH10" i="5" a="1"/>
  <c r="U30" i="5" a="1"/>
  <c r="AM23" i="5" a="1"/>
  <c r="O3" i="5" a="1"/>
  <c r="AA8" i="5" a="1"/>
  <c r="U17" i="5" a="1"/>
  <c r="O31" i="5" a="1"/>
  <c r="BM17" i="5" a="1"/>
  <c r="T35" i="5" a="1"/>
  <c r="BA21" i="5" a="1"/>
  <c r="AH6" i="5" a="1"/>
  <c r="AX28" i="5" a="1"/>
  <c r="AZ17" i="5" a="1"/>
  <c r="BE35" i="5" a="1"/>
  <c r="U27" i="5" a="1"/>
  <c r="AA14" i="5" a="1"/>
  <c r="T22" i="5" a="1"/>
  <c r="H30" i="5" a="1"/>
  <c r="H18" i="5" a="1"/>
  <c r="Z18" i="5" a="1"/>
  <c r="G35" i="5" a="1"/>
  <c r="BH24" i="5" a="1"/>
  <c r="AH20" i="5" a="1"/>
  <c r="C15" i="5" a="1"/>
  <c r="AU14" i="5" a="1"/>
  <c r="AY5" i="5" a="1"/>
  <c r="H5" i="5" a="1"/>
  <c r="T15" i="5" a="1"/>
  <c r="BM28" i="5" a="1"/>
  <c r="V29" i="5" a="1"/>
  <c r="AK16" i="5" a="1"/>
  <c r="O10" i="5" a="1"/>
  <c r="AP25" i="5" a="1"/>
  <c r="AO4" i="5"/>
  <c r="AY9" i="5" a="1"/>
  <c r="BM9" i="5" a="1"/>
  <c r="AI31" i="5" a="1"/>
  <c r="P32" i="5" a="1"/>
  <c r="BE28" i="5" a="1"/>
  <c r="F10" i="5" a="1"/>
  <c r="BJ17" i="5" a="1"/>
  <c r="D14" i="5" a="1"/>
  <c r="AA27" i="5" a="1"/>
  <c r="AM17" i="5" a="1"/>
  <c r="U28" i="5" a="1"/>
  <c r="C28" i="5" a="1"/>
  <c r="BJ7" i="5" a="1"/>
  <c r="R20" i="5" a="1"/>
  <c r="AO27" i="5"/>
  <c r="AM18" i="5" a="1"/>
  <c r="AJ12" i="5" a="1"/>
  <c r="BA24" i="5" a="1"/>
  <c r="AA12" i="5" a="1"/>
  <c r="BM16" i="5" a="1"/>
  <c r="AM11" i="5" a="1"/>
  <c r="D16" i="5" a="1"/>
  <c r="BM31" i="5" a="1"/>
  <c r="BK30" i="5" a="1"/>
  <c r="AT7" i="5" a="1"/>
  <c r="AK33" i="5" a="1"/>
  <c r="O34" i="5" a="1"/>
  <c r="BM8" i="5" a="1"/>
  <c r="AZ12" i="5" a="1"/>
  <c r="Q7" i="5" a="1"/>
  <c r="AJ31" i="5" a="1"/>
  <c r="O27" i="5" a="1"/>
  <c r="BM23" i="5" a="1"/>
  <c r="S22" i="5" a="1"/>
  <c r="C3" i="5" a="1"/>
  <c r="BN22" i="5" a="1"/>
  <c r="G23" i="5" a="1"/>
  <c r="BJ6" i="5" a="1"/>
  <c r="AG24" i="5" a="1"/>
  <c r="V34" i="5" a="1"/>
  <c r="AD24" i="5" a="1"/>
  <c r="AI35" i="5" a="1"/>
  <c r="AG25" i="5" a="1"/>
  <c r="F23" i="5" a="1"/>
  <c r="AL26" i="5" a="1"/>
  <c r="T9" i="5" a="1"/>
  <c r="AO26" i="5"/>
  <c r="Q35" i="5" a="1"/>
  <c r="BH20" i="5" a="1"/>
  <c r="G21" i="5" a="1"/>
  <c r="Z35" i="5" a="1"/>
  <c r="AO14" i="5"/>
  <c r="S16" i="5" a="1"/>
  <c r="AU32" i="5" a="1"/>
  <c r="V31" i="5" a="1"/>
  <c r="AZ7" i="5" a="1"/>
  <c r="AN27" i="5" a="1"/>
  <c r="AY14" i="5" a="1"/>
  <c r="AI24" i="5" a="1"/>
  <c r="Z10" i="5" a="1"/>
  <c r="S21" i="5" a="1"/>
  <c r="AL31" i="5" a="1"/>
  <c r="R25" i="5" a="1"/>
  <c r="D18" i="5" a="1"/>
  <c r="BM22" i="5" a="1"/>
  <c r="Z5" i="5" a="1"/>
  <c r="AL8" i="5" a="1"/>
  <c r="AD21" i="5" a="1"/>
  <c r="BH13" i="5" a="1"/>
  <c r="AH29" i="5" a="1"/>
  <c r="AL25" i="5" a="1"/>
  <c r="H6" i="5" a="1"/>
  <c r="P7" i="5" a="1"/>
  <c r="AJ14" i="5" a="1"/>
  <c r="AN19" i="5" a="1"/>
  <c r="AO33" i="5"/>
  <c r="AP4" i="5" a="1"/>
  <c r="C27" i="5" a="1"/>
  <c r="BE34" i="5" a="1"/>
  <c r="AL3" i="5" a="1"/>
  <c r="AU25" i="5" a="1"/>
  <c r="AH30" i="5" a="1"/>
  <c r="BF30" i="5" a="1"/>
  <c r="BM33" i="5" a="1"/>
  <c r="S26" i="5" a="1"/>
  <c r="AG22" i="5" a="1"/>
  <c r="G31" i="5" a="1"/>
  <c r="AK29" i="5" a="1"/>
  <c r="AM5" i="5" a="1"/>
  <c r="Z21" i="5" a="1"/>
  <c r="AN8" i="5" a="1"/>
  <c r="AK4" i="5" a="1"/>
  <c r="BA18" i="5" a="1"/>
  <c r="V13" i="5" a="1"/>
  <c r="AP12" i="5" a="1"/>
  <c r="T33" i="5" a="1"/>
  <c r="G9" i="5" a="1"/>
  <c r="P5" i="5" a="1"/>
  <c r="AZ11" i="5" a="1"/>
  <c r="C21" i="5" a="1"/>
  <c r="Z12" i="5" a="1"/>
  <c r="BJ18" i="5" a="1"/>
  <c r="V17" i="5" a="1"/>
  <c r="G15" i="5" a="1"/>
  <c r="AZ28" i="5" a="1"/>
  <c r="S35" i="5" a="1"/>
  <c r="AD20" i="5" a="1"/>
  <c r="G24" i="5" a="1"/>
  <c r="BJ15" i="5" a="1"/>
  <c r="T5" i="5" a="1"/>
  <c r="AX16" i="5" a="1"/>
  <c r="C18" i="5" a="1"/>
  <c r="AO28" i="5"/>
  <c r="U20" i="5" a="1"/>
  <c r="AY25" i="5" a="1"/>
  <c r="V25" i="5" a="1"/>
  <c r="AX26" i="5" a="1"/>
  <c r="O22" i="5" a="1"/>
  <c r="AI5" i="5" a="1"/>
  <c r="AN7" i="5" a="1"/>
  <c r="D17" i="5" a="1"/>
  <c r="F34" i="5" a="1"/>
  <c r="AO22" i="5"/>
  <c r="Z11" i="5" a="1"/>
  <c r="BE31" i="5" a="1"/>
  <c r="AG11" i="5" a="1"/>
  <c r="AN14" i="5" a="1"/>
  <c r="AU15" i="5" a="1"/>
  <c r="AG15" i="5" a="1"/>
  <c r="AO5" i="5"/>
  <c r="BH17" i="5" a="1"/>
  <c r="AJ25" i="5" a="1"/>
  <c r="AL12" i="5" a="1"/>
  <c r="T8" i="5" a="1"/>
  <c r="BF12" i="5" a="1"/>
  <c r="AT23" i="5" a="1"/>
  <c r="BH12" i="5" a="1"/>
  <c r="T14" i="5" a="1"/>
  <c r="Z6" i="5" a="1"/>
  <c r="AT35" i="5" a="1"/>
  <c r="AN33" i="5" a="1"/>
  <c r="BE23" i="5" a="1"/>
  <c r="D15" i="5" a="1"/>
  <c r="AH3" i="5" a="1"/>
  <c r="H25" i="5" a="1"/>
  <c r="AK35" i="5" a="1"/>
  <c r="AZ18" i="5" a="1"/>
  <c r="BH28" i="5" a="1"/>
  <c r="T3" i="5" a="1"/>
  <c r="H22" i="5" a="1"/>
  <c r="BM5" i="5" a="1"/>
  <c r="F22" i="5" a="1"/>
  <c r="R17" i="5" a="1"/>
  <c r="AD10" i="5" a="1"/>
  <c r="BK8" i="5" a="1"/>
  <c r="BF21" i="5" a="1"/>
  <c r="BK4" i="5" a="1"/>
  <c r="AI10" i="5" a="1"/>
  <c r="H13" i="5" a="1"/>
  <c r="AZ13" i="5" a="1"/>
  <c r="BE6" i="5" a="1"/>
  <c r="AP20" i="5" a="1"/>
  <c r="AA4" i="5" a="1"/>
  <c r="AX4" i="5" a="1"/>
  <c r="AK8" i="5" a="1"/>
  <c r="D24" i="5" a="1"/>
  <c r="BM15" i="5" a="1"/>
  <c r="BF13" i="5" a="1"/>
  <c r="F5" i="5" a="1"/>
  <c r="AN23" i="5" a="1"/>
  <c r="BJ5" i="5" a="1"/>
  <c r="Q13" i="5" a="1"/>
  <c r="V5" i="5" a="1"/>
  <c r="AI11" i="5" a="1"/>
  <c r="F4" i="5" a="1"/>
  <c r="AP9" i="5" a="1"/>
  <c r="AL30" i="5" a="1"/>
  <c r="P21" i="5" a="1"/>
  <c r="AT33" i="5" a="1"/>
  <c r="P19" i="5" a="1"/>
  <c r="R24" i="5" a="1"/>
  <c r="AT16" i="5" a="1"/>
  <c r="AH7" i="5" a="1"/>
  <c r="P9" i="5" a="1"/>
  <c r="P28" i="5" a="1"/>
  <c r="AU19" i="5" a="1"/>
  <c r="AP7" i="5" a="1"/>
  <c r="S29" i="5" a="1"/>
  <c r="C30" i="5" a="1"/>
  <c r="AK7" i="5" a="1"/>
  <c r="AN20" i="5" a="1"/>
  <c r="AM19" i="5" a="1"/>
  <c r="AD30" i="5" a="1"/>
  <c r="Q23" i="5" a="1"/>
  <c r="AY4" i="5" a="1"/>
  <c r="AO6" i="5"/>
  <c r="AO31" i="5"/>
  <c r="Z7" i="5" a="1"/>
  <c r="BJ30" i="5" a="1"/>
  <c r="U23" i="5" a="1"/>
  <c r="AD14" i="5" a="1"/>
  <c r="AJ5" i="5" a="1"/>
  <c r="AP31" i="5" a="1"/>
  <c r="AH13" i="5" a="1"/>
  <c r="U5" i="5" a="1"/>
  <c r="S19" i="5" a="1"/>
  <c r="AX19" i="5" a="1"/>
  <c r="AZ34" i="5" a="1"/>
  <c r="AA6" i="5" a="1"/>
  <c r="AG10" i="5" a="1"/>
  <c r="AI22" i="5" a="1"/>
  <c r="U34" i="5" a="1"/>
  <c r="AZ19" i="5" a="1"/>
  <c r="AP13" i="5" a="1"/>
  <c r="U22" i="5" a="1"/>
  <c r="Z27" i="5" a="1"/>
  <c r="BF7" i="5" a="1"/>
  <c r="AH21" i="5" a="1"/>
  <c r="O33" i="5" a="1"/>
  <c r="O12" i="5" a="1"/>
  <c r="O23" i="5" a="1"/>
  <c r="AK13" i="5" a="1"/>
  <c r="AM25" i="5" a="1"/>
  <c r="G7" i="5" a="1"/>
  <c r="F11" i="5" a="1"/>
  <c r="AG9" i="5" a="1"/>
  <c r="AN13" i="5" a="1"/>
  <c r="U12" i="5" a="1"/>
  <c r="AD22" i="5" a="1"/>
  <c r="BF31" i="5" a="1"/>
  <c r="BH29" i="5" a="1"/>
  <c r="AN35" i="5" a="1"/>
  <c r="AY21" i="5" a="1"/>
  <c r="AD6" i="5" a="1"/>
  <c r="AG28" i="5" a="1"/>
  <c r="O24" i="5" a="1"/>
  <c r="U10" i="5" a="1"/>
  <c r="AG26" i="5" a="1"/>
  <c r="BM18" i="5" a="1"/>
  <c r="BE14" i="5" a="1"/>
  <c r="R32" i="5" a="1"/>
  <c r="Q8" i="5" a="1"/>
  <c r="AP19" i="5" a="1"/>
  <c r="BA23" i="5" a="1"/>
  <c r="AT25" i="5" a="1"/>
  <c r="AI27" i="5" a="1"/>
  <c r="BE26" i="5" a="1"/>
  <c r="AX30" i="5" a="1"/>
  <c r="AO30" i="5"/>
  <c r="U4" i="5" a="1"/>
  <c r="AH24" i="5" a="1"/>
  <c r="G34" i="5" a="1"/>
  <c r="H34" i="5" a="1"/>
  <c r="D3" i="5" a="1"/>
  <c r="AO24" i="5"/>
  <c r="Q3" i="5" a="1"/>
  <c r="AL13" i="5" a="1"/>
  <c r="AU9" i="5" a="1"/>
  <c r="C20" i="5" a="1"/>
  <c r="T25" i="5" a="1"/>
  <c r="AZ5" i="5" a="1"/>
  <c r="AD12" i="5" a="1"/>
  <c r="AP18" i="5" a="1"/>
  <c r="AL18" i="5" a="1"/>
  <c r="BE9" i="5" a="1"/>
  <c r="AT32" i="5" a="1"/>
  <c r="AO7" i="5"/>
  <c r="R4" i="5" a="1"/>
  <c r="O8" i="5" a="1"/>
  <c r="H12" i="5" a="1"/>
  <c r="BA27" i="5" a="1"/>
  <c r="H9" i="5" a="1"/>
  <c r="BA10" i="5" a="1"/>
  <c r="V3" i="5" a="1"/>
  <c r="BA16" i="5" a="1"/>
  <c r="AG23" i="5" a="1"/>
  <c r="R29" i="5" a="1"/>
  <c r="G6" i="5" a="1"/>
  <c r="BA14" i="5" a="1"/>
  <c r="T21" i="5" a="1"/>
  <c r="BH14" i="5" a="1"/>
  <c r="Q6" i="5" a="1"/>
  <c r="D19" i="5" a="1"/>
  <c r="AY30" i="5" a="1"/>
  <c r="AL21" i="5" a="1"/>
  <c r="AG21" i="5" a="1"/>
  <c r="V8" i="5" a="1"/>
  <c r="Q31" i="5" a="1"/>
  <c r="Q31" i="5" l="1"/>
  <c r="V8" i="5"/>
  <c r="AE8" i="5" s="1"/>
  <c r="AG21" i="5"/>
  <c r="AR21" i="5" s="1"/>
  <c r="AL21" i="5"/>
  <c r="AW21" i="5" s="1"/>
  <c r="AY30" i="5"/>
  <c r="D19" i="5"/>
  <c r="Q6" i="5"/>
  <c r="BH14" i="5"/>
  <c r="T21" i="5"/>
  <c r="AC21" i="5" s="1"/>
  <c r="BA14" i="5"/>
  <c r="G6" i="5"/>
  <c r="R29" i="5"/>
  <c r="AG23" i="5"/>
  <c r="AR23" i="5" s="1"/>
  <c r="BA16" i="5"/>
  <c r="V3" i="5"/>
  <c r="BA10" i="5"/>
  <c r="H9" i="5"/>
  <c r="BA27" i="5"/>
  <c r="H12" i="5"/>
  <c r="O8" i="5"/>
  <c r="X8" i="5" s="1"/>
  <c r="R4" i="5"/>
  <c r="AT32" i="5"/>
  <c r="BE9" i="5"/>
  <c r="AL18" i="5"/>
  <c r="AW18" i="5" s="1"/>
  <c r="AP18" i="5"/>
  <c r="BB18" i="5" s="1"/>
  <c r="AD12" i="5"/>
  <c r="AZ5" i="5"/>
  <c r="T25" i="5"/>
  <c r="AC25" i="5" s="1"/>
  <c r="C20" i="5"/>
  <c r="K20" i="5" s="1"/>
  <c r="AU9" i="5"/>
  <c r="AL13" i="5"/>
  <c r="AW13" i="5" s="1"/>
  <c r="Q3" i="5"/>
  <c r="D3" i="5"/>
  <c r="H34" i="5"/>
  <c r="G34" i="5"/>
  <c r="AH24" i="5"/>
  <c r="AS24" i="5" s="1"/>
  <c r="U4" i="5"/>
  <c r="AX30" i="5"/>
  <c r="BE26" i="5"/>
  <c r="AI27" i="5"/>
  <c r="AT25" i="5"/>
  <c r="BA23" i="5"/>
  <c r="AP19" i="5"/>
  <c r="BB19" i="5" s="1"/>
  <c r="Q8" i="5"/>
  <c r="R32" i="5"/>
  <c r="BE14" i="5"/>
  <c r="BM18" i="5"/>
  <c r="AG26" i="5"/>
  <c r="AR26" i="5" s="1"/>
  <c r="U10" i="5"/>
  <c r="O24" i="5"/>
  <c r="X24" i="5" s="1"/>
  <c r="AG28" i="5"/>
  <c r="AR28" i="5" s="1"/>
  <c r="AD6" i="5"/>
  <c r="AY21" i="5"/>
  <c r="AN35" i="5"/>
  <c r="BH29" i="5"/>
  <c r="BF31" i="5"/>
  <c r="AD22" i="5"/>
  <c r="U12" i="5"/>
  <c r="AN13" i="5"/>
  <c r="AG9" i="5"/>
  <c r="AR9" i="5" s="1"/>
  <c r="F11" i="5"/>
  <c r="G7" i="5"/>
  <c r="AM25" i="5"/>
  <c r="AK13" i="5"/>
  <c r="AV13" i="5" s="1"/>
  <c r="O23" i="5"/>
  <c r="X23" i="5" s="1"/>
  <c r="O12" i="5"/>
  <c r="X12" i="5" s="1"/>
  <c r="O33" i="5"/>
  <c r="X33" i="5" s="1"/>
  <c r="AH21" i="5"/>
  <c r="AS21" i="5" s="1"/>
  <c r="BF7" i="5"/>
  <c r="Z27" i="5"/>
  <c r="U22" i="5"/>
  <c r="AP13" i="5"/>
  <c r="BB13" i="5" s="1"/>
  <c r="AZ19" i="5"/>
  <c r="U34" i="5"/>
  <c r="AI22" i="5"/>
  <c r="AG10" i="5"/>
  <c r="AR10" i="5" s="1"/>
  <c r="AA6" i="5"/>
  <c r="AZ34" i="5"/>
  <c r="AX19" i="5"/>
  <c r="S19" i="5"/>
  <c r="AB19" i="5" s="1"/>
  <c r="U5" i="5"/>
  <c r="AH13" i="5"/>
  <c r="AS13" i="5" s="1"/>
  <c r="AP31" i="5"/>
  <c r="BB31" i="5" s="1"/>
  <c r="AJ5" i="5"/>
  <c r="AD14" i="5"/>
  <c r="U23" i="5"/>
  <c r="BJ30" i="5"/>
  <c r="Z7" i="5"/>
  <c r="AY4" i="5"/>
  <c r="Q23" i="5"/>
  <c r="AD30" i="5"/>
  <c r="AM19" i="5"/>
  <c r="AN20" i="5"/>
  <c r="AK7" i="5"/>
  <c r="AV7" i="5" s="1"/>
  <c r="C30" i="5"/>
  <c r="K30" i="5" s="1"/>
  <c r="S29" i="5"/>
  <c r="AB29" i="5" s="1"/>
  <c r="AP7" i="5"/>
  <c r="BB7" i="5" s="1"/>
  <c r="AU19" i="5"/>
  <c r="P28" i="5"/>
  <c r="Y28" i="5" s="1"/>
  <c r="P9" i="5"/>
  <c r="Y9" i="5" s="1"/>
  <c r="AH7" i="5"/>
  <c r="AS7" i="5" s="1"/>
  <c r="AT16" i="5"/>
  <c r="R24" i="5"/>
  <c r="P19" i="5"/>
  <c r="Y19" i="5" s="1"/>
  <c r="AT33" i="5"/>
  <c r="P21" i="5"/>
  <c r="Y21" i="5" s="1"/>
  <c r="AL30" i="5"/>
  <c r="AW30" i="5" s="1"/>
  <c r="AP9" i="5"/>
  <c r="BB9" i="5" s="1"/>
  <c r="F4" i="5"/>
  <c r="AI11" i="5"/>
  <c r="V5" i="5"/>
  <c r="AE5" i="5" s="1"/>
  <c r="Q13" i="5"/>
  <c r="BJ5" i="5"/>
  <c r="AN23" i="5"/>
  <c r="F5" i="5"/>
  <c r="BF13" i="5"/>
  <c r="BM15" i="5"/>
  <c r="D24" i="5"/>
  <c r="AK8" i="5"/>
  <c r="AV8" i="5" s="1"/>
  <c r="AX4" i="5"/>
  <c r="AA4" i="5"/>
  <c r="AP20" i="5"/>
  <c r="BB20" i="5" s="1"/>
  <c r="BE6" i="5"/>
  <c r="AZ13" i="5"/>
  <c r="H13" i="5"/>
  <c r="AI10" i="5"/>
  <c r="BK4" i="5"/>
  <c r="BF21" i="5"/>
  <c r="BK8" i="5"/>
  <c r="AD10" i="5"/>
  <c r="R17" i="5"/>
  <c r="F22" i="5"/>
  <c r="BM5" i="5"/>
  <c r="H22" i="5"/>
  <c r="T3" i="5"/>
  <c r="BH28" i="5"/>
  <c r="AZ18" i="5"/>
  <c r="AK35" i="5"/>
  <c r="AV35" i="5" s="1"/>
  <c r="H25" i="5"/>
  <c r="AH3" i="5"/>
  <c r="D15" i="5"/>
  <c r="BE23" i="5"/>
  <c r="AN33" i="5"/>
  <c r="AT35" i="5"/>
  <c r="Z6" i="5"/>
  <c r="T14" i="5"/>
  <c r="AC14" i="5" s="1"/>
  <c r="BH12" i="5"/>
  <c r="AT23" i="5"/>
  <c r="BF12" i="5"/>
  <c r="T8" i="5"/>
  <c r="AC8" i="5" s="1"/>
  <c r="AL12" i="5"/>
  <c r="AW12" i="5" s="1"/>
  <c r="AJ25" i="5"/>
  <c r="BH17" i="5"/>
  <c r="AG15" i="5"/>
  <c r="AR15" i="5" s="1"/>
  <c r="AU15" i="5"/>
  <c r="AN14" i="5"/>
  <c r="AG11" i="5"/>
  <c r="AR11" i="5" s="1"/>
  <c r="BE31" i="5"/>
  <c r="Z11" i="5"/>
  <c r="F34" i="5"/>
  <c r="D17" i="5"/>
  <c r="AN7" i="5"/>
  <c r="AI5" i="5"/>
  <c r="O22" i="5"/>
  <c r="X22" i="5" s="1"/>
  <c r="AX26" i="5"/>
  <c r="V25" i="5"/>
  <c r="AE25" i="5" s="1"/>
  <c r="AY25" i="5"/>
  <c r="U20" i="5"/>
  <c r="C18" i="5"/>
  <c r="K18" i="5" s="1"/>
  <c r="AX16" i="5"/>
  <c r="T5" i="5"/>
  <c r="AC5" i="5" s="1"/>
  <c r="BJ15" i="5"/>
  <c r="G24" i="5"/>
  <c r="AD20" i="5"/>
  <c r="S35" i="5"/>
  <c r="AB35" i="5" s="1"/>
  <c r="AZ28" i="5"/>
  <c r="G15" i="5"/>
  <c r="V17" i="5"/>
  <c r="AE17" i="5" s="1"/>
  <c r="BJ18" i="5"/>
  <c r="Z12" i="5"/>
  <c r="C21" i="5"/>
  <c r="K21" i="5" s="1"/>
  <c r="AZ11" i="5"/>
  <c r="P5" i="5"/>
  <c r="Y5" i="5" s="1"/>
  <c r="G9" i="5"/>
  <c r="T33" i="5"/>
  <c r="AC33" i="5" s="1"/>
  <c r="AP12" i="5"/>
  <c r="BB12" i="5" s="1"/>
  <c r="V13" i="5"/>
  <c r="AE13" i="5" s="1"/>
  <c r="BA18" i="5"/>
  <c r="AK4" i="5"/>
  <c r="AV4" i="5" s="1"/>
  <c r="AN8" i="5"/>
  <c r="Z21" i="5"/>
  <c r="AM5" i="5"/>
  <c r="AK29" i="5"/>
  <c r="AV29" i="5" s="1"/>
  <c r="G31" i="5"/>
  <c r="AG22" i="5"/>
  <c r="AR22" i="5" s="1"/>
  <c r="S26" i="5"/>
  <c r="AB26" i="5" s="1"/>
  <c r="BM33" i="5"/>
  <c r="BF30" i="5"/>
  <c r="AH30" i="5"/>
  <c r="AS30" i="5" s="1"/>
  <c r="AU25" i="5"/>
  <c r="AL3" i="5"/>
  <c r="BE34" i="5"/>
  <c r="C27" i="5"/>
  <c r="K27" i="5" s="1"/>
  <c r="AP4" i="5"/>
  <c r="BB4" i="5" s="1"/>
  <c r="AN19" i="5"/>
  <c r="AJ14" i="5"/>
  <c r="P7" i="5"/>
  <c r="Y7" i="5" s="1"/>
  <c r="H6" i="5"/>
  <c r="AL25" i="5"/>
  <c r="AW25" i="5" s="1"/>
  <c r="AH29" i="5"/>
  <c r="AS29" i="5" s="1"/>
  <c r="BH13" i="5"/>
  <c r="AD21" i="5"/>
  <c r="AL8" i="5"/>
  <c r="AW8" i="5" s="1"/>
  <c r="Z5" i="5"/>
  <c r="BM22" i="5"/>
  <c r="D18" i="5"/>
  <c r="R25" i="5"/>
  <c r="AL31" i="5"/>
  <c r="AW31" i="5" s="1"/>
  <c r="S21" i="5"/>
  <c r="AB21" i="5" s="1"/>
  <c r="Z10" i="5"/>
  <c r="AI24" i="5"/>
  <c r="AY14" i="5"/>
  <c r="AN27" i="5"/>
  <c r="AZ7" i="5"/>
  <c r="V31" i="5"/>
  <c r="AE31" i="5" s="1"/>
  <c r="AU32" i="5"/>
  <c r="S16" i="5"/>
  <c r="AB16" i="5" s="1"/>
  <c r="Z35" i="5"/>
  <c r="G21" i="5"/>
  <c r="BH20" i="5"/>
  <c r="Q35" i="5"/>
  <c r="T9" i="5"/>
  <c r="AC9" i="5" s="1"/>
  <c r="AL26" i="5"/>
  <c r="AW26" i="5" s="1"/>
  <c r="F23" i="5"/>
  <c r="AG25" i="5"/>
  <c r="AR25" i="5" s="1"/>
  <c r="AI35" i="5"/>
  <c r="AD24" i="5"/>
  <c r="V34" i="5"/>
  <c r="AE34" i="5" s="1"/>
  <c r="AG24" i="5"/>
  <c r="AR24" i="5" s="1"/>
  <c r="BJ6" i="5"/>
  <c r="G23" i="5"/>
  <c r="BN22" i="5"/>
  <c r="C3" i="5"/>
  <c r="K3" i="5" s="1"/>
  <c r="S22" i="5"/>
  <c r="AB22" i="5" s="1"/>
  <c r="BM23" i="5"/>
  <c r="O27" i="5"/>
  <c r="X27" i="5" s="1"/>
  <c r="AJ31" i="5"/>
  <c r="Q7" i="5"/>
  <c r="AZ12" i="5"/>
  <c r="BM8" i="5"/>
  <c r="O34" i="5"/>
  <c r="X34" i="5" s="1"/>
  <c r="AK33" i="5"/>
  <c r="AV33" i="5" s="1"/>
  <c r="AT7" i="5"/>
  <c r="BK30" i="5"/>
  <c r="BM31" i="5"/>
  <c r="D16" i="5"/>
  <c r="AM11" i="5"/>
  <c r="BM16" i="5"/>
  <c r="AA12" i="5"/>
  <c r="BA24" i="5"/>
  <c r="AJ12" i="5"/>
  <c r="AM18" i="5"/>
  <c r="R20" i="5"/>
  <c r="BJ7" i="5"/>
  <c r="C28" i="5"/>
  <c r="K28" i="5" s="1"/>
  <c r="U28" i="5"/>
  <c r="AM17" i="5"/>
  <c r="AA27" i="5"/>
  <c r="D14" i="5"/>
  <c r="BJ17" i="5"/>
  <c r="F10" i="5"/>
  <c r="BE28" i="5"/>
  <c r="P32" i="5"/>
  <c r="Y32" i="5" s="1"/>
  <c r="AI31" i="5"/>
  <c r="BM9" i="5"/>
  <c r="AY9" i="5"/>
  <c r="AP25" i="5"/>
  <c r="BB25" i="5" s="1"/>
  <c r="O10" i="5"/>
  <c r="X10" i="5" s="1"/>
  <c r="AK16" i="5"/>
  <c r="AV16" i="5" s="1"/>
  <c r="V29" i="5"/>
  <c r="AE29" i="5" s="1"/>
  <c r="BM28" i="5"/>
  <c r="T15" i="5"/>
  <c r="AC15" i="5" s="1"/>
  <c r="H5" i="5"/>
  <c r="AY5" i="5"/>
  <c r="AU14" i="5"/>
  <c r="C15" i="5"/>
  <c r="K15" i="5" s="1"/>
  <c r="AH20" i="5"/>
  <c r="AS20" i="5" s="1"/>
  <c r="BH24" i="5"/>
  <c r="G35" i="5"/>
  <c r="Z18" i="5"/>
  <c r="H18" i="5"/>
  <c r="H30" i="5"/>
  <c r="T22" i="5"/>
  <c r="AC22" i="5" s="1"/>
  <c r="AA14" i="5"/>
  <c r="U27" i="5"/>
  <c r="BE35" i="5"/>
  <c r="AZ17" i="5"/>
  <c r="AX28" i="5"/>
  <c r="AH6" i="5"/>
  <c r="AS6" i="5" s="1"/>
  <c r="BA21" i="5"/>
  <c r="T35" i="5"/>
  <c r="AC35" i="5" s="1"/>
  <c r="BM17" i="5"/>
  <c r="O31" i="5"/>
  <c r="X31" i="5" s="1"/>
  <c r="U17" i="5"/>
  <c r="AA8" i="5"/>
  <c r="O3" i="5"/>
  <c r="AM23" i="5"/>
  <c r="U30" i="5"/>
  <c r="AH10" i="5"/>
  <c r="AS10" i="5" s="1"/>
  <c r="F15" i="5"/>
  <c r="R35" i="5"/>
  <c r="S24" i="5"/>
  <c r="AB24" i="5" s="1"/>
  <c r="Z19" i="5"/>
  <c r="BA7" i="5"/>
  <c r="AK27" i="5"/>
  <c r="AV27" i="5" s="1"/>
  <c r="AT21" i="5"/>
  <c r="AP24" i="5"/>
  <c r="BB24" i="5" s="1"/>
  <c r="BK28" i="5"/>
  <c r="G32" i="5"/>
  <c r="D31" i="5"/>
  <c r="AN4" i="5"/>
  <c r="C17" i="5"/>
  <c r="K17" i="5" s="1"/>
  <c r="O9" i="5"/>
  <c r="X9" i="5" s="1"/>
  <c r="U32" i="5"/>
  <c r="AT5" i="5"/>
  <c r="BE24" i="5"/>
  <c r="AX27" i="5"/>
  <c r="AN29" i="5"/>
  <c r="AI29" i="5"/>
  <c r="AN22" i="5"/>
  <c r="BK15" i="5"/>
  <c r="AH28" i="5"/>
  <c r="AS28" i="5" s="1"/>
  <c r="O18" i="5"/>
  <c r="X18" i="5" s="1"/>
  <c r="AZ24" i="5"/>
  <c r="AT31" i="5"/>
  <c r="AX32" i="5"/>
  <c r="AJ28" i="5"/>
  <c r="AA35" i="5"/>
  <c r="P26" i="5"/>
  <c r="Y26" i="5" s="1"/>
  <c r="R11" i="5"/>
  <c r="AL29" i="5"/>
  <c r="AW29" i="5" s="1"/>
  <c r="AT3" i="5"/>
  <c r="AX15" i="5"/>
  <c r="C11" i="5"/>
  <c r="K11" i="5" s="1"/>
  <c r="BF26" i="5"/>
  <c r="G28" i="5"/>
  <c r="BE33" i="5"/>
  <c r="AI16" i="5"/>
  <c r="AN11" i="5"/>
  <c r="AN10" i="5"/>
  <c r="BH10" i="5"/>
  <c r="BK35" i="5"/>
  <c r="BK29" i="5"/>
  <c r="AM26" i="5"/>
  <c r="BH32" i="5"/>
  <c r="R18" i="5"/>
  <c r="R33" i="5"/>
  <c r="O20" i="5"/>
  <c r="X20" i="5" s="1"/>
  <c r="BE30" i="5"/>
  <c r="Q32" i="5"/>
  <c r="D28" i="5"/>
  <c r="AP11" i="5"/>
  <c r="BB11" i="5" s="1"/>
  <c r="P31" i="5"/>
  <c r="Y31" i="5" s="1"/>
  <c r="AZ26" i="5"/>
  <c r="AZ3" i="5"/>
  <c r="AP23" i="5"/>
  <c r="BB23" i="5" s="1"/>
  <c r="BJ35" i="5"/>
  <c r="AZ23" i="5"/>
  <c r="AD9" i="5"/>
  <c r="K24" i="5"/>
  <c r="V28" i="5"/>
  <c r="AE28" i="5" s="1"/>
  <c r="BA26" i="5"/>
  <c r="AH9" i="5"/>
  <c r="AS9" i="5" s="1"/>
  <c r="D13" i="5"/>
  <c r="AA9" i="5"/>
  <c r="P15" i="5"/>
  <c r="Y15" i="5" s="1"/>
  <c r="AG7" i="5"/>
  <c r="AR7" i="5" s="1"/>
  <c r="Q20" i="5"/>
  <c r="U18" i="5"/>
  <c r="V24" i="5"/>
  <c r="AE24" i="5" s="1"/>
  <c r="H35" i="5"/>
  <c r="T19" i="5"/>
  <c r="AC19" i="5" s="1"/>
  <c r="S25" i="5"/>
  <c r="AB25" i="5" s="1"/>
  <c r="AG31" i="5"/>
  <c r="AR31" i="5" s="1"/>
  <c r="V6" i="5"/>
  <c r="AE6" i="5" s="1"/>
  <c r="AJ9" i="5"/>
  <c r="AU27" i="5"/>
  <c r="BF17" i="5"/>
  <c r="V14" i="5"/>
  <c r="AE14" i="5" s="1"/>
  <c r="AP21" i="5"/>
  <c r="BB21" i="5" s="1"/>
  <c r="G26" i="5"/>
  <c r="BH4" i="5"/>
  <c r="AN25" i="5"/>
  <c r="AI14" i="5"/>
  <c r="AM32" i="5"/>
  <c r="BK16" i="5"/>
  <c r="AI9" i="5"/>
  <c r="AH31" i="5"/>
  <c r="AS31" i="5" s="1"/>
  <c r="H29" i="5"/>
  <c r="AX24" i="5"/>
  <c r="AD5" i="5"/>
  <c r="H28" i="5"/>
  <c r="D23" i="5"/>
  <c r="AZ27" i="5"/>
  <c r="O19" i="5"/>
  <c r="X19" i="5" s="1"/>
  <c r="BF20" i="5"/>
  <c r="AT6" i="5"/>
  <c r="U8" i="5"/>
  <c r="AD35" i="5"/>
  <c r="AJ11" i="5"/>
  <c r="AI26" i="5"/>
  <c r="Z22" i="5"/>
  <c r="F3" i="5"/>
  <c r="U25" i="5"/>
  <c r="Z28" i="5"/>
  <c r="U26" i="5"/>
  <c r="AU7" i="5"/>
  <c r="AT18" i="5"/>
  <c r="AZ9" i="5"/>
  <c r="T18" i="5"/>
  <c r="AC18" i="5" s="1"/>
  <c r="BM14" i="5"/>
  <c r="AI20" i="5"/>
  <c r="R7" i="5"/>
  <c r="AM13" i="5"/>
  <c r="H24" i="5"/>
  <c r="AM35" i="5"/>
  <c r="AH15" i="5"/>
  <c r="AS15" i="5" s="1"/>
  <c r="S28" i="5"/>
  <c r="AB28" i="5" s="1"/>
  <c r="S13" i="5"/>
  <c r="AB13" i="5" s="1"/>
  <c r="D33" i="5"/>
  <c r="AK5" i="5"/>
  <c r="AV5" i="5" s="1"/>
  <c r="BK32" i="5"/>
  <c r="AZ25" i="5"/>
  <c r="C16" i="5"/>
  <c r="K16" i="5" s="1"/>
  <c r="BF10" i="5"/>
  <c r="AD33" i="5"/>
  <c r="AP8" i="5"/>
  <c r="BB8" i="5" s="1"/>
  <c r="S14" i="5"/>
  <c r="AB14" i="5" s="1"/>
  <c r="AM21" i="5"/>
  <c r="F13" i="5"/>
  <c r="AL22" i="5"/>
  <c r="AW22" i="5" s="1"/>
  <c r="S5" i="5"/>
  <c r="AB5" i="5" s="1"/>
  <c r="AH17" i="5"/>
  <c r="AS17" i="5" s="1"/>
  <c r="AL11" i="5"/>
  <c r="AW11" i="5" s="1"/>
  <c r="S11" i="5"/>
  <c r="AB11" i="5" s="1"/>
  <c r="F19" i="5"/>
  <c r="AT10" i="5"/>
  <c r="AI23" i="5"/>
  <c r="BM35" i="5"/>
  <c r="AM7" i="5"/>
  <c r="R3" i="5"/>
  <c r="AL35" i="5"/>
  <c r="AW35" i="5" s="1"/>
  <c r="D10" i="5"/>
  <c r="AL6" i="5"/>
  <c r="AW6" i="5" s="1"/>
  <c r="AD23" i="5"/>
  <c r="BJ10" i="5"/>
  <c r="AP26" i="5"/>
  <c r="BB26" i="5" s="1"/>
  <c r="AT27" i="5"/>
  <c r="BM20" i="5"/>
  <c r="BE11" i="5"/>
  <c r="BJ26" i="5"/>
  <c r="AY19" i="5"/>
  <c r="BA12" i="5"/>
  <c r="F28" i="5"/>
  <c r="AU21" i="5"/>
  <c r="AZ32" i="5"/>
  <c r="BE4" i="5"/>
  <c r="AG27" i="5"/>
  <c r="AR27" i="5" s="1"/>
  <c r="AU13" i="5"/>
  <c r="Q19" i="5"/>
  <c r="C31" i="5"/>
  <c r="K31" i="5" s="1"/>
  <c r="AN9" i="5"/>
  <c r="AZ22" i="5"/>
  <c r="BE21" i="5"/>
  <c r="BE15" i="5"/>
  <c r="AD32" i="5"/>
  <c r="H20" i="5"/>
  <c r="AD28" i="5"/>
  <c r="G18" i="5"/>
  <c r="AG5" i="5"/>
  <c r="AR5" i="5" s="1"/>
  <c r="BJ34" i="5"/>
  <c r="P27" i="5"/>
  <c r="Y27" i="5" s="1"/>
  <c r="BF11" i="5"/>
  <c r="AD18" i="5"/>
  <c r="AD19" i="5"/>
  <c r="BE16" i="5"/>
  <c r="BF24" i="5"/>
  <c r="Q21" i="5"/>
  <c r="T17" i="5"/>
  <c r="AC17" i="5" s="1"/>
  <c r="AK17" i="5"/>
  <c r="AV17" i="5" s="1"/>
  <c r="D34" i="5"/>
  <c r="R19" i="5"/>
  <c r="AI19" i="5"/>
  <c r="AA30" i="5"/>
  <c r="BF22" i="5"/>
  <c r="AX5" i="5"/>
  <c r="AI30" i="5"/>
  <c r="V16" i="5"/>
  <c r="AE16" i="5" s="1"/>
  <c r="BF29" i="5"/>
  <c r="AN31" i="5"/>
  <c r="Q24" i="5"/>
  <c r="U6" i="5"/>
  <c r="AU30" i="5"/>
  <c r="AG32" i="5"/>
  <c r="AR32" i="5" s="1"/>
  <c r="AN18" i="5"/>
  <c r="R21" i="5"/>
  <c r="Q4" i="5"/>
  <c r="BE27" i="5"/>
  <c r="AM31" i="5"/>
  <c r="O13" i="5"/>
  <c r="X13" i="5" s="1"/>
  <c r="AL28" i="5"/>
  <c r="AW28" i="5" s="1"/>
  <c r="BH7" i="5"/>
  <c r="S23" i="5"/>
  <c r="AB23" i="5" s="1"/>
  <c r="BM3" i="5"/>
  <c r="Q10" i="5"/>
  <c r="O30" i="5"/>
  <c r="X30" i="5" s="1"/>
  <c r="BK9" i="5"/>
  <c r="R6" i="5"/>
  <c r="BH15" i="5"/>
  <c r="AG33" i="5"/>
  <c r="AR33" i="5" s="1"/>
  <c r="AH33" i="5"/>
  <c r="AS33" i="5" s="1"/>
  <c r="AA10" i="5"/>
  <c r="AD13" i="5"/>
  <c r="BM34" i="5"/>
  <c r="AN34" i="5"/>
  <c r="BJ4" i="5"/>
  <c r="I4" i="5" s="1"/>
  <c r="AD26" i="5"/>
  <c r="P17" i="5"/>
  <c r="Y17" i="5" s="1"/>
  <c r="AU18" i="5"/>
  <c r="AJ24" i="5"/>
  <c r="AT15" i="5"/>
  <c r="AG18" i="5"/>
  <c r="AR18" i="5" s="1"/>
  <c r="AK21" i="5"/>
  <c r="AV21" i="5" s="1"/>
  <c r="AY31" i="5"/>
  <c r="BE12" i="5"/>
  <c r="P20" i="5"/>
  <c r="Y20" i="5" s="1"/>
  <c r="BJ27" i="5"/>
  <c r="T28" i="5"/>
  <c r="AC28" i="5" s="1"/>
  <c r="Z23" i="5"/>
  <c r="T16" i="5"/>
  <c r="AC16" i="5" s="1"/>
  <c r="S7" i="5"/>
  <c r="AB7" i="5" s="1"/>
  <c r="Z3" i="5"/>
  <c r="BK13" i="5"/>
  <c r="AL4" i="5"/>
  <c r="AW4" i="5" s="1"/>
  <c r="AK26" i="5"/>
  <c r="AV26" i="5" s="1"/>
  <c r="AJ32" i="5"/>
  <c r="S18" i="5"/>
  <c r="AB18" i="5" s="1"/>
  <c r="AJ19" i="5"/>
  <c r="T30" i="5"/>
  <c r="AC30" i="5" s="1"/>
  <c r="BA13" i="5"/>
  <c r="BA30" i="5"/>
  <c r="K4" i="5"/>
  <c r="AD34" i="5"/>
  <c r="AM28" i="5"/>
  <c r="AG8" i="5"/>
  <c r="AR8" i="5" s="1"/>
  <c r="P34" i="5"/>
  <c r="Y34" i="5" s="1"/>
  <c r="S32" i="5"/>
  <c r="AB32" i="5" s="1"/>
  <c r="AZ6" i="5"/>
  <c r="V23" i="5"/>
  <c r="AE23" i="5" s="1"/>
  <c r="AJ6" i="5"/>
  <c r="AT30" i="5"/>
  <c r="Q30" i="5"/>
  <c r="AK31" i="5"/>
  <c r="AV31" i="5" s="1"/>
  <c r="Z31" i="5"/>
  <c r="O11" i="5"/>
  <c r="X11" i="5" s="1"/>
  <c r="AA32" i="5"/>
  <c r="AH4" i="5"/>
  <c r="AS4" i="5" s="1"/>
  <c r="Q17" i="5"/>
  <c r="P8" i="5"/>
  <c r="Y8" i="5" s="1"/>
  <c r="AN21" i="5"/>
  <c r="V12" i="5"/>
  <c r="AE12" i="5" s="1"/>
  <c r="AT8" i="5"/>
  <c r="AK11" i="5"/>
  <c r="AV11" i="5" s="1"/>
  <c r="BH34" i="5"/>
  <c r="AL32" i="5"/>
  <c r="AW32" i="5" s="1"/>
  <c r="R8" i="5"/>
  <c r="C12" i="5"/>
  <c r="K12" i="5" s="1"/>
  <c r="P16" i="5"/>
  <c r="Y16" i="5" s="1"/>
  <c r="AA23" i="5"/>
  <c r="AT17" i="5"/>
  <c r="H11" i="5"/>
  <c r="D29" i="5"/>
  <c r="AN17" i="5"/>
  <c r="Q16" i="5"/>
  <c r="AH27" i="5"/>
  <c r="AS27" i="5" s="1"/>
  <c r="AJ18" i="5"/>
  <c r="Q29" i="5"/>
  <c r="BM30" i="5"/>
  <c r="BJ14" i="5"/>
  <c r="AN12" i="5"/>
  <c r="D30" i="5"/>
  <c r="AA24" i="5"/>
  <c r="BA6" i="5"/>
  <c r="V10" i="5"/>
  <c r="AE10" i="5" s="1"/>
  <c r="AT4" i="5"/>
  <c r="D20" i="5"/>
  <c r="V4" i="5"/>
  <c r="AE4" i="5" s="1"/>
  <c r="V20" i="5"/>
  <c r="AE20" i="5" s="1"/>
  <c r="AY8" i="5"/>
  <c r="BJ16" i="5"/>
  <c r="AA11" i="5"/>
  <c r="Q12" i="5"/>
  <c r="AK25" i="5"/>
  <c r="AV25" i="5" s="1"/>
  <c r="AO38" i="5"/>
  <c r="AJ7" i="5"/>
  <c r="BM24" i="5"/>
  <c r="O5" i="5"/>
  <c r="X5" i="5" s="1"/>
  <c r="BF28" i="5"/>
  <c r="AU5" i="5"/>
  <c r="AY23" i="5"/>
  <c r="BA34" i="5"/>
  <c r="F25" i="5"/>
  <c r="BK10" i="5"/>
  <c r="T31" i="5"/>
  <c r="AC31" i="5" s="1"/>
  <c r="BH6" i="5"/>
  <c r="AK12" i="5"/>
  <c r="AV12" i="5" s="1"/>
  <c r="AA15" i="5"/>
  <c r="AK32" i="5"/>
  <c r="AV32" i="5" s="1"/>
  <c r="Q5" i="5"/>
  <c r="P18" i="5"/>
  <c r="Y18" i="5" s="1"/>
  <c r="AX3" i="5"/>
  <c r="BM21" i="5"/>
  <c r="BH19" i="5"/>
  <c r="BH33" i="5"/>
  <c r="AU6" i="5"/>
  <c r="V33" i="5"/>
  <c r="AE33" i="5" s="1"/>
  <c r="AL15" i="5"/>
  <c r="AW15" i="5" s="1"/>
  <c r="C14" i="5"/>
  <c r="K14" i="5" s="1"/>
  <c r="AZ30" i="5"/>
  <c r="U16" i="5"/>
  <c r="AL19" i="5"/>
  <c r="AW19" i="5" s="1"/>
  <c r="AI8" i="5"/>
  <c r="F35" i="5"/>
  <c r="F31" i="5"/>
  <c r="AJ29" i="5"/>
  <c r="F33" i="5"/>
  <c r="D5" i="5"/>
  <c r="O16" i="5"/>
  <c r="X16" i="5" s="1"/>
  <c r="AL10" i="5"/>
  <c r="AW10" i="5" s="1"/>
  <c r="S9" i="5"/>
  <c r="AB9" i="5" s="1"/>
  <c r="AD31" i="5"/>
  <c r="V19" i="5"/>
  <c r="AE19" i="5" s="1"/>
  <c r="D22" i="5"/>
  <c r="T24" i="5"/>
  <c r="AC24" i="5" s="1"/>
  <c r="U13" i="5"/>
  <c r="BH9" i="5"/>
  <c r="F32" i="5"/>
  <c r="AT12" i="5"/>
  <c r="AK14" i="5"/>
  <c r="AV14" i="5" s="1"/>
  <c r="AK34" i="5"/>
  <c r="AV34" i="5" s="1"/>
  <c r="Q18" i="5"/>
  <c r="BE5" i="5"/>
  <c r="AI21" i="5"/>
  <c r="BE32" i="5"/>
  <c r="AT9" i="5"/>
  <c r="AZ16" i="5"/>
  <c r="BM6" i="5"/>
  <c r="AY24" i="5"/>
  <c r="BJ28" i="5"/>
  <c r="R26" i="5"/>
  <c r="AZ31" i="5"/>
  <c r="AX6" i="5"/>
  <c r="AI18" i="5"/>
  <c r="H19" i="5"/>
  <c r="AJ33" i="5"/>
  <c r="V18" i="5"/>
  <c r="AE18" i="5" s="1"/>
  <c r="BF19" i="5"/>
  <c r="BH31" i="5"/>
  <c r="AH34" i="5"/>
  <c r="AS34" i="5" s="1"/>
  <c r="BN13" i="5"/>
  <c r="U19" i="5"/>
  <c r="Z14" i="5"/>
  <c r="BH16" i="5"/>
  <c r="AP10" i="5"/>
  <c r="BB10" i="5" s="1"/>
  <c r="BK12" i="5"/>
  <c r="AJ3" i="5"/>
  <c r="AU17" i="5"/>
  <c r="T34" i="5"/>
  <c r="AC34" i="5" s="1"/>
  <c r="AU28" i="5"/>
  <c r="AX23" i="5"/>
  <c r="AY28" i="5"/>
  <c r="AM24" i="5"/>
  <c r="P33" i="5"/>
  <c r="Y33" i="5" s="1"/>
  <c r="BJ19" i="5"/>
  <c r="C8" i="5"/>
  <c r="K8" i="5" s="1"/>
  <c r="AD7" i="5"/>
  <c r="BK33" i="5"/>
  <c r="C19" i="5"/>
  <c r="K19" i="5" s="1"/>
  <c r="BM13" i="5"/>
  <c r="O4" i="5"/>
  <c r="X4" i="5" s="1"/>
  <c r="T13" i="5"/>
  <c r="AC13" i="5" s="1"/>
  <c r="Q15" i="5"/>
  <c r="AN16" i="5"/>
  <c r="P10" i="5"/>
  <c r="Y10" i="5" s="1"/>
  <c r="Z30" i="5"/>
  <c r="Z20" i="5"/>
  <c r="AY6" i="5"/>
  <c r="C23" i="5"/>
  <c r="K23" i="5" s="1"/>
  <c r="AX11" i="5"/>
  <c r="G29" i="5"/>
  <c r="BA25" i="5"/>
  <c r="AA20" i="5"/>
  <c r="D27" i="5"/>
  <c r="AU12" i="5"/>
  <c r="BF25" i="5"/>
  <c r="H7" i="5"/>
  <c r="AT20" i="5"/>
  <c r="AM20" i="5"/>
  <c r="BJ3" i="5"/>
  <c r="AX8" i="5"/>
  <c r="H32" i="5"/>
  <c r="P29" i="5"/>
  <c r="Y29" i="5" s="1"/>
  <c r="Z17" i="5"/>
  <c r="H21" i="5"/>
  <c r="AP6" i="5"/>
  <c r="BB6" i="5" s="1"/>
  <c r="BF8" i="5"/>
  <c r="AY18" i="5"/>
  <c r="Q22" i="5"/>
  <c r="AI25" i="5"/>
  <c r="BE29" i="5"/>
  <c r="AH32" i="5"/>
  <c r="AS32" i="5" s="1"/>
  <c r="AT11" i="5"/>
  <c r="F8" i="5"/>
  <c r="G22" i="5"/>
  <c r="AZ10" i="5"/>
  <c r="T12" i="5"/>
  <c r="AC12" i="5" s="1"/>
  <c r="AK22" i="5"/>
  <c r="AV22" i="5" s="1"/>
  <c r="AX10" i="5"/>
  <c r="AT24" i="5"/>
  <c r="C7" i="5"/>
  <c r="K7" i="5" s="1"/>
  <c r="AI32" i="5"/>
  <c r="T27" i="5"/>
  <c r="AC27" i="5" s="1"/>
  <c r="H15" i="5"/>
  <c r="AT22" i="5"/>
  <c r="S20" i="5"/>
  <c r="AB20" i="5" s="1"/>
  <c r="C22" i="5"/>
  <c r="K22" i="5" s="1"/>
  <c r="O7" i="5"/>
  <c r="X7" i="5" s="1"/>
  <c r="AI17" i="5"/>
  <c r="S27" i="5"/>
  <c r="AB27" i="5" s="1"/>
  <c r="C13" i="5"/>
  <c r="K13" i="5" s="1"/>
  <c r="C33" i="5"/>
  <c r="K33" i="5" s="1"/>
  <c r="BE10" i="5"/>
  <c r="U15" i="5"/>
  <c r="F12" i="5"/>
  <c r="Q11" i="5"/>
  <c r="BE3" i="5"/>
  <c r="AJ30" i="5"/>
  <c r="T11" i="5"/>
  <c r="AC11" i="5" s="1"/>
  <c r="AH19" i="5"/>
  <c r="AS19" i="5" s="1"/>
  <c r="AH18" i="5"/>
  <c r="AS18" i="5" s="1"/>
  <c r="AM4" i="5"/>
  <c r="AY26" i="5"/>
  <c r="AY22" i="5"/>
  <c r="AU24" i="5"/>
  <c r="AI6" i="5"/>
  <c r="G27" i="5"/>
  <c r="O21" i="5"/>
  <c r="X21" i="5" s="1"/>
  <c r="U33" i="5"/>
  <c r="AI15" i="5"/>
  <c r="P25" i="5"/>
  <c r="Y25" i="5" s="1"/>
  <c r="BK27" i="5"/>
  <c r="S3" i="5"/>
  <c r="AN32" i="5"/>
  <c r="AG20" i="5"/>
  <c r="AR20" i="5" s="1"/>
  <c r="AU11" i="5"/>
  <c r="G30" i="5"/>
  <c r="AA16" i="5"/>
  <c r="D9" i="5"/>
  <c r="AM29" i="5"/>
  <c r="AH12" i="5"/>
  <c r="AS12" i="5" s="1"/>
  <c r="BH30" i="5"/>
  <c r="BK19" i="5"/>
  <c r="BF16" i="5"/>
  <c r="R13" i="5"/>
  <c r="AK30" i="5"/>
  <c r="AV30" i="5" s="1"/>
  <c r="S31" i="5"/>
  <c r="AB31" i="5" s="1"/>
  <c r="AU29" i="5"/>
  <c r="F26" i="5"/>
  <c r="F9" i="5"/>
  <c r="AJ22" i="5"/>
  <c r="AI28" i="5"/>
  <c r="V11" i="5"/>
  <c r="AE11" i="5" s="1"/>
  <c r="T20" i="5"/>
  <c r="AC20" i="5" s="1"/>
  <c r="BF33" i="5"/>
  <c r="AJ27" i="5"/>
  <c r="BF32" i="5"/>
  <c r="AH26" i="5"/>
  <c r="AS26" i="5" s="1"/>
  <c r="BJ9" i="5"/>
  <c r="BA32" i="5"/>
  <c r="R22" i="5"/>
  <c r="AA26" i="5"/>
  <c r="AN6" i="5"/>
  <c r="R27" i="5"/>
  <c r="V9" i="5"/>
  <c r="AE9" i="5" s="1"/>
  <c r="BA33" i="5"/>
  <c r="AM22" i="5"/>
  <c r="AP35" i="5"/>
  <c r="BB35" i="5" s="1"/>
  <c r="BA20" i="5"/>
  <c r="AJ13" i="5"/>
  <c r="AA29" i="5"/>
  <c r="G5" i="5"/>
  <c r="AL9" i="5"/>
  <c r="AW9" i="5" s="1"/>
  <c r="AM15" i="5"/>
  <c r="AP5" i="5"/>
  <c r="BB5" i="5" s="1"/>
  <c r="BF23" i="5"/>
  <c r="AY20" i="5"/>
  <c r="BM12" i="5"/>
  <c r="AG13" i="5"/>
  <c r="AR13" i="5" s="1"/>
  <c r="F18" i="5"/>
  <c r="AG35" i="5"/>
  <c r="AR35" i="5" s="1"/>
  <c r="AZ21" i="5"/>
  <c r="AM34" i="5"/>
  <c r="F6" i="5"/>
  <c r="AZ4" i="5"/>
  <c r="AZ14" i="5"/>
  <c r="AU10" i="5"/>
  <c r="BA19" i="5"/>
  <c r="C29" i="5"/>
  <c r="K29" i="5" s="1"/>
  <c r="BE20" i="5"/>
  <c r="R5" i="5"/>
  <c r="Z16" i="5"/>
  <c r="BE17" i="5"/>
  <c r="BE25" i="5"/>
  <c r="AD17" i="5"/>
  <c r="V30" i="5"/>
  <c r="AE30" i="5" s="1"/>
  <c r="AY33" i="5"/>
  <c r="H31" i="5"/>
  <c r="G33" i="5"/>
  <c r="O14" i="5"/>
  <c r="X14" i="5" s="1"/>
  <c r="F17" i="5"/>
  <c r="BJ29" i="5"/>
  <c r="AG3" i="5"/>
  <c r="AJ34" i="5"/>
  <c r="G3" i="5"/>
  <c r="AX33" i="5"/>
  <c r="AY12" i="5"/>
  <c r="AP29" i="5"/>
  <c r="BB29" i="5" s="1"/>
  <c r="BH8" i="5"/>
  <c r="O35" i="5"/>
  <c r="X35" i="5" s="1"/>
  <c r="U11" i="5"/>
  <c r="AJ21" i="5"/>
  <c r="AP17" i="5"/>
  <c r="BB17" i="5" s="1"/>
  <c r="AD29" i="5"/>
  <c r="AA22" i="5"/>
  <c r="AH22" i="5"/>
  <c r="AS22" i="5" s="1"/>
  <c r="G12" i="5"/>
  <c r="BH22" i="5"/>
  <c r="BJ11" i="5"/>
  <c r="BE18" i="5"/>
  <c r="AA21" i="5"/>
  <c r="AG29" i="5"/>
  <c r="AR29" i="5" s="1"/>
  <c r="S34" i="5"/>
  <c r="AB34" i="5" s="1"/>
  <c r="AA3" i="5"/>
  <c r="R9" i="5"/>
  <c r="AJ20" i="5"/>
  <c r="AX21" i="5"/>
  <c r="BM25" i="5"/>
  <c r="AU16" i="5"/>
  <c r="AA28" i="5"/>
  <c r="AP32" i="5"/>
  <c r="BB32" i="5" s="1"/>
  <c r="S4" i="5"/>
  <c r="AB4" i="5" s="1"/>
  <c r="AG17" i="5"/>
  <c r="AR17" i="5" s="1"/>
  <c r="AL20" i="5"/>
  <c r="AW20" i="5" s="1"/>
  <c r="V27" i="5"/>
  <c r="AE27" i="5" s="1"/>
  <c r="AN24" i="5"/>
  <c r="BA3" i="5"/>
  <c r="BM11" i="5"/>
  <c r="BH25" i="5"/>
  <c r="P14" i="5"/>
  <c r="Y14" i="5" s="1"/>
  <c r="BA22" i="5"/>
  <c r="BM27" i="5"/>
  <c r="Q34" i="5"/>
  <c r="BH27" i="5"/>
  <c r="BE13" i="5"/>
  <c r="AK10" i="5"/>
  <c r="AV10" i="5" s="1"/>
  <c r="P22" i="5"/>
  <c r="Y22" i="5" s="1"/>
  <c r="U3" i="5"/>
  <c r="AJ8" i="5"/>
  <c r="BH11" i="5"/>
  <c r="AL23" i="5"/>
  <c r="AW23" i="5" s="1"/>
  <c r="AK15" i="5"/>
  <c r="AV15" i="5" s="1"/>
  <c r="AN5" i="5"/>
  <c r="V15" i="5"/>
  <c r="AE15" i="5" s="1"/>
  <c r="U7" i="5"/>
  <c r="BJ8" i="5"/>
  <c r="I8" i="5" s="1"/>
  <c r="BA9" i="5"/>
  <c r="BM26" i="5"/>
  <c r="G4" i="5"/>
  <c r="BA17" i="5"/>
  <c r="BA28" i="5"/>
  <c r="AG4" i="5"/>
  <c r="AR4" i="5" s="1"/>
  <c r="U21" i="5"/>
  <c r="BF27" i="5"/>
  <c r="AM14" i="5"/>
  <c r="AN3" i="5"/>
  <c r="AI7" i="5"/>
  <c r="AG19" i="5"/>
  <c r="AR19" i="5" s="1"/>
  <c r="H27" i="5"/>
  <c r="S10" i="5"/>
  <c r="AB10" i="5" s="1"/>
  <c r="Z24" i="5"/>
  <c r="BJ12" i="5"/>
  <c r="Z33" i="5"/>
  <c r="BA5" i="5"/>
  <c r="BM29" i="5"/>
  <c r="AU4" i="5"/>
  <c r="BF6" i="5"/>
  <c r="AH5" i="5"/>
  <c r="AS5" i="5" s="1"/>
  <c r="O26" i="5"/>
  <c r="X26" i="5" s="1"/>
  <c r="AY16" i="5"/>
  <c r="BM7" i="5"/>
  <c r="Q14" i="5"/>
  <c r="R14" i="5"/>
  <c r="AD16" i="5"/>
  <c r="AU35" i="5"/>
  <c r="AN28" i="5"/>
  <c r="R10" i="5"/>
  <c r="D6" i="5"/>
  <c r="D26" i="5"/>
  <c r="AL5" i="5"/>
  <c r="AW5" i="5" s="1"/>
  <c r="H10" i="5"/>
  <c r="BE8" i="5"/>
  <c r="AX29" i="5"/>
  <c r="AG34" i="5"/>
  <c r="AR34" i="5" s="1"/>
  <c r="G25" i="5"/>
  <c r="AG16" i="5"/>
  <c r="AR16" i="5" s="1"/>
  <c r="T29" i="5"/>
  <c r="AC29" i="5" s="1"/>
  <c r="R28" i="5"/>
  <c r="AD11" i="5"/>
  <c r="AX12" i="5"/>
  <c r="AT28" i="5"/>
  <c r="AT19" i="5"/>
  <c r="O32" i="5"/>
  <c r="X32" i="5" s="1"/>
  <c r="AP28" i="5"/>
  <c r="BB28" i="5" s="1"/>
  <c r="BA8" i="5"/>
  <c r="BM10" i="5"/>
  <c r="R34" i="5"/>
  <c r="AT26" i="5"/>
  <c r="G14" i="5"/>
  <c r="AK3" i="5"/>
  <c r="AU20" i="5"/>
  <c r="BK3" i="5"/>
  <c r="AH16" i="5"/>
  <c r="AS16" i="5" s="1"/>
  <c r="AI13" i="5"/>
  <c r="AX18" i="5"/>
  <c r="T7" i="5"/>
  <c r="AC7" i="5" s="1"/>
  <c r="V26" i="5"/>
  <c r="AE26" i="5" s="1"/>
  <c r="Z4" i="5"/>
  <c r="R12" i="5"/>
  <c r="Q27" i="5"/>
  <c r="AM12" i="5"/>
  <c r="U29" i="5"/>
  <c r="AA17" i="5"/>
  <c r="V22" i="5"/>
  <c r="AE22" i="5" s="1"/>
  <c r="AD8" i="5"/>
  <c r="AL27" i="5"/>
  <c r="AW27" i="5" s="1"/>
  <c r="S8" i="5"/>
  <c r="AB8" i="5" s="1"/>
  <c r="BH5" i="5"/>
  <c r="H17" i="5"/>
  <c r="BF14" i="5"/>
  <c r="AD4" i="5"/>
  <c r="G19" i="5"/>
  <c r="AJ15" i="5"/>
  <c r="BJ13" i="5"/>
  <c r="BH3" i="5"/>
  <c r="BJ33" i="5"/>
  <c r="S33" i="5"/>
  <c r="AB33" i="5" s="1"/>
  <c r="AY35" i="5"/>
  <c r="R31" i="5"/>
  <c r="BK6" i="5"/>
  <c r="AH14" i="5"/>
  <c r="AS14" i="5" s="1"/>
  <c r="AY32" i="5"/>
  <c r="D11" i="5"/>
  <c r="S17" i="5"/>
  <c r="AB17" i="5" s="1"/>
  <c r="U24" i="5"/>
  <c r="O25" i="5"/>
  <c r="X25" i="5" s="1"/>
  <c r="AL16" i="5"/>
  <c r="AW16" i="5" s="1"/>
  <c r="BE22" i="5"/>
  <c r="BF34" i="5"/>
  <c r="AP22" i="5"/>
  <c r="BB22" i="5" s="1"/>
  <c r="C10" i="5"/>
  <c r="K10" i="5" s="1"/>
  <c r="BF5" i="5"/>
  <c r="AH23" i="5"/>
  <c r="AS23" i="5" s="1"/>
  <c r="AX13" i="5"/>
  <c r="AY7" i="5"/>
  <c r="P23" i="5"/>
  <c r="Y23" i="5" s="1"/>
  <c r="BN35" i="5"/>
  <c r="BK17" i="5"/>
  <c r="V7" i="5"/>
  <c r="AE7" i="5" s="1"/>
  <c r="AL24" i="5"/>
  <c r="AW24" i="5" s="1"/>
  <c r="BK5" i="5"/>
  <c r="BA35" i="5"/>
  <c r="Z25" i="5"/>
  <c r="AX14" i="5"/>
  <c r="BJ31" i="5"/>
  <c r="AY15" i="5"/>
  <c r="H23" i="5"/>
  <c r="Q26" i="5"/>
  <c r="T6" i="5"/>
  <c r="AC6" i="5" s="1"/>
  <c r="AX20" i="5"/>
  <c r="O15" i="5"/>
  <c r="X15" i="5" s="1"/>
  <c r="AM3" i="5"/>
  <c r="AJ4" i="5"/>
  <c r="R23" i="5"/>
  <c r="H8" i="5"/>
  <c r="F29" i="5"/>
  <c r="AA34" i="5"/>
  <c r="V32" i="5"/>
  <c r="AE32" i="5" s="1"/>
  <c r="AU8" i="5"/>
  <c r="D21" i="5"/>
  <c r="BK14" i="5"/>
  <c r="AU23" i="5"/>
  <c r="C9" i="5"/>
  <c r="K9" i="5" s="1"/>
  <c r="D12" i="5"/>
  <c r="AJ23" i="5"/>
  <c r="C6" i="5"/>
  <c r="K6" i="5" s="1"/>
  <c r="AD3" i="5"/>
  <c r="AL17" i="5"/>
  <c r="AW17" i="5" s="1"/>
  <c r="U9" i="5"/>
  <c r="S30" i="5"/>
  <c r="AB30" i="5" s="1"/>
  <c r="BH23" i="5"/>
  <c r="P3" i="5"/>
  <c r="AH8" i="5"/>
  <c r="AS8" i="5" s="1"/>
  <c r="AA25" i="5"/>
  <c r="AZ15" i="5"/>
  <c r="AX17" i="5"/>
  <c r="AH11" i="5"/>
  <c r="AS11" i="5" s="1"/>
  <c r="AL7" i="5"/>
  <c r="AW7" i="5" s="1"/>
  <c r="AK20" i="5"/>
  <c r="AV20" i="5" s="1"/>
  <c r="BF9" i="5"/>
  <c r="AD15" i="5"/>
  <c r="F7" i="5"/>
  <c r="AM8" i="5"/>
  <c r="AK23" i="5"/>
  <c r="AV23" i="5" s="1"/>
  <c r="AJ16" i="5"/>
  <c r="BK34" i="5"/>
  <c r="P6" i="5"/>
  <c r="Y6" i="5" s="1"/>
  <c r="BF18" i="5"/>
  <c r="BE7" i="5"/>
  <c r="BJ32" i="5"/>
  <c r="I32" i="5" s="1"/>
  <c r="BH18" i="5"/>
  <c r="AP3" i="5"/>
  <c r="BB3" i="5" s="1"/>
  <c r="AU3" i="5"/>
  <c r="AX22" i="5"/>
  <c r="AI34" i="5"/>
  <c r="T26" i="5"/>
  <c r="AC26" i="5" s="1"/>
  <c r="D7" i="5"/>
  <c r="P4" i="5"/>
  <c r="Y4" i="5" s="1"/>
  <c r="AA13" i="5"/>
  <c r="AH35" i="5"/>
  <c r="AS35" i="5" s="1"/>
  <c r="R30" i="5"/>
  <c r="AN15" i="5"/>
  <c r="AG30" i="5"/>
  <c r="AR30" i="5" s="1"/>
  <c r="BA31" i="5"/>
  <c r="G13" i="5"/>
  <c r="O6" i="5"/>
  <c r="X6" i="5" s="1"/>
  <c r="BH26" i="5"/>
  <c r="BA29" i="5"/>
  <c r="BA4" i="5"/>
  <c r="BE19" i="5"/>
  <c r="AA5" i="5"/>
  <c r="AY34" i="5"/>
  <c r="AU26" i="5"/>
  <c r="F21" i="5"/>
  <c r="P12" i="5"/>
  <c r="Y12" i="5" s="1"/>
  <c r="AY17" i="5"/>
  <c r="AY10" i="5"/>
  <c r="P30" i="5"/>
  <c r="Y30" i="5" s="1"/>
  <c r="AA19" i="5"/>
  <c r="AG6" i="5"/>
  <c r="AR6" i="5" s="1"/>
  <c r="AJ26" i="5"/>
  <c r="T32" i="5"/>
  <c r="AC32" i="5" s="1"/>
  <c r="O28" i="5"/>
  <c r="X28" i="5" s="1"/>
  <c r="BN23" i="5"/>
  <c r="AA31" i="5"/>
  <c r="Z32" i="5"/>
  <c r="BM32" i="5"/>
  <c r="AT14" i="5"/>
  <c r="R16" i="5"/>
  <c r="AN30" i="5"/>
  <c r="D4" i="5"/>
  <c r="BK7" i="5"/>
  <c r="AM30" i="5"/>
  <c r="BF3" i="5"/>
  <c r="AU31" i="5"/>
  <c r="AI3" i="5"/>
  <c r="AL34" i="5"/>
  <c r="AW34" i="5" s="1"/>
  <c r="P35" i="5"/>
  <c r="Y35" i="5" s="1"/>
  <c r="U31" i="5"/>
  <c r="AX34" i="5"/>
  <c r="D25" i="5"/>
  <c r="H4" i="5"/>
  <c r="Q9" i="5"/>
  <c r="AZ8" i="5"/>
  <c r="AY3" i="5"/>
  <c r="AM9" i="5"/>
  <c r="AY13" i="5"/>
  <c r="U35" i="5"/>
  <c r="G16" i="5"/>
  <c r="AM6" i="5"/>
  <c r="AX9" i="5"/>
  <c r="AP16" i="5"/>
  <c r="BB16" i="5" s="1"/>
  <c r="AU22" i="5"/>
  <c r="T23" i="5"/>
  <c r="AC23" i="5" s="1"/>
  <c r="P24" i="5"/>
  <c r="Y24" i="5" s="1"/>
  <c r="AJ17" i="5"/>
  <c r="AI33" i="5"/>
  <c r="AK9" i="5"/>
  <c r="AV9" i="5" s="1"/>
  <c r="BH35" i="5"/>
  <c r="S6" i="5"/>
  <c r="AB6" i="5" s="1"/>
  <c r="D8" i="5"/>
  <c r="F20" i="5"/>
  <c r="AD27" i="5"/>
  <c r="AK19" i="5"/>
  <c r="AV19" i="5" s="1"/>
  <c r="BM19" i="5"/>
  <c r="BK18" i="5"/>
  <c r="O17" i="5"/>
  <c r="X17" i="5" s="1"/>
  <c r="Z8" i="5"/>
  <c r="C25" i="5"/>
  <c r="K25" i="5" s="1"/>
  <c r="V21" i="5"/>
  <c r="AE21" i="5" s="1"/>
  <c r="F16" i="5"/>
  <c r="S12" i="5"/>
  <c r="AB12" i="5" s="1"/>
  <c r="G17" i="5"/>
  <c r="AU34" i="5"/>
  <c r="Z15" i="5"/>
  <c r="BM4" i="5"/>
  <c r="AP14" i="5"/>
  <c r="BB14" i="5" s="1"/>
  <c r="Z29" i="5"/>
  <c r="BF35" i="5"/>
  <c r="AL14" i="5"/>
  <c r="AW14" i="5" s="1"/>
  <c r="T4" i="5"/>
  <c r="AC4" i="5" s="1"/>
  <c r="AY11" i="5"/>
  <c r="AJ10" i="5"/>
  <c r="AK18" i="5"/>
  <c r="AV18" i="5" s="1"/>
  <c r="AZ20" i="5"/>
  <c r="R15" i="5"/>
  <c r="U14" i="5"/>
  <c r="AK28" i="5"/>
  <c r="AV28" i="5" s="1"/>
  <c r="AT13" i="5"/>
  <c r="F14" i="5"/>
  <c r="AG14" i="5"/>
  <c r="AR14" i="5" s="1"/>
  <c r="T10" i="5"/>
  <c r="AC10" i="5" s="1"/>
  <c r="AD25" i="5"/>
  <c r="AI12" i="5"/>
  <c r="AX31" i="5"/>
  <c r="AM27" i="5"/>
  <c r="V35" i="5"/>
  <c r="AE35" i="5" s="1"/>
  <c r="AK24" i="5"/>
  <c r="AV24" i="5" s="1"/>
  <c r="AM10" i="5"/>
  <c r="AT34" i="5"/>
  <c r="BF4" i="5"/>
  <c r="G8" i="5"/>
  <c r="AT29" i="5"/>
  <c r="H16" i="5"/>
  <c r="AX35" i="5"/>
  <c r="Z13" i="5"/>
  <c r="AK6" i="5"/>
  <c r="AV6" i="5" s="1"/>
  <c r="AZ33" i="5"/>
  <c r="AX25" i="5"/>
  <c r="AA7" i="5"/>
  <c r="S15" i="5"/>
  <c r="AB15" i="5" s="1"/>
  <c r="AA18" i="5"/>
  <c r="Q33" i="5"/>
  <c r="AZ35" i="5"/>
  <c r="Q25" i="5"/>
  <c r="P13" i="5"/>
  <c r="Y13" i="5" s="1"/>
  <c r="AG12" i="5"/>
  <c r="AR12" i="5" s="1"/>
  <c r="F24" i="5"/>
  <c r="F30" i="5"/>
  <c r="BK31" i="5"/>
  <c r="F27" i="5"/>
  <c r="AA33" i="5"/>
  <c r="BA11" i="5"/>
  <c r="AY29" i="5"/>
  <c r="BK11" i="5"/>
  <c r="AM16" i="5"/>
  <c r="H33" i="5"/>
  <c r="G20" i="5"/>
  <c r="Z26" i="5"/>
  <c r="AZ29" i="5"/>
  <c r="AP34" i="5"/>
  <c r="BB34" i="5" s="1"/>
  <c r="Z34" i="5"/>
  <c r="BA15" i="5"/>
  <c r="AM33" i="5"/>
  <c r="K34" i="5"/>
  <c r="BF15" i="5"/>
  <c r="AH25" i="5"/>
  <c r="AS25" i="5" s="1"/>
  <c r="AJ35" i="5"/>
  <c r="AP27" i="5"/>
  <c r="BB27" i="5" s="1"/>
  <c r="BH21" i="5"/>
  <c r="Q28" i="5"/>
  <c r="G11" i="5"/>
  <c r="AI4" i="5"/>
  <c r="AX7" i="5"/>
  <c r="P11" i="5"/>
  <c r="Y11" i="5" s="1"/>
  <c r="AP30" i="5"/>
  <c r="BB30" i="5" s="1"/>
  <c r="AU33" i="5"/>
  <c r="AN26" i="5"/>
  <c r="AP15" i="5"/>
  <c r="BB15" i="5" s="1"/>
  <c r="Z9" i="5"/>
  <c r="AY27" i="5"/>
  <c r="O29" i="5"/>
  <c r="X29" i="5" s="1"/>
  <c r="M17" i="45"/>
  <c r="BN14" i="5" a="1"/>
  <c r="H14" i="5" a="1"/>
  <c r="I29" i="5" l="1"/>
  <c r="I35" i="5"/>
  <c r="I12" i="5"/>
  <c r="I14" i="5"/>
  <c r="I17" i="5"/>
  <c r="I16" i="5"/>
  <c r="AI38" i="5" a="1"/>
  <c r="AI38" i="5" s="1"/>
  <c r="I33" i="5"/>
  <c r="I31" i="5"/>
  <c r="I13" i="5"/>
  <c r="AY38" i="5" a="1"/>
  <c r="AY38" i="5" s="1"/>
  <c r="D44" i="1" s="1"/>
  <c r="E44" i="1" s="1"/>
  <c r="F44" i="1" s="1"/>
  <c r="G44" i="1" s="1"/>
  <c r="AN38" i="5" a="1"/>
  <c r="AN38" i="5" s="1"/>
  <c r="Q38" i="5" a="1"/>
  <c r="Q38" i="5" s="1"/>
  <c r="AC3" i="5"/>
  <c r="AC38" i="5" s="1" a="1"/>
  <c r="AC38" i="5" s="1"/>
  <c r="D39" i="1" s="1"/>
  <c r="T38" i="5" a="1"/>
  <c r="T38" i="5" s="1"/>
  <c r="I30" i="5"/>
  <c r="AE3" i="5"/>
  <c r="AE38" i="5" s="1" a="1"/>
  <c r="AE38" i="5" s="1"/>
  <c r="V38" i="5" a="1"/>
  <c r="V38" i="5" s="1"/>
  <c r="Y3" i="5"/>
  <c r="Y38" i="5" s="1" a="1"/>
  <c r="Y38" i="5" s="1"/>
  <c r="D34" i="1" s="1"/>
  <c r="E34" i="1" s="1"/>
  <c r="F34" i="1" s="1"/>
  <c r="G34" i="1" s="1"/>
  <c r="P38" i="5" a="1"/>
  <c r="P38" i="5" s="1"/>
  <c r="AX38" i="5" a="1"/>
  <c r="AX38" i="5" s="1"/>
  <c r="BH38" i="5" a="1"/>
  <c r="BH38" i="5" s="1"/>
  <c r="BI33" i="5" s="1"/>
  <c r="BP33" i="5" s="1"/>
  <c r="BQ33" i="5" s="1"/>
  <c r="I9" i="5"/>
  <c r="I19" i="5"/>
  <c r="AJ38" i="5" a="1"/>
  <c r="AJ38" i="5" s="1"/>
  <c r="I15" i="5"/>
  <c r="U38" i="5" a="1"/>
  <c r="U38" i="5" s="1"/>
  <c r="AV3" i="5"/>
  <c r="AV38" i="5" s="1" a="1"/>
  <c r="AV38" i="5" s="1"/>
  <c r="AK38" i="5" a="1"/>
  <c r="AK38" i="5" s="1"/>
  <c r="I28" i="5"/>
  <c r="R38" i="5" a="1"/>
  <c r="R38" i="5" s="1"/>
  <c r="I18" i="5"/>
  <c r="AS3" i="5"/>
  <c r="AS38" i="5" s="1" a="1"/>
  <c r="AS38" i="5" s="1"/>
  <c r="D42" i="1" s="1"/>
  <c r="E42" i="1" s="1"/>
  <c r="F42" i="1" s="1"/>
  <c r="G42" i="1" s="1"/>
  <c r="AH38" i="5" a="1"/>
  <c r="AH38" i="5" s="1"/>
  <c r="BA38" i="5" a="1"/>
  <c r="BA38" i="5" s="1"/>
  <c r="G38" i="5" a="1"/>
  <c r="G38" i="5" s="1"/>
  <c r="D18" i="1" s="1"/>
  <c r="AB3" i="5"/>
  <c r="AB38" i="5" s="1" a="1"/>
  <c r="AB38" i="5" s="1"/>
  <c r="S38" i="5" a="1"/>
  <c r="S38" i="5" s="1"/>
  <c r="BE38" i="5" a="1"/>
  <c r="BE38" i="5" s="1"/>
  <c r="BM38" i="5" a="1"/>
  <c r="BM38" i="5" s="1"/>
  <c r="X3" i="5"/>
  <c r="X38" i="5" s="1" a="1"/>
  <c r="X38" i="5" s="1"/>
  <c r="D33" i="1" s="1"/>
  <c r="O38" i="5" a="1"/>
  <c r="O38" i="5" s="1"/>
  <c r="Z38" i="5" a="1"/>
  <c r="Z38" i="5" s="1"/>
  <c r="D35" i="1" s="1"/>
  <c r="E35" i="1" s="1"/>
  <c r="F35" i="1" s="1"/>
  <c r="G35" i="1" s="1"/>
  <c r="F38" i="5" a="1"/>
  <c r="F38" i="5" s="1"/>
  <c r="D17" i="1" s="1"/>
  <c r="BF38" i="5" a="1"/>
  <c r="BF38" i="5" s="1"/>
  <c r="BB38" i="5" a="1"/>
  <c r="BB38" i="5" s="1"/>
  <c r="AP38" i="5" a="1"/>
  <c r="AP38" i="5" s="1"/>
  <c r="AD38" i="5" a="1"/>
  <c r="AD38" i="5" s="1"/>
  <c r="D37" i="1" s="1"/>
  <c r="E37" i="1" s="1"/>
  <c r="F37" i="1" s="1"/>
  <c r="I27" i="5"/>
  <c r="I34" i="5"/>
  <c r="AW3" i="5"/>
  <c r="AW38" i="5" s="1" a="1"/>
  <c r="AW38" i="5" s="1"/>
  <c r="D45" i="1" s="1"/>
  <c r="E45" i="1" s="1"/>
  <c r="F45" i="1" s="1"/>
  <c r="G45" i="1" s="1"/>
  <c r="AL38" i="5" a="1"/>
  <c r="AL38" i="5" s="1"/>
  <c r="AT38" i="5" a="1"/>
  <c r="AT38" i="5" s="1"/>
  <c r="AA38" i="5" a="1"/>
  <c r="AA38" i="5" s="1"/>
  <c r="D36" i="1" s="1"/>
  <c r="E36" i="1" s="1"/>
  <c r="F36" i="1" s="1"/>
  <c r="G36" i="1" s="1"/>
  <c r="BJ38" i="5" a="1"/>
  <c r="BJ38" i="5" s="1"/>
  <c r="D55" i="1" s="1"/>
  <c r="E55" i="1" s="1"/>
  <c r="F55" i="1" s="1"/>
  <c r="G55" i="1" s="1"/>
  <c r="H53" i="1" s="1"/>
  <c r="I3" i="5"/>
  <c r="AZ38" i="5" a="1"/>
  <c r="AZ38" i="5" s="1"/>
  <c r="D49" i="1" s="1"/>
  <c r="AU38" i="5" a="1"/>
  <c r="AU38" i="5" s="1"/>
  <c r="D43" i="1" s="1"/>
  <c r="E43" i="1" s="1"/>
  <c r="F43" i="1" s="1"/>
  <c r="G43" i="1" s="1"/>
  <c r="I11" i="5"/>
  <c r="AR3" i="5"/>
  <c r="AR38" i="5" s="1" a="1"/>
  <c r="AR38" i="5" s="1"/>
  <c r="AG38" i="5" a="1"/>
  <c r="AG38" i="5" s="1"/>
  <c r="I10" i="5"/>
  <c r="I7" i="5"/>
  <c r="I6" i="5"/>
  <c r="I5" i="5"/>
  <c r="H14" i="5"/>
  <c r="BN14" i="5"/>
  <c r="D38" i="1" l="1"/>
  <c r="E38" i="1" s="1"/>
  <c r="F38" i="1" s="1"/>
  <c r="G38" i="1" s="1"/>
  <c r="E17" i="1"/>
  <c r="BI24" i="5"/>
  <c r="BP24" i="5" s="1"/>
  <c r="BQ24" i="5" s="1"/>
  <c r="BI16" i="5"/>
  <c r="BP16" i="5" s="1"/>
  <c r="BQ16" i="5" s="1"/>
  <c r="BI4" i="5"/>
  <c r="BP4" i="5" s="1"/>
  <c r="BQ4" i="5" s="1"/>
  <c r="BI30" i="5"/>
  <c r="BP30" i="5" s="1"/>
  <c r="BQ30" i="5" s="1"/>
  <c r="BI25" i="5"/>
  <c r="BP25" i="5" s="1"/>
  <c r="BQ25" i="5" s="1"/>
  <c r="BI12" i="5"/>
  <c r="BP12" i="5" s="1"/>
  <c r="BQ12" i="5" s="1"/>
  <c r="BI18" i="5"/>
  <c r="BP18" i="5" s="1"/>
  <c r="BQ18" i="5" s="1"/>
  <c r="BI23" i="5"/>
  <c r="BP23" i="5" s="1"/>
  <c r="BQ23" i="5" s="1"/>
  <c r="BI19" i="5"/>
  <c r="BP19" i="5" s="1"/>
  <c r="BQ19" i="5" s="1"/>
  <c r="BI17" i="5"/>
  <c r="BP17" i="5" s="1"/>
  <c r="BQ17" i="5" s="1"/>
  <c r="BI26" i="5"/>
  <c r="BI22" i="5"/>
  <c r="BP22" i="5" s="1"/>
  <c r="BQ22" i="5" s="1"/>
  <c r="BI5" i="5"/>
  <c r="BP5" i="5" s="1"/>
  <c r="BQ5" i="5" s="1"/>
  <c r="BI31" i="5"/>
  <c r="BP31" i="5" s="1"/>
  <c r="BQ31" i="5" s="1"/>
  <c r="BI9" i="5"/>
  <c r="BP9" i="5" s="1"/>
  <c r="BQ9" i="5" s="1"/>
  <c r="BI20" i="5"/>
  <c r="BP20" i="5" s="1"/>
  <c r="BQ20" i="5" s="1"/>
  <c r="E18" i="1"/>
  <c r="F18" i="1" s="1"/>
  <c r="BI6" i="5"/>
  <c r="BP6" i="5" s="1"/>
  <c r="BQ6" i="5" s="1"/>
  <c r="E39" i="1"/>
  <c r="F39" i="1" s="1"/>
  <c r="E33" i="1"/>
  <c r="F33" i="1" s="1"/>
  <c r="BI14" i="5"/>
  <c r="BP14" i="5" s="1"/>
  <c r="BI11" i="5"/>
  <c r="BP11" i="5" s="1"/>
  <c r="BQ11" i="5" s="1"/>
  <c r="E50" i="1"/>
  <c r="F50" i="1"/>
  <c r="D50" i="1"/>
  <c r="E49" i="1"/>
  <c r="F49" i="1" s="1"/>
  <c r="BI3" i="5"/>
  <c r="BI28" i="5"/>
  <c r="BP28" i="5" s="1"/>
  <c r="BQ28" i="5" s="1"/>
  <c r="H41" i="1"/>
  <c r="BI29" i="5"/>
  <c r="BP29" i="5" s="1"/>
  <c r="BQ29" i="5" s="1"/>
  <c r="BI10" i="5"/>
  <c r="BP10" i="5" s="1"/>
  <c r="BQ10" i="5" s="1"/>
  <c r="BI34" i="5"/>
  <c r="BP34" i="5" s="1"/>
  <c r="BQ34" i="5" s="1"/>
  <c r="BI13" i="5"/>
  <c r="BP13" i="5" s="1"/>
  <c r="BQ13" i="5" s="1"/>
  <c r="BI8" i="5"/>
  <c r="BP8" i="5" s="1"/>
  <c r="BQ8" i="5" s="1"/>
  <c r="BI7" i="5"/>
  <c r="BP7" i="5" s="1"/>
  <c r="BQ7" i="5" s="1"/>
  <c r="BI27" i="5"/>
  <c r="BP27" i="5" s="1"/>
  <c r="BQ27" i="5" s="1"/>
  <c r="BI35" i="5"/>
  <c r="BP35" i="5" s="1"/>
  <c r="BI32" i="5"/>
  <c r="BP32" i="5" s="1"/>
  <c r="BQ32" i="5" s="1"/>
  <c r="BI15" i="5"/>
  <c r="BP15" i="5" s="1"/>
  <c r="BQ15" i="5" s="1"/>
  <c r="BI21" i="5"/>
  <c r="BP21" i="5" s="1"/>
  <c r="BQ21" i="5" s="1"/>
  <c r="F17" i="1" l="1"/>
  <c r="G17" i="1" s="1"/>
  <c r="BQ35" i="5"/>
  <c r="G18" i="1"/>
  <c r="G33" i="1"/>
  <c r="G49" i="1"/>
  <c r="G50" i="1"/>
  <c r="G39" i="1"/>
  <c r="BP3" i="5"/>
  <c r="BQ3" i="5" s="1"/>
  <c r="BI38" i="5" a="1"/>
  <c r="BI38" i="5" s="1"/>
  <c r="BQ14" i="5"/>
  <c r="K16" i="52"/>
  <c r="M17" i="52"/>
  <c r="M18" i="52"/>
  <c r="I19" i="52"/>
  <c r="AE30" i="52"/>
  <c r="AF41" i="52" s="1"/>
  <c r="BK26" i="5" a="1"/>
  <c r="C26" i="5" a="1"/>
  <c r="BN26" i="5" a="1"/>
  <c r="H26" i="5" a="1"/>
  <c r="C55" i="76" a="1"/>
  <c r="H47" i="1" l="1"/>
  <c r="H32" i="1"/>
  <c r="C26" i="5"/>
  <c r="H26" i="5"/>
  <c r="H38" i="5" s="1" a="1"/>
  <c r="H38" i="5" s="1"/>
  <c r="BN26" i="5"/>
  <c r="BN38" i="5" s="1" a="1"/>
  <c r="BN38" i="5" s="1"/>
  <c r="BK26" i="5"/>
  <c r="C55" i="76"/>
  <c r="C6" i="76" s="1"/>
  <c r="C38" i="5" l="1" a="1"/>
  <c r="C38" i="5" s="1"/>
  <c r="E20" i="1" s="1"/>
  <c r="K26" i="5"/>
  <c r="K38" i="5" s="1" a="1"/>
  <c r="K38" i="5" s="1"/>
  <c r="I26" i="5"/>
  <c r="I38" i="5" s="1" a="1"/>
  <c r="I38" i="5" s="1"/>
  <c r="BP26" i="5"/>
  <c r="BK38" i="5" a="1"/>
  <c r="BK38" i="5" s="1"/>
  <c r="D58" i="1"/>
  <c r="D29" i="1" s="1"/>
  <c r="D20" i="1" l="1"/>
  <c r="F20" i="1"/>
  <c r="E58" i="1"/>
  <c r="F58" i="1" s="1"/>
  <c r="F29" i="1" s="1"/>
  <c r="BQ26" i="5"/>
  <c r="BQ38" i="5" s="1" a="1"/>
  <c r="BQ38" i="5" s="1"/>
  <c r="BR35" i="5" s="1"/>
  <c r="BP38" i="5" a="1"/>
  <c r="BP38" i="5" s="1"/>
  <c r="G20" i="1" l="1"/>
  <c r="G58" i="1"/>
  <c r="E29" i="1"/>
  <c r="G29" i="1" s="1"/>
  <c r="R45" i="76"/>
  <c r="R46" i="76"/>
  <c r="R44" i="76"/>
  <c r="R43" i="76"/>
  <c r="BR3" i="5" l="1"/>
  <c r="BS3" i="5"/>
  <c r="BS4" i="5"/>
  <c r="J4" i="5" s="1"/>
  <c r="BR4" i="5"/>
  <c r="BR5" i="5"/>
  <c r="BS5" i="5"/>
  <c r="J5" i="5" s="1"/>
  <c r="BR6" i="5"/>
  <c r="BS6" i="5"/>
  <c r="J6" i="5" s="1"/>
  <c r="BR7" i="5"/>
  <c r="BS7" i="5"/>
  <c r="J7" i="5" s="1"/>
  <c r="BR8" i="5"/>
  <c r="BS8" i="5"/>
  <c r="J8" i="5" s="1"/>
  <c r="BR9" i="5"/>
  <c r="BS9" i="5"/>
  <c r="J9" i="5" s="1"/>
  <c r="BS10" i="5"/>
  <c r="J10" i="5" s="1"/>
  <c r="BR10" i="5"/>
  <c r="BR11" i="5"/>
  <c r="BS11" i="5"/>
  <c r="J11" i="5" s="1"/>
  <c r="BR12" i="5"/>
  <c r="BS12" i="5"/>
  <c r="J12" i="5" s="1"/>
  <c r="BR13" i="5"/>
  <c r="BS13" i="5"/>
  <c r="J13" i="5" s="1"/>
  <c r="BR14" i="5"/>
  <c r="BS14" i="5"/>
  <c r="J14" i="5" s="1"/>
  <c r="BR15" i="5"/>
  <c r="BS15" i="5"/>
  <c r="J15" i="5" s="1"/>
  <c r="BR16" i="5"/>
  <c r="BS16" i="5"/>
  <c r="J16" i="5" s="1"/>
  <c r="BR17" i="5"/>
  <c r="BS17" i="5"/>
  <c r="J17" i="5" s="1"/>
  <c r="BR18" i="5"/>
  <c r="BS18" i="5"/>
  <c r="J18" i="5" s="1"/>
  <c r="BS19" i="5"/>
  <c r="J19" i="5" s="1"/>
  <c r="BR19" i="5"/>
  <c r="BR20" i="5"/>
  <c r="BS20" i="5"/>
  <c r="J20" i="5" s="1"/>
  <c r="BR21" i="5"/>
  <c r="BS21" i="5"/>
  <c r="J21" i="5" s="1"/>
  <c r="BR22" i="5"/>
  <c r="BS22" i="5"/>
  <c r="J22" i="5" s="1"/>
  <c r="BR23" i="5"/>
  <c r="BS23" i="5"/>
  <c r="J23" i="5" s="1"/>
  <c r="BR24" i="5"/>
  <c r="BS24" i="5"/>
  <c r="J24" i="5" s="1"/>
  <c r="BS25" i="5"/>
  <c r="J25" i="5" s="1"/>
  <c r="BR25" i="5"/>
  <c r="BR27" i="5"/>
  <c r="BS27" i="5"/>
  <c r="J27" i="5" s="1"/>
  <c r="BR28" i="5"/>
  <c r="BS28" i="5"/>
  <c r="J28" i="5" s="1"/>
  <c r="BR29" i="5"/>
  <c r="BS29" i="5"/>
  <c r="J29" i="5" s="1"/>
  <c r="BR30" i="5"/>
  <c r="BS30" i="5"/>
  <c r="J30" i="5" s="1"/>
  <c r="BR31" i="5"/>
  <c r="BS31" i="5"/>
  <c r="J31" i="5" s="1"/>
  <c r="BR32" i="5"/>
  <c r="BS32" i="5"/>
  <c r="J32" i="5" s="1"/>
  <c r="BR33" i="5"/>
  <c r="BS33" i="5"/>
  <c r="J33" i="5" s="1"/>
  <c r="BR34" i="5"/>
  <c r="BS34" i="5"/>
  <c r="J34" i="5" s="1"/>
  <c r="BS35" i="5"/>
  <c r="J35" i="5" s="1"/>
  <c r="BS26" i="5"/>
  <c r="J26" i="5" s="1"/>
  <c r="BR26" i="5"/>
  <c r="M12" i="5" a="1"/>
  <c r="M9" i="5" a="1"/>
  <c r="M6" i="5" a="1"/>
  <c r="M22" i="5" a="1"/>
  <c r="M22" i="5" l="1"/>
  <c r="M6" i="5"/>
  <c r="M9" i="5"/>
  <c r="M12" i="5"/>
  <c r="J3" i="5"/>
  <c r="J38" i="5" s="1" a="1"/>
  <c r="J38" i="5" s="1"/>
  <c r="BS38" i="5" a="1"/>
  <c r="BS38" i="5" s="1"/>
  <c r="D19" i="1" l="1"/>
  <c r="D12" i="1" s="1"/>
  <c r="D10" i="1" s="1"/>
  <c r="BT45" i="5" s="1"/>
  <c r="E19" i="1"/>
  <c r="F19" i="1"/>
  <c r="F12" i="1" s="1"/>
  <c r="F10" i="1" s="1"/>
  <c r="E12" i="1" l="1"/>
  <c r="E10" i="1" s="1"/>
  <c r="E7" i="1"/>
  <c r="E5" i="1" s="1"/>
  <c r="E3" i="1" s="1"/>
  <c r="F7" i="1"/>
  <c r="F5" i="1" s="1"/>
  <c r="F3" i="1" s="1"/>
  <c r="G19" i="1"/>
  <c r="G12" i="1" l="1"/>
  <c r="G10" i="1" l="1"/>
  <c r="D7" i="1"/>
  <c r="D5" i="1" s="1"/>
  <c r="BT48" i="5" l="1"/>
  <c r="BU35" i="5" s="1"/>
  <c r="G7" i="1"/>
  <c r="D3" i="1"/>
  <c r="BU3" i="5"/>
  <c r="BU4" i="5"/>
  <c r="BU5" i="5"/>
  <c r="BU6" i="5"/>
  <c r="BU7" i="5"/>
  <c r="BU8" i="5"/>
  <c r="BU9" i="5"/>
  <c r="BU10" i="5"/>
  <c r="BU11" i="5"/>
  <c r="BU12" i="5"/>
  <c r="BU13" i="5"/>
  <c r="BU14" i="5"/>
  <c r="BU15" i="5"/>
  <c r="BU16" i="5"/>
  <c r="BU17" i="5"/>
  <c r="BU18" i="5"/>
  <c r="BU19" i="5"/>
  <c r="BU20" i="5"/>
  <c r="BU21" i="5"/>
  <c r="BU22" i="5"/>
  <c r="BU23" i="5"/>
  <c r="BU24" i="5"/>
  <c r="BU25" i="5"/>
  <c r="BU27" i="5"/>
  <c r="BU28" i="5"/>
  <c r="BU29" i="5"/>
  <c r="BU30" i="5"/>
  <c r="BU31" i="5"/>
  <c r="BU32" i="5"/>
  <c r="BU33" i="5"/>
  <c r="BU34" i="5"/>
  <c r="BU26" i="5"/>
  <c r="BU38" i="5" l="1"/>
  <c r="L4" i="5"/>
  <c r="M19" i="71" s="1"/>
  <c r="M21" i="71" s="1"/>
  <c r="BV4" i="5"/>
  <c r="L33" i="5"/>
  <c r="M19" i="54" s="1"/>
  <c r="M21" i="54" s="1"/>
  <c r="B8" i="54" s="1"/>
  <c r="BV33" i="5"/>
  <c r="L8" i="5"/>
  <c r="M19" i="60" s="1"/>
  <c r="M21" i="60" s="1"/>
  <c r="BV8" i="5"/>
  <c r="L23" i="5"/>
  <c r="M19" i="68" s="1"/>
  <c r="M21" i="68" s="1"/>
  <c r="BV23" i="5"/>
  <c r="L7" i="5"/>
  <c r="M19" i="56" s="1"/>
  <c r="M21" i="56" s="1"/>
  <c r="BV7" i="5"/>
  <c r="L22" i="5"/>
  <c r="BV22" i="5"/>
  <c r="L6" i="5"/>
  <c r="BV6" i="5"/>
  <c r="L30" i="5"/>
  <c r="M19" i="79" s="1"/>
  <c r="M21" i="79" s="1"/>
  <c r="B8" i="79" s="1"/>
  <c r="BV30" i="5"/>
  <c r="L13" i="5"/>
  <c r="M19" i="50" s="1"/>
  <c r="M21" i="50" s="1"/>
  <c r="BV13" i="5"/>
  <c r="L29" i="5"/>
  <c r="M19" i="67" s="1"/>
  <c r="M21" i="67" s="1"/>
  <c r="B8" i="67" s="1"/>
  <c r="BV29" i="5"/>
  <c r="L12" i="5"/>
  <c r="BV12" i="5"/>
  <c r="L10" i="5"/>
  <c r="M19" i="46" s="1"/>
  <c r="M21" i="46" s="1"/>
  <c r="BV10" i="5"/>
  <c r="L24" i="5"/>
  <c r="M19" i="62" s="1"/>
  <c r="M21" i="62" s="1"/>
  <c r="BV24" i="5"/>
  <c r="L16" i="5"/>
  <c r="M19" i="65" s="1"/>
  <c r="M21" i="65" s="1"/>
  <c r="BV16" i="5"/>
  <c r="L32" i="5"/>
  <c r="M19" i="70" s="1"/>
  <c r="M21" i="70" s="1"/>
  <c r="B8" i="70" s="1"/>
  <c r="BV32" i="5"/>
  <c r="L15" i="5"/>
  <c r="M19" i="87" s="1"/>
  <c r="M21" i="87" s="1"/>
  <c r="BV15" i="5"/>
  <c r="L31" i="5"/>
  <c r="M19" i="47" s="1"/>
  <c r="M21" i="47" s="1"/>
  <c r="B8" i="47" s="1"/>
  <c r="BV31" i="5"/>
  <c r="L14" i="5"/>
  <c r="M19" i="45" s="1"/>
  <c r="M21" i="45" s="1"/>
  <c r="BV14" i="5"/>
  <c r="L21" i="5"/>
  <c r="M19" i="64" s="1"/>
  <c r="M21" i="64" s="1"/>
  <c r="BV21" i="5"/>
  <c r="L5" i="5"/>
  <c r="M19" i="51" s="1"/>
  <c r="M21" i="51" s="1"/>
  <c r="BV5" i="5"/>
  <c r="L20" i="5"/>
  <c r="M19" i="75" s="1"/>
  <c r="M21" i="75" s="1"/>
  <c r="BV20" i="5"/>
  <c r="L26" i="5"/>
  <c r="M19" i="52" s="1"/>
  <c r="M21" i="52" s="1"/>
  <c r="B8" i="52" s="1"/>
  <c r="BV26" i="5"/>
  <c r="L28" i="5"/>
  <c r="M19" i="63" s="1"/>
  <c r="M21" i="63" s="1"/>
  <c r="B8" i="63" s="1"/>
  <c r="BV28" i="5"/>
  <c r="L19" i="5"/>
  <c r="M19" i="58" s="1"/>
  <c r="M21" i="58" s="1"/>
  <c r="BV19" i="5"/>
  <c r="L11" i="5"/>
  <c r="M19" i="55" s="1"/>
  <c r="M21" i="55" s="1"/>
  <c r="BV11" i="5"/>
  <c r="L3" i="5"/>
  <c r="BV3" i="5"/>
  <c r="L35" i="5"/>
  <c r="M19" i="49" s="1"/>
  <c r="M21" i="49" s="1"/>
  <c r="B8" i="49" s="1"/>
  <c r="BV35" i="5"/>
  <c r="L27" i="5"/>
  <c r="M19" i="48" s="1"/>
  <c r="M21" i="48" s="1"/>
  <c r="B8" i="48" s="1"/>
  <c r="BV27" i="5"/>
  <c r="L18" i="5"/>
  <c r="M19" i="66" s="1"/>
  <c r="M21" i="66" s="1"/>
  <c r="BV18" i="5"/>
  <c r="L34" i="5"/>
  <c r="M19" i="61" s="1"/>
  <c r="BV34" i="5"/>
  <c r="L25" i="5"/>
  <c r="M19" i="53" s="1"/>
  <c r="M21" i="53" s="1"/>
  <c r="BV25" i="5"/>
  <c r="L17" i="5"/>
  <c r="M19" i="77" s="1"/>
  <c r="M21" i="77" s="1"/>
  <c r="BV17" i="5"/>
  <c r="L9" i="5"/>
  <c r="BV9" i="5"/>
  <c r="M13" i="5" a="1"/>
  <c r="M10" i="5" a="1"/>
  <c r="M33" i="5" a="1"/>
  <c r="M19" i="5" a="1"/>
  <c r="M11" i="5" a="1"/>
  <c r="M17" i="5" a="1"/>
  <c r="M26" i="5" a="1"/>
  <c r="M28" i="5" a="1"/>
  <c r="M27" i="5" a="1"/>
  <c r="M31" i="5" a="1"/>
  <c r="M30" i="5" a="1"/>
  <c r="M15" i="5" a="1"/>
  <c r="M29" i="5" a="1"/>
  <c r="M18" i="5" a="1"/>
  <c r="M23" i="5" a="1"/>
  <c r="M14" i="5" a="1"/>
  <c r="M7" i="5" a="1"/>
  <c r="M32" i="5" a="1"/>
  <c r="M25" i="5" a="1"/>
  <c r="M5" i="5" a="1"/>
  <c r="M4" i="5" a="1"/>
  <c r="M21" i="5" a="1"/>
  <c r="M20" i="5" a="1"/>
  <c r="M16" i="5" a="1"/>
  <c r="M24" i="5" a="1"/>
  <c r="M8" i="5" a="1"/>
  <c r="M35" i="5" l="1" a="1"/>
  <c r="M35" i="5" s="1"/>
  <c r="M21" i="61"/>
  <c r="M27" i="5"/>
  <c r="M11" i="5"/>
  <c r="M24" i="5"/>
  <c r="M20" i="5"/>
  <c r="M5" i="5"/>
  <c r="M15" i="5"/>
  <c r="M10" i="5"/>
  <c r="M25" i="5"/>
  <c r="M28" i="5"/>
  <c r="M8" i="5"/>
  <c r="M23" i="5"/>
  <c r="M21" i="5"/>
  <c r="M30" i="5"/>
  <c r="M32" i="5"/>
  <c r="M26" i="5"/>
  <c r="M14" i="5"/>
  <c r="M16" i="5"/>
  <c r="M29" i="5"/>
  <c r="M33" i="5"/>
  <c r="M31" i="5"/>
  <c r="M13" i="5"/>
  <c r="M7" i="5"/>
  <c r="M17" i="5"/>
  <c r="M19" i="5"/>
  <c r="M18" i="5"/>
  <c r="M4" i="5"/>
  <c r="B8" i="55"/>
  <c r="B8" i="62"/>
  <c r="B8" i="75"/>
  <c r="B8" i="51"/>
  <c r="B8" i="87"/>
  <c r="B8" i="46"/>
  <c r="B8" i="53"/>
  <c r="B8" i="60"/>
  <c r="B8" i="68"/>
  <c r="B8" i="64"/>
  <c r="BV38" i="5"/>
  <c r="M19" i="59"/>
  <c r="M21" i="59" s="1"/>
  <c r="L38" i="5" a="1"/>
  <c r="L38" i="5" s="1"/>
  <c r="B8" i="45"/>
  <c r="B8" i="65"/>
  <c r="B8" i="50"/>
  <c r="B8" i="56"/>
  <c r="B8" i="77"/>
  <c r="B8" i="58"/>
  <c r="B8" i="66"/>
  <c r="B8" i="71"/>
  <c r="M3" i="5" a="1"/>
  <c r="B8" i="61" l="1"/>
  <c r="M34" i="5" a="1"/>
  <c r="M34" i="5" s="1"/>
  <c r="M3" i="5"/>
  <c r="M38" i="5" s="1" a="1"/>
  <c r="M38" i="5" s="1"/>
  <c r="B8" i="59"/>
  <c r="C52" i="76" a="1"/>
  <c r="C52" i="7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tc={7CE9518E-EEBB-1E46-A778-F66B4FC7AAE9}</author>
  </authors>
  <commentList>
    <comment ref="M15" authorId="0" shapeId="0" xr:uid="{7CE9518E-EEBB-1E46-A778-F66B4FC7AAE9}">
      <text>
        <t xml:space="preserve">[Threaded comment]
Your version of Excel allows you to read this threaded comment; however, any edits to it will get removed if the file is opened in a newer version of Excel. Learn more: https://go.microsoft.com/fwlink/?linkid=870924
Comment:
    why tf do we charge same rate per year for PT, ZZP and extern?
</t>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tc={0AD2D1E9-010A-4013-88B5-72216E2E57DB}</author>
  </authors>
  <commentList>
    <comment ref="M15" authorId="0" shapeId="0" xr:uid="{0AD2D1E9-010A-4013-88B5-72216E2E57DB}">
      <text>
        <t xml:space="preserve">[Threaded comment]
Your version of Excel allows you to read this threaded comment; however, any edits to it will get removed if the file is opened in a newer version of Excel. Learn more: https://go.microsoft.com/fwlink/?linkid=870924
Comment:
    why tf do we charge same rate per year for PT, ZZP and extern?
</t>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tc={AF6E6A82-DB45-427B-A3F5-49150204033E}</author>
  </authors>
  <commentList>
    <comment ref="M15" authorId="0" shapeId="0" xr:uid="{AF6E6A82-DB45-427B-A3F5-49150204033E}">
      <text>
        <t xml:space="preserve">[Threaded comment]
Your version of Excel allows you to read this threaded comment; however, any edits to it will get removed if the file is opened in a newer version of Excel. Learn more: https://go.microsoft.com/fwlink/?linkid=870924
Comment:
    why tf do we charge same rate per year for PT, ZZP and extern?
</t>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tc={EA27C28B-F690-4639-9A8C-F1B9661AFCF1}</author>
  </authors>
  <commentList>
    <comment ref="M15" authorId="0" shapeId="0" xr:uid="{EA27C28B-F690-4639-9A8C-F1B9661AFCF1}">
      <text>
        <t xml:space="preserve">[Threaded comment]
Your version of Excel allows you to read this threaded comment; however, any edits to it will get removed if the file is opened in a newer version of Excel. Learn more: https://go.microsoft.com/fwlink/?linkid=870924
Comment:
    why tf do we charge same rate per year for PT, ZZP and extern?
</t>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tc={56B32E71-2951-4E32-B9AC-59E40BADC581}</author>
  </authors>
  <commentList>
    <comment ref="M15" authorId="0" shapeId="0" xr:uid="{56B32E71-2951-4E32-B9AC-59E40BADC581}">
      <text>
        <t xml:space="preserve">[Threaded comment]
Your version of Excel allows you to read this threaded comment; however, any edits to it will get removed if the file is opened in a newer version of Excel. Learn more: https://go.microsoft.com/fwlink/?linkid=870924
Comment:
    why tf do we charge same rate per year for PT, ZZP and extern?
</t>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tc={619C52F8-90D8-4694-ACCB-49EFECD18023}</author>
  </authors>
  <commentList>
    <comment ref="M15" authorId="0" shapeId="0" xr:uid="{619C52F8-90D8-4694-ACCB-49EFECD18023}">
      <text>
        <t xml:space="preserve">[Threaded comment]
Your version of Excel allows you to read this threaded comment; however, any edits to it will get removed if the file is opened in a newer version of Excel. Learn more: https://go.microsoft.com/fwlink/?linkid=870924
Comment:
    why tf do we charge same rate per year for PT, ZZP and extern?
</t>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tc={883DDA38-1A23-5144-95E0-4DE2D41B5227}</author>
    <author>tc={6D7D6C93-FFE0-2F40-BC1A-AC3A28D44605}</author>
  </authors>
  <commentList>
    <comment ref="M15" authorId="0" shapeId="0" xr:uid="{883DDA38-1A23-5144-95E0-4DE2D41B5227}">
      <text>
        <t xml:space="preserve">[Threaded comment]
Your version of Excel allows you to read this threaded comment; however, any edits to it will get removed if the file is opened in a newer version of Excel. Learn more: https://go.microsoft.com/fwlink/?linkid=870924
Comment:
    why tf do we charge same rate per year for PT, ZZP and extern?
</t>
      </text>
    </comment>
    <comment ref="E74" authorId="1" shapeId="0" xr:uid="{6D7D6C93-FFE0-2F40-BC1A-AC3A28D44605}">
      <text>
        <t>[Threaded comment]
Your version of Excel allows you to read this threaded comment; however, any edits to it will get removed if the file is opened in a newer version of Excel. Learn more: https://go.microsoft.com/fwlink/?linkid=870924
Comment:
    Update after contract is updated</t>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tc={C4ABB75B-843A-4A45-8601-4881B90F26E1}</author>
  </authors>
  <commentList>
    <comment ref="M15" authorId="0" shapeId="0" xr:uid="{C4ABB75B-843A-4A45-8601-4881B90F26E1}">
      <text>
        <t xml:space="preserve">[Threaded comment]
Your version of Excel allows you to read this threaded comment; however, any edits to it will get removed if the file is opened in a newer version of Excel. Learn more: https://go.microsoft.com/fwlink/?linkid=870924
Comment:
    why tf do we charge same rate per year for PT, ZZP and extern?
</t>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tc={556DE1F4-1C79-423F-8284-3D92066435B7}</author>
    <author>tc={EF3F4322-25EC-428C-85BA-45FA8F47631F}</author>
  </authors>
  <commentList>
    <comment ref="M15" authorId="0" shapeId="0" xr:uid="{556DE1F4-1C79-423F-8284-3D92066435B7}">
      <text>
        <t xml:space="preserve">[Threaded comment]
Your version of Excel allows you to read this threaded comment; however, any edits to it will get removed if the file is opened in a newer version of Excel. Learn more: https://go.microsoft.com/fwlink/?linkid=870924
Comment:
    why tf do we charge same rate per year for PT, ZZP and extern?
</t>
      </text>
    </comment>
    <comment ref="AE36" authorId="1" shapeId="0" xr:uid="{EF3F4322-25EC-428C-85BA-45FA8F47631F}">
      <text>
        <t>[Threaded comment]
Your version of Excel allows you to read this threaded comment; however, any edits to it will get removed if the file is opened in a newer version of Excel. Learn more: https://go.microsoft.com/fwlink/?linkid=870924
Comment:
    Waarvan 1 een weekend weg is</t>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tc={7AF34BD8-0ED4-524E-895A-A9166B154821}</author>
  </authors>
  <commentList>
    <comment ref="M15" authorId="0" shapeId="0" xr:uid="{7AF34BD8-0ED4-524E-895A-A9166B154821}">
      <text>
        <t xml:space="preserve">[Threaded comment]
Your version of Excel allows you to read this threaded comment; however, any edits to it will get removed if the file is opened in a newer version of Excel. Learn more: https://go.microsoft.com/fwlink/?linkid=870924
Comment:
    why tf do we charge same rate per year for PT, ZZP and extern?
</t>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tc={A893F1FF-329D-447D-A75B-9BFED9764876}</author>
  </authors>
  <commentList>
    <comment ref="M15" authorId="0" shapeId="0" xr:uid="{A893F1FF-329D-447D-A75B-9BFED9764876}">
      <text>
        <t xml:space="preserve">[Threaded comment]
Your version of Excel allows you to read this threaded comment; however, any edits to it will get removed if the file is opened in a newer version of Excel. Learn more: https://go.microsoft.com/fwlink/?linkid=870924
Comment:
    why tf do we charge same rate per year for PT, ZZP and extern?
</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tc={472F7ABC-74B2-40DA-AF99-D7661293C89B}</author>
  </authors>
  <commentList>
    <comment ref="M15" authorId="0" shapeId="0" xr:uid="{472F7ABC-74B2-40DA-AF99-D7661293C89B}">
      <text>
        <t xml:space="preserve">[Threaded comment]
Your version of Excel allows you to read this threaded comment; however, any edits to it will get removed if the file is opened in a newer version of Excel. Learn more: https://go.microsoft.com/fwlink/?linkid=870924
Comment:
    why tf do we charge same rate per year for PT, ZZP and extern?
</t>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tc={62FAC356-4D4A-44C9-9964-717B005C506B}</author>
  </authors>
  <commentList>
    <comment ref="M15" authorId="0" shapeId="0" xr:uid="{62FAC356-4D4A-44C9-9964-717B005C506B}">
      <text>
        <t xml:space="preserve">[Threaded comment]
Your version of Excel allows you to read this threaded comment; however, any edits to it will get removed if the file is opened in a newer version of Excel. Learn more: https://go.microsoft.com/fwlink/?linkid=870924
Comment:
    why tf do we charge same rate per year for PT, ZZP and extern?
</t>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tc={58C3F51D-6A6C-E941-BCB4-8FA35BCE3B8C}</author>
  </authors>
  <commentList>
    <comment ref="M15" authorId="0" shapeId="0" xr:uid="{58C3F51D-6A6C-E941-BCB4-8FA35BCE3B8C}">
      <text>
        <t xml:space="preserve">[Threaded comment]
Your version of Excel allows you to read this threaded comment; however, any edits to it will get removed if the file is opened in a newer version of Excel. Learn more: https://go.microsoft.com/fwlink/?linkid=870924
Comment:
    why tf do we charge same rate per year for PT, ZZP and extern?
</t>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tc={B0D495F6-28D1-4965-AF2D-373297492357}</author>
  </authors>
  <commentList>
    <comment ref="M15" authorId="0" shapeId="0" xr:uid="{B0D495F6-28D1-4965-AF2D-373297492357}">
      <text>
        <t xml:space="preserve">[Threaded comment]
Your version of Excel allows you to read this threaded comment; however, any edits to it will get removed if the file is opened in a newer version of Excel. Learn more: https://go.microsoft.com/fwlink/?linkid=870924
Comment:
    why tf do we charge same rate per year for PT, ZZP and extern?
</t>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tc={C6AF24E2-23BC-439B-9730-248DCE5E9BAE}</author>
    <author/>
  </authors>
  <commentList>
    <comment ref="M15" authorId="0" shapeId="0" xr:uid="{C6AF24E2-23BC-439B-9730-248DCE5E9BAE}">
      <text>
        <t xml:space="preserve">[Threaded comment]
Your version of Excel allows you to read this threaded comment; however, any edits to it will get removed if the file is opened in a newer version of Excel. Learn more: https://go.microsoft.com/fwlink/?linkid=870924
Comment:
    why tf do we charge same rate per year for PT, ZZP and extern?
</t>
      </text>
    </comment>
    <comment ref="C60" authorId="1" shapeId="0" xr:uid="{D30C776B-0779-421D-8E5F-6B487C5DC5D8}">
      <text>
        <r>
          <rPr>
            <sz val="11"/>
            <color theme="1"/>
            <rFont val="Arial"/>
            <family val="2"/>
            <scheme val="minor"/>
          </rPr>
          <t>======
ID#AAABWM3adPc
Secretary Sport Umbrella Twente    (2024-09-30 13:50:01)
Waarom verschil? Overleggen met Frank/Vincent over de uren van Philip</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tc={EE3E2891-B685-4CBE-92E5-D89A6A71A02B}</author>
  </authors>
  <commentList>
    <comment ref="M15" authorId="0" shapeId="0" xr:uid="{EE3E2891-B685-4CBE-92E5-D89A6A71A02B}">
      <text>
        <t xml:space="preserve">[Threaded comment]
Your version of Excel allows you to read this threaded comment; however, any edits to it will get removed if the file is opened in a newer version of Excel. Learn more: https://go.microsoft.com/fwlink/?linkid=870924
Comment:
    why tf do we charge same rate per year for PT, ZZP and extern?
</t>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tc={163E6439-8D2D-DC48-971C-29695CE5E69E}</author>
  </authors>
  <commentList>
    <comment ref="M15" authorId="0" shapeId="0" xr:uid="{163E6439-8D2D-DC48-971C-29695CE5E69E}">
      <text>
        <t xml:space="preserve">[Threaded comment]
Your version of Excel allows you to read this threaded comment; however, any edits to it will get removed if the file is opened in a newer version of Excel. Learn more: https://go.microsoft.com/fwlink/?linkid=870924
Comment:
    why tf do we charge same rate per year for PT, ZZP and extern?
</t>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tc={ACA26F90-EC31-4E4E-ACAC-963C74CE8BD8}</author>
  </authors>
  <commentList>
    <comment ref="M15" authorId="0" shapeId="0" xr:uid="{ACA26F90-EC31-4E4E-ACAC-963C74CE8BD8}">
      <text>
        <t xml:space="preserve">[Threaded comment]
Your version of Excel allows you to read this threaded comment; however, any edits to it will get removed if the file is opened in a newer version of Excel. Learn more: https://go.microsoft.com/fwlink/?linkid=870924
Comment:
    why tf do we charge same rate per year for PT, ZZP and extern?
</t>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tc={082AC571-9226-4438-989B-D24F2FF2BE04}</author>
    <author>tc={B9877F73-3471-4C18-8A34-1FD8D5CD2C4D}</author>
  </authors>
  <commentList>
    <comment ref="M15" authorId="0" shapeId="0" xr:uid="{082AC571-9226-4438-989B-D24F2FF2BE04}">
      <text>
        <t xml:space="preserve">[Threaded comment]
Your version of Excel allows you to read this threaded comment; however, any edits to it will get removed if the file is opened in a newer version of Excel. Learn more: https://go.microsoft.com/fwlink/?linkid=870924
Comment:
    why tf do we charge same rate per year for PT, ZZP and extern?
</t>
      </text>
    </comment>
    <comment ref="AE39" authorId="1" shapeId="0" xr:uid="{B9877F73-3471-4C18-8A34-1FD8D5CD2C4D}">
      <text>
        <t>[Threaded comment]
Your version of Excel allows you to read this threaded comment; however, any edits to it will get removed if the file is opened in a newer version of Excel. Learn more: https://go.microsoft.com/fwlink/?linkid=870924
Comment:
    2 used regularly and 2 used from time to time.</t>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tc={87FC0A6B-0A8A-468B-A479-3EE8BF4A5EBE}</author>
  </authors>
  <commentList>
    <comment ref="M15" authorId="0" shapeId="0" xr:uid="{87FC0A6B-0A8A-468B-A479-3EE8BF4A5EBE}">
      <text>
        <t xml:space="preserve">[Threaded comment]
Your version of Excel allows you to read this threaded comment; however, any edits to it will get removed if the file is opened in a newer version of Excel. Learn more: https://go.microsoft.com/fwlink/?linkid=870924
Comment:
    why tf do we charge same rate per year for PT, ZZP and extern?
</t>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tc={D08C9648-425A-4666-B609-AD61209045DD}</author>
  </authors>
  <commentList>
    <comment ref="M15" authorId="0" shapeId="0" xr:uid="{D08C9648-425A-4666-B609-AD61209045DD}">
      <text>
        <t xml:space="preserve">[Threaded comment]
Your version of Excel allows you to read this threaded comment; however, any edits to it will get removed if the file is opened in a newer version of Excel. Learn more: https://go.microsoft.com/fwlink/?linkid=870924
Comment:
    why tf do we charge same rate per year for PT, ZZP and extern?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tc={F2814D13-8446-45DD-B913-1536DB255D9B}</author>
  </authors>
  <commentList>
    <comment ref="M15" authorId="0" shapeId="0" xr:uid="{F2814D13-8446-45DD-B913-1536DB255D9B}">
      <text>
        <t xml:space="preserve">[Threaded comment]
Your version of Excel allows you to read this threaded comment; however, any edits to it will get removed if the file is opened in a newer version of Excel. Learn more: https://go.microsoft.com/fwlink/?linkid=870924
Comment:
    why tf do we charge same rate per year for PT, ZZP and extern?
</t>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tc={B0938E93-B5D1-C748-BEDC-71B4E39FB4C1}</author>
  </authors>
  <commentList>
    <comment ref="M15" authorId="0" shapeId="0" xr:uid="{B0938E93-B5D1-C748-BEDC-71B4E39FB4C1}">
      <text>
        <t xml:space="preserve">[Threaded comment]
Your version of Excel allows you to read this threaded comment; however, any edits to it will get removed if the file is opened in a newer version of Excel. Learn more: https://go.microsoft.com/fwlink/?linkid=870924
Comment:
    why tf do we charge same rate per year for PT, ZZP and extern?
</t>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tc={8885E886-1D5B-4ED4-AE5E-42E59605580F}</author>
  </authors>
  <commentList>
    <comment ref="M15" authorId="0" shapeId="0" xr:uid="{8885E886-1D5B-4ED4-AE5E-42E59605580F}">
      <text>
        <t xml:space="preserve">[Threaded comment]
Your version of Excel allows you to read this threaded comment; however, any edits to it will get removed if the file is opened in a newer version of Excel. Learn more: https://go.microsoft.com/fwlink/?linkid=870924
Comment:
    why tf do we charge same rate per year for PT, ZZP and extern?
</t>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tc={DF1C5D8E-A56E-4569-ACE7-BB4F34ACBCD6}</author>
  </authors>
  <commentList>
    <comment ref="M15" authorId="0" shapeId="0" xr:uid="{DF1C5D8E-A56E-4569-ACE7-BB4F34ACBCD6}">
      <text>
        <t xml:space="preserve">[Threaded comment]
Your version of Excel allows you to read this threaded comment; however, any edits to it will get removed if the file is opened in a newer version of Excel. Learn more: https://go.microsoft.com/fwlink/?linkid=870924
Comment:
    why tf do we charge same rate per year for PT, ZZP and extern?
</t>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tc={13D1EDA7-DDC8-4DFE-A840-FE6BB6E37CEC}</author>
  </authors>
  <commentList>
    <comment ref="M15" authorId="0" shapeId="0" xr:uid="{13D1EDA7-DDC8-4DFE-A840-FE6BB6E37CEC}">
      <text>
        <t xml:space="preserve">[Threaded comment]
Your version of Excel allows you to read this threaded comment; however, any edits to it will get removed if the file is opened in a newer version of Excel. Learn more: https://go.microsoft.com/fwlink/?linkid=870924
Comment:
    why tf do we charge same rate per year for PT, ZZP and extern?
</t>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tc={CE89751A-5247-4FED-A75C-0CBBD01A154C}</author>
  </authors>
  <commentList>
    <comment ref="M15" authorId="0" shapeId="0" xr:uid="{CE89751A-5247-4FED-A75C-0CBBD01A154C}">
      <text>
        <t xml:space="preserve">[Threaded comment]
Your version of Excel allows you to read this threaded comment; however, any edits to it will get removed if the file is opened in a newer version of Excel. Learn more: https://go.microsoft.com/fwlink/?linkid=870924
Comment:
    why tf do we charge same rate per year for PT, ZZP and extern?
</t>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tc={41898872-9357-4A85-8A89-FA7017247AAB}</author>
  </authors>
  <commentList>
    <comment ref="M15" authorId="0" shapeId="0" xr:uid="{41898872-9357-4A85-8A89-FA7017247AAB}">
      <text>
        <t xml:space="preserve">[Threaded comment]
Your version of Excel allows you to read this threaded comment; however, any edits to it will get removed if the file is opened in a newer version of Excel. Learn more: https://go.microsoft.com/fwlink/?linkid=870924
Comment:
    why tf do we charge same rate per year for PT, ZZP and extern?
</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tc={CC64BD72-ACFB-4212-B66F-FC0AD02F93A5}</author>
  </authors>
  <commentList>
    <comment ref="M15" authorId="0" shapeId="0" xr:uid="{CC64BD72-ACFB-4212-B66F-FC0AD02F93A5}">
      <text>
        <t xml:space="preserve">[Threaded comment]
Your version of Excel allows you to read this threaded comment; however, any edits to it will get removed if the file is opened in a newer version of Excel. Learn more: https://go.microsoft.com/fwlink/?linkid=870924
Comment:
    why tf do we charge same rate per year for PT, ZZP and extern?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tc={17F890DF-278D-4583-9432-981A1DBE56CD}</author>
  </authors>
  <commentList>
    <comment ref="M15" authorId="0" shapeId="0" xr:uid="{17F890DF-278D-4583-9432-981A1DBE56CD}">
      <text>
        <t xml:space="preserve">[Threaded comment]
Your version of Excel allows you to read this threaded comment; however, any edits to it will get removed if the file is opened in a newer version of Excel. Learn more: https://go.microsoft.com/fwlink/?linkid=870924
Comment:
    why tf do we charge same rate per year for PT, ZZP and extern?
</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tc={D686AD6F-1322-EA4D-9E63-575024829E35}</author>
    <author>tc={60672345-D073-D44E-87B6-D4E468218D3F}</author>
  </authors>
  <commentList>
    <comment ref="M15" authorId="0" shapeId="0" xr:uid="{D686AD6F-1322-EA4D-9E63-575024829E35}">
      <text>
        <t xml:space="preserve">[Threaded comment]
Your version of Excel allows you to read this threaded comment; however, any edits to it will get removed if the file is opened in a newer version of Excel. Learn more: https://go.microsoft.com/fwlink/?linkid=870924
Comment:
    why tf do we charge same rate per year for PT, ZZP and extern?
</t>
      </text>
    </comment>
    <comment ref="G46" authorId="1" shapeId="0" xr:uid="{60672345-D073-D44E-87B6-D4E468218D3F}">
      <text>
        <t>[Threaded comment]
Your version of Excel allows you to read this threaded comment; however, any edits to it will get removed if the file is opened in a newer version of Excel. Learn more: https://go.microsoft.com/fwlink/?linkid=870924
Comment:
    Check with SC</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tc={5B5F2FAF-9967-4ED2-8E3F-D4209ED5AB94}</author>
  </authors>
  <commentList>
    <comment ref="M15" authorId="0" shapeId="0" xr:uid="{5B5F2FAF-9967-4ED2-8E3F-D4209ED5AB94}">
      <text>
        <t xml:space="preserve">[Threaded comment]
Your version of Excel allows you to read this threaded comment; however, any edits to it will get removed if the file is opened in a newer version of Excel. Learn more: https://go.microsoft.com/fwlink/?linkid=870924
Comment:
    why tf do we charge same rate per year for PT, ZZP and extern?
</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tc={584D2087-EDA2-CC4C-AF89-917102815E17}</author>
  </authors>
  <commentList>
    <comment ref="M15" authorId="0" shapeId="0" xr:uid="{584D2087-EDA2-CC4C-AF89-917102815E17}">
      <text>
        <t xml:space="preserve">[Threaded comment]
Your version of Excel allows you to read this threaded comment; however, any edits to it will get removed if the file is opened in a newer version of Excel. Learn more: https://go.microsoft.com/fwlink/?linkid=870924
Comment:
    why tf do we charge same rate per year for PT, ZZP and extern?
</t>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tc={8B84F61B-2161-48AE-AC7E-FE29972FC525}</author>
    <author>tc={8FE606EB-46D9-4148-B701-8EF072524494}</author>
    <author>tc={2CCAFD60-7591-470B-AF2B-823786D61962}</author>
    <author>tc={239088BF-D4ED-467F-B9EE-0F343F21E29A}</author>
    <author>tc={7F46551C-F700-44AA-BD2B-DCDD0F03C03B}</author>
    <author>tc={428720FB-2B6F-46D7-8C01-142E38CFD2B9}</author>
    <author>tc={BBE7599D-6D0D-4A65-9E11-D27939AA1BE7}</author>
    <author>tc={B00B0E38-2A4C-47FE-B402-69663A7C24C0}</author>
    <author>tc={15EB3893-DDF5-4EB1-B214-DBC6B76A7A1B}</author>
    <author>tc={BAE43AEA-D646-494B-BEE1-97A8B9A4988F}</author>
  </authors>
  <commentList>
    <comment ref="M15" authorId="0" shapeId="0" xr:uid="{8B84F61B-2161-48AE-AC7E-FE29972FC525}">
      <text>
        <t xml:space="preserve">[Threaded comment]
Your version of Excel allows you to read this threaded comment; however, any edits to it will get removed if the file is opened in a newer version of Excel. Learn more: https://go.microsoft.com/fwlink/?linkid=870924
Comment:
    why tf do we charge same rate per year for PT, ZZP and extern?
</t>
      </text>
    </comment>
    <comment ref="A38" authorId="1" shapeId="0" xr:uid="{8FE606EB-46D9-4148-B701-8EF072524494}">
      <text>
        <t xml:space="preserve">[Threaded comment]
Your version of Excel allows you to read this threaded comment; however, any edits to it will get removed if the file is opened in a newer version of Excel. Learn more: https://go.microsoft.com/fwlink/?linkid=870924
Comment:
    For StOF these teams do comps, same with the club teams
</t>
      </text>
    </comment>
    <comment ref="A39" authorId="2" shapeId="0" xr:uid="{2CCAFD60-7591-470B-AF2B-823786D61962}">
      <text>
        <t xml:space="preserve">[Threaded comment]
Your version of Excel allows you to read this threaded comment; however, any edits to it will get removed if the file is opened in a newer version of Excel. Learn more: https://go.microsoft.com/fwlink/?linkid=870924
Comment:
    For StOF these teams do comps, same with the club teams
</t>
      </text>
    </comment>
    <comment ref="A40" authorId="3" shapeId="0" xr:uid="{239088BF-D4ED-467F-B9EE-0F343F21E29A}">
      <text>
        <t xml:space="preserve">[Threaded comment]
Your version of Excel allows you to read this threaded comment; however, any edits to it will get removed if the file is opened in a newer version of Excel. Learn more: https://go.microsoft.com/fwlink/?linkid=870924
Comment:
    For StOF these teams do comps, same with the club teams
</t>
      </text>
    </comment>
    <comment ref="A41" authorId="4" shapeId="0" xr:uid="{7F46551C-F700-44AA-BD2B-DCDD0F03C03B}">
      <text>
        <t xml:space="preserve">[Threaded comment]
Your version of Excel allows you to read this threaded comment; however, any edits to it will get removed if the file is opened in a newer version of Excel. Learn more: https://go.microsoft.com/fwlink/?linkid=870924
Comment:
    For StOF these teams do comps, same with the club teams
</t>
      </text>
    </comment>
    <comment ref="A42" authorId="5" shapeId="0" xr:uid="{428720FB-2B6F-46D7-8C01-142E38CFD2B9}">
      <text>
        <t xml:space="preserve">[Threaded comment]
Your version of Excel allows you to read this threaded comment; however, any edits to it will get removed if the file is opened in a newer version of Excel. Learn more: https://go.microsoft.com/fwlink/?linkid=870924
Comment:
    For StOF these teams do comps, same with the club teams
</t>
      </text>
    </comment>
    <comment ref="A43" authorId="6" shapeId="0" xr:uid="{BBE7599D-6D0D-4A65-9E11-D27939AA1BE7}">
      <text>
        <t xml:space="preserve">[Threaded comment]
Your version of Excel allows you to read this threaded comment; however, any edits to it will get removed if the file is opened in a newer version of Excel. Learn more: https://go.microsoft.com/fwlink/?linkid=870924
Comment:
    For StOF these teams do comps, same with the club teams
</t>
      </text>
    </comment>
    <comment ref="A44" authorId="7" shapeId="0" xr:uid="{B00B0E38-2A4C-47FE-B402-69663A7C24C0}">
      <text>
        <t xml:space="preserve">[Threaded comment]
Your version of Excel allows you to read this threaded comment; however, any edits to it will get removed if the file is opened in a newer version of Excel. Learn more: https://go.microsoft.com/fwlink/?linkid=870924
Comment:
    For StOF these teams do comps, same with the club teams
</t>
      </text>
    </comment>
    <comment ref="A45" authorId="8" shapeId="0" xr:uid="{15EB3893-DDF5-4EB1-B214-DBC6B76A7A1B}">
      <text>
        <t xml:space="preserve">[Threaded comment]
Your version of Excel allows you to read this threaded comment; however, any edits to it will get removed if the file is opened in a newer version of Excel. Learn more: https://go.microsoft.com/fwlink/?linkid=870924
Comment:
    For StOF these teams do comps, same with the club teams
</t>
      </text>
    </comment>
    <comment ref="A46" authorId="9" shapeId="0" xr:uid="{BAE43AEA-D646-494B-BEE1-97A8B9A4988F}">
      <text>
        <t xml:space="preserve">[Threaded comment]
Your version of Excel allows you to read this threaded comment; however, any edits to it will get removed if the file is opened in a newer version of Excel. Learn more: https://go.microsoft.com/fwlink/?linkid=870924
Comment:
    For StOF these teams do comps, same with the club teams
</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<sst xmlns="http://schemas.openxmlformats.org/spreadsheetml/2006/main" count="9352" uniqueCount="1943">
  <si>
    <t xml:space="preserve"> </t>
  </si>
  <si>
    <t>Academic year</t>
  </si>
  <si>
    <t>2025-2026</t>
  </si>
  <si>
    <t>2026-2027</t>
  </si>
  <si>
    <t>2027-2028</t>
  </si>
  <si>
    <t>Total</t>
  </si>
  <si>
    <t>Remarks</t>
  </si>
  <si>
    <t>Abbreviations</t>
  </si>
  <si>
    <t>Final Result</t>
  </si>
  <si>
    <t>Deficit Correction</t>
  </si>
  <si>
    <t>Associations</t>
  </si>
  <si>
    <t>Sports centre</t>
  </si>
  <si>
    <t>SC</t>
  </si>
  <si>
    <t>Association fee adjusted</t>
  </si>
  <si>
    <t>Student Union</t>
  </si>
  <si>
    <t>SU</t>
  </si>
  <si>
    <t>Studenttrainer</t>
  </si>
  <si>
    <t>ST</t>
  </si>
  <si>
    <t>Student Sport Association</t>
  </si>
  <si>
    <t>SSA</t>
  </si>
  <si>
    <t>Intermediate Result</t>
  </si>
  <si>
    <t>External party</t>
  </si>
  <si>
    <t>EXT</t>
  </si>
  <si>
    <t>Revenue</t>
  </si>
  <si>
    <t>Legenda</t>
  </si>
  <si>
    <t>Sporters</t>
  </si>
  <si>
    <t>Constant over duration of FAM</t>
  </si>
  <si>
    <t>Unioncard</t>
  </si>
  <si>
    <t>Contribution performance sport</t>
  </si>
  <si>
    <t>Constant</t>
  </si>
  <si>
    <t>Contribution recreational sport</t>
  </si>
  <si>
    <t>Yearly increase with inflation</t>
  </si>
  <si>
    <t>Amount above limit</t>
  </si>
  <si>
    <t>Association fee basis</t>
  </si>
  <si>
    <t>Subsidy from CvB</t>
  </si>
  <si>
    <t>General support</t>
  </si>
  <si>
    <t>constant</t>
  </si>
  <si>
    <t>General Support</t>
  </si>
  <si>
    <t>Costs</t>
  </si>
  <si>
    <t>General</t>
  </si>
  <si>
    <t>Instruction Performance Sport</t>
  </si>
  <si>
    <t>Professional Trainer Training</t>
  </si>
  <si>
    <t>Professional Trainer Coaching</t>
  </si>
  <si>
    <t>ZZP Trainer Training</t>
  </si>
  <si>
    <t>ZZP Trainer Coaching</t>
  </si>
  <si>
    <t>External Training/Coaching</t>
  </si>
  <si>
    <t>Volunteer Training</t>
  </si>
  <si>
    <t>Volunteer Coaching</t>
  </si>
  <si>
    <t>Instruction Recreational Sport</t>
  </si>
  <si>
    <t>Professional Trainer Dangerous</t>
  </si>
  <si>
    <t>ZZP Trainer Dangerous</t>
  </si>
  <si>
    <t>External Trainer Dangerous</t>
  </si>
  <si>
    <t>Volunteer Trainer Dangerous</t>
  </si>
  <si>
    <t>Recreational Trainers</t>
  </si>
  <si>
    <t>UnionCard/CampusCard Recreational Trainers</t>
  </si>
  <si>
    <t>RT</t>
  </si>
  <si>
    <t>Education of Recreational Trainers (internal)</t>
  </si>
  <si>
    <t>PT</t>
  </si>
  <si>
    <t>Compensation External Education</t>
  </si>
  <si>
    <t>Injury Prevention Course by Topvorm</t>
  </si>
  <si>
    <t>Accomodation</t>
  </si>
  <si>
    <t>Costs campus buy off</t>
  </si>
  <si>
    <t>External Accomodation</t>
  </si>
  <si>
    <t>Material</t>
  </si>
  <si>
    <t>Financed material</t>
  </si>
  <si>
    <t>Logboek Wijzigingen aan de sheet</t>
  </si>
  <si>
    <t>Datum</t>
  </si>
  <si>
    <t>Wie?</t>
  </si>
  <si>
    <t>Welk blad? (Vereniging)</t>
  </si>
  <si>
    <t>Waar zijn dingen aangepast?</t>
  </si>
  <si>
    <t xml:space="preserve">Besproken en toegelicht in een vergadering? </t>
  </si>
  <si>
    <t>Nikita Klein</t>
  </si>
  <si>
    <t>DIOK</t>
  </si>
  <si>
    <t>Ron michels, uren aangepast. Deze stonden er verkeerd in. Was 2x2,5 uur, is nu 2x 3 uur</t>
  </si>
  <si>
    <t>Kronos</t>
  </si>
  <si>
    <t>Weken buiten en binnen voor de coretraining zijn omgewisseld. Deze stonden verkeerd in de sheets. Kloppen nu wel. Hourly rate voor het FBK stadion is ook weer omhoog gezet naar de huidige prijzen</t>
  </si>
  <si>
    <t xml:space="preserve">Long sprint' toegevoegd. Zijn ze in 21/22 al mee gestart. Maar is nooit met ons besproken. Staat nu wel in de sheets. </t>
  </si>
  <si>
    <t>Total budget</t>
  </si>
  <si>
    <t>Rij 46: Compensation External Education verandert naar External Trainer Course</t>
  </si>
  <si>
    <t>Vakgericht</t>
  </si>
  <si>
    <t>Performance trainer Aswin Witte terug naar 1x training in de week. Totaal vanuit vereniging dus een bijdrage van €800 voor de PT</t>
  </si>
  <si>
    <t>VV Drienerlo</t>
  </si>
  <si>
    <t>Remco van Leeuwen: Heren 2 binnen, geen coaching moment. Brengt totale bijdrage aan PT's naar €4800</t>
  </si>
  <si>
    <t>DHC</t>
  </si>
  <si>
    <t>H2 coaching uren uit de sheet gehaald</t>
  </si>
  <si>
    <t>Harambee/TSAC/VV Drienerlo</t>
  </si>
  <si>
    <t xml:space="preserve">PT-ZZP uurloon aangepast naar het bedrag van normale PT's. </t>
  </si>
  <si>
    <t xml:space="preserve">Sector 1 &amp; 5 </t>
  </si>
  <si>
    <t>leden aantallen update</t>
  </si>
  <si>
    <t>Hardboard</t>
  </si>
  <si>
    <t>Accommodatie subsidie voor de skatebaan toegevoegd</t>
  </si>
  <si>
    <t>Aloha</t>
  </si>
  <si>
    <t>Kosten wielerbaan toegevoegd</t>
  </si>
  <si>
    <t>Vincent</t>
  </si>
  <si>
    <t>MSG</t>
  </si>
  <si>
    <t>accommodatie subsidie</t>
  </si>
  <si>
    <t>overschrijding van € 93,55: €1560,15 ingediend en subsidiabel  €1466,60</t>
  </si>
  <si>
    <t>Skeuvel</t>
  </si>
  <si>
    <t xml:space="preserve">Skeelerbaan zomer 2023 : € 487,50 - zie geen uitsplitsing en/of omschrijving in sheet </t>
  </si>
  <si>
    <t>Carlyne</t>
  </si>
  <si>
    <t>Ludica</t>
  </si>
  <si>
    <t>Mentoruren eruit gehaald, weeks aangepast, uren Robin en Han aangepast</t>
  </si>
  <si>
    <t>Besproken met Frank en Ludica</t>
  </si>
  <si>
    <t>20-21-2023</t>
  </si>
  <si>
    <t>Aswin Witte is PT-V geweest in 22-23</t>
  </si>
  <si>
    <t>gefactureerd  over 22-23 is € 1476</t>
  </si>
  <si>
    <t xml:space="preserve">maakt geen gebruik meer van PT of PT-V </t>
  </si>
  <si>
    <t>Lennart</t>
  </si>
  <si>
    <t>Alle verenigingen</t>
  </si>
  <si>
    <t>Mentor uren aangepast</t>
  </si>
  <si>
    <t>Volgens vergadering op 28-2. Arriba mentoruren van 2h naar 1h in de week. Buitenwesten mentoruren van 42 weken naar 38 weken. Trainers van Arashi aangepast, Freddy is vervangen, uren geupdatet naar contract. Cabezote trainer, Fred vervangen door Jan Rene, mentoruren op nul gezet. DHC trainers geupdate, bij D1 Eric vervangen door Mike. Bij Diok is Ron vervangen door Daan, mentoruren uit FAM. Harambee, Tijmen vervangen door Gerben. HTH, trainingsmomenten aangepast van 2 naar 1. Bij Linea Recta is Ellemijnke erin gezet als nieuwe trainer. Piranha, Mathijs aangepast door Philip. Skeuvel zijn de mentoruren vreemd ingedeeld, Koeno in FAM gezet, geen mentoruren. VV Drienerlo, Goran toegevoegd.</t>
  </si>
  <si>
    <t>Harambee</t>
  </si>
  <si>
    <t>Mentoruren Monica onder juiste optie gezet</t>
  </si>
  <si>
    <t>Stond als verkeerd kopje in de FAM</t>
  </si>
  <si>
    <t>Trainer van D3 aangepast naar PT-V</t>
  </si>
  <si>
    <t>Stond als RT in de sheets, dus aangepast</t>
  </si>
  <si>
    <t>C49,C50 Ron vervangen door Daan</t>
  </si>
  <si>
    <t>In deze twee cellen stond nog de verkeerde trainer aangegeven</t>
  </si>
  <si>
    <t>Tijmen Reinders vervangen door Gerben Kars</t>
  </si>
  <si>
    <t>Een paar cellen waren nog niet aangepast naar de nieuwe trainer</t>
  </si>
  <si>
    <t>Tijmen</t>
  </si>
  <si>
    <t>Accommodatie: 200 euro per jaar voor materiaal kosten FBK stadion toegevoegd.</t>
  </si>
  <si>
    <t>Afgestemd met SC en Kronos</t>
  </si>
  <si>
    <t>DHC -materiaal</t>
  </si>
  <si>
    <t>verslag gesprek</t>
  </si>
  <si>
    <t xml:space="preserve">- van 12 teams 4 jaar geleden naar 14 teams nu - onderdelen keepers uitrusting graag apart benoemen - Dimple trainingsballen zijn voor € 2,50 tot 3,00 online te bestellen en kosten niet € 5,99 p/st - hoekvlaggen zijn van het Sportecntrum - ballenkanon is van DHC en wordt 10-15 keer per jaar gebruikt, advies is deze niet op te nemen in de FAM lijst - algemeen: serieuze lijst waar weinig op is aan te merken, weten waar ze over praten, zien toe op gebruik van materialen tijdens competitiemomenten en trainingen. </t>
  </si>
  <si>
    <t>TSAC -materiaal</t>
  </si>
  <si>
    <t>compliment in consequente lijst - afwijkingen te zien in afschrijvingsperioden en aantallen, hier is bij de laatste uitvraag beter naar gekeken, oordeel is ok! - ledenaantal is gegroeid - vraag van Vincent of Alpine materiaal wel past in FAM subsidie pakket. Hier het antwoord dat deze vooral gebruikt wordt door voorklimmers / instructeurs en dat is weer nodig om de rest van de vereniging te kunnen bedienen. Algemeen: ook hier een serieuze lijst met weinig tot geen onzinnige aanvragen. - het wordt iets overzichtelijker als materiaal dat wordt gebruikt op de UT wordt gescheiden van andere materialen.</t>
  </si>
  <si>
    <t>DRV Euros - materiaal</t>
  </si>
  <si>
    <t>vlootgrootte van 59 naar 63: waarom? - vervroegd afschrijven kost vaak geld, laat zien wat de opbrengsten zijn van verkochte boten- specificeer alle boten op type/merk zodat we kunnen inzien wat de aanschafkosten zijn per boot - als aanschafprijzen zijn verlaagd t.o.v. 4 jaar geleden dan heeft dat vaak te maken met de keuze voor een ander merk; laat zien waar dit het geval is - groot/klein onderhoud van € 6750 naar €15.500; specificeer wat deze kosten/werkzaamheden zijn - afspraak is dat DRV Euros een nieuw materiaalplan instuurt waarin zoveel als mogelijk gespecificeerd wordt.</t>
  </si>
  <si>
    <t>Arashi</t>
  </si>
  <si>
    <t>uren uitbreiding judo</t>
  </si>
  <si>
    <t>Judo krijgt 1.5 uur extra, dojo is vrij en kan uitgebreid worden</t>
  </si>
  <si>
    <t>29-5-0204</t>
  </si>
  <si>
    <t>Goed gesprek. DIOK koopt alle shuttjes in Frankrijk in voor een zo laag mogelijke prijs. Er zijn meer veren shuttles nodig omdat de badminton Bond vanaf de 7e divisie veren shuttles verplicht stelt. ( van 4 naar 6 teams) DIOK zal een nieuw excelsheet insturen dat meer gespecificeerd is; merk /type shuttle is nu niet duidelijk......een Mercedes is geen BMW....Ook hier weet het bestuur niet welke materialen subsidiabel zijn/worden; vandaar dat ook gripjes en snaren in de lijst zijn opgenomen.</t>
  </si>
  <si>
    <t>Buitenwesten</t>
  </si>
  <si>
    <t>De eerste 4 items op de materialen zijn al eerder ingekocht en zijn opgeslagen in de kast van Buitenwesten (BW) tussen SC5 en SC6. Ik was van mening dat er ineens nieuwe materalen nodig waren maar dat is dus niet zo. Vorige periode FAM heeft BW geen lijst ingeleverd omdat ze onder het bedrag van € 10 pp zaten. Nieuw en nog niet ingekocht is het laatste item, de speedbag van € 600. Aan jullie of je deze opneemt</t>
  </si>
  <si>
    <t>1. kijk nog eens goed naar de afschrijvingstermijnen van handschoenen, stokken en messen. deze zijn gesteld op 1 jaar en de materialen gaan wellicht wat langer mee. 2. graag bij alle artikelen een merknaam (Brand) vermelden.3. probeer de lijst stabiel te houden voor de toekomst en overleg als jullie nieuwe materialen willen toevoegen. 4. bewaar goed alle aankoopbonnen!</t>
  </si>
  <si>
    <t>Linea Recta</t>
  </si>
  <si>
    <t>FAM Sheet</t>
  </si>
  <si>
    <t>staat op 40 weken??? hebben gewoon 42 weken training</t>
  </si>
  <si>
    <t>Kronos/HTH</t>
  </si>
  <si>
    <t>uren tellingen PT kloppen niet</t>
  </si>
  <si>
    <t>TSAC</t>
  </si>
  <si>
    <t>TSAC krijgt volgens de FAM geen voorbereidingsuren op hun PT-V, vragen waarom niet. Is omdat dit veelal op externe klimweekenden gebruikt wordt. Mogelijkheid om hier voor 2025-2026 opnieuw naar te kijken op verzoek van TSAC</t>
  </si>
  <si>
    <t>PT-ZZP</t>
  </si>
  <si>
    <t>Jan-Martin Roelofs vervangen door Irene Pieper</t>
  </si>
  <si>
    <t>Tartaros</t>
  </si>
  <si>
    <t>Trainingstijden</t>
  </si>
  <si>
    <t>Aantal trainingsdagen stonden niet goed, is veranderd, geeft geen verschil in subsidie</t>
  </si>
  <si>
    <t>Zare</t>
  </si>
  <si>
    <t>HTH</t>
  </si>
  <si>
    <t>Accommodatie</t>
  </si>
  <si>
    <t>Besproken tijdens vergadering. HTH krijgt voor een deel van het tweede moment vergoeding voor hun externe zaal bij BASE bij Mark.</t>
  </si>
  <si>
    <t>Instructie</t>
  </si>
  <si>
    <t>Namen toegevoegd en uitleg voor de PT-V structuur.</t>
  </si>
  <si>
    <t>Instructie van Andrew aangepast naar huidige situatie</t>
  </si>
  <si>
    <t>Uren Honza van 3 naar 1.125 per week veranderd. Zodat eigen bijdrage klopt, aangezien Honza stopt per december 2024</t>
  </si>
  <si>
    <t>Materiaalsubsidie</t>
  </si>
  <si>
    <t>Er ontbraken 2 kolommen van de materiaallijst in de totaalberekening. Dit is aangepast zodat het klopt</t>
  </si>
  <si>
    <t>Instructie en accommodatie</t>
  </si>
  <si>
    <t>Uren aangepast van 40 naar 42 zodat het klopt weer</t>
  </si>
  <si>
    <t>Externe locatie</t>
  </si>
  <si>
    <t>Nieuw contract van de fabriek (skateboard) toegevoegd. Kleine verhoging door inflatie</t>
  </si>
  <si>
    <t>Hardboard &amp; TSAC</t>
  </si>
  <si>
    <t>Material summary</t>
  </si>
  <si>
    <t>Verduidelijking van de berekening voor het materiaal van deze verenigingen toegevoegd. Hier zit een verschil in doordat niet al het materiaal wekelijks gebruikt wordt</t>
  </si>
  <si>
    <t>Coachuren van Ellemijnke uit de sheet gehaald, deze staan ook niet in het contract</t>
  </si>
  <si>
    <t>Arriba</t>
  </si>
  <si>
    <t>Training Groups</t>
  </si>
  <si>
    <t>PT en PT-V stonden niet goed in de eerste tabel</t>
  </si>
  <si>
    <t>Slapping Studs</t>
  </si>
  <si>
    <t>Tony is per september al gestopt, stond nog in de FAM, is er nu uit gehaald.</t>
  </si>
  <si>
    <t>Jonas</t>
  </si>
  <si>
    <t>implemented the changes approved by Tijmen in January. Materials now include materials in stock and not just future purchases.</t>
  </si>
  <si>
    <t>Thimo</t>
  </si>
  <si>
    <t>Thibats</t>
  </si>
  <si>
    <t>Own contributions</t>
  </si>
  <si>
    <t>Halfed their own contribution for their trainer as communicated with the sportscenter</t>
  </si>
  <si>
    <t>Henry</t>
  </si>
  <si>
    <t>Piranha</t>
  </si>
  <si>
    <t>Training Hours</t>
  </si>
  <si>
    <t>Corrected some of Filip's waterpolo training hours.</t>
  </si>
  <si>
    <t>soham</t>
  </si>
  <si>
    <t>Training moments</t>
  </si>
  <si>
    <t>Updated Trainer name foor Ladies</t>
  </si>
  <si>
    <t>Hercules</t>
  </si>
  <si>
    <t xml:space="preserve">Updated training moments. </t>
  </si>
  <si>
    <t>Hippocampus</t>
  </si>
  <si>
    <t>Updated training moments</t>
  </si>
  <si>
    <t xml:space="preserve">Hercules </t>
  </si>
  <si>
    <t>Removed matrial plan as it was effectively empty.</t>
  </si>
  <si>
    <t>DKV Euros</t>
  </si>
  <si>
    <t>Tataros</t>
  </si>
  <si>
    <t>Saggitarius</t>
  </si>
  <si>
    <t>Updated training moments and removed 2021 competition</t>
  </si>
  <si>
    <t>Training Moments and Material Summary</t>
  </si>
  <si>
    <t>Updated training moments and hours. Ammended material summary to show cheaper water polo balls</t>
  </si>
  <si>
    <t>Training Moments and Instruction</t>
  </si>
  <si>
    <t xml:space="preserve">Updated sheet and added preperation time to the PT-V calculation </t>
  </si>
  <si>
    <t>DRV Euros</t>
  </si>
  <si>
    <t>Training Moments</t>
  </si>
  <si>
    <t>Added the additional RTs that are used to assist strength trainings</t>
  </si>
  <si>
    <t>Data, all associations</t>
  </si>
  <si>
    <t>updated for 2025-28 regulations and StOF regulations</t>
  </si>
  <si>
    <t>Included costs associated with association fee and amount over max in 'own contribution' columns. Subsidy for external accomodation is capped at 230€ per member.</t>
  </si>
  <si>
    <t>split performance training up to account for their introduction period</t>
  </si>
  <si>
    <t>Training groups, instruction, accomodation</t>
  </si>
  <si>
    <t>since Honza left at the end of December, the long sprint and technical events groups have been restructured.</t>
  </si>
  <si>
    <t>SUT &amp; SC</t>
  </si>
  <si>
    <t>All associations</t>
  </si>
  <si>
    <t>Everything</t>
  </si>
  <si>
    <t>Approved for academic year 2025-2026. All entries were corrected and checked for accuracy.</t>
  </si>
  <si>
    <t>PT hour count</t>
  </si>
  <si>
    <t>Included PT-Extern trainings in preformance groups tab to calculate the PT contribution</t>
  </si>
  <si>
    <t>DZ Euro</t>
  </si>
  <si>
    <t>RT Training Hours</t>
  </si>
  <si>
    <t>Added the 11 RT's that regularly assist over the weekend</t>
  </si>
  <si>
    <t>changed SC3 to SC2</t>
  </si>
  <si>
    <t>Member Count</t>
  </si>
  <si>
    <t>Corrected membercount</t>
  </si>
  <si>
    <t>Soham</t>
  </si>
  <si>
    <t>vv Drienerlo</t>
  </si>
  <si>
    <t>Instruction &amp; Accomodation</t>
  </si>
  <si>
    <t>Updated Instruction &amp; Accomodation to reflect accurately. Su3 was missing accomodation slot and Futsal matches weeks were larger than  what is actually used</t>
  </si>
  <si>
    <t>Instruction Summery, Instruction</t>
  </si>
  <si>
    <t>Changed the PT-V to 0 as the association pays for it directly out of their own pocket. Judo Wednesday was changed from 2 to 1.5 hours as the original 2 hours were incorrect.</t>
  </si>
  <si>
    <t>Changed Member number</t>
  </si>
  <si>
    <t>Changed member number to 110 from 105 to refelect actual count (Issues with switch in January)</t>
  </si>
  <si>
    <t>Constants</t>
  </si>
  <si>
    <t>Changed Price of Accomodations</t>
  </si>
  <si>
    <t>Updated prices to reflect actual cost</t>
  </si>
  <si>
    <t>Hour Calculation (All)</t>
  </si>
  <si>
    <t>Changed our calcuation for accomodation</t>
  </si>
  <si>
    <t>FIxed hours calcuations</t>
  </si>
  <si>
    <t>Accomodation prices</t>
  </si>
  <si>
    <t>Increased the rate to 55 euros per hour for all training moments</t>
  </si>
  <si>
    <t>Increased the rate of Slagman to the predicted 2026 rate</t>
  </si>
  <si>
    <t>Student Trainers</t>
  </si>
  <si>
    <t>Updated Student Trainer Moments</t>
  </si>
  <si>
    <t>PT contribution</t>
  </si>
  <si>
    <t>Adjusted based on hourly rate and number of weeks</t>
  </si>
  <si>
    <t>Locations</t>
  </si>
  <si>
    <t>SC1</t>
  </si>
  <si>
    <t>SC1 - Half</t>
  </si>
  <si>
    <t>SC2</t>
  </si>
  <si>
    <t>SC2 - Half</t>
  </si>
  <si>
    <t>SC3</t>
  </si>
  <si>
    <t>SC4</t>
  </si>
  <si>
    <t>SC5</t>
  </si>
  <si>
    <t>SC6</t>
  </si>
  <si>
    <t>Dojo</t>
  </si>
  <si>
    <t>Boulder Wall</t>
  </si>
  <si>
    <t>Climbing Wall</t>
  </si>
  <si>
    <t>Artificial Hockey field</t>
  </si>
  <si>
    <t>Artificial Hockey field - Half</t>
  </si>
  <si>
    <t>Artificial Soccer field</t>
  </si>
  <si>
    <t>Artificial Soccer field - Half</t>
  </si>
  <si>
    <t>Basketball</t>
  </si>
  <si>
    <t>Bastille field</t>
  </si>
  <si>
    <t>Beach fields</t>
  </si>
  <si>
    <t>Shooting range</t>
  </si>
  <si>
    <t>Multi/Lacrosse field</t>
  </si>
  <si>
    <t>Multi/Lacrosse field - Half</t>
  </si>
  <si>
    <t>Bootcamp field</t>
  </si>
  <si>
    <t>Multi/Baseball field</t>
  </si>
  <si>
    <t>Tennis court</t>
  </si>
  <si>
    <t>Utrack</t>
  </si>
  <si>
    <t>Verreveld</t>
  </si>
  <si>
    <t>Wsc</t>
  </si>
  <si>
    <t>Indoor pool</t>
  </si>
  <si>
    <t>Outdoor pool</t>
  </si>
  <si>
    <t>External</t>
  </si>
  <si>
    <t>Trainer costs</t>
  </si>
  <si>
    <t>Types of Trainers</t>
  </si>
  <si>
    <t>Types of Training</t>
  </si>
  <si>
    <t>Types of material cost</t>
  </si>
  <si>
    <t>PT Hourly Rate</t>
  </si>
  <si>
    <t>Performance training</t>
  </si>
  <si>
    <t>depreciation</t>
  </si>
  <si>
    <t>PT Prep mult</t>
  </si>
  <si>
    <t>PT-V</t>
  </si>
  <si>
    <t>Performance coaching</t>
  </si>
  <si>
    <t>maintenance</t>
  </si>
  <si>
    <t>PT-V Hourly Rate</t>
  </si>
  <si>
    <t>Dangerous</t>
  </si>
  <si>
    <t>PT-V Multiplier</t>
  </si>
  <si>
    <t>Recreational</t>
  </si>
  <si>
    <t>group/week/year</t>
  </si>
  <si>
    <t>Extern</t>
  </si>
  <si>
    <t>Mentorship</t>
  </si>
  <si>
    <t>RT minimum hours for reimbursement</t>
  </si>
  <si>
    <t>Material Subsidy</t>
  </si>
  <si>
    <t>External Trainer Course</t>
  </si>
  <si>
    <t>Minimum</t>
  </si>
  <si>
    <t xml:space="preserve">Maximum </t>
  </si>
  <si>
    <t>% Financed</t>
  </si>
  <si>
    <t>Accomodation Subsidy</t>
  </si>
  <si>
    <t>% Financed irregular</t>
  </si>
  <si>
    <t>External max</t>
  </si>
  <si>
    <t>Max. percent</t>
  </si>
  <si>
    <t>Assumption</t>
  </si>
  <si>
    <t>Campuscard Multiplier</t>
  </si>
  <si>
    <t>Hours per RT</t>
  </si>
  <si>
    <t>Parameters</t>
  </si>
  <si>
    <t>Inflation</t>
  </si>
  <si>
    <t>Number of Sporters</t>
  </si>
  <si>
    <t>2024-2025</t>
  </si>
  <si>
    <t>Prices</t>
  </si>
  <si>
    <t>UnionCard</t>
  </si>
  <si>
    <t>Association Fee</t>
  </si>
  <si>
    <t>Injury prevention course by Topvorm Twente</t>
  </si>
  <si>
    <t>Locked Deficit</t>
  </si>
  <si>
    <t>StOF groups</t>
  </si>
  <si>
    <t>StOF criteria individual</t>
  </si>
  <si>
    <t>StOF criteria group</t>
  </si>
  <si>
    <t>StOF weights</t>
  </si>
  <si>
    <t>individual</t>
  </si>
  <si>
    <t>member count</t>
  </si>
  <si>
    <t>group</t>
  </si>
  <si>
    <t>number of trainings per week</t>
  </si>
  <si>
    <t>number of trainings weeks per year</t>
  </si>
  <si>
    <t>number of training hours by RT / PT-V</t>
  </si>
  <si>
    <t>number of training groups / teams</t>
  </si>
  <si>
    <t>number of competitions organised</t>
  </si>
  <si>
    <t>number of social activities</t>
  </si>
  <si>
    <t>number of bar days</t>
  </si>
  <si>
    <t>own bar / extra location</t>
  </si>
  <si>
    <t>n/a</t>
  </si>
  <si>
    <t>number of facilities used</t>
  </si>
  <si>
    <t>number of competitions attended</t>
  </si>
  <si>
    <t>ratio of competing teams / training teams</t>
  </si>
  <si>
    <t>Association</t>
  </si>
  <si>
    <t>Nº Student Trainers</t>
  </si>
  <si>
    <t>No compensation</t>
  </si>
  <si>
    <t>UC</t>
  </si>
  <si>
    <t>50% CC</t>
  </si>
  <si>
    <t>Total Compensation</t>
  </si>
  <si>
    <t>UnionCard (UC)</t>
  </si>
  <si>
    <t>75€</t>
  </si>
  <si>
    <t>UnionCard + Assosciation Fee (UC + AF)</t>
  </si>
  <si>
    <t>110€</t>
  </si>
  <si>
    <t>50% CampusCard (CC)</t>
  </si>
  <si>
    <t>62,5€</t>
  </si>
  <si>
    <t>50% CampusCard (CC) + 50% Assosciation Fee (AF)</t>
  </si>
  <si>
    <t>100€</t>
  </si>
  <si>
    <t>Cabezota</t>
  </si>
  <si>
    <t>Based on last year's non-UT students</t>
  </si>
  <si>
    <t>DZ Euros</t>
  </si>
  <si>
    <t>High-Tech Hitters</t>
  </si>
  <si>
    <t>Klein Verzet</t>
  </si>
  <si>
    <t>Messed Up</t>
  </si>
  <si>
    <t>Phoenix</t>
  </si>
  <si>
    <t>Piranha Duiken</t>
  </si>
  <si>
    <t>Piranha ZPR</t>
  </si>
  <si>
    <t>Sagittarius</t>
  </si>
  <si>
    <t>Stretchers</t>
  </si>
  <si>
    <t>Own contribution</t>
  </si>
  <si>
    <t>Performance</t>
  </si>
  <si>
    <t>Performance costs</t>
  </si>
  <si>
    <t>Recreational Training</t>
  </si>
  <si>
    <t>Recreational Costs</t>
  </si>
  <si>
    <t>Accommodation hours</t>
  </si>
  <si>
    <t>Accommodation costs</t>
  </si>
  <si>
    <t>Materials costs</t>
  </si>
  <si>
    <t>Sector</t>
  </si>
  <si>
    <t>Members</t>
  </si>
  <si>
    <t>Regular training?</t>
  </si>
  <si>
    <t>Instruction PT</t>
  </si>
  <si>
    <t>Paid recreational</t>
  </si>
  <si>
    <t>External accomodation over max</t>
  </si>
  <si>
    <t>Over max</t>
  </si>
  <si>
    <t>Association fee basic</t>
  </si>
  <si>
    <t>Association fee correction</t>
  </si>
  <si>
    <t>Prof trainer training</t>
  </si>
  <si>
    <t>Prof trainer coaching</t>
  </si>
  <si>
    <t>ZZP 
training</t>
  </si>
  <si>
    <t>ZZP
coaching</t>
  </si>
  <si>
    <t>Volunteer
Training</t>
  </si>
  <si>
    <t>Volunteer coaching</t>
  </si>
  <si>
    <t>Recreational trainer</t>
  </si>
  <si>
    <t>Volunteer</t>
  </si>
  <si>
    <t># of RT</t>
  </si>
  <si>
    <t>Prof trainer Recreational</t>
  </si>
  <si>
    <t>Prof Trainer
Dangerous</t>
  </si>
  <si>
    <t>ZZP 
Recreational</t>
  </si>
  <si>
    <t>ZZP
Dangerous</t>
  </si>
  <si>
    <t>Volunteer
Recreational</t>
  </si>
  <si>
    <t>Volunteer
Dangerous</t>
  </si>
  <si>
    <t>Extern
Recreational</t>
  </si>
  <si>
    <t>Extern 
Dangerous</t>
  </si>
  <si>
    <t>External trainer course</t>
  </si>
  <si>
    <t>Costs of RT</t>
  </si>
  <si>
    <t>Intern</t>
  </si>
  <si>
    <t>Scaled Internal costs</t>
  </si>
  <si>
    <t>Financed extern</t>
  </si>
  <si>
    <t>Financed</t>
  </si>
  <si>
    <t>Per member</t>
  </si>
  <si>
    <t>Percentage of average</t>
  </si>
  <si>
    <t>per member</t>
  </si>
  <si>
    <t>Totals:</t>
  </si>
  <si>
    <t>Total deficit</t>
  </si>
  <si>
    <t>Scale</t>
  </si>
  <si>
    <t>D.S.T.V. Aloha</t>
  </si>
  <si>
    <t>Name representative:</t>
  </si>
  <si>
    <t>Jonas Dalitz</t>
  </si>
  <si>
    <t xml:space="preserve">Representative 25/26: </t>
  </si>
  <si>
    <t>Roald</t>
  </si>
  <si>
    <t>Sector:</t>
  </si>
  <si>
    <t>Application date:</t>
  </si>
  <si>
    <t>Approved:</t>
  </si>
  <si>
    <t>Blue = To be filled in by the SUT</t>
  </si>
  <si>
    <t>Yellow = To be filled in by association</t>
  </si>
  <si>
    <t># Members:</t>
  </si>
  <si>
    <t>Remarks:</t>
  </si>
  <si>
    <t>Estimated contribution/year:</t>
  </si>
  <si>
    <t>For association</t>
  </si>
  <si>
    <t>Based on January 2025 counting in DMS</t>
  </si>
  <si>
    <t>Weekly training and Physical activities</t>
  </si>
  <si>
    <t>yes</t>
  </si>
  <si>
    <t>Number of Training Groups</t>
  </si>
  <si>
    <t>Total Members in Groups</t>
  </si>
  <si>
    <t>StOF type of sport</t>
  </si>
  <si>
    <t>Instruction Summary</t>
  </si>
  <si>
    <t>Accommodation Summary</t>
  </si>
  <si>
    <t>Material Summary</t>
  </si>
  <si>
    <t>Own Contributions</t>
  </si>
  <si>
    <t>Internal</t>
  </si>
  <si>
    <t xml:space="preserve">Financed </t>
  </si>
  <si>
    <t>Performance Training</t>
  </si>
  <si>
    <t>Hours</t>
  </si>
  <si>
    <t>Association fee</t>
  </si>
  <si>
    <t>Mentorship Costs</t>
  </si>
  <si>
    <t>External Trainer Course Costs</t>
  </si>
  <si>
    <t>Keep in mind</t>
  </si>
  <si>
    <t>In the new model, professional trainers will only be compensated for performance teams</t>
  </si>
  <si>
    <t>StOF</t>
  </si>
  <si>
    <t>Costs for a professional trainer will be €500/year for every weekly practice (up to two training moments)</t>
  </si>
  <si>
    <t>Item</t>
  </si>
  <si>
    <t>Type (depreciation/maintenance)</t>
  </si>
  <si>
    <t>Score</t>
  </si>
  <si>
    <t>General remarks / clarification</t>
  </si>
  <si>
    <t>Consult the Facilities Allocation Model (Dutch: Richtlijnen faciliteitentoekenning) for the  definitions of a performance team</t>
  </si>
  <si>
    <t>Total number of training weeks may not update automatically if there is no training group consistently training every week.</t>
  </si>
  <si>
    <t>Costs for coaching for matches will be €500</t>
  </si>
  <si>
    <t>Materials will be subsidised based on depreciation. 80% of material depreciation between €10 - €135 per member will be reimbursed</t>
  </si>
  <si>
    <t>2 trainings per member are facilitated, so please specify overlap in traininggroups in the remarks</t>
  </si>
  <si>
    <t>Associations that do not offer weekly practice or physical sports activities, only get 50% of material reimbursed and only get facilities for 1 training per week</t>
  </si>
  <si>
    <t>Training groups</t>
  </si>
  <si>
    <t>Group</t>
  </si>
  <si>
    <t>Group size</t>
  </si>
  <si>
    <t>Trainings per week</t>
  </si>
  <si>
    <t>Weeks per year</t>
  </si>
  <si>
    <t>Type of trainer</t>
  </si>
  <si>
    <t>(Expected) Level</t>
  </si>
  <si>
    <t>Remarks/clarification</t>
  </si>
  <si>
    <t>General Remarks/Clarification</t>
  </si>
  <si>
    <t xml:space="preserve">Aloha - volledig </t>
  </si>
  <si>
    <t>Winter: 9   Summer: 7</t>
  </si>
  <si>
    <t>PT-V &amp; RT</t>
  </si>
  <si>
    <t>As discussed, everyone is for the moment a recreational sporter</t>
  </si>
  <si>
    <t>SUM</t>
  </si>
  <si>
    <t>Performance Groups (Copy from Performance Plan)</t>
  </si>
  <si>
    <t>Who</t>
  </si>
  <si>
    <t>Type of Trainer</t>
  </si>
  <si>
    <t>Training per week</t>
  </si>
  <si>
    <t>Hours per week</t>
  </si>
  <si>
    <t>Coaching?</t>
  </si>
  <si>
    <t>Athletes that participate
in national competition:
the division teams (ere,
first, second, third)</t>
  </si>
  <si>
    <t>Varying trainers</t>
  </si>
  <si>
    <t>4.0</t>
  </si>
  <si>
    <t>no</t>
  </si>
  <si>
    <t>These are the Aloha training hours, but the athletes also do training hours outside of this</t>
  </si>
  <si>
    <t>Coaching is done by teammates and captains</t>
  </si>
  <si>
    <t>Individuals</t>
  </si>
  <si>
    <t>Instruction</t>
  </si>
  <si>
    <t>Training group</t>
  </si>
  <si>
    <t>Type of training</t>
  </si>
  <si>
    <t># Weeks</t>
  </si>
  <si>
    <t># Times/week</t>
  </si>
  <si>
    <t>Total hours/week</t>
  </si>
  <si>
    <t>Total hours</t>
  </si>
  <si>
    <t>Name of trainer</t>
  </si>
  <si>
    <t>Hourly rate</t>
  </si>
  <si>
    <t>Remarks/Clarification</t>
  </si>
  <si>
    <t>General remarks/clarification</t>
  </si>
  <si>
    <t>Aloha Hardlopen - volledig</t>
  </si>
  <si>
    <t>Trainerspool</t>
  </si>
  <si>
    <t>All of our member train together, therefore it is combined into ''volledig'', as discussed, for now, all our members are put under ''Recreational''
All RT's get paid 7,50/hour from their own internal budget.
Tommie, Dagmar &amp; Mees will be the "head trainers" of each sport. Mees will be the PT-V on paper, but all have a contract with Aloha. The PT-V money will be divided internally</t>
  </si>
  <si>
    <t>Aloha Zwemmen - Advanced</t>
  </si>
  <si>
    <t>Mees Flapper</t>
  </si>
  <si>
    <t>Aloha Zwemmen - Beginners/intermediate</t>
  </si>
  <si>
    <t>Aloha Fietsen - Advanced</t>
  </si>
  <si>
    <t>Tommie Verouden, Dagmar Schouteten</t>
  </si>
  <si>
    <t>During outdoor season</t>
  </si>
  <si>
    <t>Aloha Fietsen - Beginners/intermediate</t>
  </si>
  <si>
    <t>Aloha Core- volledig</t>
  </si>
  <si>
    <t>Lars Bossink</t>
  </si>
  <si>
    <t>Aloha Spinnen - volledig</t>
  </si>
  <si>
    <t>Accommodation</t>
  </si>
  <si>
    <t>Location</t>
  </si>
  <si>
    <t>Day</t>
  </si>
  <si>
    <t>Duration [hours]</t>
  </si>
  <si>
    <t>Weeks</t>
  </si>
  <si>
    <t>Hours total</t>
  </si>
  <si>
    <t>Priority</t>
  </si>
  <si>
    <t>Hourly rate - unscaled</t>
  </si>
  <si>
    <t>Total cost - unscaled</t>
  </si>
  <si>
    <t>Remarks / Clarification</t>
  </si>
  <si>
    <t>Aloha - volledig</t>
  </si>
  <si>
    <t>Tuesday/Thursday (indoor/outdoor season)</t>
  </si>
  <si>
    <t>The order of priority is:
0. Competition
1. 1st training of performance team
2. 2nd training of performance team
3. 1st training of recreational team
4. 2nd training of recreational team
5. Additional training moments (&gt;42 weeks, 3rd time per week, Tournaments, Internal Competition)
Please write the training groups using the accommodation in Remarks/Clarification</t>
  </si>
  <si>
    <t>Tuesday</t>
  </si>
  <si>
    <t>Wednesday</t>
  </si>
  <si>
    <t>Friday</t>
  </si>
  <si>
    <t>Monday</t>
  </si>
  <si>
    <t>Thursday</t>
  </si>
  <si>
    <t>Aloha Wielerbaan</t>
  </si>
  <si>
    <t>Weekend</t>
  </si>
  <si>
    <t>Materials</t>
  </si>
  <si>
    <t>Purchase / Running costs</t>
  </si>
  <si>
    <t>Depreciation period</t>
  </si>
  <si>
    <t>Amount</t>
  </si>
  <si>
    <t>Costs per year</t>
  </si>
  <si>
    <t>General Bike</t>
  </si>
  <si>
    <t>M</t>
  </si>
  <si>
    <t>When applying for compensation for materials also an Material Application Form should be supplied</t>
  </si>
  <si>
    <t>Replacement of Drivetrain components</t>
  </si>
  <si>
    <t>D</t>
  </si>
  <si>
    <t>Replacement Bikes</t>
  </si>
  <si>
    <t>Swimming attributes</t>
  </si>
  <si>
    <t>V.A.S. Arashi</t>
  </si>
  <si>
    <t>Thimo Swieringa</t>
  </si>
  <si>
    <t>Jiu-Jitsu Advanced</t>
  </si>
  <si>
    <t>dangerous</t>
  </si>
  <si>
    <t>Jiu-Jitsu Beginners</t>
  </si>
  <si>
    <t>Judo</t>
  </si>
  <si>
    <t>Pukulan</t>
  </si>
  <si>
    <t>Taekwondo beginner</t>
  </si>
  <si>
    <t>Taekwondo advanced</t>
  </si>
  <si>
    <t>Taekwondo</t>
  </si>
  <si>
    <t>Mark van Oudheusden</t>
  </si>
  <si>
    <t>Tjerk Susan</t>
  </si>
  <si>
    <t>Erik Laarman</t>
  </si>
  <si>
    <t>Ron Hendriks</t>
  </si>
  <si>
    <t>PT-V, paid for by the association</t>
  </si>
  <si>
    <t>Roy Lufting, Hasan Ockaci
 Roy Lufting, Hasan Ockaci
 Roy Lufting, Hasan Ockaci
 Roy Lufting, Hasan Ockaci
 Roy Lufting, Hasan Ockaci
 Roy Lufting, Hasan Ockaci</t>
  </si>
  <si>
    <t>Trial Suits</t>
  </si>
  <si>
    <t>Boxing Gloves</t>
  </si>
  <si>
    <t>Sparring prtection gear</t>
  </si>
  <si>
    <t>Kicking Pads</t>
  </si>
  <si>
    <t>Boxing Pads</t>
  </si>
  <si>
    <t>Training Knives</t>
  </si>
  <si>
    <t>Soft Sticks</t>
  </si>
  <si>
    <t>Pool Noodles</t>
  </si>
  <si>
    <t>D.B.V. Arriba</t>
  </si>
  <si>
    <t>Gents 1</t>
  </si>
  <si>
    <t>Tweede divisie</t>
  </si>
  <si>
    <t>Gents 2</t>
  </si>
  <si>
    <t>Vierde divisie</t>
  </si>
  <si>
    <t>Gents 3</t>
  </si>
  <si>
    <t>Gents 4</t>
  </si>
  <si>
    <t>Vijfde divisie</t>
  </si>
  <si>
    <t>Ladies 1</t>
  </si>
  <si>
    <t>Ladies 2</t>
  </si>
  <si>
    <t>Recreational 1</t>
  </si>
  <si>
    <t>nvt.</t>
  </si>
  <si>
    <t>Recreational 2</t>
  </si>
  <si>
    <t>Han Krajenveld</t>
  </si>
  <si>
    <t>Chiel Egers</t>
  </si>
  <si>
    <t>Student</t>
  </si>
  <si>
    <t>Recreationals 1</t>
  </si>
  <si>
    <t>Recreationals 2</t>
  </si>
  <si>
    <t>tue</t>
  </si>
  <si>
    <t>thu</t>
  </si>
  <si>
    <t>mon</t>
  </si>
  <si>
    <t>wed</t>
  </si>
  <si>
    <t>Competition</t>
  </si>
  <si>
    <t>sat</t>
  </si>
  <si>
    <t>Deprecation</t>
  </si>
  <si>
    <t>Referee shirts</t>
  </si>
  <si>
    <t>Scrimmage vests</t>
  </si>
  <si>
    <t>Beginners</t>
  </si>
  <si>
    <t>Advanced</t>
  </si>
  <si>
    <t>Gerben Scholten</t>
  </si>
  <si>
    <t>Advanced - Sparring</t>
  </si>
  <si>
    <t>Beginners (RT)</t>
  </si>
  <si>
    <t>New RT hours, Gerben voluntarily assists with the training</t>
  </si>
  <si>
    <t xml:space="preserve">Beginners </t>
  </si>
  <si>
    <t xml:space="preserve">Advanced (sparring) </t>
  </si>
  <si>
    <t>Tueseday</t>
  </si>
  <si>
    <t>Jump ropes (JR100 NEW HANDLE - Decathlon)</t>
  </si>
  <si>
    <t>Jump ropes (If future purchase)</t>
  </si>
  <si>
    <t>Medicine balls 2kg (If future purchase)</t>
  </si>
  <si>
    <t>Medicine balls 4kg (If future purchase)</t>
  </si>
  <si>
    <t>Boxing gloves</t>
  </si>
  <si>
    <t>Head protection</t>
  </si>
  <si>
    <t>Eerste klasse</t>
  </si>
  <si>
    <t>Goal: Eerste klasse</t>
  </si>
  <si>
    <t>The ladies now play on the lowest level because they started this year, but the goal is "Eerste klasse"</t>
  </si>
  <si>
    <t>Lowest class</t>
  </si>
  <si>
    <t>Gents 2 will train in at the same moment with there own student trainer in the same hall as gents 1</t>
  </si>
  <si>
    <t>ladies 2</t>
  </si>
  <si>
    <t>Ladies 2 will train in at the same moment with there own student trainer in the same hall as ladies 1</t>
  </si>
  <si>
    <t>Beach</t>
  </si>
  <si>
    <t>No competition</t>
  </si>
  <si>
    <t>All member who want to play beach</t>
  </si>
  <si>
    <t>Vacant</t>
  </si>
  <si>
    <t>Jan Rene de Groot</t>
  </si>
  <si>
    <t>Gents 1 &amp; Gents 2 - Warming up</t>
  </si>
  <si>
    <t>Ladies 1  &amp; Ladies 2 - Warming up</t>
  </si>
  <si>
    <t>matches</t>
  </si>
  <si>
    <t>Saturday or Sunday</t>
  </si>
  <si>
    <t>Tuesday, Thursday (June -July)</t>
  </si>
  <si>
    <t>Field Balls</t>
  </si>
  <si>
    <t>Beach balls</t>
  </si>
  <si>
    <t>Toon Veen</t>
  </si>
  <si>
    <t>H1</t>
  </si>
  <si>
    <t>3e Klasse (Bond)</t>
  </si>
  <si>
    <t>Bondscompetion is on a national level, so this teams plays higher than the other gents teams</t>
  </si>
  <si>
    <t>H2</t>
  </si>
  <si>
    <t>Overgangsklasse</t>
  </si>
  <si>
    <t>H3</t>
  </si>
  <si>
    <t>1e Klasse</t>
  </si>
  <si>
    <t>H6</t>
  </si>
  <si>
    <t>2e klasse</t>
  </si>
  <si>
    <t>H7</t>
  </si>
  <si>
    <t>Trains together with HX</t>
  </si>
  <si>
    <t>HX</t>
  </si>
  <si>
    <t>1e klasse</t>
  </si>
  <si>
    <t>Trains together with H7</t>
  </si>
  <si>
    <t>D1</t>
  </si>
  <si>
    <t>3e klasse (bonds)</t>
  </si>
  <si>
    <t>Bondscompetion is on a national level, so this teams plays higher than the other ladies teams</t>
  </si>
  <si>
    <t>D2</t>
  </si>
  <si>
    <t>D3</t>
  </si>
  <si>
    <t>this is a PT-V trainer that DHC pays for themselves</t>
  </si>
  <si>
    <t>D5</t>
  </si>
  <si>
    <t>3e klasse</t>
  </si>
  <si>
    <t>D6</t>
  </si>
  <si>
    <t>D7</t>
  </si>
  <si>
    <t>D8</t>
  </si>
  <si>
    <t xml:space="preserve">Dames 5,7,8 gaat volgend jaar 1 extra training per week doen </t>
  </si>
  <si>
    <t>D9</t>
  </si>
  <si>
    <t>-</t>
  </si>
  <si>
    <t>D2,5,6,7,8,9</t>
  </si>
  <si>
    <t>see above, under evaluation</t>
  </si>
  <si>
    <t>No coach yet</t>
  </si>
  <si>
    <t>Simon Blanford</t>
  </si>
  <si>
    <t>Thomas van Kuipers en Bas van der Steenhoven</t>
  </si>
  <si>
    <t>see above</t>
  </si>
  <si>
    <t>Winter maar buiten</t>
  </si>
  <si>
    <t>H1 (zaal)</t>
  </si>
  <si>
    <t>H1 coaching</t>
  </si>
  <si>
    <t>Recht op 35w x 4h</t>
  </si>
  <si>
    <t>H2 (zaal)</t>
  </si>
  <si>
    <t>D1 (zaal)</t>
  </si>
  <si>
    <t>D1 coaching</t>
  </si>
  <si>
    <t>PT-V of RT</t>
  </si>
  <si>
    <t>D3 (zaal)</t>
  </si>
  <si>
    <t>D3 (coaching)</t>
  </si>
  <si>
    <t>H10</t>
  </si>
  <si>
    <t>D5,7,8</t>
  </si>
  <si>
    <t>Keeperstraining</t>
  </si>
  <si>
    <t>Zomertraining</t>
  </si>
  <si>
    <t>reevaluate with new trainer</t>
  </si>
  <si>
    <t>Preferably 44 weeks so preparation before the season is possible</t>
  </si>
  <si>
    <t>D1/H2</t>
  </si>
  <si>
    <t>Preferably 44 weeks so preparation before the season is possible. Together on one field</t>
  </si>
  <si>
    <t>H2/D3</t>
  </si>
  <si>
    <t>Preferably 44 weeks so preparation before the season is possible.</t>
  </si>
  <si>
    <t>H3/keeperstraing</t>
  </si>
  <si>
    <t>Together on one field</t>
  </si>
  <si>
    <t>D5/H6</t>
  </si>
  <si>
    <t>D7/D8</t>
  </si>
  <si>
    <t>D2/D7</t>
  </si>
  <si>
    <t>H7/H10/D6</t>
  </si>
  <si>
    <t>D8/D9</t>
  </si>
  <si>
    <t>Zaal</t>
  </si>
  <si>
    <t>Training H1, H2, D1, D3, H3 and often a mix team. These 3 hours are given last years</t>
  </si>
  <si>
    <t>Training H1, H2, D1, D3, H3 and often a mix team. Often time was available last years on Friday for extra training as we have to many teams for 3 hours.</t>
  </si>
  <si>
    <t>Sunday</t>
  </si>
  <si>
    <t>Number of games during a weekend is variable. An average of 7 hours on the artificial hockey field is required</t>
  </si>
  <si>
    <t>Number of games during a weekend is variable. An average of 3,5 hours on the multi/lacrosse field is required</t>
  </si>
  <si>
    <t>Zomertrainingen</t>
  </si>
  <si>
    <t>Thrusday</t>
  </si>
  <si>
    <t>Kickers</t>
  </si>
  <si>
    <t>Depreciation</t>
  </si>
  <si>
    <t>Legguards</t>
  </si>
  <si>
    <t>Stick glove</t>
  </si>
  <si>
    <t>Catch glove</t>
  </si>
  <si>
    <t>Body protector</t>
  </si>
  <si>
    <t>Elbow protector</t>
  </si>
  <si>
    <t>Padded pant</t>
  </si>
  <si>
    <t>Overpant</t>
  </si>
  <si>
    <t>Abdominal guard</t>
  </si>
  <si>
    <t>Helmet</t>
  </si>
  <si>
    <t>Throat protector</t>
  </si>
  <si>
    <t>Legguard straps</t>
  </si>
  <si>
    <t>Maintenance</t>
  </si>
  <si>
    <t>Kicker straps set(10)</t>
  </si>
  <si>
    <t>Indoor straps set(12)</t>
  </si>
  <si>
    <t>Indoor covers</t>
  </si>
  <si>
    <t>Goalie bag</t>
  </si>
  <si>
    <t>Corner masks</t>
  </si>
  <si>
    <t>Balls field</t>
  </si>
  <si>
    <t>Balls indoor</t>
  </si>
  <si>
    <t>Training small cones set(12)</t>
  </si>
  <si>
    <t>Training large cones set(12)</t>
  </si>
  <si>
    <t>Ball bags</t>
  </si>
  <si>
    <t>Bibs</t>
  </si>
  <si>
    <t>Large ropes</t>
  </si>
  <si>
    <t>Keepers training material D’flecta</t>
  </si>
  <si>
    <t>Keepers training material KatChet</t>
  </si>
  <si>
    <t>Field markers (12)</t>
  </si>
  <si>
    <t>Rebounce box</t>
  </si>
  <si>
    <t>Henry Harris</t>
  </si>
  <si>
    <t>partial</t>
  </si>
  <si>
    <t>Multiple sports, bit of both</t>
  </si>
  <si>
    <t>Euros bar will be open around November</t>
  </si>
  <si>
    <t>Flatwater preformance</t>
  </si>
  <si>
    <t xml:space="preserve">A lot of members are in multiple groups </t>
  </si>
  <si>
    <t>Kanopolo Preformance</t>
  </si>
  <si>
    <t>Flatwater recreational</t>
  </si>
  <si>
    <t>Kanopolo Recreational</t>
  </si>
  <si>
    <t>Freestyle Recreational</t>
  </si>
  <si>
    <t>Whitewater performance</t>
  </si>
  <si>
    <t>Has two day trips per month, during 6-8 months</t>
  </si>
  <si>
    <t>Whitewater recreational</t>
  </si>
  <si>
    <t>Has one trip per month, during 6-8 months</t>
  </si>
  <si>
    <t>Tour recreational</t>
  </si>
  <si>
    <t>Marten van den Brink</t>
  </si>
  <si>
    <t xml:space="preserve">Kanopolo Preformance </t>
  </si>
  <si>
    <t>Jelte Klas Wijna</t>
  </si>
  <si>
    <t xml:space="preserve">Whitewater preformance </t>
  </si>
  <si>
    <t>Flatwater Preformance</t>
  </si>
  <si>
    <t>Flatwater Preformance + Flatwater recreational</t>
  </si>
  <si>
    <t>Thursdays</t>
  </si>
  <si>
    <t>Kanopolo Preformance + Freestyle Recrational</t>
  </si>
  <si>
    <t xml:space="preserve">Freestyle recreational </t>
  </si>
  <si>
    <t xml:space="preserve">Saturday </t>
  </si>
  <si>
    <t>Flatwater recreational + Kanopolo Recreational</t>
  </si>
  <si>
    <t>Flatwater</t>
  </si>
  <si>
    <t>K1</t>
  </si>
  <si>
    <t>K1's are used for both more advanced recreational paddlers and performance athletes</t>
  </si>
  <si>
    <t>K2</t>
  </si>
  <si>
    <t>K2's are two person boats, used for both more advanced recreational paddlers and performance athletes</t>
  </si>
  <si>
    <t>Sk</t>
  </si>
  <si>
    <t>SK's are used for beginner and recreational paddlers</t>
  </si>
  <si>
    <t>Wings</t>
  </si>
  <si>
    <t>Special shaped paddles for use in K1s/K2s and K4s</t>
  </si>
  <si>
    <t>Flatblades</t>
  </si>
  <si>
    <t>Paddles for use by beginners and recreational paddlers</t>
  </si>
  <si>
    <t>Spraydesks</t>
  </si>
  <si>
    <t>Spraydecks to cover the boats while paddling</t>
  </si>
  <si>
    <t>C3</t>
  </si>
  <si>
    <t>Single bladed paddle</t>
  </si>
  <si>
    <t>Ergometers</t>
  </si>
  <si>
    <t>Polo</t>
  </si>
  <si>
    <t>Polo balls</t>
  </si>
  <si>
    <t>Polo balls, 6 new ones are bought each year, required for matches. Balls degrade quickly because of outside use.</t>
  </si>
  <si>
    <t>Polo boats</t>
  </si>
  <si>
    <t>Polo kayaks</t>
  </si>
  <si>
    <t>Polo Helmets</t>
  </si>
  <si>
    <t>Polo paddles</t>
  </si>
  <si>
    <t>Polo Paddles</t>
  </si>
  <si>
    <t>Polo bouyancy aids</t>
  </si>
  <si>
    <t>Polo life jackets</t>
  </si>
  <si>
    <t>Polo spraydecks</t>
  </si>
  <si>
    <t>Polo spray decks</t>
  </si>
  <si>
    <t>Freestyle</t>
  </si>
  <si>
    <t>Freestyle boats</t>
  </si>
  <si>
    <t>Freestyle kayaks</t>
  </si>
  <si>
    <t>Whitewater</t>
  </si>
  <si>
    <t>3PC/4PC paddle</t>
  </si>
  <si>
    <t>Backup paddle for safety/emergency use</t>
  </si>
  <si>
    <t>Airbags</t>
  </si>
  <si>
    <t>Air bags to keep the boats afloat in case of emergency exit</t>
  </si>
  <si>
    <t>Throwbag</t>
  </si>
  <si>
    <t>Throwbag (safety equipment)</t>
  </si>
  <si>
    <t>White water boat</t>
  </si>
  <si>
    <t>Whitewater boats</t>
  </si>
  <si>
    <t>White watter paddles</t>
  </si>
  <si>
    <t>Whitewater paddles</t>
  </si>
  <si>
    <t>White water life jackets</t>
  </si>
  <si>
    <t>Whitewater bouyancy aids</t>
  </si>
  <si>
    <t>General Materials</t>
  </si>
  <si>
    <t>Small materials maintenance</t>
  </si>
  <si>
    <t>All disciplines, estimate based on previous years</t>
  </si>
  <si>
    <t>Team 1 + 2 + M1</t>
  </si>
  <si>
    <t>5th, Mannen Veer 1, 6th devision</t>
  </si>
  <si>
    <t>M1 = Men 1</t>
  </si>
  <si>
    <t>Year is from september to januari</t>
  </si>
  <si>
    <t>Team 3 +  M2</t>
  </si>
  <si>
    <t>6th division + Mannen Veer 2</t>
  </si>
  <si>
    <t xml:space="preserve">M2 = Men 2 </t>
  </si>
  <si>
    <t>Team 4 + M3</t>
  </si>
  <si>
    <t>8th division + Mannen Nylon</t>
  </si>
  <si>
    <t>M3 = Men 3</t>
  </si>
  <si>
    <t>non-competitie</t>
  </si>
  <si>
    <t>7th-9th Nylon</t>
  </si>
  <si>
    <t>beginners</t>
  </si>
  <si>
    <t>Daan Boelsma</t>
  </si>
  <si>
    <t>More extensive clarifications can be found in the performance plan</t>
  </si>
  <si>
    <t xml:space="preserve">Daan Boelsma </t>
  </si>
  <si>
    <t>The reason that team 1 has a training combined with team 2/3 is because this is beneficial to team 1 too. More on this is in the performance plan. The same reasoning applies to the 4th team playing together with team 2/3</t>
  </si>
  <si>
    <t xml:space="preserve">This is one group more than that we have had over the years. With a  decrease in members due to Corona this may seem ambitious. However, we expect to number of  beginners to rise again when playing is allowed again, and thus expect a slightly higher number of members in the coming years, as well as an 8th competition team. Besides, during the past years we have always had training groups too big for the room that we have had. As noted in the general remarks of the accommodation, the expectation of being granted a larger hall is non-existent, and thus we found that the only solution was to split three of our groups into four groups (leaving the beginner group as is). On average this group will now consist of roughly 16 players per group (as not everyone plays competitively, and a competition team is on average 6 players). With 3 courts available in SC3, we have room for at most 15 players, in which case each court will have one player on the side throughout the entire training already. Therefore, creating groups larger than we have currently with this division is infeasible, and would significantly worsen the training. </t>
  </si>
  <si>
    <t>As per the performance levels decided by the sports centre this group would not have the right to a professional trainer. However, as indicated in the performance plan we believe teams 2 and 3 deserve to named as such. We therefore want them to be able to receive training from a professional trainer too. In the case that these teams are not granted the status of performance-team, the costs of the professional training would most likely fall to us. If this were to happen, we would probably not be able to afford a professional trainer for all these hours so would likely have to find a solution.
To conclude; we want, and deem it necessary to have, a professional trainer for teams 2 and 3 as well, but are not sure we are able to afford it in all cases.</t>
  </si>
  <si>
    <t>Multiple teams</t>
  </si>
  <si>
    <t>Free play</t>
  </si>
  <si>
    <t>Feather shuttles</t>
  </si>
  <si>
    <t>Nylon shuttles</t>
  </si>
  <si>
    <t>Scoreboards</t>
  </si>
  <si>
    <t>Strings for general rackets</t>
  </si>
  <si>
    <t>Grips for general rackets</t>
  </si>
  <si>
    <t>Explanation costs</t>
  </si>
  <si>
    <t>80%*(135-10)*#members (maximum/member)</t>
  </si>
  <si>
    <t xml:space="preserve">Clarify Euros bar split - Check if group sports is correct for this because they also attend comps often </t>
  </si>
  <si>
    <t>Eerstejaars competitiekolom D.R.V. Euros</t>
  </si>
  <si>
    <t>Clubkolom D.R.V. Euros</t>
  </si>
  <si>
    <t>Eerstejaars Zware Heren</t>
  </si>
  <si>
    <t>3 student coaches</t>
  </si>
  <si>
    <t>Dit zijn 3 studenttrainers die samen 10.5 uur aan training geven. Dit gebeurt veel in tweetallen, hierdoor zij draaien per coach 4.5 uur per week</t>
  </si>
  <si>
    <t>Groepsgroottes verschillen per jaar, maar vallen vrijwel altijd tussen deze limieten op een paar uitschieters waarin grotere groepen zijn na</t>
  </si>
  <si>
    <t>A. Hendriks</t>
  </si>
  <si>
    <t>Dit is krachttraining gegeven door onze profcoach</t>
  </si>
  <si>
    <t>Eerstejaars Lichte Heren</t>
  </si>
  <si>
    <t>Eerstejaars Dames</t>
  </si>
  <si>
    <t>Eerstejaars Lichte Dames</t>
  </si>
  <si>
    <t>Middengroep Zware Heren</t>
  </si>
  <si>
    <t>2 student coaches</t>
  </si>
  <si>
    <t>Deze 2 coaches dragen samen een belasting van 10.5 trainingsuren. Sommige trainingen zullen zonder coach gedraaid worden.</t>
  </si>
  <si>
    <t>Middengroep Lichte Heren</t>
  </si>
  <si>
    <t>Middengroep Dames</t>
  </si>
  <si>
    <t>Middengroep Lichte Dames</t>
  </si>
  <si>
    <t>Wedstrijdkolom D.R.V. Euros</t>
  </si>
  <si>
    <t>Ondersteuning door middel van het maken van trainingsschema's voor de prestatiegroep</t>
  </si>
  <si>
    <t>D.R.V. Wedstrijdkolom krachttraining</t>
  </si>
  <si>
    <t>Dit is krachttraining gegeven door onze profcoach in reguliere weken</t>
  </si>
  <si>
    <t>Dit is krachttraining gegeven door onze profcoach in weken met een wedstrijdweekend</t>
  </si>
  <si>
    <t>D.R.V. Wedstrijdkolom coaching</t>
  </si>
  <si>
    <t>Dit is wedstrijdbegeleiding van onze profcoach op nationale wedstrijden</t>
  </si>
  <si>
    <t>D.R.V. Wedstrijdkolom schema's</t>
  </si>
  <si>
    <t>Eerstejaars Zware Heren boottraining</t>
  </si>
  <si>
    <t>Eerstejaars Lichte Heren boottraining</t>
  </si>
  <si>
    <t>Eerstejaars Dames boottraining</t>
  </si>
  <si>
    <t>Eerstejaars Lichte Dames boottraining</t>
  </si>
  <si>
    <t>4 student coaches per ploeg</t>
  </si>
  <si>
    <t>Gemiddelde aantal competitieploegen afgelopen jaren is 15. Het aantal uren totaal per week is van de 15 ploegen samen geschat, op basis van 2 trainingen van iets minder dan anderhalf uur per training, waarbij meestal 2, soms 1 coach aanwezig is.</t>
  </si>
  <si>
    <t>Variërende coaches per ploeg</t>
  </si>
  <si>
    <t>De clubkolom is nog minder inzichtelijk dan de competitiekolom. We zijn uitgegaan van 25 uur aan coaching gemiddeld door het jaar heen. In de zomer wordt vaak doorgetraind, maar minder frequent. Mensen zitten in meerdere ploegen, coachen meerdere ploegen, etc. De huidige schatting is redelijk conservatief qua coachuren, maar veel ploegen varen ook ongecoacht dus het aantal trainingsuren ligt in realiteit hoger.</t>
  </si>
  <si>
    <t>RC2</t>
  </si>
  <si>
    <t>8x RC2 cursus</t>
  </si>
  <si>
    <t>RC3</t>
  </si>
  <si>
    <t>2x RC3 cursus</t>
  </si>
  <si>
    <t>Arne Hendrinks</t>
  </si>
  <si>
    <t>D.R.V. Wedstrijdkolom</t>
  </si>
  <si>
    <t>Maandag</t>
  </si>
  <si>
    <t>Sinds kort is het WTC afgekocht door de SU. De verroostering gebeurt door het CBE in overleg met de drie Eurossen. De vaste trainingsmoment van de D.R.V. staan ingevoerd in de tabel links. De overige momenten zijn vrij afschrijfbaar of komen voort uit de verroostering van het CBE. Het CBE in samenspraak met de drie Eurossen is de enige partij met zeggenschap over de verroostering en de partijen die in het WTC mogen trainen. Priority is hier dus ook irrelevant, want er wordt gewoon gewerkt met de CBE verroostering.</t>
  </si>
  <si>
    <t>Donderdag</t>
  </si>
  <si>
    <t xml:space="preserve">D.R.V. Competitiekolom </t>
  </si>
  <si>
    <t>Dinsdag</t>
  </si>
  <si>
    <t>L8+</t>
  </si>
  <si>
    <t>Z8+</t>
  </si>
  <si>
    <t>L4+</t>
  </si>
  <si>
    <t>Z4+</t>
  </si>
  <si>
    <t>L4-</t>
  </si>
  <si>
    <t>Z4-</t>
  </si>
  <si>
    <t>L2x</t>
  </si>
  <si>
    <t>2x</t>
  </si>
  <si>
    <t>Z2x</t>
  </si>
  <si>
    <t>LD1x</t>
  </si>
  <si>
    <t>L1x</t>
  </si>
  <si>
    <t>Z1x</t>
  </si>
  <si>
    <t>T1x</t>
  </si>
  <si>
    <t>C4+</t>
  </si>
  <si>
    <t>C2+</t>
  </si>
  <si>
    <t>Ergometer</t>
  </si>
  <si>
    <t>Erg-Bike</t>
  </si>
  <si>
    <t>Boordriem</t>
  </si>
  <si>
    <t>Scullriem</t>
  </si>
  <si>
    <t>12,5</t>
  </si>
  <si>
    <t>Coxbox</t>
  </si>
  <si>
    <t>Krachtruimte inventaris</t>
  </si>
  <si>
    <t>Klein en groot Onderhoud</t>
  </si>
  <si>
    <t>D.Z. Euros</t>
  </si>
  <si>
    <t>A lot of the trainings are on weekends and not in the FAM</t>
  </si>
  <si>
    <t>EUROS 1 
(Team 
Sailing)</t>
  </si>
  <si>
    <t>Team sailing against other student sailing associations through the nestor Trophy</t>
  </si>
  <si>
    <t>Total 180-190 sailing days</t>
  </si>
  <si>
    <t>EUROS 2 
(Team 
Sailing)</t>
  </si>
  <si>
    <t>24 hour 
team</t>
  </si>
  <si>
    <t>Kustzeilers 24 hour race RT</t>
  </si>
  <si>
    <t>Sea Sailing 
Race Team</t>
  </si>
  <si>
    <t>ZZR racing match in croatia against other student sailing teams</t>
  </si>
  <si>
    <t xml:space="preserve">workout </t>
  </si>
  <si>
    <t>work out on the Thursday together with D.K.V.</t>
  </si>
  <si>
    <t>Boat training</t>
  </si>
  <si>
    <t>RT's Weekend</t>
  </si>
  <si>
    <t>11 RT's that help out over the weekend trainings added per agreement with the SUT</t>
  </si>
  <si>
    <t>berth Jaffa summer fee</t>
  </si>
  <si>
    <t>If the boat stays in the water the winter fee is €418,- at this moment.</t>
  </si>
  <si>
    <t xml:space="preserve">beth Witte Draeck </t>
  </si>
  <si>
    <t xml:space="preserve">berth Off Duty </t>
  </si>
  <si>
    <t>Workout</t>
  </si>
  <si>
    <t>berth Jaffa winter fee</t>
  </si>
  <si>
    <t xml:space="preserve">Yearly amount, but only goes to storage every two years. So they save up every year for the upcoming year. </t>
  </si>
  <si>
    <t>De Witte Draeck</t>
  </si>
  <si>
    <t>The costs per year are dependent on the differing depreciation amounts per year</t>
  </si>
  <si>
    <t>Off Duty</t>
  </si>
  <si>
    <t>Jaffa</t>
  </si>
  <si>
    <t>Dwarsligger</t>
  </si>
  <si>
    <t>Topper Topaz (4 boats combined)</t>
  </si>
  <si>
    <t>Laser ILCA + optimist</t>
  </si>
  <si>
    <t>Coach boat</t>
  </si>
  <si>
    <t>vv Harambee</t>
  </si>
  <si>
    <t>3e divisie</t>
  </si>
  <si>
    <t>Promoted ro 2e divisie</t>
  </si>
  <si>
    <t>Promotieklasse</t>
  </si>
  <si>
    <t>Gents 5</t>
  </si>
  <si>
    <t>Gents 6</t>
  </si>
  <si>
    <t>Gents 7</t>
  </si>
  <si>
    <t>Gents 8</t>
  </si>
  <si>
    <t>Gents 9</t>
  </si>
  <si>
    <t xml:space="preserve">3e klasse </t>
  </si>
  <si>
    <t>Gents 10</t>
  </si>
  <si>
    <t>Gents 11</t>
  </si>
  <si>
    <t>Go to Promotieklasse</t>
  </si>
  <si>
    <t>Ladies 3</t>
  </si>
  <si>
    <t>Go to 2e Klasse</t>
  </si>
  <si>
    <t>Ladies 4</t>
  </si>
  <si>
    <t>Ladies 5</t>
  </si>
  <si>
    <t>Ladies 6</t>
  </si>
  <si>
    <t>Ladies 7</t>
  </si>
  <si>
    <t>4e klasse</t>
  </si>
  <si>
    <t>Ladies 8</t>
  </si>
  <si>
    <t>Mix 1</t>
  </si>
  <si>
    <t>Play internal competition</t>
  </si>
  <si>
    <t>Mix 2</t>
  </si>
  <si>
    <t>Mix 3</t>
  </si>
  <si>
    <t>Mix 4</t>
  </si>
  <si>
    <t>Mix 5</t>
  </si>
  <si>
    <t>Mix 6</t>
  </si>
  <si>
    <t>Mix 7</t>
  </si>
  <si>
    <t>Mix 8</t>
  </si>
  <si>
    <t>Mix 9</t>
  </si>
  <si>
    <t>Mix 10</t>
  </si>
  <si>
    <t>Mix 11</t>
  </si>
  <si>
    <t>Mix 12</t>
  </si>
  <si>
    <t>Mix Nevobo 1</t>
  </si>
  <si>
    <t>Mix Nevobo 2</t>
  </si>
  <si>
    <t>Beach Men 1</t>
  </si>
  <si>
    <t>Play internal competition, there is no competition in the region</t>
  </si>
  <si>
    <t>Beach Men 2</t>
  </si>
  <si>
    <t>Beach Men 3</t>
  </si>
  <si>
    <t>Beach Men 4</t>
  </si>
  <si>
    <t>Beach Men 5</t>
  </si>
  <si>
    <t>Beach Men 6</t>
  </si>
  <si>
    <t>Beach Men 7</t>
  </si>
  <si>
    <t>Beach Men 8</t>
  </si>
  <si>
    <t>Beach Men 9</t>
  </si>
  <si>
    <t>Beach Men 10</t>
  </si>
  <si>
    <t>Beach Men 11</t>
  </si>
  <si>
    <t>Beach Men 12</t>
  </si>
  <si>
    <t>Beach Ladies 1</t>
  </si>
  <si>
    <t>Beach Ladies 2</t>
  </si>
  <si>
    <t>Beach Ladies 3</t>
  </si>
  <si>
    <t>Beach Ladies 4</t>
  </si>
  <si>
    <t>Beach Ladies 5</t>
  </si>
  <si>
    <t>M. Constantinovici</t>
  </si>
  <si>
    <t>H. Boevink</t>
  </si>
  <si>
    <t xml:space="preserve">Fine as long as recreational trainers </t>
  </si>
  <si>
    <t>Gerben Kars</t>
  </si>
  <si>
    <t>Mix Nevobo 1/2</t>
  </si>
  <si>
    <t>Mix 1,2,3,4</t>
  </si>
  <si>
    <t>Mix 5,6,7,8</t>
  </si>
  <si>
    <t>Mix 9,10,11,12</t>
  </si>
  <si>
    <t>Extra Training Gents 1</t>
  </si>
  <si>
    <t>Previous years was used as Beach Performance training for Gents 1 &amp; 2 Beach</t>
  </si>
  <si>
    <t>Beach group Men's A</t>
  </si>
  <si>
    <t>Beach group Men's B</t>
  </si>
  <si>
    <t>Beach group Men's C</t>
  </si>
  <si>
    <t>Beach group Men's D</t>
  </si>
  <si>
    <t>Beach group Men's E</t>
  </si>
  <si>
    <t>Beach group Men's F</t>
  </si>
  <si>
    <t>Beach group Men's G</t>
  </si>
  <si>
    <t>Beach group Ladies A</t>
  </si>
  <si>
    <t>Beach group Ladies B</t>
  </si>
  <si>
    <t>Beach group Ladies C</t>
  </si>
  <si>
    <t xml:space="preserve">Ladies 1 </t>
  </si>
  <si>
    <t>VT 3 Cursus</t>
  </si>
  <si>
    <t>1x VT3 cursus a €750</t>
  </si>
  <si>
    <t>Mentorship ZZP Monica</t>
  </si>
  <si>
    <t>Monica Constantinovici</t>
  </si>
  <si>
    <t>Monday indoor training</t>
  </si>
  <si>
    <t xml:space="preserve">1 3 </t>
  </si>
  <si>
    <t>Tuesday indoor training, summer</t>
  </si>
  <si>
    <t>1,3,4</t>
  </si>
  <si>
    <t>2,4</t>
  </si>
  <si>
    <t>Tuesday indoor training, winter</t>
  </si>
  <si>
    <t>Wednesday indoor training</t>
  </si>
  <si>
    <t xml:space="preserve">Thursday indoor training </t>
  </si>
  <si>
    <t>Position specific training summer period</t>
  </si>
  <si>
    <t>Position specific training winter period</t>
  </si>
  <si>
    <t>1,3</t>
  </si>
  <si>
    <t>Matches - nevobo teams</t>
  </si>
  <si>
    <t>Saturday</t>
  </si>
  <si>
    <t>Matches - mix teams</t>
  </si>
  <si>
    <t>Beach - internal competition</t>
  </si>
  <si>
    <t>Indoor volleyballs</t>
  </si>
  <si>
    <t>Beach volleyballs</t>
  </si>
  <si>
    <t>Other materials</t>
  </si>
  <si>
    <t>D.W.B. Hardboard</t>
  </si>
  <si>
    <t xml:space="preserve">Should be partial </t>
  </si>
  <si>
    <t>Regular wakeboard instruction</t>
  </si>
  <si>
    <t>Wakeboard instructie cursus</t>
  </si>
  <si>
    <t>Instructionweekend 1 - Windsurfing</t>
  </si>
  <si>
    <t>Instructionweekend 2 - Windsurfing</t>
  </si>
  <si>
    <t>Windsurf instructie cursus</t>
  </si>
  <si>
    <t>Wavesurf weekend</t>
  </si>
  <si>
    <t>Kite course new members</t>
  </si>
  <si>
    <t xml:space="preserve">[Please read] Kite instruction for beginners, needed for safety. Up to €50 will be compensated per person doing the course, up to a maximum of €1750. Important condition is that this compensation is only for new members who have never kitesurfed and have already paid their Union Card, verenigingsheffing and membership fee. More experienced kitesurfers are free to do the course, but are not eligible for this compensation. </t>
  </si>
  <si>
    <t>IKO assistent trainer cursus</t>
  </si>
  <si>
    <t>1x cursus à €500</t>
  </si>
  <si>
    <t>Kitesurf clinic cursus</t>
  </si>
  <si>
    <t>4x cursus à €120</t>
  </si>
  <si>
    <t>Klaarstoom cursus</t>
  </si>
  <si>
    <t>2x cursus à €50</t>
  </si>
  <si>
    <t>BSLS cursus</t>
  </si>
  <si>
    <t>6x cursus à €75</t>
  </si>
  <si>
    <t>Wakeboard (Rutbeek)</t>
  </si>
  <si>
    <t>Wakeboard (obstacles)</t>
  </si>
  <si>
    <t xml:space="preserve">To be confirmed </t>
  </si>
  <si>
    <t>Skateboard (De fabriek)</t>
  </si>
  <si>
    <t>Monday or Tuesday</t>
  </si>
  <si>
    <t>Wakeboarding</t>
  </si>
  <si>
    <t>Boards</t>
  </si>
  <si>
    <t>Wakeboardgebruik is afhankelijk van niveau en gewicht van de wakeboarder. Samen met de capiciteit van de wakeboardbaan en het aantal wakeboarders per shift zorgt dit ervoor dat er tijdens wakeboardshifts een aanbod van verschillende wakeboards en bindingen nodig zijn op hetzelfde moment. Reparatie materiaal zijn dingen als extra sluitings mechanismen voor veters op bindingen.       Wakeboard use depends on weight and level of the surfer.</t>
  </si>
  <si>
    <t>Bindings</t>
  </si>
  <si>
    <t>Repair material</t>
  </si>
  <si>
    <t>Windsurfing</t>
  </si>
  <si>
    <t>Het gebruik van windsurfzeilen hangt af van de windsterkte en het niveau van de windsurfer. Welk windsurfboard wordt gebruikt hangt af van de windsterkte, het gewicht en het niveau van de windsurfer. Windsurfmaterialen zoals masten en gieken hangen samen met de maat van het zeil en zijn dus ook afhankelijk van de windsterkte. Accessoires zoals mastverlengers en baseplates zijn nodig om de verschillende onderdelen van het windsurfset aan elkaar te bevestigen. Deze categorie windsurfmateriaal is erg robuust en kopen we daarom tweedehands. De staat is goed te verifiëren, dus is tweedehands materiaal veilig om mee te windsurfen. //  The choice of windsurfing sails depends on the wind strength and the surfer's skill level. Materials like masts and booms are related to the sail sizes and therefore also depend on the wind strength. Mast extenders and baseplates are very durable so we can safely buy them second-hand, as their condition is easy to verify.</t>
  </si>
  <si>
    <t>Sails</t>
  </si>
  <si>
    <t>Booms</t>
  </si>
  <si>
    <t>Masts</t>
  </si>
  <si>
    <t>Fins</t>
  </si>
  <si>
    <t>Baseplate</t>
  </si>
  <si>
    <t>Mast Extensions</t>
  </si>
  <si>
    <t>Perishable accesoires</t>
  </si>
  <si>
    <t>Repair Material</t>
  </si>
  <si>
    <t>Kitesurfing</t>
  </si>
  <si>
    <t>Het gebruk van kites hangt af van de wind- en weersomstandigheden. De keuze van het kiteboard hangt af van het gewicht en niveau van de kiter. Een kitesurfer neemt een range van drie maten kites mee op een vaardag, zodat bij aankomst de juiste kitemaat kan worden gekozen omdat de windsterkte vaak verschilt van de voorspelling tijdens het inpakken. Wanneer de windsterkte verandert, zal er vaak ook een andere grootte kite worden gebruikt. Het komt dus voor dat een kitesurfer meerdere kites op een dag gebruikt. Het is ieder jaar nodig om nieuw materiaal aan te schaffen zodat het materiaalbestand op peil blijft. Kitemateriaal kopen we nieuw omdat het materiaal kwetsbaar is en de staat van het materiaal bij tweedehands aankopen niet bekend is. Het is erg gevaarlijk als kite-materiaal onbekende schade heeft, we kopen dus nieuw materiaal om de veiligheid te waarborgen.  //   The use of kites depends on how much wind there is and the level and weight of the surfer. The use of a kiteboard depends on the level and weight of the surfer. A kiter will bring a range of three kites on a surfing day so that the appropriate size can be selected upon arrival. When conditions change, a kiter may land their kite and lanch another size to accomodate for the different wind strength. A kiter can use several kites on a single day because their choice of material is highly dependent on the conditions. To keep our ranges up to date, new kites are bought every year. We only buy brand new kites, because second hand kites may have hidden damage which can be extremely dangerous. New kites are necessary to guarantee their safety of use.</t>
  </si>
  <si>
    <t>Kites</t>
  </si>
  <si>
    <t>Bars</t>
  </si>
  <si>
    <t>Safety Leashes</t>
  </si>
  <si>
    <t>Pumps</t>
  </si>
  <si>
    <t>Wavesurfing</t>
  </si>
  <si>
    <t>Hardtop</t>
  </si>
  <si>
    <t>Het gebruik van golfsurfboards is afhankelijk van het niveau van de golfsurfer. Om tijdens het golfsurfweekend, de golfsurftrip en de vaardagen genoeg materiaal te hebben om te kunnen surfen is het belangrijk om het huidige materiaalbestand goed en werkend te houden.  //   The use of wave surfing boards depends on the level of the surfer. To make sure that everyone can surf during wave surfing days and weekends, we have to make sure that our stock is sufficient.</t>
  </si>
  <si>
    <t>Softtop</t>
  </si>
  <si>
    <t>Leashes</t>
  </si>
  <si>
    <t>Accesoires</t>
  </si>
  <si>
    <t>Skateboarding</t>
  </si>
  <si>
    <t>Skateboard</t>
  </si>
  <si>
    <t>Surfskate</t>
  </si>
  <si>
    <t>Board bags</t>
  </si>
  <si>
    <t>Protection</t>
  </si>
  <si>
    <t>Group 1</t>
  </si>
  <si>
    <t>Group 2</t>
  </si>
  <si>
    <t>Average</t>
  </si>
  <si>
    <t>Group 3</t>
  </si>
  <si>
    <t>Group 4</t>
  </si>
  <si>
    <t>Group 5</t>
  </si>
  <si>
    <t xml:space="preserve">Tuesday </t>
  </si>
  <si>
    <t xml:space="preserve">Henry Harris </t>
  </si>
  <si>
    <t>PT-Extern</t>
  </si>
  <si>
    <t>All</t>
  </si>
  <si>
    <t>Extern CFT</t>
  </si>
  <si>
    <t>Wensday</t>
  </si>
  <si>
    <t>High Tech Hitters</t>
  </si>
  <si>
    <t>Yori Foppen</t>
  </si>
  <si>
    <t>Baseball beginners</t>
  </si>
  <si>
    <t>beginner</t>
  </si>
  <si>
    <t>Baseball competition</t>
  </si>
  <si>
    <t>5th division</t>
  </si>
  <si>
    <t>A.Kock</t>
  </si>
  <si>
    <t>1.1 in performance plan docs</t>
  </si>
  <si>
    <t>Baseball beginners summer</t>
  </si>
  <si>
    <t>A. Kock/ with student trainer</t>
  </si>
  <si>
    <t>The practice for HTH beginner group is not in the contract and would be voluntarily</t>
  </si>
  <si>
    <t xml:space="preserve">The baseball team trained outside in the baseball field twice a week. The training hours is based on the agreement or field schedule from sportcentrum
In the winter, the association trained inside the sportcentrum and also in the city centre (BASE) based on the agreement with Mark. This allows us to do proper indoor  baseball 
</t>
  </si>
  <si>
    <t>Baseball beginners winter</t>
  </si>
  <si>
    <t>Baseball competition Summer</t>
  </si>
  <si>
    <t>A. Kock</t>
  </si>
  <si>
    <t>Baseball competition Winter</t>
  </si>
  <si>
    <t>Mon and Wed</t>
  </si>
  <si>
    <t>Days are estimates</t>
  </si>
  <si>
    <t>Mon</t>
  </si>
  <si>
    <t>In the winter we train at BASE. Because of the agreement with Mark there are no costs involved.</t>
  </si>
  <si>
    <t>Tue and Wed</t>
  </si>
  <si>
    <t>Wed</t>
  </si>
  <si>
    <t>In the winter we train a few weeks in the sportcenter and also a few weeks at BASE. 11 at the BASE and 6 at the Sportcentre</t>
  </si>
  <si>
    <t>Thur</t>
  </si>
  <si>
    <t>Balls</t>
  </si>
  <si>
    <t>Baseball bat</t>
  </si>
  <si>
    <t>Hitting tees</t>
  </si>
  <si>
    <t>Helmets</t>
  </si>
  <si>
    <t>L-screen</t>
  </si>
  <si>
    <t>Gloves</t>
  </si>
  <si>
    <t>Materialbags</t>
  </si>
  <si>
    <t>Catcher gear</t>
  </si>
  <si>
    <t>Material upkeep</t>
  </si>
  <si>
    <t>Alex Mul</t>
  </si>
  <si>
    <t>Including and higher KNWU level than "base"</t>
  </si>
  <si>
    <t>This training is mainly focussed on the performance team of KV, although other people with similar skill levels can join as well</t>
  </si>
  <si>
    <t>During summer, there is one training per group. However, the groups are not strictly defined. Most members join two trainings per week. The touring team and the performance team join the intermediate training and vice versa.
The summer season lasts 30 weeks (March-End of October)</t>
  </si>
  <si>
    <t>Intermediate</t>
  </si>
  <si>
    <t>This group is in between the performance and the touring, and is joined by both sides, so it is difficult to determine the exact number of people in this group</t>
  </si>
  <si>
    <t>Touring</t>
  </si>
  <si>
    <t>MTB</t>
  </si>
  <si>
    <t>Spinning / Core</t>
  </si>
  <si>
    <t>Performance (wedstrijdrenners)</t>
  </si>
  <si>
    <t>R.J. den Haan</t>
  </si>
  <si>
    <t>2 hours is the standard training. During the holiday there is an occasional training.</t>
  </si>
  <si>
    <t>During summer:</t>
  </si>
  <si>
    <t>- (different student trainers)</t>
  </si>
  <si>
    <t>During winter</t>
  </si>
  <si>
    <t>All groups - core training</t>
  </si>
  <si>
    <t>All groups - Wednesday spinning and core stability</t>
  </si>
  <si>
    <t>Performance (wedstrijdrenners) - Outside training</t>
  </si>
  <si>
    <t>planning to make use of it, but not making use of it now</t>
  </si>
  <si>
    <t>Only during winter</t>
  </si>
  <si>
    <t>All groups - Core training</t>
  </si>
  <si>
    <t>2 en 4</t>
  </si>
  <si>
    <t>As it is joined by all groups, it is considered the second training of the recreational and performance teams</t>
  </si>
  <si>
    <t>Tools</t>
  </si>
  <si>
    <t>€ 400,00</t>
  </si>
  <si>
    <t>MTB jumping training ramp</t>
  </si>
  <si>
    <t>€ 450,00</t>
  </si>
  <si>
    <t>Rental bikes</t>
  </si>
  <si>
    <t>€ 210,00</t>
  </si>
  <si>
    <t>D.A.V. Kronos</t>
  </si>
  <si>
    <t>Suzan Plat</t>
  </si>
  <si>
    <t>Sprint</t>
  </si>
  <si>
    <t>3rd division</t>
  </si>
  <si>
    <t>Because we have different events to train we use different trainers with the technical events training and the core training. This also means that members train different events.</t>
  </si>
  <si>
    <t>Running performance</t>
  </si>
  <si>
    <t>Running recreation</t>
  </si>
  <si>
    <t>technical events performance</t>
  </si>
  <si>
    <t>technical events recreation</t>
  </si>
  <si>
    <t>Circuit training</t>
  </si>
  <si>
    <t>Long sprint</t>
  </si>
  <si>
    <t>Running (Long Distance)</t>
  </si>
  <si>
    <t>Bob Leuvelink</t>
  </si>
  <si>
    <t>45 performance members can train in multiple traininggroups. That's why we speak of a total of 90 performance members.</t>
  </si>
  <si>
    <t>Technical events</t>
  </si>
  <si>
    <t>Renske de Vries</t>
  </si>
  <si>
    <t>Student trainers</t>
  </si>
  <si>
    <t>sprinting</t>
  </si>
  <si>
    <t>Long sprint &amp; technical events</t>
  </si>
  <si>
    <t>Fabienne Buijs</t>
  </si>
  <si>
    <t>given together with multipe events</t>
  </si>
  <si>
    <t>Core training</t>
  </si>
  <si>
    <t>The recreational and performance members train together</t>
  </si>
  <si>
    <t xml:space="preserve">Because we have different events to train, we use different trainers with the technical events training and the core training. </t>
  </si>
  <si>
    <t>Long distance recreational</t>
  </si>
  <si>
    <t>Renske de Vries &amp; Fabienne Buijs</t>
  </si>
  <si>
    <t>The recreational and performance members train together. On Thursdays, the group is combined with the long sprint group and both are trained by Fabienne</t>
  </si>
  <si>
    <t>sprint training</t>
  </si>
  <si>
    <t>Geven elke training samen</t>
  </si>
  <si>
    <t>Long distance performance</t>
  </si>
  <si>
    <t>Kronos Cursus</t>
  </si>
  <si>
    <t>1x cursus à €1000 (ABAT+ cursus niveau 2 is €25, niveau 3 is €675)</t>
  </si>
  <si>
    <t>Fabienne Buijs &amp; Lars van der Valk</t>
  </si>
  <si>
    <t>Lars (RT) does Monday, Fabiënne (PT-V) Thursday</t>
  </si>
  <si>
    <t>Mentorship Bob</t>
  </si>
  <si>
    <t>Long distance training performance
Long distance training recreational
Sprint training recreational
Long sprint performance</t>
  </si>
  <si>
    <t>Rondbaan
Sprintbaan
Priority 1 and 3</t>
  </si>
  <si>
    <t>The Location of the sprint, technical events and long distance training is the UTrack. We do circuit training together with Piranha.</t>
  </si>
  <si>
    <t>Technical events training performance
Technical events training recreational</t>
  </si>
  <si>
    <t>Rondbaan, 
veld &amp; achterbaan
Priotity 1 and 3</t>
  </si>
  <si>
    <t>Circuit training recreational</t>
  </si>
  <si>
    <t>achterbaan</t>
  </si>
  <si>
    <t>Technical events training performance
Long distance training performance
Technical events training recreational
Long sprint performance
Long distance training recreational</t>
  </si>
  <si>
    <t>Rondbaan &amp; achterveld
Veld &amp; achterbaan
Priority 2 and 4</t>
  </si>
  <si>
    <t>Core training recreational</t>
  </si>
  <si>
    <t>SC3, vanaf oktober tot april</t>
  </si>
  <si>
    <t>Competition training</t>
  </si>
  <si>
    <t>n.v.t.</t>
  </si>
  <si>
    <t>FBK Stadion (costs change every year)</t>
  </si>
  <si>
    <t>material rent FBK Stadion</t>
  </si>
  <si>
    <t xml:space="preserve">n/a </t>
  </si>
  <si>
    <t>Annual costs for material hire of FBK Stadion</t>
  </si>
  <si>
    <t>Hurdles</t>
  </si>
  <si>
    <t>Starting blocks</t>
  </si>
  <si>
    <t>Yoga mats green</t>
  </si>
  <si>
    <t>Javelin 600g</t>
  </si>
  <si>
    <t>Javelin 700g</t>
  </si>
  <si>
    <t>Javelin 800g</t>
  </si>
  <si>
    <t>Kettlebell 10kg</t>
  </si>
  <si>
    <t>Speedladder</t>
  </si>
  <si>
    <t>Resistance band heavy</t>
  </si>
  <si>
    <t>Resistance band light</t>
  </si>
  <si>
    <t>Sportradar (speed measurement)</t>
  </si>
  <si>
    <t>Discus 1.75kg</t>
  </si>
  <si>
    <t>Hurdles 35-40cm</t>
  </si>
  <si>
    <t>Medicin ball 3kg</t>
  </si>
  <si>
    <t>Medicin ball 4kg</t>
  </si>
  <si>
    <t>Medicin ball 5kg</t>
  </si>
  <si>
    <t>Shotput 4kg</t>
  </si>
  <si>
    <t>Spring plate (tartan)</t>
  </si>
  <si>
    <t>Putty knife</t>
  </si>
  <si>
    <t>Squatrek</t>
  </si>
  <si>
    <t>hurdle cart</t>
  </si>
  <si>
    <t>hurdle (sharp corner)</t>
  </si>
  <si>
    <t>9+1 broken</t>
  </si>
  <si>
    <t>spade</t>
  </si>
  <si>
    <t>shovel</t>
  </si>
  <si>
    <t>javelin 800</t>
  </si>
  <si>
    <t>javelin 600</t>
  </si>
  <si>
    <t>yellow sprint hurdles</t>
  </si>
  <si>
    <t>red sprint hurdles</t>
  </si>
  <si>
    <t>Discus 1kg</t>
  </si>
  <si>
    <t>Discus 2kg</t>
  </si>
  <si>
    <t>dumbbell 10kg</t>
  </si>
  <si>
    <t>hammer throw 6kg</t>
  </si>
  <si>
    <t>hammer throw 4kg</t>
  </si>
  <si>
    <t>yoga mat black</t>
  </si>
  <si>
    <t>trampoline</t>
  </si>
  <si>
    <t>wheelbarrow</t>
  </si>
  <si>
    <t>sprint sled</t>
  </si>
  <si>
    <t>shotput platform</t>
  </si>
  <si>
    <t>starting blocks</t>
  </si>
  <si>
    <t>step block</t>
  </si>
  <si>
    <t>finish bell</t>
  </si>
  <si>
    <t>shotput orange 4kg</t>
  </si>
  <si>
    <t>Training hats</t>
  </si>
  <si>
    <t>long jump jumping pad</t>
  </si>
  <si>
    <t>measuring tape</t>
  </si>
  <si>
    <t>relay baton</t>
  </si>
  <si>
    <t>HIGHJUMP ROPE</t>
  </si>
  <si>
    <t>resistance bands</t>
  </si>
  <si>
    <t>blue poles</t>
  </si>
  <si>
    <t>high jump mat</t>
  </si>
  <si>
    <t>Stopwatches</t>
  </si>
  <si>
    <t>Performance + recreational</t>
  </si>
  <si>
    <t>Jumping</t>
  </si>
  <si>
    <t>20-25</t>
  </si>
  <si>
    <t>Ellemijnke</t>
  </si>
  <si>
    <t>15-20</t>
  </si>
  <si>
    <t>Competition + recreational</t>
  </si>
  <si>
    <t>Jumping training</t>
  </si>
  <si>
    <t>might change, estimation based on 2024</t>
  </si>
  <si>
    <t>Magnesium</t>
  </si>
  <si>
    <t>Sports tape</t>
  </si>
  <si>
    <t>2 months</t>
  </si>
  <si>
    <t>T.C. Ludica</t>
  </si>
  <si>
    <t>Maarten Vennik</t>
  </si>
  <si>
    <t>15.5.2025</t>
  </si>
  <si>
    <t>Recreatie 4</t>
  </si>
  <si>
    <t>1 group</t>
  </si>
  <si>
    <t>Recreational trainings are offered in groups of 10 so a group size of 110 actually means 11 groups of 10</t>
  </si>
  <si>
    <t>Recreatie 5</t>
  </si>
  <si>
    <t>2 groups</t>
  </si>
  <si>
    <t>Recreatie 6</t>
  </si>
  <si>
    <t>3 groups</t>
  </si>
  <si>
    <t>Recreatie 7</t>
  </si>
  <si>
    <t>6 groups</t>
  </si>
  <si>
    <t>Recreatie 8</t>
  </si>
  <si>
    <t>11 groups</t>
  </si>
  <si>
    <t>Recreatie 9</t>
  </si>
  <si>
    <t>10 Groups</t>
  </si>
  <si>
    <t>Recreatie 10</t>
  </si>
  <si>
    <t>Beginner</t>
  </si>
  <si>
    <t>9 groups</t>
  </si>
  <si>
    <t>Prestatie 2-3</t>
  </si>
  <si>
    <t>Professional</t>
  </si>
  <si>
    <t>Prestatie 3-4</t>
  </si>
  <si>
    <t>Prestatie 4-5</t>
  </si>
  <si>
    <t>Prestatie 5-6</t>
  </si>
  <si>
    <t>5,0</t>
  </si>
  <si>
    <t>Prestatie 6</t>
  </si>
  <si>
    <t>Prestatie 6-7</t>
  </si>
  <si>
    <t>Prestatie 7</t>
  </si>
  <si>
    <t>PT of PT-ZZP</t>
  </si>
  <si>
    <t>Training levels as specified in group column, Group size is estimated based on current development players.</t>
  </si>
  <si>
    <t>Prestatie 2-3-4</t>
  </si>
  <si>
    <t>Robin Salvatori</t>
  </si>
  <si>
    <t>Reiskostenvergoeding 65 p/m
0.2h voorbereidingstijd per uur training
Proftrainer helps RT 35w/ 8pw/ 280 h total
Done by Robin Salvatori/ Han Snijder
This also takes some time to preparate 35w/ 3pw/ 105h total</t>
  </si>
  <si>
    <t>Han Snijder</t>
  </si>
  <si>
    <t>student</t>
  </si>
  <si>
    <t>Cardio</t>
  </si>
  <si>
    <t>Monday Performance</t>
  </si>
  <si>
    <t>Performance: 2 trainings a week, max group of 8, 2 courts each 1,5 hours of training.      
Recreational : 1 training a week, max group of 10 , 2 courts each hour per trainer except cardio which scales with the interest in the training</t>
  </si>
  <si>
    <t>Wednesday Performance</t>
  </si>
  <si>
    <t>Thursday summer Performance</t>
  </si>
  <si>
    <t>Friday summer Performance</t>
  </si>
  <si>
    <t>fri</t>
  </si>
  <si>
    <t>Saturday summer Performance</t>
  </si>
  <si>
    <t>Sat</t>
  </si>
  <si>
    <t>Monday Recreation</t>
  </si>
  <si>
    <t>Tuesday Recreation</t>
  </si>
  <si>
    <t>Wednesday Recreation</t>
  </si>
  <si>
    <t>Thursday Recreation</t>
  </si>
  <si>
    <t>Friday Recreation</t>
  </si>
  <si>
    <t>Cardio Recreation</t>
  </si>
  <si>
    <t>Saterday spring competition</t>
  </si>
  <si>
    <t>Sunday spring competition</t>
  </si>
  <si>
    <t>sun</t>
  </si>
  <si>
    <t>Saterday fall competition</t>
  </si>
  <si>
    <t>Sunday fall competition</t>
  </si>
  <si>
    <t>winter performance</t>
  </si>
  <si>
    <t>Introduction period</t>
  </si>
  <si>
    <t>They are very busy with introduction trainings, meaning no-one else can play during those times</t>
  </si>
  <si>
    <t>UTK</t>
  </si>
  <si>
    <t>Mon-Tue-Wed</t>
  </si>
  <si>
    <t>Ludica open</t>
  </si>
  <si>
    <t>S-S-M-T-W-T-F-S-S</t>
  </si>
  <si>
    <t>Interne Competitie</t>
  </si>
  <si>
    <t>Tue</t>
  </si>
  <si>
    <t>Kersttoernooi</t>
  </si>
  <si>
    <t>Zloty Toernooi</t>
  </si>
  <si>
    <t>Tennis balls</t>
  </si>
  <si>
    <t>deprecation</t>
  </si>
  <si>
    <t>1/3 year</t>
  </si>
  <si>
    <t>Only material used  are tennis balls and training equitpment this is however not more than 4000 euros and can therefore not be subsidised.</t>
  </si>
  <si>
    <t>Tennis racket</t>
  </si>
  <si>
    <t>3 year</t>
  </si>
  <si>
    <t>Sector: 2</t>
  </si>
  <si>
    <t>Eredivisie</t>
  </si>
  <si>
    <t>Gents 1 and 2 Train together</t>
  </si>
  <si>
    <t>2nd division</t>
  </si>
  <si>
    <t>Mixed Teams</t>
  </si>
  <si>
    <t>Non-Competion players</t>
  </si>
  <si>
    <t>Gents 1/Ladies 1</t>
  </si>
  <si>
    <t xml:space="preserve">Would like to have one performance training, however Gents/Ladies 1 does not comply to all the requirements for this. 		
		</t>
  </si>
  <si>
    <t>Open Smallfield</t>
  </si>
  <si>
    <t>Open Largefield</t>
  </si>
  <si>
    <t>Campus buy-off</t>
  </si>
  <si>
    <t>Performance teams 1st practice</t>
  </si>
  <si>
    <t>Recreational team first practice with added performance team second practice and any other member</t>
  </si>
  <si>
    <t xml:space="preserve">Second practice for both performance and recreational teams + every other member </t>
  </si>
  <si>
    <t>Large field competition</t>
  </si>
  <si>
    <t>Performace team home games</t>
  </si>
  <si>
    <t>€ 140.00</t>
  </si>
  <si>
    <t>Material maintenance</t>
  </si>
  <si>
    <t>€ 50.00</t>
  </si>
  <si>
    <t>Goalie Helmet</t>
  </si>
  <si>
    <t>€ 300.00</t>
  </si>
  <si>
    <t>Goalie Pants</t>
  </si>
  <si>
    <t>€ 450.00</t>
  </si>
  <si>
    <t>Goalie Toque</t>
  </si>
  <si>
    <t>€ 90.00</t>
  </si>
  <si>
    <t>Goalie Knee Protectors</t>
  </si>
  <si>
    <t>€ 240.00</t>
  </si>
  <si>
    <t>Goalie Body Protection</t>
  </si>
  <si>
    <t>Goalie Match Jersey</t>
  </si>
  <si>
    <t>€ 180.00</t>
  </si>
  <si>
    <t>Goalie Gloves</t>
  </si>
  <si>
    <t>€ 120.00</t>
  </si>
  <si>
    <t>Whistles</t>
  </si>
  <si>
    <t>€ 30.00</t>
  </si>
  <si>
    <t>Ball bag</t>
  </si>
  <si>
    <t>Stick bag</t>
  </si>
  <si>
    <t>Sticks (left + right)</t>
  </si>
  <si>
    <t>€ 600.00</t>
  </si>
  <si>
    <t>Cones</t>
  </si>
  <si>
    <t>€ 20.00</t>
  </si>
  <si>
    <t>MotorSportGroep</t>
  </si>
  <si>
    <t>Check if their SC location is classedlike a bar</t>
  </si>
  <si>
    <t>Trail Instruction</t>
  </si>
  <si>
    <t>N/A</t>
  </si>
  <si>
    <t>Trial Instruction</t>
  </si>
  <si>
    <t>Baveld</t>
  </si>
  <si>
    <t>Sleutelcursus</t>
  </si>
  <si>
    <t>Trial-Terrain Maintenance</t>
  </si>
  <si>
    <t>Student volunteers</t>
  </si>
  <si>
    <t xml:space="preserve">External help for terrain </t>
  </si>
  <si>
    <t>Floor maintenance Workshop</t>
  </si>
  <si>
    <t>Floor maintenance of workshop reservation</t>
  </si>
  <si>
    <t>Trial terrain digger rent</t>
  </si>
  <si>
    <t>Digger used to move the dirt</t>
  </si>
  <si>
    <t>Grass mowing</t>
  </si>
  <si>
    <t>Sherro 2009 Trial Motorcycle</t>
  </si>
  <si>
    <t>Maintenance Trial Motorcycles</t>
  </si>
  <si>
    <t>Maintenance Trial Van</t>
  </si>
  <si>
    <t>Maintenance Gymkhana Motorcycle</t>
  </si>
  <si>
    <t>Trailers Maintenance</t>
  </si>
  <si>
    <t>Workshop Tools</t>
  </si>
  <si>
    <t>Workshop items consumables</t>
  </si>
  <si>
    <t>Ian Schotel</t>
  </si>
  <si>
    <t>Phoenix Men</t>
  </si>
  <si>
    <t>RT (Pay PTV themselves)</t>
  </si>
  <si>
    <t>Lady Phoenix</t>
  </si>
  <si>
    <t>W. Mulder</t>
  </si>
  <si>
    <t>Studenttrainer poule van 3</t>
  </si>
  <si>
    <t>Monday practice Phoenix Men &amp; Lady</t>
  </si>
  <si>
    <t>Wednesday practice Phoenix Men &amp; Lady</t>
  </si>
  <si>
    <t>Gameday Lady Phoenix</t>
  </si>
  <si>
    <t>Sun</t>
  </si>
  <si>
    <t>Gameday Phoenix Men</t>
  </si>
  <si>
    <t>Lacrosse Balls (120 pcs)</t>
  </si>
  <si>
    <t>Lacrosse Sticks</t>
  </si>
  <si>
    <t>End caps for lacrosse sticks</t>
  </si>
  <si>
    <t>Goalie gloves</t>
  </si>
  <si>
    <t>Throat guard for goalie</t>
  </si>
  <si>
    <t>Goalie stick</t>
  </si>
  <si>
    <t>Chest protector for goalie</t>
  </si>
  <si>
    <t>Goalie pants</t>
  </si>
  <si>
    <t>Do dive weekends count as social activities?</t>
  </si>
  <si>
    <t>OW - binnenbad</t>
  </si>
  <si>
    <t>Full Instructor</t>
  </si>
  <si>
    <t>OWI = Open Water instructor: Geeft de les voor de Open Water cursus en specialties en brevetteert uiteindelijk de cursist</t>
  </si>
  <si>
    <t>Uitleg over de uren: Gedurende het hele jaar zijn er momenten waar men kan instromen in de OW-cursus en specialties. De OW-cursus bestaat bijvoorbeeld uit 2 theorielessen, 6 zwembadlessen en 6 buitenwaterduiken. Om een groep OW-cursisten instructie te geven, is er 1 OWI nodig en 1 AI. De gerekende uren zijn hier de briefing door de instructeurs, de tijd in het water en de debriefing. Het spullen halen uit het duikhok en evt. reizen naar een buitenduikplek zijn hierbij niet meegerekend. Naast de cursussen gaan leden duiken leden ook in het zwembad, duiktoren en buitenwater. Hiervoor is geen instructeur nodig, alleen een Dive Guide, die hiervoor geen vergoeding krijgt. __________________________________________________________ Aanvraag instructie uren: Duiken is een gevaarlijke sport. Bij Piranha bieden we duikcursussen aan waarmee je officiële duikbrevetten kunt halen. Deze cursussen moeten gegeven worden door gecertificeerde trainers. We hebben het geluk dat er studenten binnen de vereniging zijn die hiervoor zijn opgeleid en deze cursussen/trainingen mogen geven. Met de nieuwe regeling zou eigenlijk de subsidie voor deze studenttrainersuren komen te vervallen. Wel zouden we volgens de FAM recht hebben op een SC trainer (want gevaarlijke sport). Daarom zouden wij willen voorstellen dat onze duiktrainers nog wel hun uren uitbetaald krijgen in plaats van de nieuwe regeling voor studenttrainers. Op die manier kunnen wij onze cursussen op voor hetzelfde tarief blijven aanbieden, en is het ook goedkoper voor het SC, omdat zij nu geen nieuwe (professionele) trainer in hoeven te huren.</t>
  </si>
  <si>
    <t>Assistant Instructor</t>
  </si>
  <si>
    <t>OW + Advanced - Duiktoren</t>
  </si>
  <si>
    <t>OWI: 1 instructeur per buitenduik, 28 keer per jaar, 3 uur</t>
  </si>
  <si>
    <t>OW - buitenbad</t>
  </si>
  <si>
    <t>OWI: 8 theorielessen per jaar van 3 uur. 1 instructeur</t>
  </si>
  <si>
    <t>AI = Assistent instructeur: Geeft ondersteuning voor de les voor de Open Water cursus en specialties. Een AI mag de meeste oefeningen doen behalve enkelen met extra risico</t>
  </si>
  <si>
    <t>Advanced - buitenbad</t>
  </si>
  <si>
    <t>OW - Outdoor</t>
  </si>
  <si>
    <t>Advanced - Outdoor</t>
  </si>
  <si>
    <t>OW - Theorie</t>
  </si>
  <si>
    <t>Instructor</t>
  </si>
  <si>
    <t>Advanced - Theorie</t>
  </si>
  <si>
    <t>Dive guide opleidingen</t>
  </si>
  <si>
    <t xml:space="preserve">4x cursus à €310 </t>
  </si>
  <si>
    <t>Assistent instructeur opleidingen</t>
  </si>
  <si>
    <t>2x cursus à €800</t>
  </si>
  <si>
    <t>Instructeuropleiding</t>
  </si>
  <si>
    <t>1x cursus à €1700</t>
  </si>
  <si>
    <t>Duiken (binnenbad)</t>
  </si>
  <si>
    <t>Binnenbadseizoen</t>
  </si>
  <si>
    <t>Duiken (duiktoren)</t>
  </si>
  <si>
    <t>Woensdag</t>
  </si>
  <si>
    <t>Dives get 125 subsidised for 12 dives. Actual duration varies but 1 hour 12 times a year is a simplification</t>
  </si>
  <si>
    <t>Duiken (Buitenbad)</t>
  </si>
  <si>
    <t>Dinsdag/Vrijdag</t>
  </si>
  <si>
    <t>Buitenbadseizoen</t>
  </si>
  <si>
    <t>Duiken (Buitenbad) Advanced</t>
  </si>
  <si>
    <t>Cylinder</t>
  </si>
  <si>
    <t>Regulator</t>
  </si>
  <si>
    <t>Suits &amp; BCS's</t>
  </si>
  <si>
    <t>Wetsuit</t>
  </si>
  <si>
    <t>Drysuit</t>
  </si>
  <si>
    <t>BCD</t>
  </si>
  <si>
    <t>Shoes</t>
  </si>
  <si>
    <t>2.5</t>
  </si>
  <si>
    <t>Caps</t>
  </si>
  <si>
    <t>Hangers</t>
  </si>
  <si>
    <t>Unit = kg. Purchase costs = cost/kg</t>
  </si>
  <si>
    <t>Accessoires</t>
  </si>
  <si>
    <t>Flashlight</t>
  </si>
  <si>
    <t>Computer</t>
  </si>
  <si>
    <t>Compass</t>
  </si>
  <si>
    <t>Mask</t>
  </si>
  <si>
    <t>Snorkel</t>
  </si>
  <si>
    <t>Buoy</t>
  </si>
  <si>
    <t>Knives</t>
  </si>
  <si>
    <t>Maintenance materials</t>
  </si>
  <si>
    <t>Weights (in kg)</t>
  </si>
  <si>
    <t>Storage bins</t>
  </si>
  <si>
    <t>Other</t>
  </si>
  <si>
    <t>Compressor</t>
  </si>
  <si>
    <t>Fill panel</t>
  </si>
  <si>
    <t>Buffers</t>
  </si>
  <si>
    <t>First Aid</t>
  </si>
  <si>
    <t>Oxygen set</t>
  </si>
  <si>
    <t>Suits &amp; BCD's</t>
  </si>
  <si>
    <t>BCD's</t>
  </si>
  <si>
    <t>Waterpolo Gents 1</t>
  </si>
  <si>
    <t>3e divisie-C</t>
  </si>
  <si>
    <t>Waterpolo Gents 2</t>
  </si>
  <si>
    <t>3e klasse-H</t>
  </si>
  <si>
    <t>Waterpolo Ladies</t>
  </si>
  <si>
    <t>2e klasse-H</t>
  </si>
  <si>
    <t>Swimming 1</t>
  </si>
  <si>
    <t>Swimming 2</t>
  </si>
  <si>
    <t>Swimming 3</t>
  </si>
  <si>
    <t>Rescue</t>
  </si>
  <si>
    <t>Rescue Lifeguard training</t>
  </si>
  <si>
    <t>Gents 1 (waterpolo)</t>
  </si>
  <si>
    <t>Filip Banić</t>
  </si>
  <si>
    <t>Ladies 1 (waterpolo)</t>
  </si>
  <si>
    <t>Dit team wordt gecoacht door een student.</t>
  </si>
  <si>
    <t>Zwemmen 1 binnenbad intern</t>
  </si>
  <si>
    <t>Filip Banic</t>
  </si>
  <si>
    <t>Di/do</t>
  </si>
  <si>
    <t>Zwemmen 2 binnenbad intern</t>
  </si>
  <si>
    <t>Zwemmen 3 binnenbad intern</t>
  </si>
  <si>
    <t>Zwemmen 1,2,3 binnenbad extern</t>
  </si>
  <si>
    <t>Er staan op maandag elke week een wisselende studenttrainer en een vrijwilliger langs het bad. Deze regel is de aanvraag voor studenttrainers (RT)</t>
  </si>
  <si>
    <t>Zwemmen 1 buitenbad</t>
  </si>
  <si>
    <t>Zwemmen 2 buitenbad</t>
  </si>
  <si>
    <t>Zwemmen 3 buitenbad</t>
  </si>
  <si>
    <t>Zwemmen 1,2,3 buitenbad</t>
  </si>
  <si>
    <t>Rescue binnenbad intern</t>
  </si>
  <si>
    <t>Danny Verpoort</t>
  </si>
  <si>
    <t>De rescuetraining van 1,5 uur op maandag wordt verdeeld in 2 delen. De eerste 45 minuten worden gegeven door Danny en de tweede 45 minuten worden altijd gegeven door een wisselende studenttrainer.</t>
  </si>
  <si>
    <t xml:space="preserve">Rescue buitenbad </t>
  </si>
  <si>
    <t>Rescue open water/boot trainingen</t>
  </si>
  <si>
    <t>Zie general remarks, kopje openwater/boot training</t>
  </si>
  <si>
    <t xml:space="preserve">Waterpolo binnenbad extern </t>
  </si>
  <si>
    <t>Waterpolo binnenbad intern (H1,D1)</t>
  </si>
  <si>
    <t>1,5 uur op dinsdag, 2 x 1 uur op donderdag</t>
  </si>
  <si>
    <t>Waterpolo binnenbad intern (D1)</t>
  </si>
  <si>
    <t>Waterpolo binnenbad intern (H2)</t>
  </si>
  <si>
    <t>Waterpolo buitenbad</t>
  </si>
  <si>
    <t>Op dinsdag 2x en op donderdag 2x. Heren 2 traint op dinsdag met de dames mee en op donderdag met heren 1 en heeft dus geen aparte instructie nodig tijdens het buitenbadseizoen.</t>
  </si>
  <si>
    <t>Waterpolo buitenbad (D1)</t>
  </si>
  <si>
    <t>Landtraining</t>
  </si>
  <si>
    <t>Landtraining wordt gegeven samen met Kronos. Het wisselt continu wie de training geeft, een lid van Kronos of een lid van Piranha</t>
  </si>
  <si>
    <t>Waterpolo Heren 1</t>
  </si>
  <si>
    <t>Performance team coaching</t>
  </si>
  <si>
    <t>Coaching van heren 1. Aantal weken is afhankelijk van het aantal teams in de poule</t>
  </si>
  <si>
    <t>Zwemmen binnenbad extern</t>
  </si>
  <si>
    <t>Zwemmen binnenbad intern</t>
  </si>
  <si>
    <t>Di/Do/Vrij</t>
  </si>
  <si>
    <t>Zwemmen buitenbad intern</t>
  </si>
  <si>
    <t>Ma/Di/Do</t>
  </si>
  <si>
    <t>Di</t>
  </si>
  <si>
    <t>Ma</t>
  </si>
  <si>
    <t>Waterpolo binnenbad extern</t>
  </si>
  <si>
    <t>Waterpolo binnenbad intern</t>
  </si>
  <si>
    <t>Di/Do</t>
  </si>
  <si>
    <t>WP binnen extern (wedstrijd H1)</t>
  </si>
  <si>
    <t>Zaterdag</t>
  </si>
  <si>
    <t>WP binnen extern (wedstrijd D1+H2)</t>
  </si>
  <si>
    <t>Water polo balls gents and ladies</t>
  </si>
  <si>
    <t>Heavy water polo balls</t>
  </si>
  <si>
    <t>€30.00</t>
  </si>
  <si>
    <t>Medicine balls 3kg</t>
  </si>
  <si>
    <t>€27.00</t>
  </si>
  <si>
    <t>Medicine balls 5 kg</t>
  </si>
  <si>
    <t>€45.00</t>
  </si>
  <si>
    <t>Water polo caps training sets</t>
  </si>
  <si>
    <t>€650.00</t>
  </si>
  <si>
    <t>Water polo caps Competition sets</t>
  </si>
  <si>
    <t>Warming up elastics</t>
  </si>
  <si>
    <t>€59.95</t>
  </si>
  <si>
    <t>Set of 12 water bottles with crate for matches</t>
  </si>
  <si>
    <t>€35.00</t>
  </si>
  <si>
    <t>€15.00</t>
  </si>
  <si>
    <t>€12.99</t>
  </si>
  <si>
    <t>Paddles</t>
  </si>
  <si>
    <t>€20.00</t>
  </si>
  <si>
    <t>Kickboards</t>
  </si>
  <si>
    <t>€14.99</t>
  </si>
  <si>
    <t>GoPro</t>
  </si>
  <si>
    <t>€420.00</t>
  </si>
  <si>
    <t>Dome case</t>
  </si>
  <si>
    <t>€34.65</t>
  </si>
  <si>
    <t>Resistance elastics</t>
  </si>
  <si>
    <t>€46.87</t>
  </si>
  <si>
    <t>Rescue Manikin</t>
  </si>
  <si>
    <t>€235.00</t>
  </si>
  <si>
    <t>Rescue Throwline in bag</t>
  </si>
  <si>
    <t>Rescue Throwline in spool</t>
  </si>
  <si>
    <t>€25.75</t>
  </si>
  <si>
    <t>Rescue Lifeline with harness</t>
  </si>
  <si>
    <t>€38.44</t>
  </si>
  <si>
    <t>Rescue Lifeline</t>
  </si>
  <si>
    <t>€38.00</t>
  </si>
  <si>
    <t>Cubic vests</t>
  </si>
  <si>
    <t>€15.95</t>
  </si>
  <si>
    <t>Storage crates</t>
  </si>
  <si>
    <t>€32.50</t>
  </si>
  <si>
    <t>First Aid crate</t>
  </si>
  <si>
    <t>€40.00</t>
  </si>
  <si>
    <t>Whiteboard</t>
  </si>
  <si>
    <t>Walkie-talkie</t>
  </si>
  <si>
    <t>€100.00</t>
  </si>
  <si>
    <t>Drysuits (Rescue Worksuits)</t>
  </si>
  <si>
    <t>€1,300.00</t>
  </si>
  <si>
    <t>Drysuit hanger/dryer</t>
  </si>
  <si>
    <t>€900.00</t>
  </si>
  <si>
    <t>Lifejackets</t>
  </si>
  <si>
    <t>€75.00</t>
  </si>
  <si>
    <t>Lifeguard jackets</t>
  </si>
  <si>
    <t>Water filter</t>
  </si>
  <si>
    <t>€85.00</t>
  </si>
  <si>
    <t>Engine lock</t>
  </si>
  <si>
    <t>€95.00</t>
  </si>
  <si>
    <t>Drawbar lock</t>
  </si>
  <si>
    <t>€21.00</t>
  </si>
  <si>
    <t>Water vacuum cleaner</t>
  </si>
  <si>
    <t>€200.00</t>
  </si>
  <si>
    <t>Boat hull</t>
  </si>
  <si>
    <t>€1,500.00</t>
  </si>
  <si>
    <t>Engine</t>
  </si>
  <si>
    <t>€1,815.00</t>
  </si>
  <si>
    <t>Boat floorboards</t>
  </si>
  <si>
    <t>€2,500.00</t>
  </si>
  <si>
    <t>Course books Lifesaver</t>
  </si>
  <si>
    <t>Course books Lifeguard</t>
  </si>
  <si>
    <t>Upkeep drysuits and lifejackets</t>
  </si>
  <si>
    <t>€300.00</t>
  </si>
  <si>
    <t>Upkeep engine</t>
  </si>
  <si>
    <t>Upkeep boat</t>
  </si>
  <si>
    <t>Tuesday Training</t>
  </si>
  <si>
    <t>Jan/Jelle</t>
  </si>
  <si>
    <t>HBT2</t>
  </si>
  <si>
    <t>Once Every 4 years</t>
  </si>
  <si>
    <t>Handle</t>
  </si>
  <si>
    <t>Deprication</t>
  </si>
  <si>
    <t>10 Years</t>
  </si>
  <si>
    <t>Limbs</t>
  </si>
  <si>
    <t>Carbon Arrows</t>
  </si>
  <si>
    <t>5 Years</t>
  </si>
  <si>
    <t>Finger Sling</t>
  </si>
  <si>
    <t>“</t>
  </si>
  <si>
    <t>5 Y</t>
  </si>
  <si>
    <t>Finger Tab</t>
  </si>
  <si>
    <t>7 Y</t>
  </si>
  <si>
    <t>Arm Guard</t>
  </si>
  <si>
    <t>Chest Guard</t>
  </si>
  <si>
    <t>10 Y</t>
  </si>
  <si>
    <t>Sight</t>
  </si>
  <si>
    <t>Bow Standard</t>
  </si>
  <si>
    <t>Indoor Targets</t>
  </si>
  <si>
    <t>2 Y</t>
  </si>
  <si>
    <t>Outdoor Targets:</t>
  </si>
  <si>
    <t>5Y</t>
  </si>
  <si>
    <t>10Y</t>
  </si>
  <si>
    <t>Carbon 
Arrows</t>
  </si>
  <si>
    <t>7Y</t>
  </si>
  <si>
    <t>Stabilizer</t>
  </si>
  <si>
    <t>2Y</t>
  </si>
  <si>
    <t>D.S.V. de Skeuvel</t>
  </si>
  <si>
    <t>Jelle van Dijk</t>
  </si>
  <si>
    <t>Rood</t>
  </si>
  <si>
    <t>15-30</t>
  </si>
  <si>
    <t>Races optional but not expected excl. UTK</t>
  </si>
  <si>
    <t>Oranje</t>
  </si>
  <si>
    <t>Geel</t>
  </si>
  <si>
    <t>Groen</t>
  </si>
  <si>
    <t>Blauw</t>
  </si>
  <si>
    <t>Gele Mutsen</t>
  </si>
  <si>
    <t>Hesjesloos</t>
  </si>
  <si>
    <t>Wedstrijdgroep</t>
  </si>
  <si>
    <t>30.00</t>
  </si>
  <si>
    <t>&gt;KNSB Klasse 3</t>
  </si>
  <si>
    <t>Koeno Mulder</t>
  </si>
  <si>
    <t>Winter: Ice Skating</t>
  </si>
  <si>
    <t>All hours given seasonally, training hours are corrected with a factor of 0.5</t>
  </si>
  <si>
    <t>Summer: Condition training</t>
  </si>
  <si>
    <t>Summer: Cycling</t>
  </si>
  <si>
    <t>Summer: Inline Skating</t>
  </si>
  <si>
    <t>Winter</t>
  </si>
  <si>
    <t>Ron besteedt volgens zijn contract 4 uur per week (in de winter en de zomer) aan het zijn van hoofdtrainer. Dit wordt gezien als Mentorship omdat hij trainers begeleidt.</t>
  </si>
  <si>
    <t>Summer</t>
  </si>
  <si>
    <t>Hoofdtrainer IJsbaan</t>
  </si>
  <si>
    <t>Ron Koomen</t>
  </si>
  <si>
    <t>Winter, vanuit de IJsbaan is een gekwalificeerde hoofdtrainer verplicht</t>
  </si>
  <si>
    <t>Coretraining Algemeen</t>
  </si>
  <si>
    <t>Hoofdtrainer Zomer</t>
  </si>
  <si>
    <t>Summer, moet verplicht bij een zomertraining per week zijn</t>
  </si>
  <si>
    <t>Breedtesport Conditietraining</t>
  </si>
  <si>
    <t>Breedtesport Skeelertraining</t>
  </si>
  <si>
    <t>Breedtesport Fietstraining 1</t>
  </si>
  <si>
    <t>Breedtesport Fietstraining 2</t>
  </si>
  <si>
    <t>Breedtesport Fietstraining 3</t>
  </si>
  <si>
    <t>Monday Training Performance [Winter]</t>
  </si>
  <si>
    <t>Zie General Remarks voor schatting Ijshuur</t>
  </si>
  <si>
    <t>Schatting kosten IJsbaan Twente:
Prestatiesport: €365 x 24 = €8.760
Recreatiesport: 10% erop = €23.500
Trainerskaarten: €500
Totaal: €32.760
2024-2025: €34.826,91
Inlineskating: €700 total, €350 for 2025-2026</t>
  </si>
  <si>
    <t>Monday Training Recreation [Winter]</t>
  </si>
  <si>
    <t>Wednesday Training Performance [Winter]</t>
  </si>
  <si>
    <t>Thursday Training Performance and Recreation [Winter]</t>
  </si>
  <si>
    <t>Condition Training Performance [Summer]</t>
  </si>
  <si>
    <t>Bata Training [Summer]</t>
  </si>
  <si>
    <t>Last Condition Trainings [Summer]</t>
  </si>
  <si>
    <t>Inline Skating Training Performance [Summer]</t>
  </si>
  <si>
    <t>Inline Skating Training Recreation [Summer]</t>
  </si>
  <si>
    <t>Coretraining Algemeen (at Watersportcomplex)</t>
  </si>
  <si>
    <t>maybe make internal, until now, they paid themselves</t>
  </si>
  <si>
    <t>Schaatshelmen</t>
  </si>
  <si>
    <t>~€60</t>
  </si>
  <si>
    <t>5 years</t>
  </si>
  <si>
    <t>Skeelers</t>
  </si>
  <si>
    <t>€ 150,00</t>
  </si>
  <si>
    <t>Schaatsplanken</t>
  </si>
  <si>
    <t>€60 (depends on the material costs)</t>
  </si>
  <si>
    <t>5-10 years</t>
  </si>
  <si>
    <t>Start waist bands</t>
  </si>
  <si>
    <t>Depreciations</t>
  </si>
  <si>
    <t>?</t>
  </si>
  <si>
    <t>A whole bag</t>
  </si>
  <si>
    <t>Cornerbelts</t>
  </si>
  <si>
    <t>€ 14,95</t>
  </si>
  <si>
    <t>Schaatsplank sokken</t>
  </si>
  <si>
    <t>€ 11,95</t>
  </si>
  <si>
    <t>Shirts for the training groups</t>
  </si>
  <si>
    <t>10 years</t>
  </si>
  <si>
    <t>Roughly 100</t>
  </si>
  <si>
    <t>Slijpblokken</t>
  </si>
  <si>
    <t>S.Y.H.V. Slapping Studs</t>
  </si>
  <si>
    <t>4th division</t>
  </si>
  <si>
    <t>None</t>
  </si>
  <si>
    <t>Team 3 does not play games.</t>
  </si>
  <si>
    <t>Matthias Kruit</t>
  </si>
  <si>
    <t>1, 2, 3</t>
  </si>
  <si>
    <t>Monday + Wednesday</t>
  </si>
  <si>
    <t>1,2,3,4</t>
  </si>
  <si>
    <t>Practice</t>
  </si>
  <si>
    <t>1, 2</t>
  </si>
  <si>
    <t>Saturday, Sunday</t>
  </si>
  <si>
    <t>Games</t>
  </si>
  <si>
    <t>Goalie Gear</t>
  </si>
  <si>
    <t>€1560,-</t>
  </si>
  <si>
    <t>4 years</t>
  </si>
  <si>
    <t>Instructie materiaal en onderhoudkosten voor individueel materiaal kan niet aangevraagd worden.</t>
  </si>
  <si>
    <t>Sparx</t>
  </si>
  <si>
    <t>€999,-</t>
  </si>
  <si>
    <t>Rental gear new</t>
  </si>
  <si>
    <t>€579,-</t>
  </si>
  <si>
    <t>We are an association where members are free to join any training moment. This means that people are not limited to a single training group, and group sizes may vary per week, but it will give a better indication of actual usage.</t>
  </si>
  <si>
    <t>no performance sports</t>
  </si>
  <si>
    <t>Internal Committee</t>
  </si>
  <si>
    <t>see remarks of training groups</t>
  </si>
  <si>
    <t>Gives mentorship to the committee</t>
  </si>
  <si>
    <t>Competitive group</t>
  </si>
  <si>
    <t>Competitive</t>
  </si>
  <si>
    <t>Recreational group 1</t>
  </si>
  <si>
    <t>Dangerous trainings</t>
  </si>
  <si>
    <t>Monday competitive group</t>
  </si>
  <si>
    <t>Monday recreational group</t>
  </si>
  <si>
    <t>Tjerk susan</t>
  </si>
  <si>
    <t>Wednesday competitive group</t>
  </si>
  <si>
    <t>Thursday recreational group</t>
  </si>
  <si>
    <t>Thursday competitive group</t>
  </si>
  <si>
    <t>BTS Opleiding</t>
  </si>
  <si>
    <t>Monday outside training</t>
  </si>
  <si>
    <t>Wednesday outside training</t>
  </si>
  <si>
    <t>Thurday outside training</t>
  </si>
  <si>
    <t>D.T.T.V. Thibats</t>
  </si>
  <si>
    <t>Filled in by hand according to the arrangement with SC and SUT</t>
  </si>
  <si>
    <t>Intermediate+</t>
  </si>
  <si>
    <t>Hans Jansen</t>
  </si>
  <si>
    <t>Campus buy off</t>
  </si>
  <si>
    <t>Recreation</t>
  </si>
  <si>
    <t>Training Balls</t>
  </si>
  <si>
    <t>Three boxes of training balls are subsidized by our sponsor every year, satisfying
our association’s needs.</t>
  </si>
  <si>
    <t xml:space="preserve">Materials are fine. They only pay for the nets, the balls they get form their sponser </t>
  </si>
  <si>
    <t>Competition balls</t>
  </si>
  <si>
    <t>These balls are paid for by the association, as they are required for our
competition team to be able to participate in competition.</t>
  </si>
  <si>
    <t>Nets</t>
  </si>
  <si>
    <t>As nets get damaged after continuous use, it is important for our association to
restore our supply every few years. These nets are used by both competition and
recreational players, it is imperative that they remain in good condition.</t>
  </si>
  <si>
    <t xml:space="preserve">Henry </t>
  </si>
  <si>
    <t>Check bar days with KSUT - Also look into maintaining walls and route changes</t>
  </si>
  <si>
    <t>Techniek 1A</t>
  </si>
  <si>
    <t>Recreational (student)</t>
  </si>
  <si>
    <t>nvt</t>
  </si>
  <si>
    <t>2x a year 11 week training program for new members</t>
  </si>
  <si>
    <t>Techniek 1B</t>
  </si>
  <si>
    <t>Techniek 1C</t>
  </si>
  <si>
    <t>Techniek 1D</t>
  </si>
  <si>
    <t>Techniek 2A</t>
  </si>
  <si>
    <t>Group for after T1, aimed at intermediate climbers</t>
  </si>
  <si>
    <t>Techniek 2B</t>
  </si>
  <si>
    <t>Techniek 3</t>
  </si>
  <si>
    <t xml:space="preserve">Experienced climbers, more intense strength and techniques than T2 </t>
  </si>
  <si>
    <t>Bikkel</t>
  </si>
  <si>
    <t>Advanced climbers, aimed at competitions and improvement</t>
  </si>
  <si>
    <t>Irene Pieper</t>
  </si>
  <si>
    <t>Always 2 trainers at T3, so on average 0.7 trainings per week. Total hours: 2.0 * 0.7 = 1.4</t>
  </si>
  <si>
    <t>Techniek 2</t>
  </si>
  <si>
    <t>Techniek 1</t>
  </si>
  <si>
    <t>Gives 3 trainings in a row</t>
  </si>
  <si>
    <t>Zaalavonden. 2 hours, 2 evenings, 43 weeks (2*2*43)</t>
  </si>
  <si>
    <t>Courses + climbing weekends</t>
  </si>
  <si>
    <t>Depending on group size we have to split this training up in 1 or 2 groups</t>
  </si>
  <si>
    <t>Depending on group size we have to split this training up in 3 or 4 groups</t>
  </si>
  <si>
    <t>Zaalavond</t>
  </si>
  <si>
    <t>Members can train individually here</t>
  </si>
  <si>
    <t>Zaalavond/ vrij klimmen</t>
  </si>
  <si>
    <t>Outdoor Climbing Wall</t>
  </si>
  <si>
    <t>For the usage of outdoor climbing wall 100 hours per year is bought off</t>
  </si>
  <si>
    <t>Campus</t>
  </si>
  <si>
    <t>Zaaltouwen</t>
  </si>
  <si>
    <t>1.1</t>
  </si>
  <si>
    <t>Boormachine en accu</t>
  </si>
  <si>
    <t>1.2</t>
  </si>
  <si>
    <t>Gereedschap</t>
  </si>
  <si>
    <t>Gereedschapskist</t>
  </si>
  <si>
    <t>Mainenance materials</t>
  </si>
  <si>
    <t>Schoonmaakmiddel</t>
  </si>
  <si>
    <t>Pressure washer</t>
  </si>
  <si>
    <t>Gordels</t>
  </si>
  <si>
    <t>1.3</t>
  </si>
  <si>
    <t>Zekerapparaat ATC</t>
  </si>
  <si>
    <t>Zekerapparaat halfautomaat</t>
  </si>
  <si>
    <t>Edelrid Ohm</t>
  </si>
  <si>
    <t>Sling 120cm</t>
  </si>
  <si>
    <t>Setjes</t>
  </si>
  <si>
    <t>Karabiner snapper</t>
  </si>
  <si>
    <t>Karabiner schroef</t>
  </si>
  <si>
    <t>Karabiner safebiner</t>
  </si>
  <si>
    <t>Weekends</t>
  </si>
  <si>
    <t>Sling 60cm</t>
  </si>
  <si>
    <t>Sling 240cm</t>
  </si>
  <si>
    <t>Verlengsetjes</t>
  </si>
  <si>
    <t>Helmen</t>
  </si>
  <si>
    <t>Buitentouw enkel</t>
  </si>
  <si>
    <t>Buitentouw dubbel</t>
  </si>
  <si>
    <t>Touwzak</t>
  </si>
  <si>
    <t>Cam maat 3</t>
  </si>
  <si>
    <t>Cam maat 2</t>
  </si>
  <si>
    <t>Cam maat 1</t>
  </si>
  <si>
    <t>Cam maat 0.75</t>
  </si>
  <si>
    <t>Cam maat 0.5</t>
  </si>
  <si>
    <t>Cam maat 0.4</t>
  </si>
  <si>
    <t>Cam maat 0.3</t>
  </si>
  <si>
    <t>Nuts</t>
  </si>
  <si>
    <t>Nuttenfrutters</t>
  </si>
  <si>
    <t>Hexen</t>
  </si>
  <si>
    <t>Tricams</t>
  </si>
  <si>
    <t>Ballnuts</t>
  </si>
  <si>
    <t>Guidebooks</t>
  </si>
  <si>
    <t>Crashpads</t>
  </si>
  <si>
    <t>Alpine Ropes</t>
  </si>
  <si>
    <t>1.5</t>
  </si>
  <si>
    <t>Crampons</t>
  </si>
  <si>
    <t>Pickels</t>
  </si>
  <si>
    <t>Ice Axes</t>
  </si>
  <si>
    <t>Bivy bags</t>
  </si>
  <si>
    <t>Ice screws</t>
  </si>
  <si>
    <t>Femke</t>
  </si>
  <si>
    <t>Vakgericht 1</t>
  </si>
  <si>
    <t>3rd Division/4th division</t>
  </si>
  <si>
    <t>The first team plays indoor 3rd division and outdoor 4th division. But it's fluctuating. They are currently looking for a new PT-V</t>
  </si>
  <si>
    <t>All sort of members train together, this doesn't mean we train with 42 people. The average on a training, is around 20.</t>
  </si>
  <si>
    <t>Midweek 1</t>
  </si>
  <si>
    <t>breedtekorfbal</t>
  </si>
  <si>
    <t>Other members</t>
  </si>
  <si>
    <t>x</t>
  </si>
  <si>
    <t>play at their homeclubs, at a higher or lower level</t>
  </si>
  <si>
    <t>looking for new trainer</t>
  </si>
  <si>
    <t>Groupsize +/- 20 - 30</t>
  </si>
  <si>
    <t>Since 2024-2025 vakgericht can have a pt-v for their first competition team with the normal hourly rate for pt-v</t>
  </si>
  <si>
    <t>Midweek 1 + Other members</t>
  </si>
  <si>
    <t>Coaching Gernand</t>
  </si>
  <si>
    <t>Vakgericht1+Midweek+Trainingmembers</t>
  </si>
  <si>
    <t>This is for the indoorseason, around week 44 till week 12.</t>
  </si>
  <si>
    <t>Thursday Vakgericht seperates Vakgericht 1 and trainingmembers. Both half the hall</t>
  </si>
  <si>
    <t xml:space="preserve">Around week 12 till week 43, except the summervacation. </t>
  </si>
  <si>
    <t>Thursday Vakgericht seperates Vakgericht 1 and trainingmembers. Both half the field</t>
  </si>
  <si>
    <t>Vakgericht1, competition</t>
  </si>
  <si>
    <t>This is for the outdoorseason, week 12 till 43 approxiamatly. Ofcourse we have home and away games, so not all the saturdays we need SC2, only the half of it.</t>
  </si>
  <si>
    <t>Indoorseason, same remarks about away and home teams.</t>
  </si>
  <si>
    <t>Midweek, competition</t>
  </si>
  <si>
    <t>In the outdoorseason the midweek will play on Tuesday, again the note of home and away games</t>
  </si>
  <si>
    <t>In the indoorseason, we prefer to play on wednesdays but because of the availibility of the indoorfacilities we decided to use our trainingsmoment for this, so on thursdays we would train or play competition, this depends on the schedule. But for the competition to be played, this should start around 8pm.</t>
  </si>
  <si>
    <t>Korfballs</t>
  </si>
  <si>
    <t>Ladies field 1</t>
  </si>
  <si>
    <t>Prof trainer</t>
  </si>
  <si>
    <t>3rd/4th class</t>
  </si>
  <si>
    <t>Ladies field 2</t>
  </si>
  <si>
    <t>1st class (7x7)</t>
  </si>
  <si>
    <t>Men field 1</t>
  </si>
  <si>
    <t>Men field 2</t>
  </si>
  <si>
    <t>4th class</t>
  </si>
  <si>
    <t>Men field 3</t>
  </si>
  <si>
    <t>5th class</t>
  </si>
  <si>
    <t>Men field 4</t>
  </si>
  <si>
    <t>6th class</t>
  </si>
  <si>
    <t>Men field 5</t>
  </si>
  <si>
    <t>Men field 6</t>
  </si>
  <si>
    <t>Men field Sunday 2</t>
  </si>
  <si>
    <t>6th/7th class</t>
  </si>
  <si>
    <t>Men field Sunday 3</t>
  </si>
  <si>
    <t>7th class</t>
  </si>
  <si>
    <t>Men indoor 1</t>
  </si>
  <si>
    <t>top class</t>
  </si>
  <si>
    <t>Men indoor 2</t>
  </si>
  <si>
    <t>2nd class</t>
  </si>
  <si>
    <t>Men indoor 3</t>
  </si>
  <si>
    <t>Marnix Smit</t>
  </si>
  <si>
    <t>Goran Kristofer</t>
  </si>
  <si>
    <t>Once a week PT, once RT</t>
  </si>
  <si>
    <t>18-20</t>
  </si>
  <si>
    <t>Remco van Leeuwen</t>
  </si>
  <si>
    <t>Remco coacht 1 team</t>
  </si>
  <si>
    <t>Soccer field coaching estimation</t>
  </si>
  <si>
    <t>Men field 2 (coaching)</t>
  </si>
  <si>
    <t>Men field 3 (training)</t>
  </si>
  <si>
    <t>Men field 3 (coaching)</t>
  </si>
  <si>
    <t>Men field 4 (training)</t>
  </si>
  <si>
    <t>Men field 4 (coaching)</t>
  </si>
  <si>
    <t>Men field 5 (training)</t>
  </si>
  <si>
    <t>Men field 5 (coaching)</t>
  </si>
  <si>
    <t>Men field 6 (training)</t>
  </si>
  <si>
    <t>Men field 6 (coaching)</t>
  </si>
  <si>
    <t>Men field Sunday 2 (training)</t>
  </si>
  <si>
    <t>Men field Sunday 2 (coaching)</t>
  </si>
  <si>
    <t>Men field Sunday 3 (training)</t>
  </si>
  <si>
    <t>Men field Sunday 3(coaching)</t>
  </si>
  <si>
    <t>Ladies field 2 (training)</t>
  </si>
  <si>
    <t>Ladies field 2 (coaching)</t>
  </si>
  <si>
    <t>Hourly rate is €36.30 but he also gets travel expenses so estimated at 38 euros</t>
  </si>
  <si>
    <t>22 weeks 3 hours per training</t>
  </si>
  <si>
    <t>Indoor 1 and 2 will train together</t>
  </si>
  <si>
    <t>Combined with Indoor 1 and 2</t>
  </si>
  <si>
    <t>Mentorship Marnix</t>
  </si>
  <si>
    <t>Tuesday outside training</t>
  </si>
  <si>
    <t>1,2</t>
  </si>
  <si>
    <t>3,4</t>
  </si>
  <si>
    <t>Thursday outside training</t>
  </si>
  <si>
    <t>Saturday outside matches</t>
  </si>
  <si>
    <t xml:space="preserve">Avg: 7 teams, 2 hours per match, 1 game (at home) every 2 weeks </t>
  </si>
  <si>
    <t>Sunday outside matches</t>
  </si>
  <si>
    <t xml:space="preserve">Avg: 1 team, 2 hours per match, 1 game (at home) every 2 weeks </t>
  </si>
  <si>
    <t>Monday indoor matches</t>
  </si>
  <si>
    <t>Avg: 1 team every 3 weeks. 1 hour per match (less teams in competition)</t>
  </si>
  <si>
    <t>Wednesday indoor Training</t>
  </si>
  <si>
    <t>Wednesday indoor matches</t>
  </si>
  <si>
    <t>Avg: 1 team every 2 weeks. 1 hour per match</t>
  </si>
  <si>
    <t>Scores</t>
  </si>
  <si>
    <t>Total Grants</t>
  </si>
  <si>
    <t>Type of sport</t>
  </si>
  <si>
    <t>Membercount</t>
  </si>
  <si>
    <t>number of facilities used / number of competitions attended</t>
  </si>
  <si>
    <t>ratio of competing teams / training teams / n\a</t>
  </si>
  <si>
    <t>Total score</t>
  </si>
  <si>
    <t>2024</t>
  </si>
  <si>
    <t>Grants</t>
  </si>
  <si>
    <t>Notes</t>
  </si>
  <si>
    <t>FT board</t>
  </si>
  <si>
    <t>Piranha ZPV</t>
  </si>
  <si>
    <t>see below</t>
  </si>
  <si>
    <t>PT board</t>
  </si>
  <si>
    <t>Blueshell</t>
  </si>
  <si>
    <t>no FAM</t>
  </si>
  <si>
    <t>TheStrals</t>
  </si>
  <si>
    <t>Klokus</t>
  </si>
  <si>
    <t>LEAP</t>
  </si>
  <si>
    <t>Thresholds</t>
  </si>
  <si>
    <t>Group 7</t>
  </si>
  <si>
    <t>Group 6</t>
  </si>
  <si>
    <t>A lot of trainings with small training groups. The members that are not part of a competition team are often not in a team at all. That is why I used the amount of people in the teams vs not in the teams.</t>
  </si>
  <si>
    <t>Number of Competing players</t>
  </si>
  <si>
    <t>Mees</t>
  </si>
  <si>
    <t>Max Brutel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</si>
</sst>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5">
    <numFmt numFmtId="8" formatCode="&quot;€&quot;\ #,##0.00;[Red]&quot;€&quot;\ \-#,##0.00"/>
    <numFmt numFmtId="44" formatCode="_ &quot;€&quot;\ * #,##0.00_ ;_ &quot;€&quot;\ * \-#,##0.00_ ;_ &quot;€&quot;\ * &quot;-&quot;??_ ;_ @_ "/>
    <numFmt numFmtId="164" formatCode="_-* #,##0.00\ &quot;€&quot;_-;\-* #,##0.00\ &quot;€&quot;_-;_-* &quot;-&quot;??\ &quot;€&quot;_-;_-@_-"/>
    <numFmt numFmtId="165" formatCode="_-* #,##0.00_-;\-* #,##0.00_-;_-* &quot;-&quot;??_-;_-@_-"/>
    <numFmt numFmtId="166" formatCode="_-&quot;€&quot;* #,##0_-;\-&quot;€&quot;* #,##0_-;_-&quot;€&quot;* &quot;-&quot;??_-;_-@"/>
    <numFmt numFmtId="167" formatCode="_-&quot;€&quot;* #,##0.00_-;\-&quot;€&quot;* #,##0.00_-;_-&quot;€&quot;* &quot;-&quot;??_-;_-@"/>
    <numFmt numFmtId="168" formatCode="_-[$€-2]\ * #,##0.00_-;\-[$€-2]\ * #,##0.00_-;_-[$€-2]\ * &quot;-&quot;??_-;_-@"/>
    <numFmt numFmtId="169" formatCode="[$€-2]\ #,##0.00"/>
    <numFmt numFmtId="170" formatCode="_([$€-2]\ * #,##0.00_);_([$€-2]\ * \(#,##0.00\);_([$€-2]\ * &quot;-&quot;??_);_(@_)"/>
    <numFmt numFmtId="171" formatCode="&quot;€&quot;\ #,##0.00"/>
    <numFmt numFmtId="172" formatCode="d\-m\-yyyy"/>
    <numFmt numFmtId="173" formatCode="dd\-mm\-yyyy"/>
    <numFmt numFmtId="174" formatCode="_ [$€-413]\ * #,##0.00_ ;_ [$€-413]\ * \-#,##0.00_ ;_ [$€-413]\ * &quot;-&quot;??_ ;_ @_ "/>
    <numFmt numFmtId="175" formatCode="_(* #,##0.00_);_(* \(#,##0.00\);_(* &quot;-&quot;??_);_(@_)"/>
    <numFmt numFmtId="176" formatCode="_ [$€-2]\ * #,##0.00_ ;_ [$€-2]\ * \-#,##0.00_ ;_ [$€-2]\ * &quot;-&quot;??_ ;_ @_ "/>
    <numFmt numFmtId="177" formatCode="0.0"/>
    <numFmt numFmtId="178" formatCode="d\-m"/>
    <numFmt numFmtId="179" formatCode="&quot;€&quot;#,##0.00"/>
    <numFmt numFmtId="180" formatCode="m\-d"/>
    <numFmt numFmtId="181" formatCode="#,##0.00\ &quot;€&quot;"/>
    <numFmt numFmtId="182" formatCode="_-[$€-2]\ * #,##0.0000000_-;\-[$€-2]\ * #,##0.0000000_-;_-[$€-2]\ * &quot;-&quot;??_-;_-@_-"/>
    <numFmt numFmtId="183" formatCode="_-&quot;€&quot;* #,##0.00_-;&quot;€&quot;* \(#,##0.00\);_-&quot;€&quot;* &quot;-&quot;??_-;_-@"/>
    <numFmt numFmtId="184" formatCode="_-* #,##0_-;\-* #,##0_-;_-* &quot;-&quot;??_-;_-@_-"/>
    <numFmt numFmtId="185" formatCode="_-[$€-2]\ * #,##0.00_-;\-[$€-2]\ * #,##0.00_-;_-[$€-2]\ * &quot;-&quot;??_-;_-@_-"/>
    <numFmt numFmtId="186" formatCode="0.000"/>
  </numFmts>
  <fonts count="45">
    <font>
      <sz val="11"/>
      <color theme="1"/>
      <name val="Arial"/>
      <scheme val="minor"/>
    </font>
    <font>
      <sz val="11"/>
      <color theme="1"/>
      <name val="Arial"/>
      <family val="2"/>
      <scheme val="minor"/>
    </font>
    <font>
      <b/>
      <sz val="10"/>
      <color theme="1"/>
      <name val="Arial"/>
      <family val="2"/>
    </font>
    <font>
      <sz val="10"/>
      <color theme="1"/>
      <name val="Arial"/>
      <family val="2"/>
    </font>
    <font>
      <b/>
      <u/>
      <sz val="10"/>
      <color theme="1"/>
      <name val="Arial"/>
      <family val="2"/>
    </font>
    <font>
      <u/>
      <sz val="10"/>
      <color theme="1"/>
      <name val="Arial"/>
      <family val="2"/>
    </font>
    <font>
      <i/>
      <sz val="10"/>
      <color theme="1"/>
      <name val="Arial"/>
      <family val="2"/>
    </font>
    <font>
      <b/>
      <sz val="11"/>
      <color theme="1"/>
      <name val="Calibri"/>
      <family val="2"/>
    </font>
    <font>
      <sz val="11"/>
      <color theme="1"/>
      <name val="Calibri"/>
      <family val="2"/>
    </font>
    <font>
      <sz val="11"/>
      <color theme="1"/>
      <name val="Arial"/>
      <family val="2"/>
    </font>
    <font>
      <b/>
      <sz val="11"/>
      <color theme="1"/>
      <name val="Arial"/>
      <family val="2"/>
    </font>
    <font>
      <sz val="11"/>
      <color rgb="FF000000"/>
      <name val="Arial"/>
      <family val="2"/>
    </font>
    <font>
      <b/>
      <sz val="11"/>
      <color rgb="FF000000"/>
      <name val="Arial"/>
      <family val="2"/>
    </font>
    <font>
      <sz val="11"/>
      <name val="Arial"/>
      <family val="2"/>
    </font>
    <font>
      <sz val="16"/>
      <color theme="1"/>
      <name val="Arial"/>
      <family val="2"/>
    </font>
    <font>
      <sz val="9"/>
      <color theme="1"/>
      <name val="Arial"/>
      <family val="2"/>
    </font>
    <font>
      <sz val="9"/>
      <color rgb="FF000000"/>
      <name val="Arial"/>
      <family val="2"/>
    </font>
    <font>
      <i/>
      <sz val="11"/>
      <color theme="1"/>
      <name val="Calibri"/>
      <family val="2"/>
    </font>
    <font>
      <sz val="11"/>
      <color rgb="FFFF0000"/>
      <name val="Calibri"/>
      <family val="2"/>
    </font>
    <font>
      <sz val="36"/>
      <color theme="1"/>
      <name val="Calibri"/>
      <family val="2"/>
    </font>
    <font>
      <sz val="11"/>
      <color rgb="FFFF0000"/>
      <name val="Arial"/>
      <family val="2"/>
    </font>
    <font>
      <b/>
      <sz val="11"/>
      <color theme="0"/>
      <name val="Calibri"/>
      <family val="2"/>
    </font>
    <font>
      <sz val="11"/>
      <color theme="0"/>
      <name val="Calibri"/>
      <family val="2"/>
    </font>
    <font>
      <sz val="11"/>
      <color theme="0"/>
      <name val="Arial"/>
      <family val="2"/>
    </font>
    <font>
      <sz val="11"/>
      <color rgb="FF000000"/>
      <name val="Calibri"/>
      <family val="2"/>
    </font>
    <font>
      <sz val="10"/>
      <color rgb="FF000000"/>
      <name val="Calibri"/>
      <family val="2"/>
    </font>
    <font>
      <sz val="11"/>
      <color rgb="FF444444"/>
      <name val="Calibri"/>
      <family val="2"/>
    </font>
    <font>
      <b/>
      <sz val="11"/>
      <color rgb="FF000000"/>
      <name val="Calibri"/>
      <family val="2"/>
    </font>
    <font>
      <sz val="11"/>
      <color rgb="FF0070C0"/>
      <name val="Calibri"/>
      <family val="2"/>
    </font>
    <font>
      <sz val="11"/>
      <color rgb="FF000000"/>
      <name val="&quot;Ȫrial\&quot;&quot;"/>
    </font>
    <font>
      <sz val="11"/>
      <name val="Calibri"/>
      <family val="2"/>
    </font>
    <font>
      <sz val="8"/>
      <name val="Arial"/>
      <family val="2"/>
      <scheme val="minor"/>
    </font>
    <font>
      <b/>
      <sz val="11"/>
      <color theme="1"/>
      <name val="Arial"/>
      <family val="2"/>
      <scheme val="minor"/>
    </font>
    <font>
      <sz val="11"/>
      <name val="Arial"/>
      <family val="2"/>
      <scheme val="minor"/>
    </font>
    <font>
      <sz val="11"/>
      <color theme="1"/>
      <name val="Arial"/>
      <family val="2"/>
      <scheme val="minor"/>
    </font>
    <font>
      <sz val="8"/>
      <name val="Arial"/>
      <family val="2"/>
      <scheme val="minor"/>
    </font>
    <font>
      <sz val="11"/>
      <color rgb="FF000000"/>
      <name val="Calibri"/>
      <family val="2"/>
      <charset val="1"/>
    </font>
    <font>
      <sz val="11"/>
      <color theme="4" tint="-0.249977111117893"/>
      <name val="Calibri"/>
      <family val="2"/>
    </font>
    <font>
      <i/>
      <sz val="10"/>
      <color theme="1"/>
      <name val="Arial"/>
      <family val="2"/>
      <scheme val="minor"/>
    </font>
    <font>
      <i/>
      <sz val="11"/>
      <color theme="1"/>
      <name val="Arial"/>
      <family val="2"/>
      <scheme val="minor"/>
    </font>
    <font>
      <sz val="8"/>
      <name val="Arial"/>
      <family val="2"/>
      <scheme val="minor"/>
    </font>
    <font>
      <sz val="11"/>
      <color rgb="FF242424"/>
      <name val="Aptos Narrow"/>
    </font>
    <font>
      <b/>
      <sz val="11"/>
      <color theme="1"/>
      <name val="Arial"/>
      <scheme val="minor"/>
    </font>
    <font>
      <b/>
      <sz val="11"/>
      <name val="Arial"/>
      <family val="2"/>
      <scheme val="minor"/>
    </font>
    <font>
      <b/>
      <sz val="11"/>
      <color rgb="FF000000"/>
      <name val="Arial"/>
    </font>
  </fonts>
  <fills count="42">
    <fill>
      <patternFill patternType="none"/>
    </fill>
    <fill>
      <patternFill patternType="gray125"/>
    </fill>
    <fill>
      <patternFill patternType="solid">
        <fgColor rgb="FF9CC2E5"/>
        <bgColor rgb="FF9CC2E5"/>
      </patternFill>
    </fill>
    <fill>
      <patternFill patternType="solid">
        <fgColor theme="9"/>
        <bgColor theme="9"/>
      </patternFill>
    </fill>
    <fill>
      <patternFill patternType="solid">
        <fgColor rgb="FFFFD965"/>
        <bgColor rgb="FFFFD965"/>
      </patternFill>
    </fill>
    <fill>
      <patternFill patternType="solid">
        <fgColor theme="5"/>
        <bgColor theme="5"/>
      </patternFill>
    </fill>
    <fill>
      <patternFill patternType="solid">
        <fgColor rgb="FFFFA7FF"/>
        <bgColor rgb="FFFFA7FF"/>
      </patternFill>
    </fill>
    <fill>
      <patternFill patternType="solid">
        <fgColor rgb="FFFFE1FF"/>
        <bgColor rgb="FFFFE1FF"/>
      </patternFill>
    </fill>
    <fill>
      <patternFill patternType="solid">
        <fgColor rgb="FFFFF2CC"/>
        <bgColor rgb="FFFFF2CC"/>
      </patternFill>
    </fill>
    <fill>
      <patternFill patternType="solid">
        <fgColor rgb="FFE5E5E5"/>
        <bgColor rgb="FFE5E5E5"/>
      </patternFill>
    </fill>
    <fill>
      <patternFill patternType="solid">
        <fgColor rgb="FFF2F2F2"/>
        <bgColor rgb="FFF2F2F2"/>
      </patternFill>
    </fill>
    <fill>
      <patternFill patternType="solid">
        <fgColor rgb="FFD9E2F3"/>
        <bgColor rgb="FFD9E2F3"/>
      </patternFill>
    </fill>
    <fill>
      <patternFill patternType="solid">
        <fgColor rgb="FFE2EFD9"/>
        <bgColor rgb="FFE2EFD9"/>
      </patternFill>
    </fill>
    <fill>
      <patternFill patternType="solid">
        <fgColor rgb="FFF8CBAD"/>
        <bgColor rgb="FFF8CBAD"/>
      </patternFill>
    </fill>
    <fill>
      <patternFill patternType="solid">
        <fgColor rgb="FFF7CAAC"/>
        <bgColor rgb="FFF7CAAC"/>
      </patternFill>
    </fill>
    <fill>
      <patternFill patternType="solid">
        <fgColor rgb="FFD8D8D8"/>
        <bgColor rgb="FFD8D8D8"/>
      </patternFill>
    </fill>
    <fill>
      <patternFill patternType="solid">
        <fgColor rgb="FFA8D08D"/>
        <bgColor rgb="FFA8D08D"/>
      </patternFill>
    </fill>
    <fill>
      <patternFill patternType="solid">
        <fgColor theme="0"/>
        <bgColor theme="0"/>
      </patternFill>
    </fill>
    <fill>
      <patternFill patternType="solid">
        <fgColor rgb="FFBDD6EE"/>
        <bgColor rgb="FFBDD6EE"/>
      </patternFill>
    </fill>
    <fill>
      <patternFill patternType="solid">
        <fgColor rgb="FFFFE598"/>
        <bgColor rgb="FFFFE598"/>
      </patternFill>
    </fill>
    <fill>
      <patternFill patternType="solid">
        <fgColor rgb="FFFFFFFF"/>
        <bgColor rgb="FFFFFFFF"/>
      </patternFill>
    </fill>
    <fill>
      <patternFill patternType="solid">
        <fgColor rgb="FFFFE498"/>
        <bgColor rgb="FFFFE498"/>
      </patternFill>
    </fill>
    <fill>
      <patternFill patternType="solid">
        <fgColor rgb="FFECECEC"/>
        <bgColor rgb="FFECECEC"/>
      </patternFill>
    </fill>
    <fill>
      <patternFill patternType="solid">
        <fgColor rgb="FFDADADA"/>
        <bgColor rgb="FFDADADA"/>
      </patternFill>
    </fill>
    <fill>
      <patternFill patternType="solid">
        <fgColor rgb="FFFFFF00"/>
        <bgColor rgb="FFFFFF00"/>
      </patternFill>
    </fill>
    <fill>
      <patternFill patternType="solid">
        <fgColor theme="4" tint="0.39997558519241921"/>
        <bgColor rgb="FFFFE598"/>
      </patternFill>
    </fill>
    <fill>
      <patternFill patternType="solid">
        <fgColor theme="4" tint="0.39997558519241921"/>
        <bgColor indexed="64"/>
      </patternFill>
    </fill>
    <fill>
      <patternFill patternType="solid">
        <fgColor rgb="FFFFFF00"/>
        <bgColor indexed="64"/>
      </patternFill>
    </fill>
    <fill>
      <patternFill patternType="solid">
        <fgColor theme="6" tint="0.79998168889431442"/>
        <bgColor rgb="FFD8D8D8"/>
      </patternFill>
    </fill>
    <fill>
      <patternFill patternType="solid">
        <fgColor theme="6" tint="0.79998168889431442"/>
        <bgColor rgb="FFDADADA"/>
      </patternFill>
    </fill>
    <fill>
      <patternFill patternType="solid">
        <fgColor theme="6" tint="0.59999389629810485"/>
        <bgColor rgb="FFECECEC"/>
      </patternFill>
    </fill>
    <fill>
      <patternFill patternType="solid">
        <fgColor theme="6" tint="0.59999389629810485"/>
        <bgColor rgb="FFDADADA"/>
      </patternFill>
    </fill>
    <fill>
      <patternFill patternType="solid">
        <fgColor rgb="FFFFE598"/>
        <bgColor indexed="64"/>
      </patternFill>
    </fill>
    <fill>
      <patternFill patternType="solid">
        <fgColor rgb="FFBDD6EE"/>
        <bgColor indexed="64"/>
      </patternFill>
    </fill>
    <fill>
      <patternFill patternType="solid">
        <fgColor rgb="FFDADADA"/>
        <bgColor indexed="64"/>
      </patternFill>
    </fill>
    <fill>
      <patternFill patternType="solid">
        <fgColor rgb="FFECECEC"/>
        <bgColor indexed="64"/>
      </patternFill>
    </fill>
    <fill>
      <patternFill patternType="solid">
        <fgColor rgb="FF9BC2E6"/>
        <bgColor indexed="64"/>
      </patternFill>
    </fill>
    <fill>
      <patternFill patternType="solid">
        <fgColor theme="4" tint="0.79998168889431442"/>
        <bgColor theme="4" tint="0.79998168889431442"/>
      </patternFill>
    </fill>
    <fill>
      <patternFill patternType="solid">
        <fgColor theme="4" tint="0.79998168889431442"/>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theme="9"/>
        <bgColor indexed="64"/>
      </patternFill>
    </fill>
  </fills>
  <borders count="112">
    <border>
      <left/>
      <right/>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thin">
        <color rgb="FFFFD966"/>
      </left>
      <right/>
      <top style="thin">
        <color rgb="FFFFD966"/>
      </top>
      <bottom style="thin">
        <color rgb="FFFFD966"/>
      </bottom>
      <diagonal/>
    </border>
    <border>
      <left/>
      <right/>
      <top style="thin">
        <color rgb="FFFFD966"/>
      </top>
      <bottom style="thin">
        <color rgb="FFFFD966"/>
      </bottom>
      <diagonal/>
    </border>
    <border>
      <left style="thin">
        <color rgb="FFFFD966"/>
      </left>
      <right/>
      <top style="thin">
        <color rgb="FFFFD966"/>
      </top>
      <bottom style="thin">
        <color rgb="FF000000"/>
      </bottom>
      <diagonal/>
    </border>
    <border>
      <left/>
      <right/>
      <top style="thin">
        <color rgb="FFFFD966"/>
      </top>
      <bottom style="thin">
        <color rgb="FF000000"/>
      </bottom>
      <diagonal/>
    </border>
    <border>
      <left/>
      <right/>
      <top style="thin">
        <color rgb="FF000000"/>
      </top>
      <bottom style="medium">
        <color rgb="FF000000"/>
      </bottom>
      <diagonal/>
    </border>
    <border>
      <left/>
      <right/>
      <top/>
      <bottom style="medium">
        <color rgb="FF000000"/>
      </bottom>
      <diagonal/>
    </border>
    <border>
      <left style="thin">
        <color rgb="FF000000"/>
      </left>
      <right/>
      <top style="thin">
        <color rgb="FF000000"/>
      </top>
      <bottom style="thin">
        <color rgb="FF000000"/>
      </bottom>
      <diagonal/>
    </border>
    <border>
      <left/>
      <right style="thin">
        <color rgb="FFBFBFBF"/>
      </right>
      <top style="thin">
        <color rgb="FFBFBFBF"/>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000000"/>
      </right>
      <top/>
      <bottom style="thin">
        <color rgb="FFBFBFBF"/>
      </bottom>
      <diagonal/>
    </border>
    <border>
      <left style="thin">
        <color rgb="FFBFBFBF"/>
      </left>
      <right/>
      <top/>
      <bottom style="thin">
        <color rgb="FFBFBFBF"/>
      </bottom>
      <diagonal/>
    </border>
    <border>
      <left/>
      <right style="thin">
        <color rgb="FF000000"/>
      </right>
      <top/>
      <bottom style="thin">
        <color rgb="FFBFBFBF"/>
      </bottom>
      <diagonal/>
    </border>
    <border>
      <left style="thin">
        <color rgb="FF000000"/>
      </left>
      <right/>
      <top/>
      <bottom/>
      <diagonal/>
    </border>
    <border>
      <left style="thin">
        <color rgb="FFBFBFBF"/>
      </left>
      <right style="thin">
        <color rgb="FFBFBFBF"/>
      </right>
      <top style="thin">
        <color rgb="FFBFBFBF"/>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thin">
        <color rgb="FFBFBFBF"/>
      </left>
      <right style="thin">
        <color rgb="FFBFBFBF"/>
      </right>
      <top style="medium">
        <color rgb="FF000000"/>
      </top>
      <bottom style="medium">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top/>
      <bottom style="thin">
        <color rgb="FF000000"/>
      </bottom>
      <diagonal/>
    </border>
    <border>
      <left style="thick">
        <color rgb="FF9CC2E5"/>
      </left>
      <right/>
      <top style="thick">
        <color rgb="FF9CC2E5"/>
      </top>
      <bottom/>
      <diagonal/>
    </border>
    <border>
      <left/>
      <right/>
      <top style="thick">
        <color rgb="FF9CC2E5"/>
      </top>
      <bottom/>
      <diagonal/>
    </border>
    <border>
      <left/>
      <right style="thick">
        <color rgb="FF9CC2E5"/>
      </right>
      <top style="thick">
        <color rgb="FF9CC2E5"/>
      </top>
      <bottom/>
      <diagonal/>
    </border>
    <border>
      <left style="thick">
        <color rgb="FF9CC2E5"/>
      </left>
      <right/>
      <top/>
      <bottom/>
      <diagonal/>
    </border>
    <border>
      <left/>
      <right style="thick">
        <color rgb="FF9CC2E5"/>
      </right>
      <top/>
      <bottom/>
      <diagonal/>
    </border>
    <border>
      <left/>
      <right style="thick">
        <color rgb="FF9CC2E5"/>
      </right>
      <top/>
      <bottom style="thin">
        <color rgb="FF000000"/>
      </bottom>
      <diagonal/>
    </border>
    <border>
      <left style="thick">
        <color rgb="FF9CC2E5"/>
      </left>
      <right/>
      <top/>
      <bottom style="thick">
        <color rgb="FF9CC2E5"/>
      </bottom>
      <diagonal/>
    </border>
    <border>
      <left/>
      <right style="thick">
        <color rgb="FF9CC2E5"/>
      </right>
      <top/>
      <bottom style="thick">
        <color rgb="FF9CC2E5"/>
      </bottom>
      <diagonal/>
    </border>
    <border>
      <left/>
      <right/>
      <top/>
      <bottom/>
      <diagonal/>
    </border>
    <border>
      <left style="thick">
        <color rgb="FFD8D8D8"/>
      </left>
      <right/>
      <top style="thick">
        <color rgb="FFD8D8D8"/>
      </top>
      <bottom/>
      <diagonal/>
    </border>
    <border>
      <left/>
      <right/>
      <top style="thick">
        <color rgb="FFD8D8D8"/>
      </top>
      <bottom/>
      <diagonal/>
    </border>
    <border>
      <left/>
      <right style="thick">
        <color rgb="FFD8D8D8"/>
      </right>
      <top style="thick">
        <color rgb="FFD8D8D8"/>
      </top>
      <bottom/>
      <diagonal/>
    </border>
    <border>
      <left style="thick">
        <color rgb="FFD8D8D8"/>
      </left>
      <right/>
      <top/>
      <bottom/>
      <diagonal/>
    </border>
    <border>
      <left/>
      <right style="thick">
        <color rgb="FFD8D8D8"/>
      </right>
      <top/>
      <bottom/>
      <diagonal/>
    </border>
    <border>
      <left style="thick">
        <color rgb="FFD8D8D8"/>
      </left>
      <right/>
      <top/>
      <bottom style="thick">
        <color rgb="FFD8D8D8"/>
      </bottom>
      <diagonal/>
    </border>
    <border>
      <left/>
      <right/>
      <top/>
      <bottom style="thick">
        <color rgb="FFD8D8D8"/>
      </bottom>
      <diagonal/>
    </border>
    <border>
      <left/>
      <right style="thick">
        <color rgb="FFD8D8D8"/>
      </right>
      <top/>
      <bottom style="thick">
        <color rgb="FFD8D8D8"/>
      </bottom>
      <diagonal/>
    </border>
    <border>
      <left/>
      <right/>
      <top style="thick">
        <color rgb="FFFFE598"/>
      </top>
      <bottom/>
      <diagonal/>
    </border>
    <border>
      <left/>
      <right style="thick">
        <color rgb="FFFFE498"/>
      </right>
      <top style="thick">
        <color rgb="FFFFE598"/>
      </top>
      <bottom/>
      <diagonal/>
    </border>
    <border>
      <left/>
      <right style="thick">
        <color rgb="FFFFE498"/>
      </right>
      <top/>
      <bottom/>
      <diagonal/>
    </border>
    <border>
      <left/>
      <right/>
      <top/>
      <bottom style="thick">
        <color rgb="FFFFE498"/>
      </bottom>
      <diagonal/>
    </border>
    <border>
      <left/>
      <right style="thick">
        <color rgb="FFFFE498"/>
      </right>
      <top/>
      <bottom style="thick">
        <color rgb="FFFFE498"/>
      </bottom>
      <diagonal/>
    </border>
    <border>
      <left/>
      <right/>
      <top/>
      <bottom style="thick">
        <color rgb="FFFFE599"/>
      </bottom>
      <diagonal/>
    </border>
    <border>
      <left/>
      <right/>
      <top/>
      <bottom style="thick">
        <color rgb="FFFFE598"/>
      </bottom>
      <diagonal/>
    </border>
    <border>
      <left style="thick">
        <color rgb="FFFFE598"/>
      </left>
      <right/>
      <top/>
      <bottom/>
      <diagonal/>
    </border>
    <border>
      <left/>
      <right style="thick">
        <color rgb="FFFFE598"/>
      </right>
      <top style="thick">
        <color rgb="FFFFE598"/>
      </top>
      <bottom/>
      <diagonal/>
    </border>
    <border>
      <left/>
      <right style="thick">
        <color rgb="FFFFE598"/>
      </right>
      <top/>
      <bottom/>
      <diagonal/>
    </border>
    <border>
      <left style="thick">
        <color rgb="FFFFE598"/>
      </left>
      <right/>
      <top/>
      <bottom style="thick">
        <color rgb="FFFFE598"/>
      </bottom>
      <diagonal/>
    </border>
    <border>
      <left/>
      <right style="thick">
        <color rgb="FFFFE598"/>
      </right>
      <top/>
      <bottom style="thick">
        <color rgb="FFFFE598"/>
      </bottom>
      <diagonal/>
    </border>
    <border>
      <left style="thick">
        <color rgb="FFFFE598"/>
      </left>
      <right/>
      <top style="thick">
        <color rgb="FFFFE598"/>
      </top>
      <bottom/>
      <diagonal/>
    </border>
    <border>
      <left/>
      <right/>
      <top style="thick">
        <color rgb="FFFFE599"/>
      </top>
      <bottom/>
      <diagonal/>
    </border>
    <border>
      <left/>
      <right style="thick">
        <color rgb="FFFFE599"/>
      </right>
      <top style="thick">
        <color rgb="FFFFE599"/>
      </top>
      <bottom/>
      <diagonal/>
    </border>
    <border>
      <left style="thick">
        <color rgb="FFFFE598"/>
      </left>
      <right/>
      <top style="thick">
        <color rgb="FFFFE599"/>
      </top>
      <bottom/>
      <diagonal/>
    </border>
    <border>
      <left/>
      <right style="thick">
        <color rgb="FFFFE599"/>
      </right>
      <top style="thick">
        <color rgb="FFFFE598"/>
      </top>
      <bottom/>
      <diagonal/>
    </border>
    <border>
      <left style="thick">
        <color rgb="FFFFE599"/>
      </left>
      <right/>
      <top style="thick">
        <color rgb="FFFFE599"/>
      </top>
      <bottom/>
      <diagonal/>
    </border>
    <border>
      <left style="thick">
        <color rgb="FFFFE599"/>
      </left>
      <right/>
      <top/>
      <bottom/>
      <diagonal/>
    </border>
    <border>
      <left/>
      <right style="thick">
        <color rgb="FFFFE599"/>
      </right>
      <top/>
      <bottom/>
      <diagonal/>
    </border>
    <border>
      <left style="thick">
        <color rgb="FFFFE599"/>
      </left>
      <right/>
      <top/>
      <bottom style="thick">
        <color rgb="FFFFE599"/>
      </bottom>
      <diagonal/>
    </border>
    <border>
      <left/>
      <right style="thick">
        <color rgb="FFFFE599"/>
      </right>
      <top/>
      <bottom style="thick">
        <color rgb="FFFFE599"/>
      </bottom>
      <diagonal/>
    </border>
    <border>
      <left/>
      <right/>
      <top/>
      <bottom style="thin">
        <color rgb="FFFFE598"/>
      </bottom>
      <diagonal/>
    </border>
    <border>
      <left/>
      <right/>
      <top/>
      <bottom style="thin">
        <color rgb="FF000000"/>
      </bottom>
      <diagonal/>
    </border>
    <border>
      <left/>
      <right style="thin">
        <color rgb="FF000000"/>
      </right>
      <top/>
      <bottom/>
      <diagonal/>
    </border>
    <border>
      <left/>
      <right/>
      <top/>
      <bottom style="thick">
        <color rgb="FF9CC2E5"/>
      </bottom>
      <diagonal/>
    </border>
    <border>
      <left/>
      <right style="thin">
        <color rgb="FF000000"/>
      </right>
      <top/>
      <bottom style="thin">
        <color rgb="FF000000"/>
      </bottom>
      <diagonal/>
    </border>
    <border>
      <left style="thick">
        <color rgb="FFFFE598"/>
      </left>
      <right/>
      <top style="thick">
        <color rgb="FFFFE599"/>
      </top>
      <bottom style="thick">
        <color rgb="FFFFE599"/>
      </bottom>
      <diagonal/>
    </border>
    <border>
      <left/>
      <right style="thick">
        <color rgb="FFFFE599"/>
      </right>
      <top style="thick">
        <color rgb="FFFFE599"/>
      </top>
      <bottom style="thick">
        <color rgb="FFFFE599"/>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theme="4" tint="0.39997558519241921"/>
      </left>
      <right style="medium">
        <color theme="4" tint="0.39997558519241921"/>
      </right>
      <top style="medium">
        <color theme="4" tint="0.39997558519241921"/>
      </top>
      <bottom style="medium">
        <color theme="4" tint="0.39997558519241921"/>
      </bottom>
      <diagonal/>
    </border>
    <border>
      <left style="medium">
        <color theme="4" tint="0.39997558519241921"/>
      </left>
      <right/>
      <top style="medium">
        <color theme="4" tint="0.39997558519241921"/>
      </top>
      <bottom style="medium">
        <color theme="4" tint="0.39997558519241921"/>
      </bottom>
      <diagonal/>
    </border>
    <border>
      <left/>
      <right style="medium">
        <color theme="4" tint="0.39997558519241921"/>
      </right>
      <top style="medium">
        <color theme="4" tint="0.39997558519241921"/>
      </top>
      <bottom style="medium">
        <color theme="4" tint="0.39997558519241921"/>
      </bottom>
      <diagonal/>
    </border>
    <border>
      <left/>
      <right/>
      <top/>
      <bottom style="medium">
        <color theme="7" tint="0.59999389629810485"/>
      </bottom>
      <diagonal/>
    </border>
    <border>
      <left/>
      <right/>
      <top style="medium">
        <color theme="7" tint="0.59999389629810485"/>
      </top>
      <bottom/>
      <diagonal/>
    </border>
    <border>
      <left/>
      <right style="medium">
        <color theme="7" tint="0.59999389629810485"/>
      </right>
      <top style="medium">
        <color theme="7" tint="0.59999389629810485"/>
      </top>
      <bottom/>
      <diagonal/>
    </border>
    <border>
      <left/>
      <right style="medium">
        <color theme="7" tint="0.59999389629810485"/>
      </right>
      <top/>
      <bottom/>
      <diagonal/>
    </border>
    <border>
      <left/>
      <right style="medium">
        <color theme="7" tint="0.59999389629810485"/>
      </right>
      <top/>
      <bottom style="medium">
        <color theme="7" tint="0.59999389629810485"/>
      </bottom>
      <diagonal/>
    </border>
    <border>
      <left/>
      <right/>
      <top style="thin">
        <color rgb="FFBFBFBF"/>
      </top>
      <bottom style="thin">
        <color rgb="FFBFBFBF"/>
      </bottom>
      <diagonal/>
    </border>
    <border>
      <left/>
      <right/>
      <top style="thin">
        <color rgb="FFBFBFBF"/>
      </top>
      <bottom/>
      <diagonal/>
    </border>
    <border>
      <left/>
      <right/>
      <top/>
      <bottom style="thick">
        <color theme="7" tint="0.59999389629810485"/>
      </bottom>
      <diagonal/>
    </border>
    <border>
      <left/>
      <right/>
      <top style="thick">
        <color theme="7" tint="0.59999389629810485"/>
      </top>
      <bottom/>
      <diagonal/>
    </border>
    <border>
      <left style="thick">
        <color theme="7" tint="0.59999389629810485"/>
      </left>
      <right/>
      <top style="thick">
        <color theme="7" tint="0.59999389629810485"/>
      </top>
      <bottom/>
      <diagonal/>
    </border>
    <border>
      <left/>
      <right style="thick">
        <color theme="7" tint="0.59999389629810485"/>
      </right>
      <top style="thick">
        <color theme="7" tint="0.59999389629810485"/>
      </top>
      <bottom/>
      <diagonal/>
    </border>
    <border>
      <left style="thick">
        <color theme="7" tint="0.59999389629810485"/>
      </left>
      <right/>
      <top/>
      <bottom/>
      <diagonal/>
    </border>
    <border>
      <left/>
      <right style="thick">
        <color theme="7" tint="0.59999389629810485"/>
      </right>
      <top/>
      <bottom/>
      <diagonal/>
    </border>
    <border>
      <left style="thick">
        <color theme="7" tint="0.59999389629810485"/>
      </left>
      <right/>
      <top/>
      <bottom style="thick">
        <color theme="7" tint="0.59999389629810485"/>
      </bottom>
      <diagonal/>
    </border>
    <border>
      <left/>
      <right style="thick">
        <color theme="7" tint="0.59999389629810485"/>
      </right>
      <top/>
      <bottom style="thick">
        <color theme="7" tint="0.59999389629810485"/>
      </bottom>
      <diagonal/>
    </border>
    <border>
      <left style="thick">
        <color theme="7" tint="0.59999389629810485"/>
      </left>
      <right/>
      <top style="thick">
        <color theme="7" tint="0.59999389629810485"/>
      </top>
      <bottom style="thick">
        <color theme="7" tint="0.59999389629810485"/>
      </bottom>
      <diagonal/>
    </border>
    <border>
      <left/>
      <right/>
      <top style="thick">
        <color theme="7" tint="0.59999389629810485"/>
      </top>
      <bottom style="thick">
        <color theme="7" tint="0.59999389629810485"/>
      </bottom>
      <diagonal/>
    </border>
    <border>
      <left/>
      <right style="thick">
        <color theme="7" tint="0.59999389629810485"/>
      </right>
      <top style="thick">
        <color theme="7" tint="0.59999389629810485"/>
      </top>
      <bottom style="thick">
        <color theme="7" tint="0.59999389629810485"/>
      </bottom>
      <diagonal/>
    </border>
    <border>
      <left/>
      <right style="thin">
        <color theme="1"/>
      </right>
      <top/>
      <bottom/>
      <diagonal/>
    </border>
    <border>
      <left style="thin">
        <color theme="1"/>
      </left>
      <right style="thin">
        <color theme="1"/>
      </right>
      <top/>
      <bottom/>
      <diagonal/>
    </border>
    <border>
      <left/>
      <right/>
      <top style="thin">
        <color rgb="FF000000"/>
      </top>
      <bottom style="thick">
        <color theme="1"/>
      </bottom>
      <diagonal/>
    </border>
    <border>
      <left/>
      <right style="thin">
        <color rgb="FFBFBFBF"/>
      </right>
      <top/>
      <bottom style="thin">
        <color rgb="FFBFBFBF"/>
      </bottom>
      <diagonal/>
    </border>
    <border>
      <left/>
      <right/>
      <top/>
      <bottom style="thick">
        <color theme="1"/>
      </bottom>
      <diagonal/>
    </border>
    <border>
      <left style="thin">
        <color rgb="FF000000"/>
      </left>
      <right/>
      <top/>
      <bottom style="thin">
        <color theme="1"/>
      </bottom>
      <diagonal/>
    </border>
    <border>
      <left/>
      <right/>
      <top/>
      <bottom style="thin">
        <color theme="1"/>
      </bottom>
      <diagonal/>
    </border>
    <border>
      <left style="medium">
        <color theme="1"/>
      </left>
      <right/>
      <top style="medium">
        <color theme="1"/>
      </top>
      <bottom style="medium">
        <color theme="1"/>
      </bottom>
      <diagonal/>
    </border>
    <border>
      <left/>
      <right style="medium">
        <color theme="1"/>
      </right>
      <top style="medium">
        <color theme="1"/>
      </top>
      <bottom style="medium">
        <color theme="1"/>
      </bottom>
      <diagonal/>
    </border>
    <border>
      <left/>
      <right/>
      <top style="medium">
        <color theme="1"/>
      </top>
      <bottom style="medium">
        <color theme="1"/>
      </bottom>
      <diagonal/>
    </border>
    <border>
      <left/>
      <right/>
      <top style="thin">
        <color theme="4"/>
      </top>
      <bottom style="thin">
        <color theme="4"/>
      </bottom>
      <diagonal/>
    </border>
  </borders>
  <cellStyleXfs count="2">
    <xf numFmtId="0" fontId="0" fillId="0" borderId="0"/>
    <xf numFmtId="165" fontId="34" fillId="0" borderId="0" applyFont="0" applyFill="0" applyBorder="0" applyAlignment="0" applyProtection="0"/>
  </cellStyleXfs>
  <cellXfs count="766">
    <xf numFmtId="0" fontId="0" fillId="0" borderId="0" xfId="0"/>
    <xf numFmtId="0" fontId="2" fillId="0" borderId="0" xfId="0" applyFont="1"/>
    <xf numFmtId="0" fontId="3" fillId="0" borderId="0" xfId="0" applyFont="1" applyAlignment="1">
      <alignment horizontal="center"/>
    </xf>
    <xf numFmtId="0" fontId="3" fillId="0" borderId="0" xfId="0" applyFont="1"/>
    <xf numFmtId="0" fontId="2" fillId="0" borderId="0" xfId="0" applyFont="1" applyAlignment="1">
      <alignment horizontal="center"/>
    </xf>
    <xf numFmtId="166" fontId="2" fillId="0" borderId="0" xfId="0" applyNumberFormat="1" applyFont="1"/>
    <xf numFmtId="166" fontId="3" fillId="0" borderId="0" xfId="0" applyNumberFormat="1" applyFont="1" applyAlignment="1">
      <alignment horizontal="center"/>
    </xf>
    <xf numFmtId="0" fontId="4" fillId="0" borderId="0" xfId="0" applyFont="1"/>
    <xf numFmtId="0" fontId="5" fillId="0" borderId="0" xfId="0" applyFont="1"/>
    <xf numFmtId="0" fontId="6" fillId="0" borderId="0" xfId="0" applyFont="1"/>
    <xf numFmtId="166" fontId="6" fillId="0" borderId="0" xfId="0" applyNumberFormat="1" applyFont="1" applyAlignment="1">
      <alignment horizontal="center"/>
    </xf>
    <xf numFmtId="9" fontId="3" fillId="0" borderId="0" xfId="0" applyNumberFormat="1" applyFont="1"/>
    <xf numFmtId="166" fontId="3" fillId="0" borderId="0" xfId="0" applyNumberFormat="1" applyFont="1"/>
    <xf numFmtId="167" fontId="3" fillId="0" borderId="0" xfId="0" applyNumberFormat="1" applyFont="1"/>
    <xf numFmtId="2" fontId="3" fillId="0" borderId="0" xfId="0" applyNumberFormat="1" applyFont="1"/>
    <xf numFmtId="0" fontId="7" fillId="0" borderId="0" xfId="0" applyFont="1"/>
    <xf numFmtId="0" fontId="8" fillId="0" borderId="0" xfId="0" applyFont="1"/>
    <xf numFmtId="10" fontId="8" fillId="0" borderId="0" xfId="0" applyNumberFormat="1" applyFont="1"/>
    <xf numFmtId="10" fontId="7" fillId="0" borderId="0" xfId="0" applyNumberFormat="1" applyFont="1"/>
    <xf numFmtId="168" fontId="8" fillId="0" borderId="0" xfId="0" applyNumberFormat="1" applyFont="1"/>
    <xf numFmtId="168" fontId="9" fillId="0" borderId="0" xfId="0" applyNumberFormat="1" applyFont="1"/>
    <xf numFmtId="0" fontId="10" fillId="0" borderId="0" xfId="0" applyFont="1"/>
    <xf numFmtId="0" fontId="9" fillId="0" borderId="0" xfId="0" applyFont="1"/>
    <xf numFmtId="10" fontId="9" fillId="0" borderId="0" xfId="0" applyNumberFormat="1" applyFont="1"/>
    <xf numFmtId="0" fontId="11" fillId="0" borderId="0" xfId="0" applyFont="1" applyAlignment="1">
      <alignment horizontal="left"/>
    </xf>
    <xf numFmtId="0" fontId="11" fillId="0" borderId="0" xfId="0" applyFont="1" applyAlignment="1">
      <alignment horizontal="right"/>
    </xf>
    <xf numFmtId="0" fontId="3" fillId="0" borderId="0" xfId="0" applyFont="1" applyAlignment="1">
      <alignment horizontal="left"/>
    </xf>
    <xf numFmtId="0" fontId="12" fillId="0" borderId="0" xfId="0" applyFont="1"/>
    <xf numFmtId="0" fontId="12" fillId="0" borderId="0" xfId="0" applyFont="1" applyAlignment="1">
      <alignment horizontal="center"/>
    </xf>
    <xf numFmtId="167" fontId="11" fillId="0" borderId="0" xfId="0" applyNumberFormat="1" applyFont="1" applyAlignment="1">
      <alignment horizontal="right"/>
    </xf>
    <xf numFmtId="0" fontId="2" fillId="0" borderId="0" xfId="0" applyFont="1" applyAlignment="1">
      <alignment horizontal="left"/>
    </xf>
    <xf numFmtId="170" fontId="9" fillId="0" borderId="0" xfId="0" applyNumberFormat="1" applyFont="1"/>
    <xf numFmtId="0" fontId="10" fillId="6" borderId="1" xfId="0" applyFont="1" applyFill="1" applyBorder="1"/>
    <xf numFmtId="171" fontId="10" fillId="6" borderId="1" xfId="0" applyNumberFormat="1" applyFont="1" applyFill="1" applyBorder="1"/>
    <xf numFmtId="0" fontId="9" fillId="7" borderId="1" xfId="0" applyFont="1" applyFill="1" applyBorder="1"/>
    <xf numFmtId="0" fontId="9" fillId="0" borderId="1" xfId="0" applyFont="1" applyBorder="1"/>
    <xf numFmtId="171" fontId="9" fillId="0" borderId="1" xfId="0" applyNumberFormat="1" applyFont="1" applyBorder="1"/>
    <xf numFmtId="171" fontId="9" fillId="0" borderId="0" xfId="0" applyNumberFormat="1" applyFont="1"/>
    <xf numFmtId="0" fontId="14" fillId="0" borderId="0" xfId="0" applyFont="1" applyAlignment="1">
      <alignment horizontal="center" vertical="center"/>
    </xf>
    <xf numFmtId="0" fontId="9" fillId="0" borderId="0" xfId="0" applyFont="1" applyAlignment="1">
      <alignment horizontal="center" vertical="center" wrapText="1"/>
    </xf>
    <xf numFmtId="0" fontId="9" fillId="0" borderId="0" xfId="0" quotePrefix="1" applyFont="1" applyAlignment="1">
      <alignment horizontal="center" vertical="center" wrapText="1"/>
    </xf>
    <xf numFmtId="0" fontId="15" fillId="0" borderId="0" xfId="0" applyFont="1" applyAlignment="1">
      <alignment horizontal="center" vertical="center" wrapText="1"/>
    </xf>
    <xf numFmtId="0" fontId="16" fillId="0" borderId="0" xfId="0" applyFont="1" applyAlignment="1">
      <alignment horizontal="center" vertical="center" wrapText="1"/>
    </xf>
    <xf numFmtId="0" fontId="8" fillId="9" borderId="14" xfId="0" applyFont="1" applyFill="1" applyBorder="1"/>
    <xf numFmtId="0" fontId="8" fillId="15" borderId="17" xfId="0" applyFont="1" applyFill="1" applyBorder="1"/>
    <xf numFmtId="0" fontId="8" fillId="0" borderId="18" xfId="0" applyFont="1" applyBorder="1"/>
    <xf numFmtId="0" fontId="8" fillId="0" borderId="19" xfId="0" applyFont="1" applyBorder="1"/>
    <xf numFmtId="0" fontId="8" fillId="15" borderId="19" xfId="0" applyFont="1" applyFill="1" applyBorder="1" applyAlignment="1">
      <alignment horizontal="center"/>
    </xf>
    <xf numFmtId="0" fontId="8" fillId="15" borderId="24" xfId="0" applyFont="1" applyFill="1" applyBorder="1" applyAlignment="1">
      <alignment horizontal="center"/>
    </xf>
    <xf numFmtId="171" fontId="8" fillId="0" borderId="0" xfId="0" applyNumberFormat="1" applyFont="1"/>
    <xf numFmtId="174" fontId="8" fillId="0" borderId="0" xfId="0" applyNumberFormat="1" applyFont="1" applyAlignment="1">
      <alignment horizontal="center"/>
    </xf>
    <xf numFmtId="0" fontId="8" fillId="0" borderId="0" xfId="0" applyFont="1" applyAlignment="1">
      <alignment horizontal="center"/>
    </xf>
    <xf numFmtId="167" fontId="8" fillId="0" borderId="0" xfId="0" applyNumberFormat="1" applyFont="1"/>
    <xf numFmtId="0" fontId="7" fillId="16" borderId="25" xfId="0" applyFont="1" applyFill="1" applyBorder="1"/>
    <xf numFmtId="174" fontId="8" fillId="16" borderId="26" xfId="0" applyNumberFormat="1" applyFont="1" applyFill="1" applyBorder="1" applyAlignment="1">
      <alignment horizontal="center"/>
    </xf>
    <xf numFmtId="0" fontId="8" fillId="16" borderId="27" xfId="0" applyFont="1" applyFill="1" applyBorder="1" applyAlignment="1">
      <alignment horizontal="center"/>
    </xf>
    <xf numFmtId="9" fontId="8" fillId="0" borderId="0" xfId="0" applyNumberFormat="1" applyFont="1"/>
    <xf numFmtId="176" fontId="8" fillId="0" borderId="0" xfId="0" applyNumberFormat="1" applyFont="1"/>
    <xf numFmtId="0" fontId="7" fillId="18" borderId="28" xfId="0" applyFont="1" applyFill="1" applyBorder="1"/>
    <xf numFmtId="0" fontId="8" fillId="18" borderId="29" xfId="0" applyFont="1" applyFill="1" applyBorder="1"/>
    <xf numFmtId="0" fontId="7" fillId="19" borderId="28" xfId="0" applyFont="1" applyFill="1" applyBorder="1"/>
    <xf numFmtId="0" fontId="8" fillId="19" borderId="29" xfId="0" applyFont="1" applyFill="1" applyBorder="1"/>
    <xf numFmtId="0" fontId="7" fillId="18" borderId="23" xfId="0" applyFont="1" applyFill="1" applyBorder="1"/>
    <xf numFmtId="0" fontId="7" fillId="19" borderId="23" xfId="0" applyFont="1" applyFill="1" applyBorder="1"/>
    <xf numFmtId="14" fontId="8" fillId="0" borderId="0" xfId="0" applyNumberFormat="1" applyFont="1" applyAlignment="1">
      <alignment horizontal="left"/>
    </xf>
    <xf numFmtId="0" fontId="8" fillId="0" borderId="31" xfId="0" applyFont="1" applyBorder="1"/>
    <xf numFmtId="0" fontId="8" fillId="18" borderId="29" xfId="0" applyFont="1" applyFill="1" applyBorder="1" applyAlignment="1">
      <alignment horizontal="right"/>
    </xf>
    <xf numFmtId="0" fontId="8" fillId="0" borderId="32" xfId="0" applyFont="1" applyBorder="1"/>
    <xf numFmtId="0" fontId="7" fillId="0" borderId="33" xfId="0" applyFont="1" applyBorder="1"/>
    <xf numFmtId="0" fontId="7" fillId="0" borderId="34" xfId="0" applyFont="1" applyBorder="1"/>
    <xf numFmtId="10" fontId="7" fillId="0" borderId="32" xfId="0" applyNumberFormat="1" applyFont="1" applyBorder="1"/>
    <xf numFmtId="10" fontId="7" fillId="0" borderId="33" xfId="0" applyNumberFormat="1" applyFont="1" applyBorder="1"/>
    <xf numFmtId="10" fontId="7" fillId="0" borderId="34" xfId="0" applyNumberFormat="1" applyFont="1" applyBorder="1"/>
    <xf numFmtId="168" fontId="18" fillId="0" borderId="34" xfId="0" applyNumberFormat="1" applyFont="1" applyBorder="1"/>
    <xf numFmtId="0" fontId="7" fillId="0" borderId="35" xfId="0" applyFont="1" applyBorder="1"/>
    <xf numFmtId="0" fontId="8" fillId="0" borderId="36" xfId="0" applyFont="1" applyBorder="1"/>
    <xf numFmtId="168" fontId="18" fillId="0" borderId="36" xfId="0" applyNumberFormat="1" applyFont="1" applyBorder="1"/>
    <xf numFmtId="10" fontId="7" fillId="0" borderId="35" xfId="0" applyNumberFormat="1" applyFont="1" applyBorder="1"/>
    <xf numFmtId="168" fontId="18" fillId="0" borderId="0" xfId="0" applyNumberFormat="1" applyFont="1"/>
    <xf numFmtId="10" fontId="8" fillId="0" borderId="35" xfId="0" applyNumberFormat="1" applyFont="1" applyBorder="1"/>
    <xf numFmtId="168" fontId="8" fillId="0" borderId="36" xfId="0" applyNumberFormat="1" applyFont="1" applyBorder="1"/>
    <xf numFmtId="0" fontId="8" fillId="0" borderId="35" xfId="0" applyFont="1" applyBorder="1"/>
    <xf numFmtId="10" fontId="8" fillId="0" borderId="36" xfId="0" applyNumberFormat="1" applyFont="1" applyBorder="1"/>
    <xf numFmtId="0" fontId="9" fillId="0" borderId="35" xfId="0" applyFont="1" applyBorder="1"/>
    <xf numFmtId="0" fontId="20" fillId="0" borderId="37" xfId="0" applyFont="1" applyBorder="1"/>
    <xf numFmtId="0" fontId="8" fillId="0" borderId="38" xfId="0" applyFont="1" applyBorder="1"/>
    <xf numFmtId="0" fontId="8" fillId="0" borderId="39" xfId="0" applyFont="1" applyBorder="1"/>
    <xf numFmtId="10" fontId="8" fillId="0" borderId="38" xfId="0" applyNumberFormat="1" applyFont="1" applyBorder="1"/>
    <xf numFmtId="10" fontId="8" fillId="0" borderId="39" xfId="0" applyNumberFormat="1" applyFont="1" applyBorder="1"/>
    <xf numFmtId="0" fontId="7" fillId="0" borderId="38" xfId="0" applyFont="1" applyBorder="1"/>
    <xf numFmtId="168" fontId="18" fillId="0" borderId="39" xfId="0" applyNumberFormat="1" applyFont="1" applyBorder="1"/>
    <xf numFmtId="0" fontId="7" fillId="15" borderId="40" xfId="0" applyFont="1" applyFill="1" applyBorder="1"/>
    <xf numFmtId="44" fontId="8" fillId="0" borderId="0" xfId="0" applyNumberFormat="1" applyFont="1"/>
    <xf numFmtId="0" fontId="8" fillId="0" borderId="44" xfId="0" applyFont="1" applyBorder="1"/>
    <xf numFmtId="0" fontId="9" fillId="0" borderId="45" xfId="0" applyFont="1" applyBorder="1"/>
    <xf numFmtId="0" fontId="21" fillId="0" borderId="49" xfId="0" applyFont="1" applyBorder="1" applyAlignment="1">
      <alignment horizontal="left" wrapText="1"/>
    </xf>
    <xf numFmtId="0" fontId="21" fillId="0" borderId="0" xfId="0" applyFont="1"/>
    <xf numFmtId="0" fontId="21" fillId="0" borderId="49" xfId="0" applyFont="1" applyBorder="1"/>
    <xf numFmtId="0" fontId="22" fillId="0" borderId="0" xfId="0" applyFont="1"/>
    <xf numFmtId="10" fontId="22" fillId="0" borderId="0" xfId="0" applyNumberFormat="1" applyFont="1"/>
    <xf numFmtId="0" fontId="23" fillId="0" borderId="0" xfId="0" applyFont="1"/>
    <xf numFmtId="0" fontId="24" fillId="0" borderId="0" xfId="0" applyFont="1" applyAlignment="1">
      <alignment horizontal="left" wrapText="1"/>
    </xf>
    <xf numFmtId="0" fontId="8" fillId="0" borderId="0" xfId="0" applyFont="1" applyAlignment="1">
      <alignment horizontal="left"/>
    </xf>
    <xf numFmtId="177" fontId="8" fillId="0" borderId="0" xfId="0" quotePrefix="1" applyNumberFormat="1" applyFont="1" applyAlignment="1">
      <alignment horizontal="left"/>
    </xf>
    <xf numFmtId="0" fontId="24" fillId="0" borderId="0" xfId="0" applyFont="1" applyAlignment="1">
      <alignment wrapText="1"/>
    </xf>
    <xf numFmtId="1" fontId="8" fillId="0" borderId="0" xfId="0" applyNumberFormat="1" applyFont="1" applyAlignment="1">
      <alignment horizontal="center"/>
    </xf>
    <xf numFmtId="177" fontId="8" fillId="0" borderId="0" xfId="0" applyNumberFormat="1" applyFont="1" applyAlignment="1">
      <alignment horizontal="center"/>
    </xf>
    <xf numFmtId="0" fontId="18" fillId="0" borderId="0" xfId="0" applyFont="1" applyAlignment="1">
      <alignment horizontal="left"/>
    </xf>
    <xf numFmtId="177" fontId="8" fillId="0" borderId="0" xfId="0" applyNumberFormat="1" applyFont="1" applyAlignment="1">
      <alignment horizontal="left"/>
    </xf>
    <xf numFmtId="1" fontId="8" fillId="0" borderId="0" xfId="0" applyNumberFormat="1" applyFont="1" applyAlignment="1">
      <alignment horizontal="left"/>
    </xf>
    <xf numFmtId="2" fontId="8" fillId="0" borderId="0" xfId="0" applyNumberFormat="1" applyFont="1" applyAlignment="1">
      <alignment horizontal="left"/>
    </xf>
    <xf numFmtId="2" fontId="8" fillId="0" borderId="0" xfId="0" applyNumberFormat="1" applyFont="1"/>
    <xf numFmtId="2" fontId="8" fillId="0" borderId="54" xfId="0" applyNumberFormat="1" applyFont="1" applyBorder="1"/>
    <xf numFmtId="0" fontId="7" fillId="19" borderId="55" xfId="0" applyFont="1" applyFill="1" applyBorder="1"/>
    <xf numFmtId="0" fontId="7" fillId="0" borderId="56" xfId="0" applyFont="1" applyBorder="1"/>
    <xf numFmtId="0" fontId="7" fillId="0" borderId="49" xfId="0" applyFont="1" applyBorder="1"/>
    <xf numFmtId="177" fontId="8" fillId="0" borderId="56" xfId="0" applyNumberFormat="1" applyFont="1" applyBorder="1"/>
    <xf numFmtId="177" fontId="8" fillId="0" borderId="0" xfId="0" applyNumberFormat="1" applyFont="1"/>
    <xf numFmtId="177" fontId="24" fillId="0" borderId="0" xfId="0" applyNumberFormat="1" applyFont="1" applyAlignment="1">
      <alignment wrapText="1"/>
    </xf>
    <xf numFmtId="168" fontId="24" fillId="0" borderId="0" xfId="0" applyNumberFormat="1" applyFont="1"/>
    <xf numFmtId="177" fontId="8" fillId="0" borderId="0" xfId="0" applyNumberFormat="1" applyFont="1" applyAlignment="1">
      <alignment horizontal="right"/>
    </xf>
    <xf numFmtId="0" fontId="8" fillId="0" borderId="59" xfId="0" applyFont="1" applyBorder="1"/>
    <xf numFmtId="168" fontId="8" fillId="0" borderId="54" xfId="0" applyNumberFormat="1" applyFont="1" applyBorder="1"/>
    <xf numFmtId="0" fontId="8" fillId="0" borderId="54" xfId="0" applyFont="1" applyBorder="1"/>
    <xf numFmtId="0" fontId="7" fillId="0" borderId="61" xfId="0" applyFont="1" applyBorder="1"/>
    <xf numFmtId="177" fontId="8" fillId="0" borderId="56" xfId="0" applyNumberFormat="1" applyFont="1" applyBorder="1" applyAlignment="1">
      <alignment horizontal="left"/>
    </xf>
    <xf numFmtId="44" fontId="8" fillId="0" borderId="0" xfId="0" applyNumberFormat="1" applyFont="1" applyAlignment="1">
      <alignment horizontal="left"/>
    </xf>
    <xf numFmtId="44" fontId="8" fillId="0" borderId="0" xfId="0" applyNumberFormat="1" applyFont="1" applyAlignment="1">
      <alignment horizontal="center"/>
    </xf>
    <xf numFmtId="2" fontId="8" fillId="0" borderId="0" xfId="0" applyNumberFormat="1" applyFont="1" applyAlignment="1">
      <alignment horizontal="center"/>
    </xf>
    <xf numFmtId="0" fontId="8" fillId="0" borderId="54" xfId="0" applyFont="1" applyBorder="1" applyAlignment="1">
      <alignment horizontal="center"/>
    </xf>
    <xf numFmtId="0" fontId="7" fillId="0" borderId="0" xfId="0" applyFont="1" applyAlignment="1">
      <alignment horizontal="center"/>
    </xf>
    <xf numFmtId="0" fontId="24" fillId="0" borderId="0" xfId="0" applyFont="1"/>
    <xf numFmtId="168" fontId="24" fillId="0" borderId="0" xfId="0" applyNumberFormat="1" applyFont="1" applyAlignment="1">
      <alignment horizontal="right"/>
    </xf>
    <xf numFmtId="0" fontId="8" fillId="0" borderId="0" xfId="0" applyFont="1" applyAlignment="1">
      <alignment vertical="top" wrapText="1"/>
    </xf>
    <xf numFmtId="168" fontId="8" fillId="0" borderId="0" xfId="0" applyNumberFormat="1" applyFont="1" applyAlignment="1">
      <alignment horizontal="center"/>
    </xf>
    <xf numFmtId="168" fontId="24" fillId="0" borderId="0" xfId="0" applyNumberFormat="1" applyFont="1" applyAlignment="1">
      <alignment horizontal="left"/>
    </xf>
    <xf numFmtId="0" fontId="24" fillId="0" borderId="0" xfId="0" applyFont="1" applyAlignment="1">
      <alignment horizontal="center" wrapText="1"/>
    </xf>
    <xf numFmtId="177" fontId="24" fillId="0" borderId="0" xfId="0" applyNumberFormat="1" applyFont="1" applyAlignment="1">
      <alignment horizontal="left" wrapText="1"/>
    </xf>
    <xf numFmtId="1" fontId="8" fillId="0" borderId="56" xfId="0" applyNumberFormat="1" applyFont="1" applyBorder="1" applyAlignment="1">
      <alignment horizontal="left"/>
    </xf>
    <xf numFmtId="0" fontId="24" fillId="18" borderId="29" xfId="0" applyFont="1" applyFill="1" applyBorder="1"/>
    <xf numFmtId="0" fontId="2" fillId="2" borderId="40" xfId="0" applyFont="1" applyFill="1" applyBorder="1"/>
    <xf numFmtId="166" fontId="2" fillId="2" borderId="40" xfId="0" applyNumberFormat="1" applyFont="1" applyFill="1" applyBorder="1" applyAlignment="1">
      <alignment horizontal="center"/>
    </xf>
    <xf numFmtId="0" fontId="2" fillId="3" borderId="40" xfId="0" applyFont="1" applyFill="1" applyBorder="1"/>
    <xf numFmtId="166" fontId="2" fillId="3" borderId="40" xfId="0" applyNumberFormat="1" applyFont="1" applyFill="1" applyBorder="1" applyAlignment="1">
      <alignment horizontal="center"/>
    </xf>
    <xf numFmtId="0" fontId="3" fillId="4" borderId="40" xfId="0" applyFont="1" applyFill="1" applyBorder="1"/>
    <xf numFmtId="0" fontId="2" fillId="5" borderId="40" xfId="0" applyFont="1" applyFill="1" applyBorder="1"/>
    <xf numFmtId="166" fontId="2" fillId="5" borderId="40" xfId="0" applyNumberFormat="1" applyFont="1" applyFill="1" applyBorder="1" applyAlignment="1">
      <alignment horizontal="center"/>
    </xf>
    <xf numFmtId="169" fontId="9" fillId="0" borderId="0" xfId="0" applyNumberFormat="1" applyFont="1"/>
    <xf numFmtId="0" fontId="8" fillId="15" borderId="18" xfId="0" applyFont="1" applyFill="1" applyBorder="1" applyAlignment="1">
      <alignment horizontal="center"/>
    </xf>
    <xf numFmtId="0" fontId="8" fillId="15" borderId="18" xfId="0" applyFont="1" applyFill="1" applyBorder="1"/>
    <xf numFmtId="171" fontId="8" fillId="15" borderId="18" xfId="0" applyNumberFormat="1" applyFont="1" applyFill="1" applyBorder="1"/>
    <xf numFmtId="0" fontId="8" fillId="11" borderId="18" xfId="0" applyFont="1" applyFill="1" applyBorder="1" applyAlignment="1">
      <alignment horizontal="center"/>
    </xf>
    <xf numFmtId="0" fontId="8" fillId="18" borderId="30" xfId="0" applyFont="1" applyFill="1" applyBorder="1"/>
    <xf numFmtId="0" fontId="8" fillId="19" borderId="30" xfId="0" applyFont="1" applyFill="1" applyBorder="1" applyAlignment="1">
      <alignment horizontal="right"/>
    </xf>
    <xf numFmtId="0" fontId="8" fillId="19" borderId="30" xfId="0" applyFont="1" applyFill="1" applyBorder="1"/>
    <xf numFmtId="0" fontId="8" fillId="18" borderId="40" xfId="0" applyFont="1" applyFill="1" applyBorder="1" applyAlignment="1">
      <alignment horizontal="left"/>
    </xf>
    <xf numFmtId="0" fontId="8" fillId="18" borderId="73" xfId="0" applyFont="1" applyFill="1" applyBorder="1"/>
    <xf numFmtId="0" fontId="8" fillId="19" borderId="40" xfId="0" applyFont="1" applyFill="1" applyBorder="1" applyAlignment="1">
      <alignment horizontal="right"/>
    </xf>
    <xf numFmtId="14" fontId="8" fillId="19" borderId="40" xfId="0" applyNumberFormat="1" applyFont="1" applyFill="1" applyBorder="1" applyAlignment="1">
      <alignment horizontal="left"/>
    </xf>
    <xf numFmtId="0" fontId="8" fillId="19" borderId="73" xfId="0" applyFont="1" applyFill="1" applyBorder="1"/>
    <xf numFmtId="0" fontId="7" fillId="18" borderId="31" xfId="0" applyFont="1" applyFill="1" applyBorder="1"/>
    <xf numFmtId="14" fontId="8" fillId="18" borderId="72" xfId="0" applyNumberFormat="1" applyFont="1" applyFill="1" applyBorder="1" applyAlignment="1">
      <alignment horizontal="left"/>
    </xf>
    <xf numFmtId="0" fontId="8" fillId="18" borderId="75" xfId="0" applyFont="1" applyFill="1" applyBorder="1"/>
    <xf numFmtId="0" fontId="7" fillId="19" borderId="31" xfId="0" applyFont="1" applyFill="1" applyBorder="1"/>
    <xf numFmtId="0" fontId="7" fillId="19" borderId="72" xfId="0" applyFont="1" applyFill="1" applyBorder="1"/>
    <xf numFmtId="14" fontId="8" fillId="19" borderId="72" xfId="0" applyNumberFormat="1" applyFont="1" applyFill="1" applyBorder="1" applyAlignment="1">
      <alignment horizontal="left"/>
    </xf>
    <xf numFmtId="0" fontId="8" fillId="19" borderId="75" xfId="0" applyFont="1" applyFill="1" applyBorder="1"/>
    <xf numFmtId="0" fontId="8" fillId="18" borderId="40" xfId="0" applyFont="1" applyFill="1" applyBorder="1"/>
    <xf numFmtId="14" fontId="8" fillId="18" borderId="40" xfId="0" applyNumberFormat="1" applyFont="1" applyFill="1" applyBorder="1" applyAlignment="1">
      <alignment horizontal="left"/>
    </xf>
    <xf numFmtId="0" fontId="8" fillId="19" borderId="40" xfId="0" applyFont="1" applyFill="1" applyBorder="1"/>
    <xf numFmtId="0" fontId="7" fillId="0" borderId="28" xfId="0" applyFont="1" applyBorder="1"/>
    <xf numFmtId="0" fontId="8" fillId="0" borderId="23" xfId="0" applyFont="1" applyBorder="1"/>
    <xf numFmtId="44" fontId="8" fillId="18" borderId="73" xfId="0" applyNumberFormat="1" applyFont="1" applyFill="1" applyBorder="1"/>
    <xf numFmtId="0" fontId="8" fillId="18" borderId="75" xfId="0" applyFont="1" applyFill="1" applyBorder="1" applyAlignment="1">
      <alignment horizontal="right"/>
    </xf>
    <xf numFmtId="0" fontId="8" fillId="0" borderId="28" xfId="0" applyFont="1" applyBorder="1"/>
    <xf numFmtId="0" fontId="7" fillId="2" borderId="40" xfId="0" applyFont="1" applyFill="1" applyBorder="1"/>
    <xf numFmtId="10" fontId="7" fillId="2" borderId="40" xfId="0" applyNumberFormat="1" applyFont="1" applyFill="1" applyBorder="1"/>
    <xf numFmtId="0" fontId="8" fillId="0" borderId="74" xfId="0" applyFont="1" applyBorder="1"/>
    <xf numFmtId="168" fontId="18" fillId="0" borderId="74" xfId="0" applyNumberFormat="1" applyFont="1" applyBorder="1"/>
    <xf numFmtId="0" fontId="7" fillId="21" borderId="40" xfId="0" applyFont="1" applyFill="1" applyBorder="1"/>
    <xf numFmtId="0" fontId="8" fillId="0" borderId="55" xfId="0" applyFont="1" applyBorder="1"/>
    <xf numFmtId="2" fontId="8" fillId="0" borderId="55" xfId="0" applyNumberFormat="1" applyFont="1" applyBorder="1" applyAlignment="1">
      <alignment horizontal="center"/>
    </xf>
    <xf numFmtId="1" fontId="8" fillId="0" borderId="55" xfId="0" applyNumberFormat="1" applyFont="1" applyBorder="1" applyAlignment="1">
      <alignment horizontal="center"/>
    </xf>
    <xf numFmtId="0" fontId="8" fillId="0" borderId="55" xfId="0" applyFont="1" applyBorder="1" applyAlignment="1">
      <alignment horizontal="center"/>
    </xf>
    <xf numFmtId="177" fontId="8" fillId="0" borderId="55" xfId="0" applyNumberFormat="1" applyFont="1" applyBorder="1" applyAlignment="1">
      <alignment horizontal="center"/>
    </xf>
    <xf numFmtId="177" fontId="8" fillId="0" borderId="55" xfId="0" applyNumberFormat="1" applyFont="1" applyBorder="1" applyAlignment="1">
      <alignment horizontal="right"/>
    </xf>
    <xf numFmtId="0" fontId="7" fillId="19" borderId="40" xfId="0" applyFont="1" applyFill="1" applyBorder="1"/>
    <xf numFmtId="44" fontId="8" fillId="0" borderId="55" xfId="0" applyNumberFormat="1" applyFont="1" applyBorder="1" applyAlignment="1">
      <alignment horizontal="center"/>
    </xf>
    <xf numFmtId="1" fontId="11" fillId="22" borderId="71" xfId="0" applyNumberFormat="1" applyFont="1" applyFill="1" applyBorder="1"/>
    <xf numFmtId="14" fontId="8" fillId="19" borderId="40" xfId="0" applyNumberFormat="1" applyFont="1" applyFill="1" applyBorder="1" applyAlignment="1">
      <alignment horizontal="right"/>
    </xf>
    <xf numFmtId="0" fontId="18" fillId="18" borderId="40" xfId="0" applyFont="1" applyFill="1" applyBorder="1"/>
    <xf numFmtId="0" fontId="11" fillId="0" borderId="1" xfId="0" applyFont="1" applyBorder="1" applyAlignment="1">
      <alignment horizontal="left" wrapText="1"/>
    </xf>
    <xf numFmtId="0" fontId="9" fillId="0" borderId="1" xfId="0" applyFont="1" applyBorder="1" applyAlignment="1">
      <alignment horizontal="left" vertical="top" wrapText="1"/>
    </xf>
    <xf numFmtId="1" fontId="11" fillId="0" borderId="1" xfId="0" applyNumberFormat="1" applyFont="1" applyBorder="1" applyAlignment="1">
      <alignment horizontal="left" wrapText="1"/>
    </xf>
    <xf numFmtId="0" fontId="18" fillId="24" borderId="40" xfId="0" applyFont="1" applyFill="1" applyBorder="1" applyAlignment="1">
      <alignment horizontal="left"/>
    </xf>
    <xf numFmtId="0" fontId="8" fillId="24" borderId="40" xfId="0" applyFont="1" applyFill="1" applyBorder="1"/>
    <xf numFmtId="0" fontId="24" fillId="23" borderId="40" xfId="0" applyFont="1" applyFill="1" applyBorder="1"/>
    <xf numFmtId="0" fontId="24" fillId="23" borderId="40" xfId="0" applyFont="1" applyFill="1" applyBorder="1" applyAlignment="1">
      <alignment horizontal="center" vertical="center"/>
    </xf>
    <xf numFmtId="0" fontId="24" fillId="23" borderId="40" xfId="0" applyFont="1" applyFill="1" applyBorder="1" applyAlignment="1">
      <alignment horizontal="center"/>
    </xf>
    <xf numFmtId="0" fontId="24" fillId="22" borderId="40" xfId="0" applyFont="1" applyFill="1" applyBorder="1"/>
    <xf numFmtId="168" fontId="11" fillId="0" borderId="1" xfId="0" applyNumberFormat="1" applyFont="1" applyBorder="1" applyAlignment="1">
      <alignment horizontal="left" wrapText="1"/>
    </xf>
    <xf numFmtId="2" fontId="11" fillId="0" borderId="1" xfId="0" applyNumberFormat="1" applyFont="1" applyBorder="1" applyAlignment="1">
      <alignment horizontal="left" wrapText="1"/>
    </xf>
    <xf numFmtId="169" fontId="11" fillId="0" borderId="1" xfId="0" applyNumberFormat="1" applyFont="1" applyBorder="1" applyAlignment="1">
      <alignment horizontal="left" wrapText="1"/>
    </xf>
    <xf numFmtId="0" fontId="12" fillId="0" borderId="1" xfId="0" applyFont="1" applyBorder="1" applyAlignment="1">
      <alignment horizontal="left" wrapText="1"/>
    </xf>
    <xf numFmtId="168" fontId="12" fillId="0" borderId="1" xfId="0" applyNumberFormat="1" applyFont="1" applyBorder="1" applyAlignment="1">
      <alignment horizontal="left" wrapText="1"/>
    </xf>
    <xf numFmtId="2" fontId="12" fillId="0" borderId="1" xfId="0" applyNumberFormat="1" applyFont="1" applyBorder="1" applyAlignment="1">
      <alignment horizontal="left" wrapText="1"/>
    </xf>
    <xf numFmtId="1" fontId="12" fillId="0" borderId="1" xfId="0" applyNumberFormat="1" applyFont="1" applyBorder="1" applyAlignment="1">
      <alignment horizontal="center" wrapText="1"/>
    </xf>
    <xf numFmtId="169" fontId="12" fillId="0" borderId="1" xfId="0" applyNumberFormat="1" applyFont="1" applyBorder="1" applyAlignment="1">
      <alignment horizontal="left" wrapText="1"/>
    </xf>
    <xf numFmtId="179" fontId="11" fillId="0" borderId="1" xfId="0" applyNumberFormat="1" applyFont="1" applyBorder="1" applyAlignment="1">
      <alignment horizontal="left" wrapText="1"/>
    </xf>
    <xf numFmtId="0" fontId="0" fillId="0" borderId="0" xfId="0" applyAlignment="1">
      <alignment horizontal="center"/>
    </xf>
    <xf numFmtId="0" fontId="11" fillId="8" borderId="11" xfId="0" applyFont="1" applyFill="1" applyBorder="1" applyAlignment="1">
      <alignment horizontal="center" vertical="center" wrapText="1"/>
    </xf>
    <xf numFmtId="0" fontId="11" fillId="0" borderId="11" xfId="0" applyFont="1" applyBorder="1" applyAlignment="1">
      <alignment horizontal="center" vertical="center" wrapText="1"/>
    </xf>
    <xf numFmtId="0" fontId="11" fillId="0" borderId="13" xfId="0" applyFont="1" applyBorder="1" applyAlignment="1">
      <alignment horizontal="center" vertical="center" wrapText="1"/>
    </xf>
    <xf numFmtId="0" fontId="11" fillId="0" borderId="40" xfId="0" applyFont="1" applyBorder="1" applyAlignment="1">
      <alignment horizontal="center" vertical="center" wrapText="1"/>
    </xf>
    <xf numFmtId="0" fontId="11" fillId="0" borderId="0" xfId="0" applyFont="1" applyAlignment="1">
      <alignment horizontal="center" vertical="center" wrapText="1"/>
    </xf>
    <xf numFmtId="0" fontId="0" fillId="0" borderId="0" xfId="0" applyAlignment="1">
      <alignment horizontal="center" vertical="center" wrapText="1"/>
    </xf>
    <xf numFmtId="14" fontId="9" fillId="0" borderId="0" xfId="0" applyNumberFormat="1" applyFont="1" applyAlignment="1">
      <alignment horizontal="center" vertical="center" wrapText="1"/>
    </xf>
    <xf numFmtId="16" fontId="9" fillId="0" borderId="0" xfId="0" applyNumberFormat="1" applyFont="1" applyAlignment="1">
      <alignment horizontal="center" vertical="center" wrapText="1"/>
    </xf>
    <xf numFmtId="0" fontId="11" fillId="8" borderId="10" xfId="0" applyFont="1" applyFill="1" applyBorder="1" applyAlignment="1">
      <alignment horizontal="center" vertical="center" wrapText="1"/>
    </xf>
    <xf numFmtId="172" fontId="11" fillId="8" borderId="11" xfId="0" applyNumberFormat="1" applyFont="1" applyFill="1" applyBorder="1" applyAlignment="1">
      <alignment horizontal="center" vertical="center" wrapText="1"/>
    </xf>
    <xf numFmtId="0" fontId="11" fillId="0" borderId="10" xfId="0" applyFont="1" applyBorder="1" applyAlignment="1">
      <alignment horizontal="center" vertical="center" wrapText="1"/>
    </xf>
    <xf numFmtId="172" fontId="11" fillId="0" borderId="11" xfId="0" applyNumberFormat="1" applyFont="1" applyBorder="1" applyAlignment="1">
      <alignment horizontal="center" vertical="center" wrapText="1"/>
    </xf>
    <xf numFmtId="173" fontId="11" fillId="8" borderId="11" xfId="0" applyNumberFormat="1" applyFont="1" applyFill="1" applyBorder="1" applyAlignment="1">
      <alignment horizontal="center" vertical="center" wrapText="1"/>
    </xf>
    <xf numFmtId="0" fontId="11" fillId="0" borderId="12" xfId="0" applyFont="1" applyBorder="1" applyAlignment="1">
      <alignment horizontal="center" vertical="center" wrapText="1"/>
    </xf>
    <xf numFmtId="172" fontId="11" fillId="0" borderId="13" xfId="0" applyNumberFormat="1" applyFont="1" applyBorder="1" applyAlignment="1">
      <alignment horizontal="center" vertical="center" wrapText="1"/>
    </xf>
    <xf numFmtId="172" fontId="11" fillId="0" borderId="40" xfId="0" applyNumberFormat="1" applyFont="1" applyBorder="1" applyAlignment="1">
      <alignment horizontal="center" vertical="center" wrapText="1"/>
    </xf>
    <xf numFmtId="172" fontId="11" fillId="0" borderId="0" xfId="0" applyNumberFormat="1" applyFont="1" applyAlignment="1">
      <alignment horizontal="center" vertical="center" wrapText="1"/>
    </xf>
    <xf numFmtId="14" fontId="0" fillId="0" borderId="0" xfId="0" applyNumberFormat="1" applyAlignment="1">
      <alignment horizontal="center" vertical="center" wrapText="1"/>
    </xf>
    <xf numFmtId="0" fontId="13" fillId="0" borderId="40" xfId="0" applyFont="1" applyBorder="1"/>
    <xf numFmtId="0" fontId="1" fillId="0" borderId="0" xfId="0" applyFont="1" applyAlignment="1">
      <alignment horizontal="center" vertical="center" wrapText="1"/>
    </xf>
    <xf numFmtId="0" fontId="7" fillId="0" borderId="40" xfId="0" applyFont="1" applyBorder="1"/>
    <xf numFmtId="0" fontId="8" fillId="0" borderId="40" xfId="0" applyFont="1" applyBorder="1"/>
    <xf numFmtId="0" fontId="8" fillId="0" borderId="40" xfId="0" applyFont="1" applyBorder="1" applyAlignment="1">
      <alignment horizontal="center"/>
    </xf>
    <xf numFmtId="0" fontId="1" fillId="0" borderId="0" xfId="0" applyFont="1"/>
    <xf numFmtId="168" fontId="0" fillId="0" borderId="35" xfId="0" applyNumberFormat="1" applyBorder="1"/>
    <xf numFmtId="1" fontId="9" fillId="0" borderId="0" xfId="0" applyNumberFormat="1" applyFont="1"/>
    <xf numFmtId="164" fontId="0" fillId="0" borderId="0" xfId="0" applyNumberFormat="1"/>
    <xf numFmtId="0" fontId="32" fillId="0" borderId="0" xfId="0" applyFont="1"/>
    <xf numFmtId="0" fontId="8" fillId="18" borderId="73" xfId="0" applyFont="1" applyFill="1" applyBorder="1" applyAlignment="1">
      <alignment horizontal="right"/>
    </xf>
    <xf numFmtId="0" fontId="8" fillId="0" borderId="78" xfId="0" applyFont="1" applyBorder="1"/>
    <xf numFmtId="0" fontId="8" fillId="18" borderId="79" xfId="0" applyFont="1" applyFill="1" applyBorder="1" applyAlignment="1">
      <alignment horizontal="right"/>
    </xf>
    <xf numFmtId="168" fontId="0" fillId="0" borderId="0" xfId="0" applyNumberFormat="1"/>
    <xf numFmtId="0" fontId="7" fillId="25" borderId="40" xfId="0" applyFont="1" applyFill="1" applyBorder="1"/>
    <xf numFmtId="0" fontId="7" fillId="26" borderId="40" xfId="0" applyFont="1" applyFill="1" applyBorder="1"/>
    <xf numFmtId="0" fontId="24" fillId="0" borderId="40" xfId="0" applyFont="1" applyBorder="1"/>
    <xf numFmtId="1" fontId="8" fillId="0" borderId="40" xfId="0" applyNumberFormat="1" applyFont="1" applyBorder="1" applyAlignment="1">
      <alignment horizontal="center"/>
    </xf>
    <xf numFmtId="168" fontId="8" fillId="0" borderId="40" xfId="0" applyNumberFormat="1" applyFont="1" applyBorder="1" applyAlignment="1">
      <alignment horizontal="center"/>
    </xf>
    <xf numFmtId="44" fontId="8" fillId="0" borderId="40" xfId="0" applyNumberFormat="1" applyFont="1" applyBorder="1" applyAlignment="1">
      <alignment horizontal="center"/>
    </xf>
    <xf numFmtId="0" fontId="0" fillId="0" borderId="40" xfId="0" applyBorder="1"/>
    <xf numFmtId="0" fontId="8" fillId="26" borderId="40" xfId="0" applyFont="1" applyFill="1" applyBorder="1"/>
    <xf numFmtId="0" fontId="24" fillId="0" borderId="40" xfId="0" applyFont="1" applyBorder="1" applyAlignment="1">
      <alignment horizontal="right"/>
    </xf>
    <xf numFmtId="10" fontId="24" fillId="0" borderId="40" xfId="0" applyNumberFormat="1" applyFont="1" applyBorder="1"/>
    <xf numFmtId="0" fontId="24" fillId="26" borderId="40" xfId="0" applyFont="1" applyFill="1" applyBorder="1"/>
    <xf numFmtId="181" fontId="0" fillId="0" borderId="0" xfId="0" applyNumberFormat="1"/>
    <xf numFmtId="176" fontId="9" fillId="0" borderId="0" xfId="0" applyNumberFormat="1" applyFont="1"/>
    <xf numFmtId="168" fontId="18" fillId="27" borderId="36" xfId="0" applyNumberFormat="1" applyFont="1" applyFill="1" applyBorder="1"/>
    <xf numFmtId="0" fontId="0" fillId="18" borderId="73" xfId="0" applyFill="1" applyBorder="1" applyAlignment="1">
      <alignment horizontal="right"/>
    </xf>
    <xf numFmtId="0" fontId="0" fillId="18" borderId="29" xfId="0" applyFill="1" applyBorder="1" applyAlignment="1">
      <alignment horizontal="right"/>
    </xf>
    <xf numFmtId="0" fontId="21" fillId="0" borderId="40" xfId="0" applyFont="1" applyBorder="1" applyAlignment="1">
      <alignment horizontal="left" wrapText="1"/>
    </xf>
    <xf numFmtId="0" fontId="21" fillId="0" borderId="40" xfId="0" applyFont="1" applyBorder="1"/>
    <xf numFmtId="0" fontId="21" fillId="0" borderId="40" xfId="0" applyFont="1" applyBorder="1" applyAlignment="1">
      <alignment horizontal="center" wrapText="1"/>
    </xf>
    <xf numFmtId="177" fontId="8" fillId="0" borderId="40" xfId="0" applyNumberFormat="1" applyFont="1" applyBorder="1" applyAlignment="1">
      <alignment horizontal="center"/>
    </xf>
    <xf numFmtId="177" fontId="8" fillId="0" borderId="40" xfId="0" applyNumberFormat="1" applyFont="1" applyBorder="1" applyAlignment="1">
      <alignment horizontal="right"/>
    </xf>
    <xf numFmtId="2" fontId="8" fillId="0" borderId="40" xfId="0" applyNumberFormat="1" applyFont="1" applyBorder="1"/>
    <xf numFmtId="168" fontId="8" fillId="0" borderId="40" xfId="0" applyNumberFormat="1" applyFont="1" applyBorder="1"/>
    <xf numFmtId="10" fontId="0" fillId="0" borderId="40" xfId="0" applyNumberFormat="1" applyBorder="1"/>
    <xf numFmtId="0" fontId="0" fillId="26" borderId="40" xfId="0" applyFill="1" applyBorder="1"/>
    <xf numFmtId="168" fontId="0" fillId="0" borderId="74" xfId="0" applyNumberFormat="1" applyBorder="1"/>
    <xf numFmtId="0" fontId="8" fillId="0" borderId="0" xfId="0" applyFont="1" applyAlignment="1">
      <alignment wrapText="1"/>
    </xf>
    <xf numFmtId="0" fontId="24" fillId="0" borderId="40" xfId="0" applyFont="1" applyBorder="1" applyAlignment="1">
      <alignment wrapText="1"/>
    </xf>
    <xf numFmtId="0" fontId="24" fillId="0" borderId="40" xfId="0" applyFont="1" applyBorder="1" applyAlignment="1">
      <alignment horizontal="right" wrapText="1"/>
    </xf>
    <xf numFmtId="0" fontId="24" fillId="0" borderId="0" xfId="0" applyFont="1" applyAlignment="1">
      <alignment horizontal="right" wrapText="1"/>
    </xf>
    <xf numFmtId="0" fontId="8" fillId="0" borderId="40" xfId="0" applyFont="1" applyBorder="1" applyAlignment="1">
      <alignment horizontal="center" wrapText="1"/>
    </xf>
    <xf numFmtId="0" fontId="8" fillId="0" borderId="40" xfId="0" applyFont="1" applyBorder="1" applyAlignment="1">
      <alignment horizontal="right" wrapText="1"/>
    </xf>
    <xf numFmtId="168" fontId="8" fillId="0" borderId="82" xfId="0" applyNumberFormat="1" applyFont="1" applyBorder="1" applyAlignment="1">
      <alignment horizontal="center"/>
    </xf>
    <xf numFmtId="0" fontId="7" fillId="26" borderId="81" xfId="0" applyFont="1" applyFill="1" applyBorder="1" applyAlignment="1">
      <alignment wrapText="1"/>
    </xf>
    <xf numFmtId="2" fontId="8" fillId="0" borderId="82" xfId="0" applyNumberFormat="1" applyFont="1" applyBorder="1" applyAlignment="1">
      <alignment horizontal="center"/>
    </xf>
    <xf numFmtId="0" fontId="8" fillId="0" borderId="82" xfId="0" applyFont="1" applyBorder="1" applyAlignment="1">
      <alignment horizontal="center"/>
    </xf>
    <xf numFmtId="0" fontId="13" fillId="0" borderId="52" xfId="0" applyFont="1" applyBorder="1"/>
    <xf numFmtId="177" fontId="24" fillId="23" borderId="40" xfId="0" applyNumberFormat="1" applyFont="1" applyFill="1" applyBorder="1" applyAlignment="1">
      <alignment horizontal="right"/>
    </xf>
    <xf numFmtId="182" fontId="8" fillId="0" borderId="0" xfId="0" applyNumberFormat="1" applyFont="1"/>
    <xf numFmtId="183" fontId="18" fillId="10" borderId="19" xfId="0" applyNumberFormat="1" applyFont="1" applyFill="1" applyBorder="1"/>
    <xf numFmtId="183" fontId="18" fillId="10" borderId="18" xfId="0" applyNumberFormat="1" applyFont="1" applyFill="1" applyBorder="1"/>
    <xf numFmtId="183" fontId="8" fillId="0" borderId="0" xfId="0" applyNumberFormat="1" applyFont="1"/>
    <xf numFmtId="183" fontId="18" fillId="15" borderId="18" xfId="0" applyNumberFormat="1" applyFont="1" applyFill="1" applyBorder="1"/>
    <xf numFmtId="183" fontId="8" fillId="11" borderId="18" xfId="0" applyNumberFormat="1" applyFont="1" applyFill="1" applyBorder="1" applyAlignment="1">
      <alignment horizontal="center"/>
    </xf>
    <xf numFmtId="183" fontId="8" fillId="0" borderId="19" xfId="0" applyNumberFormat="1" applyFont="1" applyBorder="1"/>
    <xf numFmtId="183" fontId="8" fillId="12" borderId="20" xfId="0" applyNumberFormat="1" applyFont="1" applyFill="1" applyBorder="1"/>
    <xf numFmtId="183" fontId="8" fillId="12" borderId="21" xfId="0" applyNumberFormat="1" applyFont="1" applyFill="1" applyBorder="1"/>
    <xf numFmtId="183" fontId="8" fillId="14" borderId="22" xfId="0" applyNumberFormat="1" applyFont="1" applyFill="1" applyBorder="1"/>
    <xf numFmtId="183" fontId="0" fillId="0" borderId="0" xfId="0" applyNumberFormat="1"/>
    <xf numFmtId="0" fontId="36" fillId="32" borderId="30" xfId="0" applyFont="1" applyFill="1" applyBorder="1"/>
    <xf numFmtId="3" fontId="36" fillId="32" borderId="0" xfId="0" applyNumberFormat="1" applyFont="1" applyFill="1"/>
    <xf numFmtId="0" fontId="36" fillId="33" borderId="30" xfId="0" applyFont="1" applyFill="1" applyBorder="1"/>
    <xf numFmtId="0" fontId="36" fillId="33" borderId="0" xfId="0" applyFont="1" applyFill="1"/>
    <xf numFmtId="0" fontId="36" fillId="36" borderId="0" xfId="0" applyFont="1" applyFill="1"/>
    <xf numFmtId="0" fontId="33" fillId="0" borderId="0" xfId="0" applyFont="1"/>
    <xf numFmtId="0" fontId="8" fillId="9" borderId="40" xfId="0" applyFont="1" applyFill="1" applyBorder="1" applyAlignment="1">
      <alignment wrapText="1"/>
    </xf>
    <xf numFmtId="0" fontId="0" fillId="0" borderId="0" xfId="0" applyAlignment="1">
      <alignment wrapText="1"/>
    </xf>
    <xf numFmtId="0" fontId="8" fillId="15" borderId="88" xfId="0" applyFont="1" applyFill="1" applyBorder="1"/>
    <xf numFmtId="0" fontId="8" fillId="9" borderId="30" xfId="0" applyFont="1" applyFill="1" applyBorder="1"/>
    <xf numFmtId="0" fontId="30" fillId="0" borderId="40" xfId="0" applyFont="1" applyBorder="1" applyAlignment="1">
      <alignment horizontal="center"/>
    </xf>
    <xf numFmtId="0" fontId="33" fillId="0" borderId="40" xfId="0" applyFont="1" applyBorder="1"/>
    <xf numFmtId="0" fontId="37" fillId="15" borderId="88" xfId="0" applyFont="1" applyFill="1" applyBorder="1"/>
    <xf numFmtId="0" fontId="30" fillId="37" borderId="40" xfId="0" applyFont="1" applyFill="1" applyBorder="1" applyAlignment="1">
      <alignment horizontal="center"/>
    </xf>
    <xf numFmtId="0" fontId="33" fillId="37" borderId="40" xfId="0" applyFont="1" applyFill="1" applyBorder="1"/>
    <xf numFmtId="0" fontId="33" fillId="37" borderId="0" xfId="0" applyFont="1" applyFill="1"/>
    <xf numFmtId="0" fontId="0" fillId="0" borderId="82" xfId="0" applyBorder="1" applyAlignment="1">
      <alignment horizontal="center"/>
    </xf>
    <xf numFmtId="0" fontId="8" fillId="0" borderId="89" xfId="0" applyFont="1" applyBorder="1"/>
    <xf numFmtId="0" fontId="8" fillId="0" borderId="88" xfId="0" applyFont="1" applyBorder="1"/>
    <xf numFmtId="184" fontId="24" fillId="0" borderId="40" xfId="1" applyNumberFormat="1" applyFont="1" applyBorder="1"/>
    <xf numFmtId="16" fontId="8" fillId="19" borderId="40" xfId="0" applyNumberFormat="1" applyFont="1" applyFill="1" applyBorder="1" applyAlignment="1">
      <alignment horizontal="right"/>
    </xf>
    <xf numFmtId="0" fontId="24" fillId="0" borderId="40" xfId="0" applyFont="1" applyBorder="1" applyAlignment="1">
      <alignment horizontal="left" wrapText="1"/>
    </xf>
    <xf numFmtId="0" fontId="24" fillId="0" borderId="40" xfId="0" applyFont="1" applyBorder="1" applyAlignment="1">
      <alignment horizontal="center" wrapText="1"/>
    </xf>
    <xf numFmtId="0" fontId="0" fillId="38" borderId="0" xfId="0" applyFill="1"/>
    <xf numFmtId="0" fontId="8" fillId="15" borderId="89" xfId="0" applyFont="1" applyFill="1" applyBorder="1"/>
    <xf numFmtId="186" fontId="0" fillId="0" borderId="0" xfId="0" applyNumberFormat="1"/>
    <xf numFmtId="0" fontId="8" fillId="0" borderId="40" xfId="0" applyFont="1" applyBorder="1" applyAlignment="1">
      <alignment vertical="top" wrapText="1"/>
    </xf>
    <xf numFmtId="44" fontId="8" fillId="0" borderId="40" xfId="0" applyNumberFormat="1" applyFont="1" applyBorder="1" applyAlignment="1">
      <alignment horizontal="left" vertical="top" wrapText="1"/>
    </xf>
    <xf numFmtId="177" fontId="8" fillId="0" borderId="40" xfId="0" applyNumberFormat="1" applyFont="1" applyBorder="1"/>
    <xf numFmtId="1" fontId="8" fillId="0" borderId="90" xfId="0" applyNumberFormat="1" applyFont="1" applyBorder="1" applyAlignment="1">
      <alignment horizontal="center"/>
    </xf>
    <xf numFmtId="44" fontId="8" fillId="0" borderId="90" xfId="0" applyNumberFormat="1" applyFont="1" applyBorder="1" applyAlignment="1">
      <alignment horizontal="left"/>
    </xf>
    <xf numFmtId="164" fontId="0" fillId="0" borderId="90" xfId="0" applyNumberFormat="1" applyBorder="1"/>
    <xf numFmtId="0" fontId="8" fillId="0" borderId="40" xfId="0" applyFont="1" applyBorder="1" applyAlignment="1">
      <alignment horizontal="left"/>
    </xf>
    <xf numFmtId="177" fontId="8" fillId="0" borderId="40" xfId="0" quotePrefix="1" applyNumberFormat="1" applyFont="1" applyBorder="1" applyAlignment="1">
      <alignment horizontal="left"/>
    </xf>
    <xf numFmtId="0" fontId="18" fillId="0" borderId="40" xfId="0" applyFont="1" applyBorder="1" applyAlignment="1">
      <alignment horizontal="left"/>
    </xf>
    <xf numFmtId="2" fontId="8" fillId="0" borderId="40" xfId="0" applyNumberFormat="1" applyFont="1" applyBorder="1" applyAlignment="1">
      <alignment horizontal="center"/>
    </xf>
    <xf numFmtId="177" fontId="8" fillId="0" borderId="40" xfId="0" applyNumberFormat="1" applyFont="1" applyBorder="1" applyAlignment="1">
      <alignment horizontal="left"/>
    </xf>
    <xf numFmtId="1" fontId="8" fillId="0" borderId="40" xfId="0" applyNumberFormat="1" applyFont="1" applyBorder="1" applyAlignment="1">
      <alignment horizontal="left"/>
    </xf>
    <xf numFmtId="2" fontId="8" fillId="0" borderId="40" xfId="0" applyNumberFormat="1" applyFont="1" applyBorder="1" applyAlignment="1">
      <alignment horizontal="left"/>
    </xf>
    <xf numFmtId="177" fontId="24" fillId="0" borderId="40" xfId="0" applyNumberFormat="1" applyFont="1" applyBorder="1" applyAlignment="1">
      <alignment wrapText="1"/>
    </xf>
    <xf numFmtId="168" fontId="24" fillId="0" borderId="40" xfId="0" applyNumberFormat="1" applyFont="1" applyBorder="1"/>
    <xf numFmtId="44" fontId="8" fillId="0" borderId="40" xfId="0" applyNumberFormat="1" applyFont="1" applyBorder="1" applyAlignment="1">
      <alignment horizontal="left"/>
    </xf>
    <xf numFmtId="164" fontId="0" fillId="0" borderId="40" xfId="0" applyNumberFormat="1" applyBorder="1"/>
    <xf numFmtId="0" fontId="8" fillId="22" borderId="40" xfId="0" applyFont="1" applyFill="1" applyBorder="1"/>
    <xf numFmtId="0" fontId="8" fillId="22" borderId="40" xfId="0" applyFont="1" applyFill="1" applyBorder="1" applyAlignment="1">
      <alignment horizontal="left"/>
    </xf>
    <xf numFmtId="1" fontId="8" fillId="22" borderId="40" xfId="0" applyNumberFormat="1" applyFont="1" applyFill="1" applyBorder="1" applyAlignment="1">
      <alignment horizontal="left"/>
    </xf>
    <xf numFmtId="1" fontId="24" fillId="0" borderId="40" xfId="0" applyNumberFormat="1" applyFont="1" applyBorder="1"/>
    <xf numFmtId="1" fontId="24" fillId="0" borderId="40" xfId="0" applyNumberFormat="1" applyFont="1" applyBorder="1" applyAlignment="1">
      <alignment horizontal="right"/>
    </xf>
    <xf numFmtId="168" fontId="24" fillId="0" borderId="40" xfId="0" applyNumberFormat="1" applyFont="1" applyBorder="1" applyAlignment="1">
      <alignment horizontal="right"/>
    </xf>
    <xf numFmtId="0" fontId="24" fillId="15" borderId="40" xfId="0" applyFont="1" applyFill="1" applyBorder="1"/>
    <xf numFmtId="0" fontId="24" fillId="23" borderId="40" xfId="0" applyFont="1" applyFill="1" applyBorder="1" applyAlignment="1">
      <alignment horizontal="right"/>
    </xf>
    <xf numFmtId="0" fontId="24" fillId="22" borderId="40" xfId="0" applyFont="1" applyFill="1" applyBorder="1" applyAlignment="1">
      <alignment horizontal="right"/>
    </xf>
    <xf numFmtId="1" fontId="24" fillId="22" borderId="40" xfId="0" applyNumberFormat="1" applyFont="1" applyFill="1" applyBorder="1"/>
    <xf numFmtId="0" fontId="24" fillId="15" borderId="40" xfId="0" applyFont="1" applyFill="1" applyBorder="1" applyAlignment="1">
      <alignment horizontal="right"/>
    </xf>
    <xf numFmtId="1" fontId="24" fillId="15" borderId="40" xfId="0" applyNumberFormat="1" applyFont="1" applyFill="1" applyBorder="1"/>
    <xf numFmtId="1" fontId="24" fillId="22" borderId="40" xfId="0" applyNumberFormat="1" applyFont="1" applyFill="1" applyBorder="1" applyAlignment="1">
      <alignment horizontal="right"/>
    </xf>
    <xf numFmtId="177" fontId="24" fillId="22" borderId="40" xfId="0" applyNumberFormat="1" applyFont="1" applyFill="1" applyBorder="1"/>
    <xf numFmtId="0" fontId="24" fillId="28" borderId="40" xfId="0" applyFont="1" applyFill="1" applyBorder="1"/>
    <xf numFmtId="0" fontId="24" fillId="28" borderId="40" xfId="0" applyFont="1" applyFill="1" applyBorder="1" applyAlignment="1">
      <alignment horizontal="right"/>
    </xf>
    <xf numFmtId="1" fontId="24" fillId="28" borderId="40" xfId="0" applyNumberFormat="1" applyFont="1" applyFill="1" applyBorder="1" applyAlignment="1">
      <alignment horizontal="right"/>
    </xf>
    <xf numFmtId="177" fontId="24" fillId="28" borderId="40" xfId="0" applyNumberFormat="1" applyFont="1" applyFill="1" applyBorder="1"/>
    <xf numFmtId="1" fontId="24" fillId="15" borderId="40" xfId="0" applyNumberFormat="1" applyFont="1" applyFill="1" applyBorder="1" applyAlignment="1">
      <alignment horizontal="right"/>
    </xf>
    <xf numFmtId="177" fontId="24" fillId="15" borderId="40" xfId="0" applyNumberFormat="1" applyFont="1" applyFill="1" applyBorder="1"/>
    <xf numFmtId="177" fontId="24" fillId="23" borderId="40" xfId="0" applyNumberFormat="1" applyFont="1" applyFill="1" applyBorder="1"/>
    <xf numFmtId="2" fontId="24" fillId="23" borderId="40" xfId="0" applyNumberFormat="1" applyFont="1" applyFill="1" applyBorder="1"/>
    <xf numFmtId="177" fontId="24" fillId="29" borderId="40" xfId="0" applyNumberFormat="1" applyFont="1" applyFill="1" applyBorder="1"/>
    <xf numFmtId="177" fontId="24" fillId="22" borderId="40" xfId="0" applyNumberFormat="1" applyFont="1" applyFill="1" applyBorder="1" applyAlignment="1">
      <alignment horizontal="right"/>
    </xf>
    <xf numFmtId="2" fontId="24" fillId="22" borderId="40" xfId="0" applyNumberFormat="1" applyFont="1" applyFill="1" applyBorder="1"/>
    <xf numFmtId="2" fontId="24" fillId="29" borderId="40" xfId="0" applyNumberFormat="1" applyFont="1" applyFill="1" applyBorder="1"/>
    <xf numFmtId="168" fontId="24" fillId="23" borderId="40" xfId="0" applyNumberFormat="1" applyFont="1" applyFill="1" applyBorder="1"/>
    <xf numFmtId="0" fontId="11" fillId="23" borderId="40" xfId="0" applyFont="1" applyFill="1" applyBorder="1"/>
    <xf numFmtId="168" fontId="24" fillId="22" borderId="40" xfId="0" applyNumberFormat="1" applyFont="1" applyFill="1" applyBorder="1"/>
    <xf numFmtId="0" fontId="11" fillId="22" borderId="40" xfId="0" applyFont="1" applyFill="1" applyBorder="1"/>
    <xf numFmtId="1" fontId="24" fillId="23" borderId="40" xfId="0" applyNumberFormat="1" applyFont="1" applyFill="1" applyBorder="1" applyAlignment="1">
      <alignment horizontal="right"/>
    </xf>
    <xf numFmtId="2" fontId="24" fillId="23" borderId="40" xfId="0" applyNumberFormat="1" applyFont="1" applyFill="1" applyBorder="1" applyAlignment="1">
      <alignment horizontal="right"/>
    </xf>
    <xf numFmtId="1" fontId="24" fillId="23" borderId="40" xfId="0" applyNumberFormat="1" applyFont="1" applyFill="1" applyBorder="1"/>
    <xf numFmtId="2" fontId="24" fillId="22" borderId="40" xfId="0" applyNumberFormat="1" applyFont="1" applyFill="1" applyBorder="1" applyAlignment="1">
      <alignment horizontal="right"/>
    </xf>
    <xf numFmtId="4" fontId="24" fillId="0" borderId="40" xfId="0" applyNumberFormat="1" applyFont="1" applyBorder="1" applyAlignment="1">
      <alignment horizontal="right"/>
    </xf>
    <xf numFmtId="177" fontId="8" fillId="0" borderId="40" xfId="0" quotePrefix="1" applyNumberFormat="1" applyFont="1" applyBorder="1" applyAlignment="1">
      <alignment horizontal="center"/>
    </xf>
    <xf numFmtId="0" fontId="8" fillId="0" borderId="90" xfId="0" applyFont="1" applyBorder="1" applyAlignment="1">
      <alignment horizontal="center"/>
    </xf>
    <xf numFmtId="44" fontId="24" fillId="0" borderId="40" xfId="0" applyNumberFormat="1" applyFont="1" applyBorder="1" applyAlignment="1">
      <alignment horizontal="right"/>
    </xf>
    <xf numFmtId="169" fontId="24" fillId="0" borderId="40" xfId="0" applyNumberFormat="1" applyFont="1" applyBorder="1" applyAlignment="1">
      <alignment horizontal="right"/>
    </xf>
    <xf numFmtId="0" fontId="8" fillId="0" borderId="40" xfId="0" applyFont="1" applyBorder="1" applyAlignment="1">
      <alignment horizontal="right"/>
    </xf>
    <xf numFmtId="0" fontId="24" fillId="30" borderId="40" xfId="0" applyFont="1" applyFill="1" applyBorder="1"/>
    <xf numFmtId="177" fontId="24" fillId="30" borderId="40" xfId="0" applyNumberFormat="1" applyFont="1" applyFill="1" applyBorder="1"/>
    <xf numFmtId="0" fontId="11" fillId="30" borderId="40" xfId="0" applyFont="1" applyFill="1" applyBorder="1"/>
    <xf numFmtId="1" fontId="24" fillId="30" borderId="40" xfId="0" applyNumberFormat="1" applyFont="1" applyFill="1" applyBorder="1"/>
    <xf numFmtId="177" fontId="24" fillId="31" borderId="40" xfId="0" applyNumberFormat="1" applyFont="1" applyFill="1" applyBorder="1"/>
    <xf numFmtId="0" fontId="24" fillId="22" borderId="40" xfId="0" applyFont="1" applyFill="1" applyBorder="1" applyAlignment="1">
      <alignment horizontal="center"/>
    </xf>
    <xf numFmtId="0" fontId="24" fillId="31" borderId="40" xfId="0" applyFont="1" applyFill="1" applyBorder="1"/>
    <xf numFmtId="1" fontId="8" fillId="0" borderId="40" xfId="0" applyNumberFormat="1" applyFont="1" applyBorder="1" applyAlignment="1">
      <alignment horizontal="right"/>
    </xf>
    <xf numFmtId="184" fontId="8" fillId="0" borderId="40" xfId="1" applyNumberFormat="1" applyFont="1" applyBorder="1" applyAlignment="1">
      <alignment horizontal="center"/>
    </xf>
    <xf numFmtId="0" fontId="25" fillId="0" borderId="40" xfId="0" applyFont="1" applyBorder="1"/>
    <xf numFmtId="177" fontId="24" fillId="0" borderId="40" xfId="0" applyNumberFormat="1" applyFont="1" applyBorder="1" applyAlignment="1">
      <alignment horizontal="left" wrapText="1"/>
    </xf>
    <xf numFmtId="178" fontId="24" fillId="0" borderId="40" xfId="0" applyNumberFormat="1" applyFont="1" applyBorder="1"/>
    <xf numFmtId="0" fontId="8" fillId="0" borderId="40" xfId="0" applyFont="1" applyBorder="1" applyAlignment="1">
      <alignment horizontal="left" wrapText="1"/>
    </xf>
    <xf numFmtId="44" fontId="24" fillId="23" borderId="40" xfId="0" applyNumberFormat="1" applyFont="1" applyFill="1" applyBorder="1" applyAlignment="1">
      <alignment horizontal="left"/>
    </xf>
    <xf numFmtId="44" fontId="24" fillId="22" borderId="40" xfId="0" applyNumberFormat="1" applyFont="1" applyFill="1" applyBorder="1" applyAlignment="1">
      <alignment horizontal="left"/>
    </xf>
    <xf numFmtId="0" fontId="26" fillId="0" borderId="40" xfId="0" applyFont="1" applyBorder="1"/>
    <xf numFmtId="177" fontId="24" fillId="0" borderId="40" xfId="0" applyNumberFormat="1" applyFont="1" applyBorder="1" applyAlignment="1">
      <alignment horizontal="right"/>
    </xf>
    <xf numFmtId="179" fontId="24" fillId="0" borderId="40" xfId="0" applyNumberFormat="1" applyFont="1" applyBorder="1" applyAlignment="1">
      <alignment horizontal="right"/>
    </xf>
    <xf numFmtId="0" fontId="24" fillId="0" borderId="40" xfId="0" applyFont="1" applyBorder="1" applyAlignment="1">
      <alignment horizontal="center"/>
    </xf>
    <xf numFmtId="0" fontId="8" fillId="0" borderId="40" xfId="0" applyFont="1" applyBorder="1" applyAlignment="1">
      <alignment wrapText="1"/>
    </xf>
    <xf numFmtId="2" fontId="24" fillId="0" borderId="40" xfId="0" applyNumberFormat="1" applyFont="1" applyBorder="1" applyAlignment="1">
      <alignment horizontal="right"/>
    </xf>
    <xf numFmtId="44" fontId="8" fillId="0" borderId="40" xfId="0" applyNumberFormat="1" applyFont="1" applyBorder="1" applyAlignment="1">
      <alignment horizontal="center" wrapText="1"/>
    </xf>
    <xf numFmtId="0" fontId="9" fillId="0" borderId="40" xfId="0" applyFont="1" applyBorder="1"/>
    <xf numFmtId="0" fontId="24" fillId="0" borderId="40" xfId="0" applyFont="1" applyBorder="1" applyAlignment="1">
      <alignment horizontal="left"/>
    </xf>
    <xf numFmtId="0" fontId="30" fillId="0" borderId="40" xfId="0" applyFont="1" applyBorder="1" applyAlignment="1">
      <alignment horizontal="left"/>
    </xf>
    <xf numFmtId="1" fontId="8" fillId="0" borderId="40" xfId="0" applyNumberFormat="1" applyFont="1" applyBorder="1"/>
    <xf numFmtId="168" fontId="24" fillId="0" borderId="40" xfId="0" applyNumberFormat="1" applyFont="1" applyBorder="1" applyAlignment="1">
      <alignment horizontal="left"/>
    </xf>
    <xf numFmtId="185" fontId="8" fillId="0" borderId="40" xfId="0" applyNumberFormat="1" applyFont="1" applyBorder="1" applyAlignment="1">
      <alignment horizontal="center"/>
    </xf>
    <xf numFmtId="0" fontId="22" fillId="0" borderId="40" xfId="0" applyFont="1" applyBorder="1"/>
    <xf numFmtId="168" fontId="8" fillId="0" borderId="40" xfId="0" applyNumberFormat="1" applyFont="1" applyBorder="1" applyAlignment="1">
      <alignment horizontal="right"/>
    </xf>
    <xf numFmtId="2" fontId="24" fillId="0" borderId="40" xfId="0" applyNumberFormat="1" applyFont="1" applyBorder="1"/>
    <xf numFmtId="0" fontId="11" fillId="0" borderId="2" xfId="0" applyFont="1" applyBorder="1" applyAlignment="1">
      <alignment horizontal="left" wrapText="1"/>
    </xf>
    <xf numFmtId="0" fontId="11" fillId="0" borderId="16" xfId="0" applyFont="1" applyBorder="1" applyAlignment="1">
      <alignment horizontal="left" wrapText="1"/>
    </xf>
    <xf numFmtId="0" fontId="11" fillId="0" borderId="2" xfId="0" applyFont="1" applyBorder="1" applyAlignment="1">
      <alignment horizontal="center" wrapText="1"/>
    </xf>
    <xf numFmtId="44" fontId="24" fillId="0" borderId="40" xfId="0" applyNumberFormat="1" applyFont="1" applyBorder="1"/>
    <xf numFmtId="177" fontId="8" fillId="0" borderId="40" xfId="0" applyNumberFormat="1" applyFont="1" applyBorder="1" applyAlignment="1">
      <alignment horizontal="left" wrapText="1"/>
    </xf>
    <xf numFmtId="49" fontId="8" fillId="0" borderId="40" xfId="0" applyNumberFormat="1" applyFont="1" applyBorder="1" applyAlignment="1">
      <alignment horizontal="center"/>
    </xf>
    <xf numFmtId="0" fontId="27" fillId="0" borderId="40" xfId="0" applyFont="1" applyBorder="1"/>
    <xf numFmtId="177" fontId="8" fillId="0" borderId="40" xfId="0" applyNumberFormat="1" applyFont="1" applyBorder="1" applyAlignment="1">
      <alignment wrapText="1"/>
    </xf>
    <xf numFmtId="0" fontId="7" fillId="0" borderId="92" xfId="0" applyFont="1" applyBorder="1"/>
    <xf numFmtId="0" fontId="7" fillId="0" borderId="91" xfId="0" applyFont="1" applyBorder="1"/>
    <xf numFmtId="0" fontId="7" fillId="0" borderId="93" xfId="0" applyFont="1" applyBorder="1"/>
    <xf numFmtId="0" fontId="8" fillId="0" borderId="94" xfId="0" applyFont="1" applyBorder="1"/>
    <xf numFmtId="44" fontId="8" fillId="0" borderId="95" xfId="0" applyNumberFormat="1" applyFont="1" applyBorder="1" applyAlignment="1">
      <alignment horizontal="center"/>
    </xf>
    <xf numFmtId="44" fontId="8" fillId="0" borderId="95" xfId="0" applyNumberFormat="1" applyFont="1" applyBorder="1" applyAlignment="1">
      <alignment horizontal="left"/>
    </xf>
    <xf numFmtId="0" fontId="8" fillId="0" borderId="96" xfId="0" applyFont="1" applyBorder="1"/>
    <xf numFmtId="177" fontId="8" fillId="0" borderId="90" xfId="0" applyNumberFormat="1" applyFont="1" applyBorder="1" applyAlignment="1">
      <alignment horizontal="center"/>
    </xf>
    <xf numFmtId="2" fontId="8" fillId="0" borderId="90" xfId="0" applyNumberFormat="1" applyFont="1" applyBorder="1" applyAlignment="1">
      <alignment horizontal="center"/>
    </xf>
    <xf numFmtId="44" fontId="8" fillId="0" borderId="97" xfId="0" applyNumberFormat="1" applyFont="1" applyBorder="1" applyAlignment="1">
      <alignment horizontal="center"/>
    </xf>
    <xf numFmtId="177" fontId="8" fillId="0" borderId="40" xfId="0" applyNumberFormat="1" applyFont="1" applyBorder="1" applyAlignment="1">
      <alignment horizontal="left" vertical="top" wrapText="1"/>
    </xf>
    <xf numFmtId="44" fontId="8" fillId="0" borderId="40" xfId="0" applyNumberFormat="1" applyFont="1" applyBorder="1" applyAlignment="1">
      <alignment horizontal="left" wrapText="1"/>
    </xf>
    <xf numFmtId="180" fontId="24" fillId="23" borderId="40" xfId="0" applyNumberFormat="1" applyFont="1" applyFill="1" applyBorder="1" applyAlignment="1">
      <alignment horizontal="left"/>
    </xf>
    <xf numFmtId="165" fontId="8" fillId="0" borderId="40" xfId="1" applyFont="1" applyBorder="1" applyAlignment="1">
      <alignment horizontal="right"/>
    </xf>
    <xf numFmtId="0" fontId="36" fillId="34" borderId="40" xfId="0" applyFont="1" applyFill="1" applyBorder="1"/>
    <xf numFmtId="0" fontId="36" fillId="35" borderId="40" xfId="0" applyFont="1" applyFill="1" applyBorder="1"/>
    <xf numFmtId="168" fontId="8" fillId="0" borderId="40" xfId="0" applyNumberFormat="1" applyFont="1" applyBorder="1" applyAlignment="1">
      <alignment horizontal="left"/>
    </xf>
    <xf numFmtId="177" fontId="8" fillId="23" borderId="40" xfId="0" applyNumberFormat="1" applyFont="1" applyFill="1" applyBorder="1"/>
    <xf numFmtId="177" fontId="8" fillId="23" borderId="40" xfId="0" applyNumberFormat="1" applyFont="1" applyFill="1" applyBorder="1" applyAlignment="1">
      <alignment horizontal="center"/>
    </xf>
    <xf numFmtId="177" fontId="8" fillId="23" borderId="40" xfId="0" applyNumberFormat="1" applyFont="1" applyFill="1" applyBorder="1" applyAlignment="1">
      <alignment wrapText="1"/>
    </xf>
    <xf numFmtId="177" fontId="8" fillId="22" borderId="40" xfId="0" applyNumberFormat="1" applyFont="1" applyFill="1" applyBorder="1" applyAlignment="1">
      <alignment horizontal="center"/>
    </xf>
    <xf numFmtId="177" fontId="8" fillId="22" borderId="40" xfId="0" applyNumberFormat="1" applyFont="1" applyFill="1" applyBorder="1" applyAlignment="1">
      <alignment wrapText="1"/>
    </xf>
    <xf numFmtId="177" fontId="8" fillId="22" borderId="40" xfId="0" applyNumberFormat="1" applyFont="1" applyFill="1" applyBorder="1"/>
    <xf numFmtId="1" fontId="8" fillId="23" borderId="40" xfId="0" applyNumberFormat="1" applyFont="1" applyFill="1" applyBorder="1" applyAlignment="1">
      <alignment horizontal="center"/>
    </xf>
    <xf numFmtId="2" fontId="8" fillId="23" borderId="40" xfId="0" applyNumberFormat="1" applyFont="1" applyFill="1" applyBorder="1"/>
    <xf numFmtId="168" fontId="24" fillId="0" borderId="40" xfId="0" applyNumberFormat="1" applyFont="1" applyBorder="1" applyAlignment="1">
      <alignment horizontal="center"/>
    </xf>
    <xf numFmtId="44" fontId="12" fillId="0" borderId="16" xfId="0" applyNumberFormat="1" applyFont="1" applyBorder="1" applyAlignment="1">
      <alignment horizontal="left" wrapText="1"/>
    </xf>
    <xf numFmtId="0" fontId="12" fillId="0" borderId="2" xfId="0" applyFont="1" applyBorder="1" applyAlignment="1">
      <alignment horizontal="left" wrapText="1"/>
    </xf>
    <xf numFmtId="0" fontId="24" fillId="23" borderId="40" xfId="0" applyFont="1" applyFill="1" applyBorder="1" applyAlignment="1">
      <alignment horizontal="left"/>
    </xf>
    <xf numFmtId="177" fontId="24" fillId="23" borderId="40" xfId="0" applyNumberFormat="1" applyFont="1" applyFill="1" applyBorder="1" applyAlignment="1">
      <alignment horizontal="left"/>
    </xf>
    <xf numFmtId="0" fontId="24" fillId="22" borderId="40" xfId="0" applyFont="1" applyFill="1" applyBorder="1" applyAlignment="1">
      <alignment horizontal="left"/>
    </xf>
    <xf numFmtId="177" fontId="24" fillId="22" borderId="40" xfId="0" applyNumberFormat="1" applyFont="1" applyFill="1" applyBorder="1" applyAlignment="1">
      <alignment horizontal="left"/>
    </xf>
    <xf numFmtId="1" fontId="24" fillId="23" borderId="40" xfId="0" applyNumberFormat="1" applyFont="1" applyFill="1" applyBorder="1" applyAlignment="1">
      <alignment horizontal="left"/>
    </xf>
    <xf numFmtId="1" fontId="24" fillId="22" borderId="40" xfId="0" applyNumberFormat="1" applyFont="1" applyFill="1" applyBorder="1" applyAlignment="1">
      <alignment horizontal="left"/>
    </xf>
    <xf numFmtId="168" fontId="24" fillId="23" borderId="40" xfId="0" applyNumberFormat="1" applyFont="1" applyFill="1" applyBorder="1" applyAlignment="1">
      <alignment horizontal="left"/>
    </xf>
    <xf numFmtId="168" fontId="24" fillId="22" borderId="40" xfId="0" applyNumberFormat="1" applyFont="1" applyFill="1" applyBorder="1" applyAlignment="1">
      <alignment horizontal="left"/>
    </xf>
    <xf numFmtId="177" fontId="28" fillId="22" borderId="40" xfId="0" applyNumberFormat="1" applyFont="1" applyFill="1" applyBorder="1" applyAlignment="1">
      <alignment horizontal="left"/>
    </xf>
    <xf numFmtId="44" fontId="24" fillId="23" borderId="40" xfId="0" applyNumberFormat="1" applyFont="1" applyFill="1" applyBorder="1"/>
    <xf numFmtId="169" fontId="24" fillId="23" borderId="40" xfId="0" applyNumberFormat="1" applyFont="1" applyFill="1" applyBorder="1" applyAlignment="1">
      <alignment horizontal="right"/>
    </xf>
    <xf numFmtId="168" fontId="24" fillId="22" borderId="40" xfId="0" applyNumberFormat="1" applyFont="1" applyFill="1" applyBorder="1" applyAlignment="1">
      <alignment horizontal="right"/>
    </xf>
    <xf numFmtId="44" fontId="24" fillId="22" borderId="40" xfId="0" applyNumberFormat="1" applyFont="1" applyFill="1" applyBorder="1" applyAlignment="1">
      <alignment horizontal="right"/>
    </xf>
    <xf numFmtId="169" fontId="24" fillId="22" borderId="40" xfId="0" applyNumberFormat="1" applyFont="1" applyFill="1" applyBorder="1" applyAlignment="1">
      <alignment horizontal="right"/>
    </xf>
    <xf numFmtId="44" fontId="24" fillId="22" borderId="40" xfId="0" applyNumberFormat="1" applyFont="1" applyFill="1" applyBorder="1"/>
    <xf numFmtId="168" fontId="24" fillId="23" borderId="40" xfId="0" applyNumberFormat="1" applyFont="1" applyFill="1" applyBorder="1" applyAlignment="1">
      <alignment horizontal="right"/>
    </xf>
    <xf numFmtId="0" fontId="21" fillId="0" borderId="40" xfId="0" applyFont="1" applyBorder="1" applyAlignment="1">
      <alignment horizontal="center"/>
    </xf>
    <xf numFmtId="0" fontId="8" fillId="23" borderId="40" xfId="0" applyFont="1" applyFill="1" applyBorder="1" applyAlignment="1">
      <alignment wrapText="1"/>
    </xf>
    <xf numFmtId="0" fontId="8" fillId="23" borderId="40" xfId="0" applyFont="1" applyFill="1" applyBorder="1" applyAlignment="1">
      <alignment horizontal="right"/>
    </xf>
    <xf numFmtId="0" fontId="8" fillId="23" borderId="40" xfId="0" applyFont="1" applyFill="1" applyBorder="1" applyAlignment="1">
      <alignment horizontal="right" wrapText="1"/>
    </xf>
    <xf numFmtId="177" fontId="9" fillId="23" borderId="40" xfId="0" applyNumberFormat="1" applyFont="1" applyFill="1" applyBorder="1"/>
    <xf numFmtId="0" fontId="8" fillId="22" borderId="40" xfId="0" applyFont="1" applyFill="1" applyBorder="1" applyAlignment="1">
      <alignment wrapText="1"/>
    </xf>
    <xf numFmtId="0" fontId="8" fillId="22" borderId="40" xfId="0" applyFont="1" applyFill="1" applyBorder="1" applyAlignment="1">
      <alignment horizontal="right"/>
    </xf>
    <xf numFmtId="0" fontId="8" fillId="22" borderId="40" xfId="0" applyFont="1" applyFill="1" applyBorder="1" applyAlignment="1">
      <alignment horizontal="right" wrapText="1"/>
    </xf>
    <xf numFmtId="1" fontId="8" fillId="22" borderId="40" xfId="0" applyNumberFormat="1" applyFont="1" applyFill="1" applyBorder="1"/>
    <xf numFmtId="177" fontId="9" fillId="22" borderId="40" xfId="0" applyNumberFormat="1" applyFont="1" applyFill="1" applyBorder="1"/>
    <xf numFmtId="0" fontId="9" fillId="23" borderId="40" xfId="0" applyFont="1" applyFill="1" applyBorder="1"/>
    <xf numFmtId="0" fontId="9" fillId="23" borderId="40" xfId="0" applyFont="1" applyFill="1" applyBorder="1" applyAlignment="1">
      <alignment horizontal="right"/>
    </xf>
    <xf numFmtId="177" fontId="9" fillId="23" borderId="40" xfId="0" applyNumberFormat="1" applyFont="1" applyFill="1" applyBorder="1" applyAlignment="1">
      <alignment horizontal="right"/>
    </xf>
    <xf numFmtId="1" fontId="8" fillId="23" borderId="40" xfId="0" applyNumberFormat="1" applyFont="1" applyFill="1" applyBorder="1" applyAlignment="1">
      <alignment horizontal="right"/>
    </xf>
    <xf numFmtId="177" fontId="8" fillId="23" borderId="40" xfId="0" applyNumberFormat="1" applyFont="1" applyFill="1" applyBorder="1" applyAlignment="1">
      <alignment horizontal="right"/>
    </xf>
    <xf numFmtId="168" fontId="8" fillId="23" borderId="40" xfId="0" applyNumberFormat="1" applyFont="1" applyFill="1" applyBorder="1"/>
    <xf numFmtId="1" fontId="8" fillId="22" borderId="40" xfId="0" applyNumberFormat="1" applyFont="1" applyFill="1" applyBorder="1" applyAlignment="1">
      <alignment horizontal="right"/>
    </xf>
    <xf numFmtId="177" fontId="8" fillId="22" borderId="40" xfId="0" applyNumberFormat="1" applyFont="1" applyFill="1" applyBorder="1" applyAlignment="1">
      <alignment horizontal="right"/>
    </xf>
    <xf numFmtId="168" fontId="8" fillId="22" borderId="40" xfId="0" applyNumberFormat="1" applyFont="1" applyFill="1" applyBorder="1"/>
    <xf numFmtId="0" fontId="9" fillId="22" borderId="40" xfId="0" applyFont="1" applyFill="1" applyBorder="1"/>
    <xf numFmtId="0" fontId="8" fillId="0" borderId="40" xfId="0" applyFont="1" applyBorder="1" applyAlignment="1">
      <alignment vertical="center"/>
    </xf>
    <xf numFmtId="0" fontId="0" fillId="0" borderId="40" xfId="0" applyBorder="1" applyAlignment="1">
      <alignment vertical="center"/>
    </xf>
    <xf numFmtId="168" fontId="8" fillId="0" borderId="40" xfId="0" applyNumberFormat="1" applyFont="1" applyBorder="1" applyAlignment="1">
      <alignment horizontal="center" vertical="center"/>
    </xf>
    <xf numFmtId="44" fontId="8" fillId="0" borderId="40" xfId="0" applyNumberFormat="1" applyFont="1" applyBorder="1" applyAlignment="1">
      <alignment horizontal="center" vertical="center"/>
    </xf>
    <xf numFmtId="1" fontId="8" fillId="0" borderId="40" xfId="0" applyNumberFormat="1" applyFont="1" applyBorder="1" applyAlignment="1">
      <alignment horizontal="center" vertical="center"/>
    </xf>
    <xf numFmtId="44" fontId="8" fillId="0" borderId="40" xfId="0" applyNumberFormat="1" applyFont="1" applyBorder="1" applyAlignment="1">
      <alignment horizontal="center" vertical="center" wrapText="1"/>
    </xf>
    <xf numFmtId="0" fontId="24" fillId="0" borderId="40" xfId="0" applyFont="1" applyBorder="1" applyAlignment="1">
      <alignment vertical="center"/>
    </xf>
    <xf numFmtId="0" fontId="8" fillId="0" borderId="40" xfId="0" quotePrefix="1" applyFont="1" applyBorder="1" applyAlignment="1">
      <alignment horizontal="left"/>
    </xf>
    <xf numFmtId="0" fontId="26" fillId="0" borderId="40" xfId="0" quotePrefix="1" applyFont="1" applyBorder="1"/>
    <xf numFmtId="44" fontId="8" fillId="0" borderId="40" xfId="0" applyNumberFormat="1" applyFont="1" applyBorder="1"/>
    <xf numFmtId="49" fontId="8" fillId="0" borderId="40" xfId="0" applyNumberFormat="1" applyFont="1" applyBorder="1"/>
    <xf numFmtId="8" fontId="27" fillId="0" borderId="40" xfId="0" applyNumberFormat="1" applyFont="1" applyBorder="1" applyAlignment="1">
      <alignment horizontal="right"/>
    </xf>
    <xf numFmtId="0" fontId="27" fillId="0" borderId="40" xfId="0" applyFont="1" applyBorder="1" applyAlignment="1">
      <alignment horizontal="right"/>
    </xf>
    <xf numFmtId="0" fontId="27" fillId="22" borderId="40" xfId="0" applyFont="1" applyFill="1" applyBorder="1"/>
    <xf numFmtId="0" fontId="11" fillId="0" borderId="40" xfId="0" applyFont="1" applyBorder="1"/>
    <xf numFmtId="8" fontId="11" fillId="0" borderId="40" xfId="0" applyNumberFormat="1" applyFont="1" applyBorder="1"/>
    <xf numFmtId="0" fontId="11" fillId="0" borderId="40" xfId="0" applyFont="1" applyBorder="1" applyAlignment="1">
      <alignment horizontal="right"/>
    </xf>
    <xf numFmtId="8" fontId="24" fillId="0" borderId="40" xfId="0" applyNumberFormat="1" applyFont="1" applyBorder="1" applyAlignment="1">
      <alignment horizontal="right"/>
    </xf>
    <xf numFmtId="0" fontId="29" fillId="0" borderId="40" xfId="0" applyFont="1" applyBorder="1" applyAlignment="1">
      <alignment horizontal="right"/>
    </xf>
    <xf numFmtId="183" fontId="0" fillId="39" borderId="0" xfId="0" applyNumberFormat="1" applyFill="1"/>
    <xf numFmtId="183" fontId="0" fillId="39" borderId="101" xfId="0" applyNumberFormat="1" applyFill="1" applyBorder="1"/>
    <xf numFmtId="183" fontId="8" fillId="13" borderId="40" xfId="0" applyNumberFormat="1" applyFont="1" applyFill="1" applyBorder="1"/>
    <xf numFmtId="183" fontId="8" fillId="14" borderId="21" xfId="0" applyNumberFormat="1" applyFont="1" applyFill="1" applyBorder="1"/>
    <xf numFmtId="10" fontId="8" fillId="13" borderId="102" xfId="0" applyNumberFormat="1" applyFont="1" applyFill="1" applyBorder="1"/>
    <xf numFmtId="183" fontId="0" fillId="39" borderId="40" xfId="0" applyNumberFormat="1" applyFill="1" applyBorder="1"/>
    <xf numFmtId="0" fontId="8" fillId="11" borderId="103" xfId="0" applyFont="1" applyFill="1" applyBorder="1" applyAlignment="1">
      <alignment horizontal="center"/>
    </xf>
    <xf numFmtId="0" fontId="17" fillId="9" borderId="103" xfId="0" applyFont="1" applyFill="1" applyBorder="1" applyAlignment="1">
      <alignment horizontal="center" wrapText="1"/>
    </xf>
    <xf numFmtId="0" fontId="8" fillId="9" borderId="103" xfId="0" applyFont="1" applyFill="1" applyBorder="1" applyAlignment="1">
      <alignment horizontal="center" wrapText="1"/>
    </xf>
    <xf numFmtId="171" fontId="17" fillId="9" borderId="103" xfId="0" applyNumberFormat="1" applyFont="1" applyFill="1" applyBorder="1" applyAlignment="1">
      <alignment horizontal="center" wrapText="1"/>
    </xf>
    <xf numFmtId="0" fontId="8" fillId="9" borderId="103" xfId="0" applyFont="1" applyFill="1" applyBorder="1" applyAlignment="1">
      <alignment horizontal="center"/>
    </xf>
    <xf numFmtId="0" fontId="8" fillId="10" borderId="103" xfId="0" applyFont="1" applyFill="1" applyBorder="1" applyAlignment="1">
      <alignment horizontal="center" wrapText="1"/>
    </xf>
    <xf numFmtId="0" fontId="7" fillId="10" borderId="103" xfId="0" applyFont="1" applyFill="1" applyBorder="1" applyAlignment="1">
      <alignment horizontal="center"/>
    </xf>
    <xf numFmtId="0" fontId="8" fillId="15" borderId="104" xfId="0" applyFont="1" applyFill="1" applyBorder="1"/>
    <xf numFmtId="0" fontId="8" fillId="9" borderId="103" xfId="0" applyFont="1" applyFill="1" applyBorder="1"/>
    <xf numFmtId="0" fontId="8" fillId="12" borderId="105" xfId="0" applyFont="1" applyFill="1" applyBorder="1" applyAlignment="1">
      <alignment horizontal="center"/>
    </xf>
    <xf numFmtId="0" fontId="8" fillId="14" borderId="105" xfId="0" applyFont="1" applyFill="1" applyBorder="1" applyAlignment="1">
      <alignment horizontal="center"/>
    </xf>
    <xf numFmtId="0" fontId="8" fillId="13" borderId="105" xfId="0" applyFont="1" applyFill="1" applyBorder="1"/>
    <xf numFmtId="0" fontId="0" fillId="39" borderId="105" xfId="0" applyFill="1" applyBorder="1"/>
    <xf numFmtId="0" fontId="2" fillId="41" borderId="0" xfId="0" applyFont="1" applyFill="1"/>
    <xf numFmtId="0" fontId="32" fillId="26" borderId="0" xfId="0" applyFont="1" applyFill="1"/>
    <xf numFmtId="166" fontId="0" fillId="26" borderId="0" xfId="0" applyNumberFormat="1" applyFill="1"/>
    <xf numFmtId="166" fontId="2" fillId="41" borderId="0" xfId="0" applyNumberFormat="1" applyFont="1" applyFill="1" applyAlignment="1">
      <alignment horizontal="center"/>
    </xf>
    <xf numFmtId="0" fontId="38" fillId="0" borderId="0" xfId="0" applyFont="1"/>
    <xf numFmtId="0" fontId="39" fillId="0" borderId="0" xfId="0" applyFont="1"/>
    <xf numFmtId="166" fontId="38" fillId="0" borderId="0" xfId="0" applyNumberFormat="1" applyFont="1"/>
    <xf numFmtId="0" fontId="7" fillId="16" borderId="108" xfId="0" applyFont="1" applyFill="1" applyBorder="1"/>
    <xf numFmtId="174" fontId="8" fillId="16" borderId="110" xfId="0" applyNumberFormat="1" applyFont="1" applyFill="1" applyBorder="1" applyAlignment="1">
      <alignment horizontal="center"/>
    </xf>
    <xf numFmtId="0" fontId="8" fillId="16" borderId="110" xfId="0" applyFont="1" applyFill="1" applyBorder="1" applyAlignment="1">
      <alignment horizontal="center"/>
    </xf>
    <xf numFmtId="0" fontId="8" fillId="16" borderId="110" xfId="0" applyFont="1" applyFill="1" applyBorder="1"/>
    <xf numFmtId="183" fontId="18" fillId="16" borderId="110" xfId="0" applyNumberFormat="1" applyFont="1" applyFill="1" applyBorder="1"/>
    <xf numFmtId="171" fontId="8" fillId="16" borderId="110" xfId="0" applyNumberFormat="1" applyFont="1" applyFill="1" applyBorder="1"/>
    <xf numFmtId="183" fontId="8" fillId="16" borderId="110" xfId="0" applyNumberFormat="1" applyFont="1" applyFill="1" applyBorder="1" applyAlignment="1">
      <alignment horizontal="center"/>
    </xf>
    <xf numFmtId="183" fontId="8" fillId="16" borderId="110" xfId="0" applyNumberFormat="1" applyFont="1" applyFill="1" applyBorder="1"/>
    <xf numFmtId="183" fontId="8" fillId="40" borderId="110" xfId="0" applyNumberFormat="1" applyFont="1" applyFill="1" applyBorder="1"/>
    <xf numFmtId="183" fontId="0" fillId="40" borderId="110" xfId="0" applyNumberFormat="1" applyFill="1" applyBorder="1"/>
    <xf numFmtId="0" fontId="0" fillId="40" borderId="110" xfId="0" applyFill="1" applyBorder="1"/>
    <xf numFmtId="175" fontId="8" fillId="40" borderId="110" xfId="0" applyNumberFormat="1" applyFont="1" applyFill="1" applyBorder="1"/>
    <xf numFmtId="183" fontId="0" fillId="40" borderId="109" xfId="0" applyNumberFormat="1" applyFill="1" applyBorder="1"/>
    <xf numFmtId="44" fontId="8" fillId="0" borderId="35" xfId="0" applyNumberFormat="1" applyFont="1" applyBorder="1"/>
    <xf numFmtId="8" fontId="8" fillId="0" borderId="35" xfId="0" applyNumberFormat="1" applyFont="1" applyBorder="1"/>
    <xf numFmtId="168" fontId="18" fillId="0" borderId="40" xfId="0" applyNumberFormat="1" applyFont="1" applyBorder="1"/>
    <xf numFmtId="0" fontId="41" fillId="0" borderId="0" xfId="0" applyFont="1"/>
    <xf numFmtId="0" fontId="8" fillId="11" borderId="103" xfId="0" applyFont="1" applyFill="1" applyBorder="1" applyAlignment="1">
      <alignment horizontal="center" wrapText="1"/>
    </xf>
    <xf numFmtId="0" fontId="8" fillId="0" borderId="80" xfId="0" applyFont="1" applyBorder="1" applyAlignment="1">
      <alignment horizontal="center" vertical="top" wrapText="1"/>
    </xf>
    <xf numFmtId="0" fontId="7" fillId="0" borderId="80" xfId="0" applyFont="1" applyBorder="1"/>
    <xf numFmtId="0" fontId="13" fillId="0" borderId="80" xfId="0" applyFont="1" applyBorder="1"/>
    <xf numFmtId="0" fontId="8" fillId="9" borderId="40" xfId="0" applyFont="1" applyFill="1" applyBorder="1"/>
    <xf numFmtId="0" fontId="9" fillId="41" borderId="1" xfId="0" applyFont="1" applyFill="1" applyBorder="1"/>
    <xf numFmtId="0" fontId="42" fillId="0" borderId="0" xfId="0" applyFont="1"/>
    <xf numFmtId="0" fontId="43" fillId="38" borderId="111" xfId="0" applyFont="1" applyFill="1" applyBorder="1"/>
    <xf numFmtId="0" fontId="14" fillId="0" borderId="3" xfId="0" applyFont="1" applyBorder="1" applyAlignment="1">
      <alignment horizontal="center" vertical="center"/>
    </xf>
    <xf numFmtId="0" fontId="10" fillId="6" borderId="23" xfId="0" applyFont="1" applyFill="1" applyBorder="1" applyAlignment="1">
      <alignment horizontal="center"/>
    </xf>
    <xf numFmtId="0" fontId="10" fillId="6" borderId="40" xfId="0" applyFont="1" applyFill="1" applyBorder="1" applyAlignment="1">
      <alignment horizontal="center"/>
    </xf>
    <xf numFmtId="0" fontId="7" fillId="39" borderId="107" xfId="0" applyFont="1" applyFill="1" applyBorder="1" applyAlignment="1">
      <alignment horizontal="center"/>
    </xf>
    <xf numFmtId="0" fontId="7" fillId="12" borderId="40" xfId="0" applyFont="1" applyFill="1" applyBorder="1" applyAlignment="1">
      <alignment horizontal="center"/>
    </xf>
    <xf numFmtId="0" fontId="7" fillId="9" borderId="72" xfId="0" applyFont="1" applyFill="1" applyBorder="1" applyAlignment="1">
      <alignment horizontal="center"/>
    </xf>
    <xf numFmtId="0" fontId="7" fillId="10" borderId="72" xfId="0" applyFont="1" applyFill="1" applyBorder="1" applyAlignment="1">
      <alignment horizontal="center"/>
    </xf>
    <xf numFmtId="0" fontId="7" fillId="11" borderId="72" xfId="0" applyFont="1" applyFill="1" applyBorder="1" applyAlignment="1">
      <alignment horizontal="center"/>
    </xf>
    <xf numFmtId="0" fontId="7" fillId="11" borderId="40" xfId="0" applyFont="1" applyFill="1" applyBorder="1" applyAlignment="1">
      <alignment horizontal="center"/>
    </xf>
    <xf numFmtId="0" fontId="7" fillId="13" borderId="106" xfId="0" applyFont="1" applyFill="1" applyBorder="1" applyAlignment="1">
      <alignment horizontal="center"/>
    </xf>
    <xf numFmtId="0" fontId="7" fillId="13" borderId="107" xfId="0" applyFont="1" applyFill="1" applyBorder="1" applyAlignment="1">
      <alignment horizontal="center"/>
    </xf>
    <xf numFmtId="0" fontId="8" fillId="0" borderId="0" xfId="0" applyFont="1" applyAlignment="1">
      <alignment vertical="top" wrapText="1"/>
    </xf>
    <xf numFmtId="0" fontId="8" fillId="0" borderId="66" xfId="0" applyFont="1" applyBorder="1" applyAlignment="1">
      <alignment vertical="top" wrapText="1"/>
    </xf>
    <xf numFmtId="0" fontId="8" fillId="0" borderId="80" xfId="0" applyFont="1" applyBorder="1" applyAlignment="1">
      <alignment horizontal="center" vertical="top" wrapText="1"/>
    </xf>
    <xf numFmtId="0" fontId="7" fillId="0" borderId="49" xfId="0" applyFont="1" applyBorder="1" applyAlignment="1">
      <alignment horizontal="center"/>
    </xf>
    <xf numFmtId="44" fontId="8" fillId="0" borderId="40" xfId="0" applyNumberFormat="1" applyFont="1" applyBorder="1" applyAlignment="1">
      <alignment horizontal="center" vertical="top" wrapText="1"/>
    </xf>
    <xf numFmtId="44" fontId="8" fillId="0" borderId="55" xfId="0" applyNumberFormat="1" applyFont="1" applyBorder="1" applyAlignment="1">
      <alignment horizontal="center" vertical="top" wrapText="1"/>
    </xf>
    <xf numFmtId="0" fontId="8" fillId="0" borderId="92" xfId="0" applyFont="1" applyBorder="1" applyAlignment="1">
      <alignment vertical="top" wrapText="1"/>
    </xf>
    <xf numFmtId="0" fontId="8" fillId="0" borderId="93" xfId="0" applyFont="1" applyBorder="1" applyAlignment="1">
      <alignment vertical="top" wrapText="1"/>
    </xf>
    <xf numFmtId="0" fontId="8" fillId="0" borderId="94" xfId="0" applyFont="1" applyBorder="1" applyAlignment="1">
      <alignment vertical="top" wrapText="1"/>
    </xf>
    <xf numFmtId="0" fontId="8" fillId="0" borderId="95" xfId="0" applyFont="1" applyBorder="1" applyAlignment="1">
      <alignment vertical="top" wrapText="1"/>
    </xf>
    <xf numFmtId="0" fontId="8" fillId="0" borderId="96" xfId="0" applyFont="1" applyBorder="1" applyAlignment="1">
      <alignment vertical="top" wrapText="1"/>
    </xf>
    <xf numFmtId="0" fontId="8" fillId="0" borderId="97" xfId="0" applyFont="1" applyBorder="1" applyAlignment="1">
      <alignment vertical="top" wrapText="1"/>
    </xf>
    <xf numFmtId="0" fontId="7" fillId="0" borderId="57" xfId="0" applyFont="1" applyBorder="1" applyAlignment="1">
      <alignment horizontal="center"/>
    </xf>
    <xf numFmtId="0" fontId="18" fillId="0" borderId="0" xfId="0" applyFont="1" applyAlignment="1">
      <alignment vertical="top" wrapText="1"/>
    </xf>
    <xf numFmtId="0" fontId="19" fillId="0" borderId="28" xfId="0" applyFont="1" applyBorder="1" applyAlignment="1">
      <alignment horizontal="center" vertical="center"/>
    </xf>
    <xf numFmtId="0" fontId="7" fillId="15" borderId="72" xfId="0" applyFont="1" applyFill="1" applyBorder="1" applyAlignment="1">
      <alignment horizontal="center" vertical="center"/>
    </xf>
    <xf numFmtId="0" fontId="8" fillId="20" borderId="30" xfId="0" applyFont="1" applyFill="1" applyBorder="1" applyAlignment="1">
      <alignment horizontal="center" vertical="center"/>
    </xf>
    <xf numFmtId="0" fontId="8" fillId="0" borderId="40" xfId="0" applyFont="1" applyBorder="1" applyAlignment="1">
      <alignment vertical="top" wrapText="1"/>
    </xf>
    <xf numFmtId="0" fontId="8" fillId="0" borderId="92" xfId="0" applyFont="1" applyBorder="1" applyAlignment="1">
      <alignment horizontal="center" vertical="top" wrapText="1"/>
    </xf>
    <xf numFmtId="0" fontId="8" fillId="0" borderId="93" xfId="0" applyFont="1" applyBorder="1" applyAlignment="1">
      <alignment horizontal="center" vertical="top" wrapText="1"/>
    </xf>
    <xf numFmtId="0" fontId="8" fillId="0" borderId="94" xfId="0" applyFont="1" applyBorder="1" applyAlignment="1">
      <alignment horizontal="center" vertical="top" wrapText="1"/>
    </xf>
    <xf numFmtId="0" fontId="8" fillId="0" borderId="95" xfId="0" applyFont="1" applyBorder="1" applyAlignment="1">
      <alignment horizontal="center" vertical="top" wrapText="1"/>
    </xf>
    <xf numFmtId="0" fontId="8" fillId="0" borderId="96" xfId="0" applyFont="1" applyBorder="1" applyAlignment="1">
      <alignment horizontal="center" vertical="top" wrapText="1"/>
    </xf>
    <xf numFmtId="0" fontId="8" fillId="0" borderId="97" xfId="0" applyFont="1" applyBorder="1" applyAlignment="1">
      <alignment horizontal="center" vertical="top" wrapText="1"/>
    </xf>
    <xf numFmtId="0" fontId="8" fillId="0" borderId="92" xfId="0" applyFont="1" applyBorder="1" applyAlignment="1">
      <alignment horizontal="center"/>
    </xf>
    <xf numFmtId="0" fontId="8" fillId="0" borderId="91" xfId="0" applyFont="1" applyBorder="1" applyAlignment="1">
      <alignment horizontal="center"/>
    </xf>
    <xf numFmtId="0" fontId="8" fillId="0" borderId="94" xfId="0" applyFont="1" applyBorder="1" applyAlignment="1">
      <alignment horizontal="center"/>
    </xf>
    <xf numFmtId="0" fontId="8" fillId="0" borderId="40" xfId="0" applyFont="1" applyBorder="1" applyAlignment="1">
      <alignment horizontal="center"/>
    </xf>
    <xf numFmtId="0" fontId="8" fillId="0" borderId="96" xfId="0" applyFont="1" applyBorder="1" applyAlignment="1">
      <alignment horizontal="center"/>
    </xf>
    <xf numFmtId="0" fontId="8" fillId="0" borderId="90" xfId="0" applyFont="1" applyBorder="1" applyAlignment="1">
      <alignment horizontal="center"/>
    </xf>
    <xf numFmtId="0" fontId="8" fillId="0" borderId="56" xfId="0" applyFont="1" applyBorder="1" applyAlignment="1">
      <alignment vertical="top" wrapText="1"/>
    </xf>
    <xf numFmtId="0" fontId="7" fillId="0" borderId="40" xfId="0" applyFont="1" applyBorder="1" applyAlignment="1">
      <alignment horizontal="center"/>
    </xf>
    <xf numFmtId="0" fontId="7" fillId="0" borderId="51" xfId="0" applyFont="1" applyBorder="1" applyAlignment="1">
      <alignment horizontal="center"/>
    </xf>
    <xf numFmtId="0" fontId="7" fillId="0" borderId="52" xfId="0" applyFont="1" applyBorder="1" applyAlignment="1">
      <alignment horizontal="center"/>
    </xf>
    <xf numFmtId="0" fontId="7" fillId="0" borderId="53" xfId="0" applyFont="1" applyBorder="1" applyAlignment="1">
      <alignment horizontal="center"/>
    </xf>
    <xf numFmtId="0" fontId="7" fillId="0" borderId="99" xfId="0" applyFont="1" applyBorder="1" applyAlignment="1">
      <alignment horizontal="center"/>
    </xf>
    <xf numFmtId="0" fontId="7" fillId="0" borderId="92" xfId="0" applyFont="1" applyBorder="1" applyAlignment="1">
      <alignment horizontal="center"/>
    </xf>
    <xf numFmtId="0" fontId="7" fillId="0" borderId="93" xfId="0" applyFont="1" applyBorder="1" applyAlignment="1">
      <alignment horizontal="center"/>
    </xf>
    <xf numFmtId="0" fontId="7" fillId="0" borderId="94" xfId="0" applyFont="1" applyBorder="1" applyAlignment="1">
      <alignment horizontal="center"/>
    </xf>
    <xf numFmtId="0" fontId="7" fillId="0" borderId="95" xfId="0" applyFont="1" applyBorder="1" applyAlignment="1">
      <alignment horizontal="center"/>
    </xf>
    <xf numFmtId="0" fontId="7" fillId="0" borderId="96" xfId="0" applyFont="1" applyBorder="1" applyAlignment="1">
      <alignment horizontal="center"/>
    </xf>
    <xf numFmtId="0" fontId="7" fillId="0" borderId="97" xfId="0" applyFont="1" applyBorder="1" applyAlignment="1">
      <alignment horizontal="center"/>
    </xf>
    <xf numFmtId="0" fontId="8" fillId="0" borderId="62" xfId="0" applyFont="1" applyBorder="1" applyAlignment="1">
      <alignment horizontal="center" vertical="top" wrapText="1"/>
    </xf>
    <xf numFmtId="0" fontId="8" fillId="0" borderId="63" xfId="0" applyFont="1" applyBorder="1" applyAlignment="1">
      <alignment horizontal="center" vertical="top" wrapText="1"/>
    </xf>
    <xf numFmtId="0" fontId="8" fillId="0" borderId="40" xfId="0" applyFont="1" applyBorder="1" applyAlignment="1">
      <alignment horizontal="center" vertical="top" wrapText="1"/>
    </xf>
    <xf numFmtId="0" fontId="8" fillId="0" borderId="68" xfId="0" applyFont="1" applyBorder="1" applyAlignment="1">
      <alignment horizontal="center" vertical="top" wrapText="1"/>
    </xf>
    <xf numFmtId="0" fontId="8" fillId="0" borderId="54" xfId="0" applyFont="1" applyBorder="1" applyAlignment="1">
      <alignment horizontal="center" vertical="top" wrapText="1"/>
    </xf>
    <xf numFmtId="0" fontId="8" fillId="0" borderId="70" xfId="0" applyFont="1" applyBorder="1" applyAlignment="1">
      <alignment horizontal="center" vertical="top" wrapText="1"/>
    </xf>
    <xf numFmtId="0" fontId="7" fillId="0" borderId="91" xfId="0" applyFont="1" applyBorder="1" applyAlignment="1">
      <alignment horizontal="center"/>
    </xf>
    <xf numFmtId="0" fontId="7" fillId="0" borderId="90" xfId="0" applyFont="1" applyBorder="1" applyAlignment="1">
      <alignment horizontal="center"/>
    </xf>
    <xf numFmtId="0" fontId="7" fillId="0" borderId="58" xfId="0" applyFont="1" applyBorder="1" applyAlignment="1">
      <alignment horizontal="center"/>
    </xf>
    <xf numFmtId="0" fontId="7" fillId="0" borderId="98" xfId="0" applyFont="1" applyBorder="1" applyAlignment="1">
      <alignment horizontal="center"/>
    </xf>
    <xf numFmtId="44" fontId="8" fillId="0" borderId="92" xfId="0" applyNumberFormat="1" applyFont="1" applyBorder="1" applyAlignment="1">
      <alignment horizontal="center" vertical="top" wrapText="1"/>
    </xf>
    <xf numFmtId="44" fontId="8" fillId="0" borderId="91" xfId="0" applyNumberFormat="1" applyFont="1" applyBorder="1" applyAlignment="1">
      <alignment horizontal="center" vertical="top" wrapText="1"/>
    </xf>
    <xf numFmtId="44" fontId="8" fillId="0" borderId="93" xfId="0" applyNumberFormat="1" applyFont="1" applyBorder="1" applyAlignment="1">
      <alignment horizontal="center" vertical="top" wrapText="1"/>
    </xf>
    <xf numFmtId="44" fontId="8" fillId="0" borderId="94" xfId="0" applyNumberFormat="1" applyFont="1" applyBorder="1" applyAlignment="1">
      <alignment horizontal="center" vertical="top" wrapText="1"/>
    </xf>
    <xf numFmtId="44" fontId="8" fillId="0" borderId="95" xfId="0" applyNumberFormat="1" applyFont="1" applyBorder="1" applyAlignment="1">
      <alignment horizontal="center" vertical="top" wrapText="1"/>
    </xf>
    <xf numFmtId="44" fontId="8" fillId="0" borderId="96" xfId="0" applyNumberFormat="1" applyFont="1" applyBorder="1" applyAlignment="1">
      <alignment horizontal="center" vertical="top" wrapText="1"/>
    </xf>
    <xf numFmtId="44" fontId="8" fillId="0" borderId="90" xfId="0" applyNumberFormat="1" applyFont="1" applyBorder="1" applyAlignment="1">
      <alignment horizontal="center" vertical="top" wrapText="1"/>
    </xf>
    <xf numFmtId="44" fontId="8" fillId="0" borderId="97" xfId="0" applyNumberFormat="1" applyFont="1" applyBorder="1" applyAlignment="1">
      <alignment horizontal="center" vertical="top" wrapText="1"/>
    </xf>
    <xf numFmtId="0" fontId="18" fillId="0" borderId="92" xfId="0" applyFont="1" applyBorder="1" applyAlignment="1">
      <alignment vertical="top" wrapText="1"/>
    </xf>
    <xf numFmtId="0" fontId="18" fillId="0" borderId="92" xfId="0" applyFont="1" applyBorder="1" applyAlignment="1">
      <alignment horizontal="center" vertical="top" wrapText="1"/>
    </xf>
    <xf numFmtId="0" fontId="18" fillId="0" borderId="91" xfId="0" applyFont="1" applyBorder="1" applyAlignment="1">
      <alignment horizontal="center" vertical="top" wrapText="1"/>
    </xf>
    <xf numFmtId="0" fontId="18" fillId="0" borderId="93" xfId="0" applyFont="1" applyBorder="1" applyAlignment="1">
      <alignment horizontal="center" vertical="top" wrapText="1"/>
    </xf>
    <xf numFmtId="0" fontId="18" fillId="0" borderId="94" xfId="0" applyFont="1" applyBorder="1" applyAlignment="1">
      <alignment horizontal="center" vertical="top" wrapText="1"/>
    </xf>
    <xf numFmtId="0" fontId="18" fillId="0" borderId="40" xfId="0" applyFont="1" applyBorder="1" applyAlignment="1">
      <alignment horizontal="center" vertical="top" wrapText="1"/>
    </xf>
    <xf numFmtId="0" fontId="18" fillId="0" borderId="95" xfId="0" applyFont="1" applyBorder="1" applyAlignment="1">
      <alignment horizontal="center" vertical="top" wrapText="1"/>
    </xf>
    <xf numFmtId="0" fontId="18" fillId="0" borderId="96" xfId="0" applyFont="1" applyBorder="1" applyAlignment="1">
      <alignment horizontal="center" vertical="top" wrapText="1"/>
    </xf>
    <xf numFmtId="0" fontId="18" fillId="0" borderId="90" xfId="0" applyFont="1" applyBorder="1" applyAlignment="1">
      <alignment horizontal="center" vertical="top" wrapText="1"/>
    </xf>
    <xf numFmtId="0" fontId="18" fillId="0" borderId="97" xfId="0" applyFont="1" applyBorder="1" applyAlignment="1">
      <alignment horizontal="center" vertical="top" wrapText="1"/>
    </xf>
    <xf numFmtId="0" fontId="8" fillId="0" borderId="62" xfId="0" applyFont="1" applyBorder="1" applyAlignment="1">
      <alignment vertical="top" wrapText="1"/>
    </xf>
    <xf numFmtId="10" fontId="7" fillId="2" borderId="74" xfId="0" applyNumberFormat="1" applyFont="1" applyFill="1" applyBorder="1" applyAlignment="1">
      <alignment horizontal="left"/>
    </xf>
    <xf numFmtId="0" fontId="8" fillId="0" borderId="32" xfId="0" applyFont="1" applyBorder="1" applyAlignment="1">
      <alignment horizontal="left"/>
    </xf>
    <xf numFmtId="0" fontId="8" fillId="0" borderId="35" xfId="0" applyFont="1" applyBorder="1" applyAlignment="1">
      <alignment horizontal="center"/>
    </xf>
    <xf numFmtId="0" fontId="8" fillId="0" borderId="91" xfId="0" applyFont="1" applyBorder="1" applyAlignment="1">
      <alignment horizontal="center" vertical="top" wrapText="1"/>
    </xf>
    <xf numFmtId="0" fontId="8" fillId="0" borderId="90" xfId="0" applyFont="1" applyBorder="1" applyAlignment="1">
      <alignment horizontal="center" vertical="top" wrapText="1"/>
    </xf>
    <xf numFmtId="0" fontId="13" fillId="0" borderId="92" xfId="0" applyFont="1" applyBorder="1" applyAlignment="1">
      <alignment horizontal="center"/>
    </xf>
    <xf numFmtId="0" fontId="13" fillId="0" borderId="91" xfId="0" applyFont="1" applyBorder="1" applyAlignment="1">
      <alignment horizontal="center"/>
    </xf>
    <xf numFmtId="0" fontId="13" fillId="0" borderId="93" xfId="0" applyFont="1" applyBorder="1" applyAlignment="1">
      <alignment horizontal="center"/>
    </xf>
    <xf numFmtId="0" fontId="8" fillId="0" borderId="38" xfId="0" applyFont="1" applyBorder="1" applyAlignment="1">
      <alignment horizontal="center"/>
    </xf>
    <xf numFmtId="0" fontId="13" fillId="0" borderId="94" xfId="0" applyFont="1" applyBorder="1" applyAlignment="1">
      <alignment horizontal="center"/>
    </xf>
    <xf numFmtId="0" fontId="13" fillId="0" borderId="40" xfId="0" applyFont="1" applyBorder="1" applyAlignment="1">
      <alignment horizontal="center"/>
    </xf>
    <xf numFmtId="0" fontId="13" fillId="0" borderId="95" xfId="0" applyFont="1" applyBorder="1" applyAlignment="1">
      <alignment horizontal="center"/>
    </xf>
    <xf numFmtId="0" fontId="13" fillId="0" borderId="96" xfId="0" applyFont="1" applyBorder="1" applyAlignment="1">
      <alignment horizontal="center"/>
    </xf>
    <xf numFmtId="0" fontId="13" fillId="0" borderId="90" xfId="0" applyFont="1" applyBorder="1" applyAlignment="1">
      <alignment horizontal="center"/>
    </xf>
    <xf numFmtId="0" fontId="13" fillId="0" borderId="97" xfId="0" applyFont="1" applyBorder="1" applyAlignment="1">
      <alignment horizontal="center"/>
    </xf>
    <xf numFmtId="49" fontId="8" fillId="0" borderId="92" xfId="0" applyNumberFormat="1" applyFont="1" applyBorder="1" applyAlignment="1">
      <alignment horizontal="center" vertical="top" wrapText="1"/>
    </xf>
    <xf numFmtId="49" fontId="8" fillId="0" borderId="91" xfId="0" applyNumberFormat="1" applyFont="1" applyBorder="1" applyAlignment="1">
      <alignment horizontal="center" vertical="top" wrapText="1"/>
    </xf>
    <xf numFmtId="49" fontId="8" fillId="0" borderId="93" xfId="0" applyNumberFormat="1" applyFont="1" applyBorder="1" applyAlignment="1">
      <alignment horizontal="center" vertical="top" wrapText="1"/>
    </xf>
    <xf numFmtId="49" fontId="8" fillId="0" borderId="94" xfId="0" applyNumberFormat="1" applyFont="1" applyBorder="1" applyAlignment="1">
      <alignment horizontal="center" vertical="top" wrapText="1"/>
    </xf>
    <xf numFmtId="49" fontId="8" fillId="0" borderId="40" xfId="0" applyNumberFormat="1" applyFont="1" applyBorder="1" applyAlignment="1">
      <alignment horizontal="center" vertical="top" wrapText="1"/>
    </xf>
    <xf numFmtId="49" fontId="8" fillId="0" borderId="95" xfId="0" applyNumberFormat="1" applyFont="1" applyBorder="1" applyAlignment="1">
      <alignment horizontal="center" vertical="top" wrapText="1"/>
    </xf>
    <xf numFmtId="49" fontId="8" fillId="0" borderId="96" xfId="0" applyNumberFormat="1" applyFont="1" applyBorder="1" applyAlignment="1">
      <alignment horizontal="center" vertical="top" wrapText="1"/>
    </xf>
    <xf numFmtId="49" fontId="8" fillId="0" borderId="90" xfId="0" applyNumberFormat="1" applyFont="1" applyBorder="1" applyAlignment="1">
      <alignment horizontal="center" vertical="top" wrapText="1"/>
    </xf>
    <xf numFmtId="49" fontId="8" fillId="0" borderId="97" xfId="0" applyNumberFormat="1" applyFont="1" applyBorder="1" applyAlignment="1">
      <alignment horizontal="center" vertical="top" wrapText="1"/>
    </xf>
    <xf numFmtId="0" fontId="8" fillId="0" borderId="91" xfId="0" applyFont="1" applyBorder="1" applyAlignment="1">
      <alignment vertical="top" wrapText="1"/>
    </xf>
    <xf numFmtId="0" fontId="30" fillId="0" borderId="92" xfId="0" applyFont="1" applyBorder="1" applyAlignment="1">
      <alignment vertical="top" wrapText="1"/>
    </xf>
    <xf numFmtId="0" fontId="8" fillId="0" borderId="84" xfId="0" applyFont="1" applyBorder="1" applyAlignment="1">
      <alignment horizontal="left" vertical="top" wrapText="1"/>
    </xf>
    <xf numFmtId="0" fontId="8" fillId="0" borderId="85" xfId="0" applyFont="1" applyBorder="1" applyAlignment="1">
      <alignment horizontal="left" vertical="top" wrapText="1"/>
    </xf>
    <xf numFmtId="0" fontId="8" fillId="0" borderId="40" xfId="0" applyFont="1" applyBorder="1" applyAlignment="1">
      <alignment horizontal="left" vertical="top" wrapText="1"/>
    </xf>
    <xf numFmtId="0" fontId="8" fillId="0" borderId="86" xfId="0" applyFont="1" applyBorder="1" applyAlignment="1">
      <alignment horizontal="left" vertical="top" wrapText="1"/>
    </xf>
    <xf numFmtId="0" fontId="8" fillId="0" borderId="83" xfId="0" applyFont="1" applyBorder="1" applyAlignment="1">
      <alignment horizontal="left" vertical="top" wrapText="1"/>
    </xf>
    <xf numFmtId="0" fontId="8" fillId="0" borderId="87" xfId="0" applyFont="1" applyBorder="1" applyAlignment="1">
      <alignment horizontal="left" vertical="top" wrapText="1"/>
    </xf>
    <xf numFmtId="0" fontId="7" fillId="0" borderId="84" xfId="0" applyFont="1" applyBorder="1" applyAlignment="1">
      <alignment horizontal="center"/>
    </xf>
    <xf numFmtId="0" fontId="7" fillId="0" borderId="85" xfId="0" applyFont="1" applyBorder="1" applyAlignment="1">
      <alignment horizontal="center"/>
    </xf>
    <xf numFmtId="0" fontId="7" fillId="0" borderId="86" xfId="0" applyFont="1" applyBorder="1" applyAlignment="1">
      <alignment horizontal="center"/>
    </xf>
    <xf numFmtId="0" fontId="7" fillId="0" borderId="83" xfId="0" applyFont="1" applyBorder="1" applyAlignment="1">
      <alignment horizontal="center"/>
    </xf>
    <xf numFmtId="0" fontId="7" fillId="0" borderId="87" xfId="0" applyFont="1" applyBorder="1" applyAlignment="1">
      <alignment horizontal="center"/>
    </xf>
    <xf numFmtId="0" fontId="30" fillId="0" borderId="92" xfId="0" applyFont="1" applyBorder="1" applyAlignment="1">
      <alignment horizontal="center" vertical="top" wrapText="1"/>
    </xf>
    <xf numFmtId="0" fontId="30" fillId="0" borderId="91" xfId="0" applyFont="1" applyBorder="1" applyAlignment="1">
      <alignment horizontal="center" vertical="top" wrapText="1"/>
    </xf>
    <xf numFmtId="0" fontId="30" fillId="0" borderId="93" xfId="0" applyFont="1" applyBorder="1" applyAlignment="1">
      <alignment horizontal="center" vertical="top" wrapText="1"/>
    </xf>
    <xf numFmtId="0" fontId="30" fillId="0" borderId="94" xfId="0" applyFont="1" applyBorder="1" applyAlignment="1">
      <alignment horizontal="center" vertical="top" wrapText="1"/>
    </xf>
    <xf numFmtId="0" fontId="30" fillId="0" borderId="40" xfId="0" applyFont="1" applyBorder="1" applyAlignment="1">
      <alignment horizontal="center" vertical="top" wrapText="1"/>
    </xf>
    <xf numFmtId="0" fontId="30" fillId="0" borderId="95" xfId="0" applyFont="1" applyBorder="1" applyAlignment="1">
      <alignment horizontal="center" vertical="top" wrapText="1"/>
    </xf>
    <xf numFmtId="0" fontId="30" fillId="0" borderId="96" xfId="0" applyFont="1" applyBorder="1" applyAlignment="1">
      <alignment horizontal="center" vertical="top" wrapText="1"/>
    </xf>
    <xf numFmtId="0" fontId="30" fillId="0" borderId="90" xfId="0" applyFont="1" applyBorder="1" applyAlignment="1">
      <alignment horizontal="center" vertical="top" wrapText="1"/>
    </xf>
    <xf numFmtId="0" fontId="30" fillId="0" borderId="97" xfId="0" applyFont="1" applyBorder="1" applyAlignment="1">
      <alignment horizontal="center" vertical="top" wrapText="1"/>
    </xf>
    <xf numFmtId="44" fontId="8" fillId="0" borderId="92" xfId="0" applyNumberFormat="1" applyFont="1" applyBorder="1" applyAlignment="1">
      <alignment horizontal="left" vertical="top" wrapText="1"/>
    </xf>
    <xf numFmtId="44" fontId="8" fillId="0" borderId="91" xfId="0" applyNumberFormat="1" applyFont="1" applyBorder="1" applyAlignment="1">
      <alignment horizontal="left" vertical="top" wrapText="1"/>
    </xf>
    <xf numFmtId="44" fontId="8" fillId="0" borderId="93" xfId="0" applyNumberFormat="1" applyFont="1" applyBorder="1" applyAlignment="1">
      <alignment horizontal="left" vertical="top" wrapText="1"/>
    </xf>
    <xf numFmtId="44" fontId="8" fillId="0" borderId="94" xfId="0" applyNumberFormat="1" applyFont="1" applyBorder="1" applyAlignment="1">
      <alignment horizontal="left" vertical="top" wrapText="1"/>
    </xf>
    <xf numFmtId="44" fontId="8" fillId="0" borderId="40" xfId="0" applyNumberFormat="1" applyFont="1" applyBorder="1" applyAlignment="1">
      <alignment horizontal="left" vertical="top" wrapText="1"/>
    </xf>
    <xf numFmtId="44" fontId="8" fillId="0" borderId="95" xfId="0" applyNumberFormat="1" applyFont="1" applyBorder="1" applyAlignment="1">
      <alignment horizontal="left" vertical="top" wrapText="1"/>
    </xf>
    <xf numFmtId="44" fontId="8" fillId="0" borderId="96" xfId="0" applyNumberFormat="1" applyFont="1" applyBorder="1" applyAlignment="1">
      <alignment horizontal="left" vertical="top" wrapText="1"/>
    </xf>
    <xf numFmtId="44" fontId="8" fillId="0" borderId="90" xfId="0" applyNumberFormat="1" applyFont="1" applyBorder="1" applyAlignment="1">
      <alignment horizontal="left" vertical="top" wrapText="1"/>
    </xf>
    <xf numFmtId="44" fontId="8" fillId="0" borderId="97" xfId="0" applyNumberFormat="1" applyFont="1" applyBorder="1" applyAlignment="1">
      <alignment horizontal="left" vertical="top" wrapText="1"/>
    </xf>
    <xf numFmtId="0" fontId="30" fillId="0" borderId="94" xfId="0" applyFont="1" applyBorder="1" applyAlignment="1">
      <alignment vertical="top" wrapText="1"/>
    </xf>
    <xf numFmtId="0" fontId="7" fillId="0" borderId="100" xfId="0" applyFont="1" applyBorder="1" applyAlignment="1">
      <alignment horizontal="center"/>
    </xf>
    <xf numFmtId="44" fontId="8" fillId="0" borderId="56" xfId="0" applyNumberFormat="1" applyFont="1" applyBorder="1" applyAlignment="1">
      <alignment horizontal="center" vertical="top" wrapText="1"/>
    </xf>
    <xf numFmtId="44" fontId="8" fillId="0" borderId="58" xfId="0" applyNumberFormat="1" applyFont="1" applyBorder="1" applyAlignment="1">
      <alignment horizontal="center" vertical="top" wrapText="1"/>
    </xf>
    <xf numFmtId="44" fontId="8" fillId="0" borderId="59" xfId="0" applyNumberFormat="1" applyFont="1" applyBorder="1" applyAlignment="1">
      <alignment horizontal="center" vertical="top" wrapText="1"/>
    </xf>
    <xf numFmtId="44" fontId="8" fillId="0" borderId="60" xfId="0" applyNumberFormat="1" applyFont="1" applyBorder="1" applyAlignment="1">
      <alignment horizontal="center" vertical="top" wrapText="1"/>
    </xf>
    <xf numFmtId="0" fontId="8" fillId="0" borderId="64" xfId="0" applyFont="1" applyBorder="1" applyAlignment="1">
      <alignment vertical="top" wrapText="1"/>
    </xf>
    <xf numFmtId="0" fontId="7" fillId="0" borderId="61" xfId="0" applyFont="1" applyBorder="1" applyAlignment="1">
      <alignment horizontal="center"/>
    </xf>
    <xf numFmtId="0" fontId="44" fillId="0" borderId="0" xfId="0" applyFont="1"/>
    <xf numFmtId="0" fontId="13" fillId="0" borderId="4" xfId="0" applyFont="1" applyBorder="1" applyAlignment="1"/>
    <xf numFmtId="0" fontId="13" fillId="0" borderId="5" xfId="0" applyFont="1" applyBorder="1" applyAlignment="1"/>
    <xf numFmtId="0" fontId="13" fillId="0" borderId="6" xfId="0" applyFont="1" applyBorder="1" applyAlignment="1"/>
    <xf numFmtId="0" fontId="0" fillId="0" borderId="0" xfId="0" applyAlignment="1"/>
    <xf numFmtId="0" fontId="13" fillId="0" borderId="7" xfId="0" applyFont="1" applyBorder="1" applyAlignment="1"/>
    <xf numFmtId="0" fontId="13" fillId="0" borderId="8" xfId="0" applyFont="1" applyBorder="1" applyAlignment="1"/>
    <xf numFmtId="0" fontId="13" fillId="0" borderId="15" xfId="0" applyFont="1" applyBorder="1" applyAlignment="1"/>
    <xf numFmtId="0" fontId="13" fillId="0" borderId="9" xfId="0" applyFont="1" applyBorder="1" applyAlignment="1"/>
    <xf numFmtId="0" fontId="13" fillId="0" borderId="72" xfId="0" applyFont="1" applyBorder="1" applyAlignment="1"/>
    <xf numFmtId="0" fontId="13" fillId="0" borderId="40" xfId="0" applyFont="1" applyBorder="1" applyAlignment="1"/>
    <xf numFmtId="0" fontId="7" fillId="17" borderId="28" xfId="0" applyFont="1" applyFill="1" applyBorder="1" applyAlignment="1"/>
    <xf numFmtId="0" fontId="13" fillId="0" borderId="30" xfId="0" applyFont="1" applyBorder="1" applyAlignment="1"/>
    <xf numFmtId="0" fontId="13" fillId="0" borderId="29" xfId="0" applyFont="1" applyBorder="1" applyAlignment="1"/>
    <xf numFmtId="0" fontId="8" fillId="0" borderId="41" xfId="0" applyFont="1" applyBorder="1" applyAlignment="1"/>
    <xf numFmtId="0" fontId="13" fillId="0" borderId="42" xfId="0" applyFont="1" applyBorder="1" applyAlignment="1"/>
    <xf numFmtId="0" fontId="13" fillId="0" borderId="43" xfId="0" applyFont="1" applyBorder="1" applyAlignment="1"/>
    <xf numFmtId="0" fontId="8" fillId="0" borderId="44" xfId="0" applyFont="1" applyBorder="1" applyAlignment="1"/>
    <xf numFmtId="0" fontId="13" fillId="0" borderId="45" xfId="0" applyFont="1" applyBorder="1" applyAlignment="1"/>
    <xf numFmtId="0" fontId="7" fillId="0" borderId="80" xfId="0" applyFont="1" applyBorder="1" applyAlignment="1"/>
    <xf numFmtId="0" fontId="13" fillId="0" borderId="80" xfId="0" applyFont="1" applyBorder="1" applyAlignment="1"/>
    <xf numFmtId="0" fontId="8" fillId="0" borderId="46" xfId="0" applyFont="1" applyBorder="1" applyAlignment="1"/>
    <xf numFmtId="0" fontId="13" fillId="0" borderId="47" xfId="0" applyFont="1" applyBorder="1" applyAlignment="1"/>
    <xf numFmtId="0" fontId="13" fillId="0" borderId="48" xfId="0" applyFont="1" applyBorder="1" applyAlignment="1"/>
    <xf numFmtId="0" fontId="13" fillId="0" borderId="49" xfId="0" applyFont="1" applyBorder="1" applyAlignment="1"/>
    <xf numFmtId="0" fontId="13" fillId="0" borderId="50" xfId="0" applyFont="1" applyBorder="1" applyAlignment="1"/>
    <xf numFmtId="0" fontId="13" fillId="0" borderId="51" xfId="0" applyFont="1" applyBorder="1" applyAlignment="1"/>
    <xf numFmtId="0" fontId="13" fillId="0" borderId="52" xfId="0" applyFont="1" applyBorder="1" applyAlignment="1"/>
    <xf numFmtId="0" fontId="13" fillId="0" borderId="53" xfId="0" applyFont="1" applyBorder="1" applyAlignment="1"/>
    <xf numFmtId="0" fontId="7" fillId="0" borderId="49" xfId="0" applyFont="1" applyBorder="1" applyAlignment="1"/>
    <xf numFmtId="0" fontId="13" fillId="0" borderId="57" xfId="0" applyFont="1" applyBorder="1" applyAlignment="1"/>
    <xf numFmtId="0" fontId="13" fillId="0" borderId="58" xfId="0" applyFont="1" applyBorder="1" applyAlignment="1"/>
    <xf numFmtId="0" fontId="13" fillId="0" borderId="55" xfId="0" applyFont="1" applyBorder="1" applyAlignment="1"/>
    <xf numFmtId="0" fontId="13" fillId="0" borderId="60" xfId="0" applyFont="1" applyBorder="1" applyAlignment="1"/>
    <xf numFmtId="0" fontId="7" fillId="0" borderId="64" xfId="0" applyFont="1" applyBorder="1" applyAlignment="1"/>
    <xf numFmtId="0" fontId="7" fillId="0" borderId="63" xfId="0" applyFont="1" applyBorder="1" applyAlignment="1"/>
    <xf numFmtId="0" fontId="13" fillId="0" borderId="65" xfId="0" applyFont="1" applyBorder="1" applyAlignment="1"/>
    <xf numFmtId="0" fontId="7" fillId="0" borderId="62" xfId="0" applyFont="1" applyBorder="1" applyAlignment="1"/>
    <xf numFmtId="0" fontId="13" fillId="0" borderId="63" xfId="0" applyFont="1" applyBorder="1" applyAlignment="1"/>
    <xf numFmtId="0" fontId="13" fillId="0" borderId="67" xfId="0" applyFont="1" applyBorder="1" applyAlignment="1"/>
    <xf numFmtId="0" fontId="13" fillId="0" borderId="68" xfId="0" applyFont="1" applyBorder="1" applyAlignment="1"/>
    <xf numFmtId="0" fontId="13" fillId="0" borderId="69" xfId="0" applyFont="1" applyBorder="1" applyAlignment="1"/>
    <xf numFmtId="0" fontId="13" fillId="0" borderId="70" xfId="0" applyFont="1" applyBorder="1" applyAlignment="1"/>
    <xf numFmtId="0" fontId="8" fillId="0" borderId="0" xfId="0" applyFont="1" applyAlignment="1"/>
    <xf numFmtId="0" fontId="13" fillId="0" borderId="99" xfId="0" applyFont="1" applyBorder="1" applyAlignment="1"/>
    <xf numFmtId="0" fontId="13" fillId="0" borderId="100" xfId="0" applyFont="1" applyBorder="1" applyAlignment="1"/>
    <xf numFmtId="0" fontId="13" fillId="0" borderId="56" xfId="0" applyFont="1" applyBorder="1" applyAlignment="1"/>
    <xf numFmtId="0" fontId="13" fillId="0" borderId="59" xfId="0" applyFont="1" applyBorder="1" applyAlignment="1"/>
    <xf numFmtId="0" fontId="7" fillId="0" borderId="98" xfId="0" applyFont="1" applyBorder="1" applyAlignment="1"/>
    <xf numFmtId="0" fontId="0" fillId="0" borderId="91" xfId="0" applyBorder="1" applyAlignment="1"/>
    <xf numFmtId="0" fontId="13" fillId="0" borderId="93" xfId="0" applyFont="1" applyBorder="1" applyAlignment="1"/>
    <xf numFmtId="0" fontId="0" fillId="0" borderId="94" xfId="0" applyBorder="1" applyAlignment="1"/>
    <xf numFmtId="0" fontId="0" fillId="0" borderId="40" xfId="0" applyBorder="1" applyAlignment="1"/>
    <xf numFmtId="0" fontId="13" fillId="0" borderId="95" xfId="0" applyFont="1" applyBorder="1" applyAlignment="1"/>
    <xf numFmtId="0" fontId="13" fillId="0" borderId="96" xfId="0" applyFont="1" applyBorder="1" applyAlignment="1"/>
    <xf numFmtId="0" fontId="13" fillId="0" borderId="90" xfId="0" applyFont="1" applyBorder="1" applyAlignment="1"/>
    <xf numFmtId="0" fontId="13" fillId="0" borderId="97" xfId="0" applyFont="1" applyBorder="1" applyAlignment="1"/>
    <xf numFmtId="0" fontId="13" fillId="0" borderId="94" xfId="0" applyFont="1" applyBorder="1" applyAlignment="1"/>
    <xf numFmtId="0" fontId="0" fillId="0" borderId="93" xfId="0" applyBorder="1" applyAlignment="1"/>
    <xf numFmtId="0" fontId="0" fillId="0" borderId="95" xfId="0" applyBorder="1" applyAlignment="1"/>
    <xf numFmtId="0" fontId="13" fillId="0" borderId="54" xfId="0" applyFont="1" applyBorder="1" applyAlignment="1"/>
    <xf numFmtId="0" fontId="13" fillId="0" borderId="74" xfId="0" applyFont="1" applyBorder="1" applyAlignment="1"/>
    <xf numFmtId="0" fontId="13" fillId="0" borderId="33" xfId="0" applyFont="1" applyBorder="1" applyAlignment="1"/>
    <xf numFmtId="0" fontId="13" fillId="0" borderId="34" xfId="0" applyFont="1" applyBorder="1" applyAlignment="1"/>
    <xf numFmtId="0" fontId="13" fillId="0" borderId="36" xfId="0" applyFont="1" applyBorder="1" applyAlignment="1"/>
    <xf numFmtId="0" fontId="13" fillId="0" borderId="39" xfId="0" applyFont="1" applyBorder="1" applyAlignment="1"/>
    <xf numFmtId="0" fontId="7" fillId="0" borderId="76" xfId="0" applyFont="1" applyBorder="1" applyAlignment="1"/>
    <xf numFmtId="0" fontId="7" fillId="0" borderId="77" xfId="0" applyFont="1" applyBorder="1" applyAlignment="1"/>
    <xf numFmtId="0" fontId="33" fillId="0" borderId="91" xfId="0" applyFont="1" applyBorder="1" applyAlignment="1"/>
    <xf numFmtId="0" fontId="33" fillId="0" borderId="94" xfId="0" applyFont="1" applyBorder="1" applyAlignment="1"/>
    <xf numFmtId="0" fontId="33" fillId="0" borderId="40" xfId="0" applyFont="1" applyBorder="1" applyAlignment="1"/>
    <xf numFmtId="0" fontId="13" fillId="0" borderId="84" xfId="0" applyFont="1" applyBorder="1" applyAlignment="1"/>
    <xf numFmtId="0" fontId="13" fillId="0" borderId="85" xfId="0" applyFont="1" applyBorder="1" applyAlignment="1"/>
    <xf numFmtId="0" fontId="7" fillId="0" borderId="99" xfId="0" applyFont="1" applyBorder="1" applyAlignment="1"/>
  </cellXfs>
  <cellStyles count="2">
    <cellStyle name="Comma" xfId="1" builtinId="3"/>
    <cellStyle name="Normal" xfId="0" builtinId="0"/>
  </cellStyles>
  <dxfs count="1352">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border diagonalUp="0" diagonalDown="0">
        <left style="medium">
          <color rgb="FF9BC2E6"/>
        </left>
        <right style="medium">
          <color rgb="FF9BC2E6"/>
        </right>
        <top style="medium">
          <color rgb="FF9BC2E6"/>
        </top>
        <bottom style="medium">
          <color rgb="FF9BC2E6"/>
        </bottom>
      </border>
    </dxf>
    <dxf>
      <fill>
        <patternFill patternType="none">
          <fgColor rgb="FF000000"/>
          <bgColor auto="1"/>
        </patternFill>
      </fill>
    </dxf>
    <dxf>
      <fill>
        <patternFill patternType="solid">
          <fgColor indexed="64"/>
          <bgColor theme="4" tint="0.39997558519241921"/>
        </patternFill>
      </fill>
    </dxf>
    <dxf>
      <numFmt numFmtId="168" formatCode="_-[$€-2]\ * #,##0.00_-;\-[$€-2]\ * #,##0.00_-;_-[$€-2]\ * &quot;-&quot;??_-;_-@"/>
    </dxf>
    <dxf>
      <font>
        <b val="0"/>
        <i val="0"/>
        <strike val="0"/>
        <condense val="0"/>
        <extend val="0"/>
        <outline val="0"/>
        <shadow val="0"/>
        <u val="none"/>
        <vertAlign val="baseline"/>
        <sz val="11"/>
        <color theme="1"/>
        <name val="Calibri"/>
        <family val="2"/>
        <scheme val="none"/>
      </font>
      <numFmt numFmtId="34" formatCode="_ &quot;€&quot;\ * #,##0.00_ ;_ &quot;€&quot;\ * \-#,##0.00_ ;_ &quot;€&quot;\ * &quot;-&quot;??_ ;_ @_ "/>
      <alignment horizontal="center" vertical="bottom" textRotation="0" wrapText="0" indent="0" justifyLastLine="0" shrinkToFit="0" readingOrder="0"/>
    </dxf>
    <dxf>
      <numFmt numFmtId="164" formatCode="_-* #,##0.00\ &quot;€&quot;_-;\-* #,##0.00\ &quot;€&quot;_-;_-* &quot;-&quot;??\ &quot;€&quot;_-;_-@_-"/>
    </dxf>
    <dxf>
      <alignment horizontal="center" vertical="bottom" textRotation="0" indent="0" justifyLastLine="0" shrinkToFit="0" readingOrder="0"/>
    </dxf>
    <dxf>
      <alignment horizontal="center" vertical="bottom" textRotation="0" wrapText="0" indent="0" justifyLastLine="0" shrinkToFit="0" readingOrder="0"/>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border diagonalUp="0" diagonalDown="0">
        <left style="medium">
          <color rgb="FF9BC2E6"/>
        </left>
        <right style="medium">
          <color rgb="FF9BC2E6"/>
        </right>
        <top style="medium">
          <color rgb="FF9BC2E6"/>
        </top>
        <bottom style="medium">
          <color rgb="FF9BC2E6"/>
        </bottom>
      </border>
    </dxf>
    <dxf>
      <fill>
        <patternFill patternType="none">
          <fgColor rgb="FF000000"/>
          <bgColor auto="1"/>
        </patternFill>
      </fill>
    </dxf>
    <dxf>
      <fill>
        <patternFill patternType="solid">
          <fgColor indexed="64"/>
          <bgColor theme="4" tint="0.39997558519241921"/>
        </patternFill>
      </fill>
    </dxf>
    <dxf>
      <numFmt numFmtId="168" formatCode="_-[$€-2]\ * #,##0.00_-;\-[$€-2]\ * #,##0.00_-;_-[$€-2]\ * &quot;-&quot;??_-;_-@"/>
    </dxf>
    <dxf>
      <font>
        <b val="0"/>
        <i val="0"/>
        <strike val="0"/>
        <condense val="0"/>
        <extend val="0"/>
        <outline val="0"/>
        <shadow val="0"/>
        <u val="none"/>
        <vertAlign val="baseline"/>
        <sz val="11"/>
        <color theme="1"/>
        <name val="Calibri"/>
        <family val="2"/>
        <scheme val="none"/>
      </font>
      <numFmt numFmtId="34" formatCode="_ &quot;€&quot;\ * #,##0.00_ ;_ &quot;€&quot;\ * \-#,##0.00_ ;_ &quot;€&quot;\ * &quot;-&quot;??_ ;_ @_ "/>
      <alignment horizontal="center" vertical="bottom" textRotation="0" wrapText="0" indent="0" justifyLastLine="0" shrinkToFit="0" readingOrder="0"/>
    </dxf>
    <dxf>
      <numFmt numFmtId="164" formatCode="_-* #,##0.00\ &quot;€&quot;_-;\-* #,##0.00\ &quot;€&quot;_-;_-* &quot;-&quot;??\ &quot;€&quot;_-;_-@_-"/>
    </dxf>
    <dxf>
      <alignment horizontal="center" vertical="bottom" textRotation="0" indent="0" justifyLastLine="0" shrinkToFit="0" readingOrder="0"/>
    </dxf>
    <dxf>
      <alignment horizontal="center" vertical="bottom" textRotation="0" wrapText="0" indent="0" justifyLastLine="0" shrinkToFit="0" readingOrder="0"/>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border diagonalUp="0" diagonalDown="0">
        <left style="medium">
          <color rgb="FF9BC2E6"/>
        </left>
        <right style="medium">
          <color rgb="FF9BC2E6"/>
        </right>
        <top style="medium">
          <color rgb="FF9BC2E6"/>
        </top>
        <bottom style="medium">
          <color rgb="FF9BC2E6"/>
        </bottom>
      </border>
    </dxf>
    <dxf>
      <fill>
        <patternFill patternType="none">
          <fgColor rgb="FF000000"/>
          <bgColor auto="1"/>
        </patternFill>
      </fill>
    </dxf>
    <dxf>
      <fill>
        <patternFill patternType="solid">
          <fgColor indexed="64"/>
          <bgColor theme="4" tint="0.39997558519241921"/>
        </patternFill>
      </fill>
    </dxf>
    <dxf>
      <numFmt numFmtId="168" formatCode="_-[$€-2]\ * #,##0.00_-;\-[$€-2]\ * #,##0.00_-;_-[$€-2]\ * &quot;-&quot;??_-;_-@"/>
    </dxf>
    <dxf>
      <font>
        <b val="0"/>
        <i val="0"/>
        <strike val="0"/>
        <condense val="0"/>
        <extend val="0"/>
        <outline val="0"/>
        <shadow val="0"/>
        <u val="none"/>
        <vertAlign val="baseline"/>
        <sz val="11"/>
        <color theme="1"/>
        <name val="Calibri"/>
        <family val="2"/>
        <scheme val="none"/>
      </font>
      <numFmt numFmtId="34" formatCode="_ &quot;€&quot;\ * #,##0.00_ ;_ &quot;€&quot;\ * \-#,##0.00_ ;_ &quot;€&quot;\ * &quot;-&quot;??_ ;_ @_ "/>
      <alignment horizontal="center" vertical="bottom" textRotation="0" wrapText="0" indent="0" justifyLastLine="0" shrinkToFit="0" readingOrder="0"/>
    </dxf>
    <dxf>
      <numFmt numFmtId="164" formatCode="_-* #,##0.00\ &quot;€&quot;_-;\-* #,##0.00\ &quot;€&quot;_-;_-* &quot;-&quot;??\ &quot;€&quot;_-;_-@_-"/>
    </dxf>
    <dxf>
      <alignment horizontal="center" vertical="bottom" textRotation="0" indent="0" justifyLastLine="0" shrinkToFit="0" readingOrder="0"/>
    </dxf>
    <dxf>
      <alignment horizontal="center" vertical="bottom" textRotation="0" wrapText="0" indent="0" justifyLastLine="0" shrinkToFit="0" readingOrder="0"/>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border diagonalUp="0" diagonalDown="0">
        <left style="medium">
          <color rgb="FF9BC2E6"/>
        </left>
        <right style="medium">
          <color rgb="FF9BC2E6"/>
        </right>
        <top style="medium">
          <color rgb="FF9BC2E6"/>
        </top>
        <bottom style="medium">
          <color rgb="FF9BC2E6"/>
        </bottom>
      </border>
    </dxf>
    <dxf>
      <fill>
        <patternFill patternType="none">
          <fgColor rgb="FF000000"/>
          <bgColor auto="1"/>
        </patternFill>
      </fill>
    </dxf>
    <dxf>
      <fill>
        <patternFill patternType="solid">
          <fgColor indexed="64"/>
          <bgColor theme="4" tint="0.39997558519241921"/>
        </patternFill>
      </fill>
    </dxf>
    <dxf>
      <numFmt numFmtId="168" formatCode="_-[$€-2]\ * #,##0.00_-;\-[$€-2]\ * #,##0.00_-;_-[$€-2]\ * &quot;-&quot;??_-;_-@"/>
    </dxf>
    <dxf>
      <font>
        <b val="0"/>
        <i val="0"/>
        <strike val="0"/>
        <condense val="0"/>
        <extend val="0"/>
        <outline val="0"/>
        <shadow val="0"/>
        <u val="none"/>
        <vertAlign val="baseline"/>
        <sz val="11"/>
        <color theme="1"/>
        <name val="Calibri"/>
        <family val="2"/>
        <scheme val="none"/>
      </font>
      <numFmt numFmtId="34" formatCode="_ &quot;€&quot;\ * #,##0.00_ ;_ &quot;€&quot;\ * \-#,##0.00_ ;_ &quot;€&quot;\ * &quot;-&quot;??_ ;_ @_ "/>
      <alignment horizontal="center" vertical="bottom" textRotation="0" wrapText="0" indent="0" justifyLastLine="0" shrinkToFit="0" readingOrder="0"/>
    </dxf>
    <dxf>
      <numFmt numFmtId="164" formatCode="_-* #,##0.00\ &quot;€&quot;_-;\-* #,##0.00\ &quot;€&quot;_-;_-* &quot;-&quot;??\ &quot;€&quot;_-;_-@_-"/>
    </dxf>
    <dxf>
      <alignment horizontal="center" vertical="bottom" textRotation="0" indent="0" justifyLastLine="0" shrinkToFit="0" readingOrder="0"/>
    </dxf>
    <dxf>
      <alignment horizontal="center" vertical="bottom" textRotation="0" wrapText="0" indent="0" justifyLastLine="0" shrinkToFit="0" readingOrder="0"/>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font>
        <strike val="0"/>
        <outline val="0"/>
        <shadow val="0"/>
        <u val="none"/>
        <vertAlign val="baseline"/>
        <sz val="11"/>
        <color auto="1"/>
      </font>
    </dxf>
    <dxf>
      <font>
        <b val="0"/>
        <i val="0"/>
        <strike val="0"/>
        <condense val="0"/>
        <extend val="0"/>
        <outline val="0"/>
        <shadow val="0"/>
        <u val="none"/>
        <vertAlign val="baseline"/>
        <sz val="11"/>
        <color auto="1"/>
        <name val="Arial"/>
        <family val="2"/>
        <scheme val="minor"/>
      </font>
      <border diagonalUp="0" diagonalDown="0" outline="0">
        <left/>
        <right/>
        <top/>
        <bottom/>
      </border>
    </dxf>
    <dxf>
      <font>
        <strike val="0"/>
        <outline val="0"/>
        <shadow val="0"/>
        <u val="none"/>
        <vertAlign val="baseline"/>
        <sz val="11"/>
        <color auto="1"/>
        <family val="2"/>
      </font>
      <numFmt numFmtId="0" formatCode="General"/>
    </dxf>
    <dxf>
      <font>
        <strike val="0"/>
        <outline val="0"/>
        <shadow val="0"/>
        <u val="none"/>
        <vertAlign val="baseline"/>
        <sz val="11"/>
        <color auto="1"/>
      </font>
    </dxf>
    <dxf>
      <font>
        <b val="0"/>
        <i val="0"/>
        <strike val="0"/>
        <condense val="0"/>
        <extend val="0"/>
        <outline val="0"/>
        <shadow val="0"/>
        <u val="none"/>
        <vertAlign val="baseline"/>
        <sz val="11"/>
        <color auto="1"/>
        <name val="Arial"/>
        <family val="2"/>
        <scheme val="minor"/>
      </font>
      <border diagonalUp="0" diagonalDown="0" outline="0">
        <left/>
        <right/>
        <top/>
        <bottom/>
      </border>
    </dxf>
    <dxf>
      <font>
        <strike val="0"/>
        <outline val="0"/>
        <shadow val="0"/>
        <u val="none"/>
        <vertAlign val="baseline"/>
        <sz val="11"/>
        <color auto="1"/>
      </font>
      <numFmt numFmtId="0" formatCode="General"/>
    </dxf>
    <dxf>
      <font>
        <b val="0"/>
        <i val="0"/>
        <strike val="0"/>
        <condense val="0"/>
        <extend val="0"/>
        <outline val="0"/>
        <shadow val="0"/>
        <u val="none"/>
        <vertAlign val="baseline"/>
        <sz val="11"/>
        <color auto="1"/>
        <name val="Arial"/>
        <family val="2"/>
        <scheme val="minor"/>
      </font>
      <border diagonalUp="0" diagonalDown="0" outline="0">
        <left/>
        <right/>
        <top/>
        <bottom/>
      </border>
    </dxf>
    <dxf>
      <font>
        <strike val="0"/>
        <outline val="0"/>
        <shadow val="0"/>
        <u val="none"/>
        <vertAlign val="baseline"/>
        <sz val="11"/>
        <color auto="1"/>
      </font>
    </dxf>
    <dxf>
      <font>
        <b val="0"/>
        <i val="0"/>
        <strike val="0"/>
        <condense val="0"/>
        <extend val="0"/>
        <outline val="0"/>
        <shadow val="0"/>
        <u val="none"/>
        <vertAlign val="baseline"/>
        <sz val="11"/>
        <color auto="1"/>
        <name val="Arial"/>
        <family val="2"/>
        <scheme val="minor"/>
      </font>
      <border diagonalUp="0" diagonalDown="0" outline="0">
        <left/>
        <right/>
        <top/>
        <bottom/>
      </border>
    </dxf>
    <dxf>
      <font>
        <b val="0"/>
        <i val="0"/>
        <strike val="0"/>
        <condense val="0"/>
        <extend val="0"/>
        <outline val="0"/>
        <shadow val="0"/>
        <u val="none"/>
        <vertAlign val="baseline"/>
        <sz val="11"/>
        <color auto="1"/>
        <name val="Arial"/>
        <family val="2"/>
        <scheme val="minor"/>
      </font>
      <numFmt numFmtId="0" formatCode="General"/>
    </dxf>
    <dxf>
      <font>
        <b val="0"/>
        <i val="0"/>
        <strike val="0"/>
        <condense val="0"/>
        <extend val="0"/>
        <outline val="0"/>
        <shadow val="0"/>
        <u val="none"/>
        <vertAlign val="baseline"/>
        <sz val="11"/>
        <color auto="1"/>
        <name val="Arial"/>
        <family val="2"/>
        <scheme val="minor"/>
      </font>
      <border diagonalUp="0" diagonalDown="0" outline="0">
        <left/>
        <right/>
        <top/>
        <bottom/>
      </border>
    </dxf>
    <dxf>
      <font>
        <b val="0"/>
        <i val="0"/>
        <strike val="0"/>
        <condense val="0"/>
        <extend val="0"/>
        <outline val="0"/>
        <shadow val="0"/>
        <u val="none"/>
        <vertAlign val="baseline"/>
        <sz val="11"/>
        <color auto="1"/>
        <name val="Arial"/>
        <family val="2"/>
        <scheme val="minor"/>
      </font>
      <numFmt numFmtId="0" formatCode="General"/>
    </dxf>
    <dxf>
      <font>
        <b val="0"/>
        <i val="0"/>
        <strike val="0"/>
        <condense val="0"/>
        <extend val="0"/>
        <outline val="0"/>
        <shadow val="0"/>
        <u val="none"/>
        <vertAlign val="baseline"/>
        <sz val="11"/>
        <color auto="1"/>
        <name val="Arial"/>
        <family val="2"/>
        <scheme val="minor"/>
      </font>
      <border diagonalUp="0" diagonalDown="0" outline="0">
        <left/>
        <right/>
        <top/>
        <bottom/>
      </border>
    </dxf>
    <dxf>
      <font>
        <b val="0"/>
        <i val="0"/>
        <strike val="0"/>
        <condense val="0"/>
        <extend val="0"/>
        <outline val="0"/>
        <shadow val="0"/>
        <u val="none"/>
        <vertAlign val="baseline"/>
        <sz val="11"/>
        <color auto="1"/>
        <name val="Arial"/>
        <family val="2"/>
        <scheme val="minor"/>
      </font>
      <numFmt numFmtId="0" formatCode="General"/>
    </dxf>
    <dxf>
      <font>
        <b val="0"/>
        <i val="0"/>
        <strike val="0"/>
        <condense val="0"/>
        <extend val="0"/>
        <outline val="0"/>
        <shadow val="0"/>
        <u val="none"/>
        <vertAlign val="baseline"/>
        <sz val="11"/>
        <color auto="1"/>
        <name val="Arial"/>
        <family val="2"/>
        <scheme val="minor"/>
      </font>
      <border diagonalUp="0" diagonalDown="0" outline="0">
        <left/>
        <right/>
        <top/>
        <bottom/>
      </border>
    </dxf>
    <dxf>
      <font>
        <b val="0"/>
        <i val="0"/>
        <strike val="0"/>
        <condense val="0"/>
        <extend val="0"/>
        <outline val="0"/>
        <shadow val="0"/>
        <u val="none"/>
        <vertAlign val="baseline"/>
        <sz val="11"/>
        <color auto="1"/>
        <name val="Arial"/>
        <family val="2"/>
        <scheme val="minor"/>
      </font>
      <numFmt numFmtId="0" formatCode="General"/>
    </dxf>
    <dxf>
      <font>
        <b val="0"/>
        <i val="0"/>
        <strike val="0"/>
        <condense val="0"/>
        <extend val="0"/>
        <outline val="0"/>
        <shadow val="0"/>
        <u val="none"/>
        <vertAlign val="baseline"/>
        <sz val="11"/>
        <color auto="1"/>
        <name val="Arial"/>
        <family val="2"/>
        <scheme val="minor"/>
      </font>
      <border diagonalUp="0" diagonalDown="0" outline="0">
        <left/>
        <right/>
        <top/>
        <bottom/>
      </border>
    </dxf>
    <dxf>
      <font>
        <b val="0"/>
        <i val="0"/>
        <strike val="0"/>
        <condense val="0"/>
        <extend val="0"/>
        <outline val="0"/>
        <shadow val="0"/>
        <u val="none"/>
        <vertAlign val="baseline"/>
        <sz val="11"/>
        <color auto="1"/>
        <name val="Arial"/>
        <family val="2"/>
        <scheme val="minor"/>
      </font>
      <numFmt numFmtId="0" formatCode="General"/>
    </dxf>
    <dxf>
      <font>
        <b val="0"/>
        <i val="0"/>
        <strike val="0"/>
        <condense val="0"/>
        <extend val="0"/>
        <outline val="0"/>
        <shadow val="0"/>
        <u val="none"/>
        <vertAlign val="baseline"/>
        <sz val="11"/>
        <color auto="1"/>
        <name val="Arial"/>
        <family val="2"/>
        <scheme val="minor"/>
      </font>
      <border diagonalUp="0" diagonalDown="0" outline="0">
        <left/>
        <right/>
        <top/>
        <bottom/>
      </border>
    </dxf>
    <dxf>
      <font>
        <b val="0"/>
        <i val="0"/>
        <strike val="0"/>
        <condense val="0"/>
        <extend val="0"/>
        <outline val="0"/>
        <shadow val="0"/>
        <u val="none"/>
        <vertAlign val="baseline"/>
        <sz val="11"/>
        <color auto="1"/>
        <name val="Arial"/>
        <family val="2"/>
        <scheme val="minor"/>
      </font>
      <numFmt numFmtId="0" formatCode="General"/>
    </dxf>
    <dxf>
      <font>
        <b val="0"/>
        <i val="0"/>
        <strike val="0"/>
        <condense val="0"/>
        <extend val="0"/>
        <outline val="0"/>
        <shadow val="0"/>
        <u val="none"/>
        <vertAlign val="baseline"/>
        <sz val="11"/>
        <color auto="1"/>
        <name val="Arial"/>
        <family val="2"/>
        <scheme val="minor"/>
      </font>
      <border diagonalUp="0" diagonalDown="0" outline="0">
        <left/>
        <right/>
        <top/>
        <bottom/>
      </border>
    </dxf>
    <dxf>
      <font>
        <b val="0"/>
        <i val="0"/>
        <strike val="0"/>
        <condense val="0"/>
        <extend val="0"/>
        <outline val="0"/>
        <shadow val="0"/>
        <u val="none"/>
        <vertAlign val="baseline"/>
        <sz val="11"/>
        <color auto="1"/>
        <name val="Arial"/>
        <family val="2"/>
        <scheme val="minor"/>
      </font>
      <numFmt numFmtId="0" formatCode="General"/>
    </dxf>
    <dxf>
      <font>
        <b val="0"/>
        <i val="0"/>
        <strike val="0"/>
        <condense val="0"/>
        <extend val="0"/>
        <outline val="0"/>
        <shadow val="0"/>
        <u val="none"/>
        <vertAlign val="baseline"/>
        <sz val="11"/>
        <color auto="1"/>
        <name val="Arial"/>
        <family val="2"/>
        <scheme val="minor"/>
      </font>
      <border diagonalUp="0" diagonalDown="0" outline="0">
        <left/>
        <right/>
        <top/>
        <bottom/>
      </border>
    </dxf>
    <dxf>
      <font>
        <b val="0"/>
        <i val="0"/>
        <strike val="0"/>
        <condense val="0"/>
        <extend val="0"/>
        <outline val="0"/>
        <shadow val="0"/>
        <u val="none"/>
        <vertAlign val="baseline"/>
        <sz val="11"/>
        <color auto="1"/>
        <name val="Arial"/>
        <family val="2"/>
        <scheme val="minor"/>
      </font>
      <numFmt numFmtId="0" formatCode="General"/>
    </dxf>
    <dxf>
      <font>
        <b val="0"/>
        <i val="0"/>
        <strike val="0"/>
        <condense val="0"/>
        <extend val="0"/>
        <outline val="0"/>
        <shadow val="0"/>
        <u val="none"/>
        <vertAlign val="baseline"/>
        <sz val="11"/>
        <color auto="1"/>
        <name val="Arial"/>
        <family val="2"/>
        <scheme val="minor"/>
      </font>
      <border diagonalUp="0" diagonalDown="0" outline="0">
        <left/>
        <right/>
        <top/>
        <bottom/>
      </border>
    </dxf>
    <dxf>
      <font>
        <b val="0"/>
        <i val="0"/>
        <strike val="0"/>
        <condense val="0"/>
        <extend val="0"/>
        <outline val="0"/>
        <shadow val="0"/>
        <u val="none"/>
        <vertAlign val="baseline"/>
        <sz val="11"/>
        <color auto="1"/>
        <name val="Arial"/>
        <family val="2"/>
        <scheme val="minor"/>
      </font>
      <numFmt numFmtId="0" formatCode="General"/>
    </dxf>
    <dxf>
      <font>
        <b val="0"/>
        <i val="0"/>
        <strike val="0"/>
        <condense val="0"/>
        <extend val="0"/>
        <outline val="0"/>
        <shadow val="0"/>
        <u val="none"/>
        <vertAlign val="baseline"/>
        <sz val="11"/>
        <color auto="1"/>
        <name val="Arial"/>
        <family val="2"/>
        <scheme val="minor"/>
      </font>
      <border diagonalUp="0" diagonalDown="0" outline="0">
        <left/>
        <right/>
        <top/>
        <bottom/>
      </border>
    </dxf>
    <dxf>
      <font>
        <b val="0"/>
        <i val="0"/>
        <strike val="0"/>
        <condense val="0"/>
        <extend val="0"/>
        <outline val="0"/>
        <shadow val="0"/>
        <u val="none"/>
        <vertAlign val="baseline"/>
        <sz val="11"/>
        <color auto="1"/>
        <name val="Arial"/>
        <family val="2"/>
        <scheme val="minor"/>
      </font>
      <numFmt numFmtId="0" formatCode="General"/>
    </dxf>
    <dxf>
      <font>
        <b val="0"/>
        <i val="0"/>
        <strike val="0"/>
        <condense val="0"/>
        <extend val="0"/>
        <outline val="0"/>
        <shadow val="0"/>
        <u val="none"/>
        <vertAlign val="baseline"/>
        <sz val="11"/>
        <color auto="1"/>
        <name val="Arial"/>
        <family val="2"/>
        <scheme val="minor"/>
      </font>
      <border diagonalUp="0" diagonalDown="0" outline="0">
        <left/>
        <right/>
        <top/>
        <bottom/>
      </border>
    </dxf>
    <dxf>
      <font>
        <b val="0"/>
        <i val="0"/>
        <strike val="0"/>
        <condense val="0"/>
        <extend val="0"/>
        <outline val="0"/>
        <shadow val="0"/>
        <u val="none"/>
        <vertAlign val="baseline"/>
        <sz val="11"/>
        <color auto="1"/>
        <name val="Arial"/>
        <family val="2"/>
        <scheme val="minor"/>
      </font>
      <numFmt numFmtId="0" formatCode="General"/>
    </dxf>
    <dxf>
      <font>
        <b val="0"/>
        <i val="0"/>
        <strike val="0"/>
        <condense val="0"/>
        <extend val="0"/>
        <outline val="0"/>
        <shadow val="0"/>
        <u val="none"/>
        <vertAlign val="baseline"/>
        <sz val="11"/>
        <color auto="1"/>
        <name val="Arial"/>
        <family val="2"/>
        <scheme val="minor"/>
      </font>
      <border diagonalUp="0" diagonalDown="0" outline="0">
        <left/>
        <right/>
        <top/>
        <bottom/>
      </border>
    </dxf>
    <dxf>
      <font>
        <strike val="0"/>
        <outline val="0"/>
        <shadow val="0"/>
        <u val="none"/>
        <vertAlign val="baseline"/>
        <sz val="11"/>
        <color auto="1"/>
      </font>
    </dxf>
    <dxf>
      <font>
        <b val="0"/>
        <i val="0"/>
        <strike val="0"/>
        <condense val="0"/>
        <extend val="0"/>
        <outline val="0"/>
        <shadow val="0"/>
        <u val="none"/>
        <vertAlign val="baseline"/>
        <sz val="11"/>
        <color auto="1"/>
        <name val="Arial"/>
        <family val="2"/>
        <scheme val="minor"/>
      </font>
      <border diagonalUp="0" diagonalDown="0" outline="0">
        <left/>
        <right/>
        <top/>
        <bottom/>
      </border>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alignment horizontal="center"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alignment horizontal="center"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Calibri"/>
        <family val="2"/>
        <scheme val="none"/>
      </font>
      <fill>
        <patternFill patternType="solid">
          <fgColor rgb="FFD8D8D8"/>
          <bgColor rgb="FFD8D8D8"/>
        </patternFill>
      </fill>
      <border diagonalUp="0" diagonalDown="0" outline="0">
        <left/>
        <right/>
        <top style="thin">
          <color rgb="FFBFBFBF"/>
        </top>
        <bottom style="thin">
          <color rgb="FFBFBFBF"/>
        </bottom>
      </border>
    </dxf>
    <dxf>
      <font>
        <b val="0"/>
        <i val="0"/>
        <strike val="0"/>
        <condense val="0"/>
        <extend val="0"/>
        <outline val="0"/>
        <shadow val="0"/>
        <u val="none"/>
        <vertAlign val="baseline"/>
        <sz val="11"/>
        <color theme="1"/>
        <name val="Calibri"/>
        <family val="2"/>
        <scheme val="none"/>
      </font>
      <fill>
        <patternFill patternType="solid">
          <fgColor rgb="FFD8D8D8"/>
          <bgColor rgb="FFD8D8D8"/>
        </patternFill>
      </fill>
      <border diagonalUp="0" diagonalDown="0" outline="0">
        <left/>
        <right/>
        <top style="thin">
          <color rgb="FFBFBFBF"/>
        </top>
        <bottom/>
      </border>
    </dxf>
    <dxf>
      <font>
        <b val="0"/>
        <i val="0"/>
        <strike val="0"/>
        <condense val="0"/>
        <extend val="0"/>
        <outline val="0"/>
        <shadow val="0"/>
        <u val="none"/>
        <vertAlign val="baseline"/>
        <sz val="11"/>
        <color theme="1"/>
        <name val="Calibri"/>
        <family val="2"/>
        <scheme val="none"/>
      </font>
      <fill>
        <patternFill patternType="solid">
          <fgColor rgb="FFE5E5E5"/>
          <bgColor rgb="FFE5E5E5"/>
        </patternFill>
      </fill>
      <alignment horizontal="general" vertical="bottom" textRotation="0" wrapText="1" indent="0" justifyLastLine="0" shrinkToFit="0" readingOrder="0"/>
    </dxf>
    <dxf>
      <fill>
        <patternFill patternType="solid">
          <fgColor rgb="FF8EAADB"/>
          <bgColor rgb="FF8EAADB"/>
        </patternFill>
      </fill>
    </dxf>
    <dxf>
      <fill>
        <patternFill patternType="solid">
          <fgColor rgb="FF8EAADB"/>
          <bgColor rgb="FF8EAADB"/>
        </patternFill>
      </fill>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border diagonalUp="0" diagonalDown="0">
        <left style="medium">
          <color theme="4" tint="0.39997558519241921"/>
        </left>
        <right style="medium">
          <color theme="4" tint="0.39997558519241921"/>
        </right>
        <top style="medium">
          <color theme="4" tint="0.39997558519241921"/>
        </top>
        <bottom style="medium">
          <color theme="4" tint="0.39997558519241921"/>
        </bottom>
      </border>
    </dxf>
    <dxf>
      <fill>
        <patternFill patternType="none">
          <fgColor indexed="64"/>
          <bgColor auto="1"/>
        </patternFill>
      </fill>
    </dxf>
    <dxf>
      <fill>
        <patternFill patternType="solid">
          <fgColor indexed="64"/>
          <bgColor theme="4" tint="0.39997558519241921"/>
        </patternFill>
      </fill>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font>
        <b val="0"/>
        <i val="0"/>
        <strike val="0"/>
        <condense val="0"/>
        <extend val="0"/>
        <outline val="0"/>
        <shadow val="0"/>
        <u val="none"/>
        <vertAlign val="baseline"/>
        <sz val="11"/>
        <color theme="1"/>
        <name val="Calibri"/>
        <family val="2"/>
        <scheme val="none"/>
      </font>
      <numFmt numFmtId="34" formatCode="_ &quot;€&quot;\ * #,##0.00_ ;_ &quot;€&quot;\ * \-#,##0.00_ ;_ &quot;€&quot;\ * &quot;-&quot;??_ ;_ @_ "/>
      <alignment horizontal="center" vertical="bottom" textRotation="0" wrapText="0" indent="0" justifyLastLine="0" shrinkToFit="0" readingOrder="0"/>
    </dxf>
    <dxf>
      <numFmt numFmtId="164" formatCode="_-* #,##0.00\ &quot;€&quot;_-;\-* #,##0.00\ &quot;€&quot;_-;_-* &quot;-&quot;??\ &quot;€&quot;_-;_-@_-"/>
    </dxf>
    <dxf>
      <numFmt numFmtId="2" formatCode="0.00"/>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alignment horizontal="center" vertical="bottom" textRotation="0" indent="0" justifyLastLine="0" shrinkToFit="0" readingOrder="0"/>
    </dxf>
    <dxf>
      <alignment horizontal="center" vertical="bottom" textRotation="0" wrapText="0" indent="0" justifyLastLine="0" shrinkToFit="0" readingOrder="0"/>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border diagonalUp="0" diagonalDown="0">
        <left style="medium">
          <color rgb="FF9BC2E6"/>
        </left>
        <right style="medium">
          <color rgb="FF9BC2E6"/>
        </right>
        <top style="medium">
          <color rgb="FF9BC2E6"/>
        </top>
        <bottom style="medium">
          <color rgb="FF9BC2E6"/>
        </bottom>
      </border>
    </dxf>
    <dxf>
      <fill>
        <patternFill patternType="none">
          <fgColor rgb="FF000000"/>
          <bgColor auto="1"/>
        </patternFill>
      </fill>
    </dxf>
    <dxf>
      <fill>
        <patternFill patternType="solid">
          <fgColor indexed="64"/>
          <bgColor theme="4" tint="0.39997558519241921"/>
        </patternFill>
      </fill>
    </dxf>
    <dxf>
      <numFmt numFmtId="168" formatCode="_-[$€-2]\ * #,##0.00_-;\-[$€-2]\ * #,##0.00_-;_-[$€-2]\ * &quot;-&quot;??_-;_-@"/>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font>
        <b val="0"/>
        <i val="0"/>
        <strike val="0"/>
        <condense val="0"/>
        <extend val="0"/>
        <outline val="0"/>
        <shadow val="0"/>
        <u val="none"/>
        <vertAlign val="baseline"/>
        <sz val="11"/>
        <color theme="1"/>
        <name val="Calibri"/>
        <family val="2"/>
        <scheme val="none"/>
      </font>
      <numFmt numFmtId="34" formatCode="_ &quot;€&quot;\ * #,##0.00_ ;_ &quot;€&quot;\ * \-#,##0.00_ ;_ &quot;€&quot;\ * &quot;-&quot;??_ ;_ @_ "/>
      <alignment horizontal="center" vertical="bottom" textRotation="0" wrapText="0" indent="0" justifyLastLine="0" shrinkToFit="0" readingOrder="0"/>
    </dxf>
    <dxf>
      <numFmt numFmtId="164" formatCode="_-* #,##0.00\ &quot;€&quot;_-;\-* #,##0.00\ &quot;€&quot;_-;_-* &quot;-&quot;??\ &quot;€&quot;_-;_-@_-"/>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numFmt numFmtId="0" formatCode="General"/>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alignment horizontal="center" vertical="bottom" textRotation="0" indent="0" justifyLastLine="0" shrinkToFit="0" readingOrder="0"/>
    </dxf>
    <dxf>
      <alignment horizontal="center" vertical="bottom" textRotation="0" wrapText="0" indent="0" justifyLastLine="0" shrinkToFit="0" readingOrder="0"/>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border diagonalUp="0" diagonalDown="0">
        <left style="medium">
          <color theme="4" tint="0.39997558519241921"/>
        </left>
        <right style="medium">
          <color theme="4" tint="0.39997558519241921"/>
        </right>
        <top style="medium">
          <color theme="4" tint="0.39997558519241921"/>
        </top>
        <bottom style="medium">
          <color theme="4" tint="0.39997558519241921"/>
        </bottom>
      </border>
    </dxf>
    <dxf>
      <fill>
        <patternFill patternType="none">
          <fgColor indexed="64"/>
          <bgColor auto="1"/>
        </patternFill>
      </fill>
    </dxf>
    <dxf>
      <fill>
        <patternFill patternType="solid">
          <fgColor indexed="64"/>
          <bgColor theme="4" tint="0.39997558519241921"/>
        </patternFill>
      </fill>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font>
        <b val="0"/>
        <i val="0"/>
        <strike val="0"/>
        <condense val="0"/>
        <extend val="0"/>
        <outline val="0"/>
        <shadow val="0"/>
        <u val="none"/>
        <vertAlign val="baseline"/>
        <sz val="11"/>
        <color theme="1"/>
        <name val="Calibri"/>
        <family val="2"/>
        <scheme val="none"/>
      </font>
      <numFmt numFmtId="34" formatCode="_ &quot;€&quot;\ * #,##0.00_ ;_ &quot;€&quot;\ * \-#,##0.00_ ;_ &quot;€&quot;\ * &quot;-&quot;??_ ;_ @_ "/>
      <alignment horizontal="center" vertical="bottom" textRotation="0" wrapText="0" indent="0" justifyLastLine="0" shrinkToFit="0" readingOrder="0"/>
    </dxf>
    <dxf>
      <numFmt numFmtId="164" formatCode="_-* #,##0.00\ &quot;€&quot;_-;\-* #,##0.00\ &quot;€&quot;_-;_-* &quot;-&quot;??\ &quot;€&quot;_-;_-@_-"/>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dxf>
    <dxf>
      <font>
        <b val="0"/>
        <i val="0"/>
        <strike val="0"/>
        <condense val="0"/>
        <extend val="0"/>
        <outline val="0"/>
        <shadow val="0"/>
        <u val="none"/>
        <vertAlign val="baseline"/>
        <sz val="11"/>
        <color theme="1"/>
        <name val="Calibri"/>
        <family val="2"/>
        <scheme val="none"/>
      </font>
      <numFmt numFmtId="177" formatCode="0.0"/>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none"/>
      </font>
      <numFmt numFmtId="1" formatCode="0"/>
      <alignment horizontal="center" vertical="bottom" textRotation="0" wrapText="0" indent="0" justifyLastLine="0" shrinkToFit="0" readingOrder="0"/>
    </dxf>
    <dxf>
      <font>
        <color rgb="FF000000"/>
        <name val="Calibri"/>
        <family val="2"/>
        <scheme val="none"/>
      </font>
      <alignment horizontal="general" vertical="bottom" textRotation="0" wrapText="1" indent="0" justifyLastLine="0" shrinkToFit="0" readingOrder="0"/>
    </dxf>
    <dxf>
      <font>
        <b val="0"/>
        <i val="0"/>
        <strike val="0"/>
        <condense val="0"/>
        <extend val="0"/>
        <outline val="0"/>
        <shadow val="0"/>
        <u val="none"/>
        <vertAlign val="baseline"/>
        <sz val="11"/>
        <color rgb="FF000000"/>
        <name val="Calibri"/>
        <family val="2"/>
        <scheme val="none"/>
      </font>
      <alignment horizontal="general" vertical="bottom" textRotation="0" wrapText="1" indent="0" justifyLastLine="0" shrinkToFit="0" readingOrder="0"/>
    </dxf>
    <dxf>
      <font>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1"/>
        <color rgb="FF000000"/>
        <name val="Calibri"/>
        <family val="2"/>
        <scheme val="none"/>
      </font>
      <alignment horizontal="left" vertical="bottom" textRotation="0" wrapText="1" indent="0" justifyLastLine="0" shrinkToFit="0" readingOrder="0"/>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border diagonalUp="0" diagonalDown="0">
        <left style="medium">
          <color rgb="FF9BC2E6"/>
        </left>
        <right style="medium">
          <color rgb="FF9BC2E6"/>
        </right>
        <top style="medium">
          <color rgb="FF9BC2E6"/>
        </top>
        <bottom style="medium">
          <color rgb="FF9BC2E6"/>
        </bottom>
      </border>
    </dxf>
    <dxf>
      <fill>
        <patternFill patternType="none">
          <fgColor rgb="FF000000"/>
          <bgColor auto="1"/>
        </patternFill>
      </fill>
    </dxf>
    <dxf>
      <fill>
        <patternFill patternType="solid">
          <fgColor indexed="64"/>
          <bgColor theme="4" tint="0.39997558519241921"/>
        </patternFill>
      </fill>
    </dxf>
    <dxf>
      <numFmt numFmtId="168" formatCode="_-[$€-2]\ * #,##0.00_-;\-[$€-2]\ * #,##0.00_-;_-[$€-2]\ * &quot;-&quot;??_-;_-@"/>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font>
        <b val="0"/>
        <i val="0"/>
        <strike val="0"/>
        <condense val="0"/>
        <extend val="0"/>
        <outline val="0"/>
        <shadow val="0"/>
        <u val="none"/>
        <vertAlign val="baseline"/>
        <sz val="11"/>
        <color theme="1"/>
        <name val="Calibri"/>
        <family val="2"/>
        <scheme val="none"/>
      </font>
      <numFmt numFmtId="34" formatCode="_ &quot;€&quot;\ * #,##0.00_ ;_ &quot;€&quot;\ * \-#,##0.00_ ;_ &quot;€&quot;\ * &quot;-&quot;??_ ;_ @_ "/>
      <alignment horizontal="center" vertical="bottom" textRotation="0" wrapText="0" indent="0" justifyLastLine="0" shrinkToFit="0" readingOrder="0"/>
    </dxf>
    <dxf>
      <numFmt numFmtId="164" formatCode="_-* #,##0.00\ &quot;€&quot;_-;\-* #,##0.00\ &quot;€&quot;_-;_-* &quot;-&quot;??\ &quot;€&quot;_-;_-@_-"/>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alignment horizontal="center" vertical="bottom" textRotation="0" indent="0" justifyLastLine="0" shrinkToFit="0" readingOrder="0"/>
    </dxf>
    <dxf>
      <alignment horizontal="center" vertical="bottom" textRotation="0" wrapText="0" indent="0" justifyLastLine="0" shrinkToFit="0" readingOrder="0"/>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border diagonalUp="0" diagonalDown="0">
        <left style="medium">
          <color theme="4" tint="0.39997558519241921"/>
        </left>
        <right style="medium">
          <color theme="4" tint="0.39997558519241921"/>
        </right>
        <top style="medium">
          <color theme="4" tint="0.39997558519241921"/>
        </top>
        <bottom style="medium">
          <color theme="4" tint="0.39997558519241921"/>
        </bottom>
      </border>
    </dxf>
    <dxf>
      <fill>
        <patternFill patternType="none">
          <fgColor indexed="64"/>
          <bgColor auto="1"/>
        </patternFill>
      </fill>
    </dxf>
    <dxf>
      <fill>
        <patternFill patternType="solid">
          <fgColor indexed="64"/>
          <bgColor theme="4" tint="0.39997558519241921"/>
        </patternFill>
      </fill>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font>
        <b val="0"/>
        <i val="0"/>
        <strike val="0"/>
        <condense val="0"/>
        <extend val="0"/>
        <outline val="0"/>
        <shadow val="0"/>
        <u val="none"/>
        <vertAlign val="baseline"/>
        <sz val="11"/>
        <color theme="1"/>
        <name val="Calibri"/>
        <family val="2"/>
        <scheme val="none"/>
      </font>
      <numFmt numFmtId="34" formatCode="_ &quot;€&quot;\ * #,##0.00_ ;_ &quot;€&quot;\ * \-#,##0.00_ ;_ &quot;€&quot;\ * &quot;-&quot;??_ ;_ @_ "/>
      <alignment horizontal="center" vertical="bottom" textRotation="0" wrapText="0" indent="0" justifyLastLine="0" shrinkToFit="0" readingOrder="0"/>
    </dxf>
    <dxf>
      <numFmt numFmtId="164" formatCode="_-* #,##0.00\ &quot;€&quot;_-;\-* #,##0.00\ &quot;€&quot;_-;_-* &quot;-&quot;??\ &quot;€&quot;_-;_-@_-"/>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alignment horizontal="center" vertical="bottom" textRotation="0" indent="0" justifyLastLine="0" shrinkToFit="0" readingOrder="0"/>
    </dxf>
    <dxf>
      <alignment horizontal="center" vertical="bottom" textRotation="0" wrapText="0" indent="0" justifyLastLine="0" shrinkToFit="0" readingOrder="0"/>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border diagonalUp="0" diagonalDown="0">
        <left style="medium">
          <color theme="4" tint="0.39997558519241921"/>
        </left>
        <right style="medium">
          <color theme="4" tint="0.39997558519241921"/>
        </right>
        <top style="medium">
          <color theme="4" tint="0.39997558519241921"/>
        </top>
        <bottom style="medium">
          <color theme="4" tint="0.39997558519241921"/>
        </bottom>
      </border>
    </dxf>
    <dxf>
      <fill>
        <patternFill patternType="none">
          <fgColor indexed="64"/>
          <bgColor auto="1"/>
        </patternFill>
      </fill>
    </dxf>
    <dxf>
      <fill>
        <patternFill patternType="solid">
          <fgColor indexed="64"/>
          <bgColor theme="4" tint="0.39997558519241921"/>
        </patternFill>
      </fill>
    </dxf>
    <dxf>
      <numFmt numFmtId="168" formatCode="_-[$€-2]\ * #,##0.00_-;\-[$€-2]\ * #,##0.00_-;_-[$€-2]\ * &quot;-&quot;??_-;_-@"/>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font>
        <b val="0"/>
        <i val="0"/>
        <strike val="0"/>
        <condense val="0"/>
        <extend val="0"/>
        <outline val="0"/>
        <shadow val="0"/>
        <u val="none"/>
        <vertAlign val="baseline"/>
        <sz val="11"/>
        <color theme="1"/>
        <name val="Calibri"/>
        <family val="2"/>
        <scheme val="none"/>
      </font>
      <numFmt numFmtId="34" formatCode="_ &quot;€&quot;\ * #,##0.00_ ;_ &quot;€&quot;\ * \-#,##0.00_ ;_ &quot;€&quot;\ * &quot;-&quot;??_ ;_ @_ "/>
      <alignment horizontal="center" vertical="bottom" textRotation="0" wrapText="0" indent="0" justifyLastLine="0" shrinkToFit="0" readingOrder="0"/>
    </dxf>
    <dxf>
      <numFmt numFmtId="164" formatCode="_-* #,##0.00\ &quot;€&quot;_-;\-* #,##0.00\ &quot;€&quot;_-;_-* &quot;-&quot;??\ &quot;€&quot;_-;_-@_-"/>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numFmt numFmtId="0" formatCode="General"/>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alignment horizontal="center" vertical="bottom" textRotation="0" indent="0" justifyLastLine="0" shrinkToFit="0" readingOrder="0"/>
    </dxf>
    <dxf>
      <alignment horizontal="center" vertical="bottom" textRotation="0" wrapText="0" indent="0" justifyLastLine="0" shrinkToFit="0" readingOrder="0"/>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border diagonalUp="0" diagonalDown="0">
        <left style="medium">
          <color rgb="FF9BC2E6"/>
        </left>
        <right style="medium">
          <color rgb="FF9BC2E6"/>
        </right>
        <top style="medium">
          <color rgb="FF9BC2E6"/>
        </top>
        <bottom style="medium">
          <color rgb="FF9BC2E6"/>
        </bottom>
      </border>
    </dxf>
    <dxf>
      <fill>
        <patternFill patternType="none">
          <fgColor rgb="FF000000"/>
          <bgColor auto="1"/>
        </patternFill>
      </fill>
    </dxf>
    <dxf>
      <fill>
        <patternFill patternType="solid">
          <fgColor indexed="64"/>
          <bgColor theme="4" tint="0.39997558519241921"/>
        </patternFill>
      </fill>
    </dxf>
    <dxf>
      <numFmt numFmtId="168" formatCode="_-[$€-2]\ * #,##0.00_-;\-[$€-2]\ * #,##0.00_-;_-[$€-2]\ * &quot;-&quot;??_-;_-@"/>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font>
        <b val="0"/>
        <i val="0"/>
        <strike val="0"/>
        <condense val="0"/>
        <extend val="0"/>
        <outline val="0"/>
        <shadow val="0"/>
        <u val="none"/>
        <vertAlign val="baseline"/>
        <sz val="11"/>
        <color theme="1"/>
        <name val="Calibri"/>
        <family val="2"/>
        <scheme val="none"/>
      </font>
      <numFmt numFmtId="34" formatCode="_ &quot;€&quot;\ * #,##0.00_ ;_ &quot;€&quot;\ * \-#,##0.00_ ;_ &quot;€&quot;\ * &quot;-&quot;??_ ;_ @_ "/>
      <alignment horizontal="center" vertical="bottom" textRotation="0" wrapText="0" indent="0" justifyLastLine="0" shrinkToFit="0" readingOrder="0"/>
    </dxf>
    <dxf>
      <numFmt numFmtId="164" formatCode="_-* #,##0.00\ &quot;€&quot;_-;\-* #,##0.00\ &quot;€&quot;_-;_-* &quot;-&quot;??\ &quot;€&quot;_-;_-@_-"/>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numFmt numFmtId="168" formatCode="_-[$€-2]\ * #,##0.00_-;\-[$€-2]\ * #,##0.00_-;_-[$€-2]\ * &quot;-&quot;??_-;_-@"/>
    </dxf>
    <dxf>
      <numFmt numFmtId="177" formatCode="0.0"/>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alignment horizontal="center" vertical="bottom" textRotation="0" indent="0" justifyLastLine="0" shrinkToFit="0" readingOrder="0"/>
    </dxf>
    <dxf>
      <alignment horizontal="center" vertical="bottom" textRotation="0" wrapText="0" indent="0" justifyLastLine="0" shrinkToFit="0" readingOrder="0"/>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border diagonalUp="0" diagonalDown="0">
        <left style="medium">
          <color rgb="FF9BC2E6"/>
        </left>
        <right style="medium">
          <color rgb="FF9BC2E6"/>
        </right>
        <top style="medium">
          <color rgb="FF9BC2E6"/>
        </top>
        <bottom style="medium">
          <color rgb="FF9BC2E6"/>
        </bottom>
      </border>
    </dxf>
    <dxf>
      <fill>
        <patternFill patternType="none">
          <fgColor rgb="FF000000"/>
          <bgColor auto="1"/>
        </patternFill>
      </fill>
    </dxf>
    <dxf>
      <fill>
        <patternFill patternType="solid">
          <fgColor indexed="64"/>
          <bgColor theme="4" tint="0.39997558519241921"/>
        </patternFill>
      </fill>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font>
        <b val="0"/>
        <i val="0"/>
        <strike val="0"/>
        <condense val="0"/>
        <extend val="0"/>
        <outline val="0"/>
        <shadow val="0"/>
        <u val="none"/>
        <vertAlign val="baseline"/>
        <sz val="11"/>
        <color theme="1"/>
        <name val="Calibri"/>
        <family val="2"/>
        <scheme val="none"/>
      </font>
      <numFmt numFmtId="34" formatCode="_ &quot;€&quot;\ * #,##0.00_ ;_ &quot;€&quot;\ * \-#,##0.00_ ;_ &quot;€&quot;\ * &quot;-&quot;??_ ;_ @_ "/>
      <alignment horizontal="center" vertical="bottom" textRotation="0" wrapText="0" indent="0" justifyLastLine="0" shrinkToFit="0" readingOrder="0"/>
    </dxf>
    <dxf>
      <numFmt numFmtId="164" formatCode="_-* #,##0.00\ &quot;€&quot;_-;\-* #,##0.00\ &quot;€&quot;_-;_-* &quot;-&quot;??\ &quot;€&quot;_-;_-@_-"/>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numFmt numFmtId="0" formatCode="General"/>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alignment horizontal="center" vertical="bottom" textRotation="0" indent="0" justifyLastLine="0" shrinkToFit="0" readingOrder="0"/>
    </dxf>
    <dxf>
      <alignment horizontal="center" vertical="bottom" textRotation="0" wrapText="0" indent="0" justifyLastLine="0" shrinkToFit="0" readingOrder="0"/>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border diagonalUp="0" diagonalDown="0">
        <left style="medium">
          <color theme="4" tint="0.39997558519241921"/>
        </left>
        <right style="medium">
          <color theme="4" tint="0.39997558519241921"/>
        </right>
        <top style="medium">
          <color theme="4" tint="0.39997558519241921"/>
        </top>
        <bottom style="medium">
          <color theme="4" tint="0.39997558519241921"/>
        </bottom>
      </border>
    </dxf>
    <dxf>
      <fill>
        <patternFill patternType="none">
          <fgColor indexed="64"/>
          <bgColor auto="1"/>
        </patternFill>
      </fill>
    </dxf>
    <dxf>
      <fill>
        <patternFill patternType="solid">
          <fgColor indexed="64"/>
          <bgColor theme="4" tint="0.39997558519241921"/>
        </patternFill>
      </fill>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font>
        <b val="0"/>
        <i val="0"/>
        <strike val="0"/>
        <condense val="0"/>
        <extend val="0"/>
        <outline val="0"/>
        <shadow val="0"/>
        <u val="none"/>
        <vertAlign val="baseline"/>
        <sz val="11"/>
        <color theme="1"/>
        <name val="Calibri"/>
        <family val="2"/>
        <scheme val="none"/>
      </font>
      <numFmt numFmtId="34" formatCode="_ &quot;€&quot;\ * #,##0.00_ ;_ &quot;€&quot;\ * \-#,##0.00_ ;_ &quot;€&quot;\ * &quot;-&quot;??_ ;_ @_ "/>
      <alignment horizontal="center" vertical="bottom" textRotation="0" wrapText="0" indent="0" justifyLastLine="0" shrinkToFit="0" readingOrder="0"/>
    </dxf>
    <dxf>
      <numFmt numFmtId="164" formatCode="_-* #,##0.00\ &quot;€&quot;_-;\-* #,##0.00\ &quot;€&quot;_-;_-* &quot;-&quot;??\ &quot;€&quot;_-;_-@_-"/>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numFmt numFmtId="0" formatCode="General"/>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alignment horizontal="center" vertical="bottom" textRotation="0" indent="0" justifyLastLine="0" shrinkToFit="0" readingOrder="0"/>
    </dxf>
    <dxf>
      <alignment horizontal="center" vertical="bottom" textRotation="0" wrapText="0" indent="0" justifyLastLine="0" shrinkToFit="0" readingOrder="0"/>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border diagonalUp="0" diagonalDown="0">
        <left style="medium">
          <color theme="4" tint="0.39997558519241921"/>
        </left>
        <right style="medium">
          <color theme="4" tint="0.39997558519241921"/>
        </right>
        <top style="medium">
          <color theme="4" tint="0.39997558519241921"/>
        </top>
        <bottom style="medium">
          <color theme="4" tint="0.39997558519241921"/>
        </bottom>
      </border>
    </dxf>
    <dxf>
      <fill>
        <patternFill patternType="none">
          <fgColor indexed="64"/>
          <bgColor auto="1"/>
        </patternFill>
      </fill>
    </dxf>
    <dxf>
      <fill>
        <patternFill patternType="solid">
          <fgColor indexed="64"/>
          <bgColor theme="4" tint="0.39997558519241921"/>
        </patternFill>
      </fill>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font>
        <b val="0"/>
        <i val="0"/>
        <strike val="0"/>
        <condense val="0"/>
        <extend val="0"/>
        <outline val="0"/>
        <shadow val="0"/>
        <u val="none"/>
        <vertAlign val="baseline"/>
        <sz val="11"/>
        <color theme="1"/>
        <name val="Calibri"/>
        <family val="2"/>
        <scheme val="none"/>
      </font>
      <numFmt numFmtId="34" formatCode="_ &quot;€&quot;\ * #,##0.00_ ;_ &quot;€&quot;\ * \-#,##0.00_ ;_ &quot;€&quot;\ * &quot;-&quot;??_ ;_ @_ "/>
      <alignment horizontal="center" vertical="bottom" textRotation="0" wrapText="0" indent="0" justifyLastLine="0" shrinkToFit="0" readingOrder="0"/>
    </dxf>
    <dxf>
      <numFmt numFmtId="164" formatCode="_-* #,##0.00\ &quot;€&quot;_-;\-* #,##0.00\ &quot;€&quot;_-;_-* &quot;-&quot;??\ &quot;€&quot;_-;_-@_-"/>
    </dxf>
    <dxf>
      <font>
        <b val="0"/>
        <i val="0"/>
        <strike val="0"/>
        <condense val="0"/>
        <extend val="0"/>
        <outline val="0"/>
        <shadow val="0"/>
        <u val="none"/>
        <vertAlign val="baseline"/>
        <sz val="11"/>
        <color theme="1"/>
        <name val="Calibri"/>
        <family val="2"/>
        <scheme val="none"/>
      </font>
      <numFmt numFmtId="1" formatCode="0"/>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none"/>
      </font>
      <numFmt numFmtId="177" formatCode="0.0"/>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none"/>
      </font>
    </dxf>
    <dxf>
      <font>
        <b val="0"/>
        <i val="0"/>
        <strike val="0"/>
        <condense val="0"/>
        <extend val="0"/>
        <outline val="0"/>
        <shadow val="0"/>
        <u val="none"/>
        <vertAlign val="baseline"/>
        <sz val="11"/>
        <color theme="1"/>
        <name val="Calibri"/>
        <family val="2"/>
        <scheme val="none"/>
      </font>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font>
        <b val="0"/>
        <i val="0"/>
        <strike val="0"/>
        <condense val="0"/>
        <extend val="0"/>
        <outline val="0"/>
        <shadow val="0"/>
        <u val="none"/>
        <vertAlign val="baseline"/>
        <sz val="11"/>
        <color theme="1"/>
        <name val="Calibri"/>
        <family val="2"/>
        <scheme val="none"/>
      </font>
    </dxf>
    <dxf>
      <font>
        <b val="0"/>
        <i val="0"/>
        <strike val="0"/>
        <condense val="0"/>
        <extend val="0"/>
        <outline val="0"/>
        <shadow val="0"/>
        <u val="none"/>
        <vertAlign val="baseline"/>
        <sz val="11"/>
        <color rgb="FF000000"/>
        <name val="Calibri"/>
        <family val="2"/>
        <scheme val="none"/>
      </font>
      <numFmt numFmtId="168" formatCode="_-[$€-2]\ * #,##0.00_-;\-[$€-2]\ * #,##0.00_-;_-[$€-2]\ * &quot;-&quot;??_-;_-@"/>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none"/>
      </font>
      <numFmt numFmtId="177" formatCode="0.0"/>
      <alignment horizontal="center" vertical="bottom" textRotation="0" wrapText="0" indent="0" justifyLastLine="0" shrinkToFit="0" readingOrder="0"/>
    </dxf>
    <dxf>
      <font>
        <b val="0"/>
        <i val="0"/>
        <strike val="0"/>
        <condense val="0"/>
        <extend val="0"/>
        <outline val="0"/>
        <shadow val="0"/>
        <u val="none"/>
        <vertAlign val="baseline"/>
        <sz val="11"/>
        <color rgb="FF000000"/>
        <name val="Calibri"/>
        <family val="2"/>
        <scheme val="none"/>
      </font>
      <numFmt numFmtId="177" formatCode="0.0"/>
      <alignment horizontal="left" vertical="bottom" textRotation="0" wrapText="1" indent="0" justifyLastLine="0" shrinkToFit="0" readingOrder="0"/>
    </dxf>
    <dxf>
      <font>
        <b val="0"/>
        <i val="0"/>
        <strike val="0"/>
        <condense val="0"/>
        <extend val="0"/>
        <outline val="0"/>
        <shadow val="0"/>
        <u val="none"/>
        <vertAlign val="baseline"/>
        <sz val="11"/>
        <color theme="1"/>
        <name val="Calibri"/>
        <family val="2"/>
        <scheme val="none"/>
      </font>
      <numFmt numFmtId="177" formatCode="0.0"/>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none"/>
      </font>
      <numFmt numFmtId="177" formatCode="0.0"/>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none"/>
      </font>
      <numFmt numFmtId="177" formatCode="0.0"/>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none"/>
      </font>
      <numFmt numFmtId="177" formatCode="0.0"/>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none"/>
      </font>
      <numFmt numFmtId="177" formatCode="0.0"/>
    </dxf>
    <dxf>
      <font>
        <b val="0"/>
        <i val="0"/>
        <strike val="0"/>
        <condense val="0"/>
        <extend val="0"/>
        <outline val="0"/>
        <shadow val="0"/>
        <u val="none"/>
        <vertAlign val="baseline"/>
        <sz val="11"/>
        <color theme="1"/>
        <name val="Calibri"/>
        <family val="2"/>
        <scheme val="none"/>
      </font>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alignment horizontal="center" vertical="bottom" textRotation="0" indent="0" justifyLastLine="0" shrinkToFit="0" readingOrder="0"/>
    </dxf>
    <dxf>
      <alignment horizontal="center" vertical="bottom" textRotation="0" wrapText="0" indent="0" justifyLastLine="0" shrinkToFit="0" readingOrder="0"/>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border diagonalUp="0" diagonalDown="0">
        <left style="medium">
          <color theme="4" tint="0.39997558519241921"/>
        </left>
        <right style="medium">
          <color theme="4" tint="0.39997558519241921"/>
        </right>
        <top style="medium">
          <color theme="4" tint="0.39997558519241921"/>
        </top>
        <bottom style="medium">
          <color theme="4" tint="0.39997558519241921"/>
        </bottom>
      </border>
    </dxf>
    <dxf>
      <fill>
        <patternFill patternType="none">
          <fgColor indexed="64"/>
          <bgColor auto="1"/>
        </patternFill>
      </fill>
    </dxf>
    <dxf>
      <fill>
        <patternFill patternType="solid">
          <fgColor indexed="64"/>
          <bgColor theme="4" tint="0.39997558519241921"/>
        </patternFill>
      </fill>
    </dxf>
    <dxf>
      <font>
        <b val="0"/>
        <i val="0"/>
        <strike val="0"/>
        <condense val="0"/>
        <extend val="0"/>
        <outline val="0"/>
        <shadow val="0"/>
        <u val="none"/>
        <vertAlign val="baseline"/>
        <sz val="11"/>
        <color theme="1"/>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1"/>
        <color rgb="FF000000"/>
        <name val="Calibri"/>
        <family val="2"/>
        <scheme val="none"/>
      </font>
      <numFmt numFmtId="179" formatCode="&quot;€&quot;#,##0.00"/>
      <alignment horizontal="right" vertical="bottom" textRotation="0" wrapText="0" indent="0" justifyLastLine="0" shrinkToFit="0" readingOrder="0"/>
    </dxf>
    <dxf>
      <font>
        <b val="0"/>
        <i val="0"/>
        <strike val="0"/>
        <condense val="0"/>
        <extend val="0"/>
        <outline val="0"/>
        <shadow val="0"/>
        <u val="none"/>
        <vertAlign val="baseline"/>
        <sz val="11"/>
        <color rgb="FF000000"/>
        <name val="Calibri"/>
        <family val="2"/>
        <scheme val="none"/>
      </font>
      <alignment horizontal="right" vertical="bottom" textRotation="0" wrapText="0" indent="0" justifyLastLine="0" shrinkToFit="0" readingOrder="0"/>
    </dxf>
    <dxf>
      <font>
        <b val="0"/>
        <i val="0"/>
        <strike val="0"/>
        <condense val="0"/>
        <extend val="0"/>
        <outline val="0"/>
        <shadow val="0"/>
        <u val="none"/>
        <vertAlign val="baseline"/>
        <sz val="11"/>
        <color rgb="FF000000"/>
        <name val="Calibri"/>
        <family val="2"/>
        <scheme val="none"/>
      </font>
    </dxf>
    <dxf>
      <font>
        <b val="0"/>
        <i val="0"/>
        <strike val="0"/>
        <condense val="0"/>
        <extend val="0"/>
        <outline val="0"/>
        <shadow val="0"/>
        <u val="none"/>
        <vertAlign val="baseline"/>
        <sz val="11"/>
        <color rgb="FF000000"/>
        <name val="Calibri"/>
        <family val="2"/>
        <scheme val="none"/>
      </font>
      <numFmt numFmtId="179" formatCode="&quot;€&quot;#,##0.00"/>
      <alignment horizontal="right" vertical="bottom" textRotation="0" wrapText="0" indent="0" justifyLastLine="0" shrinkToFit="0" readingOrder="0"/>
    </dxf>
    <dxf>
      <font>
        <b val="0"/>
        <i val="0"/>
        <strike val="0"/>
        <condense val="0"/>
        <extend val="0"/>
        <outline val="0"/>
        <shadow val="0"/>
        <u val="none"/>
        <vertAlign val="baseline"/>
        <sz val="11"/>
        <color rgb="FF000000"/>
        <name val="Calibri"/>
        <family val="2"/>
        <scheme val="none"/>
      </font>
    </dxf>
    <dxf>
      <font>
        <b val="0"/>
        <i val="0"/>
        <strike val="0"/>
        <condense val="0"/>
        <extend val="0"/>
        <outline val="0"/>
        <shadow val="0"/>
        <u val="none"/>
        <vertAlign val="baseline"/>
        <sz val="11"/>
        <color rgb="FF000000"/>
        <name val="Calibri"/>
        <family val="2"/>
        <scheme val="none"/>
      </font>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font>
        <b val="0"/>
        <i val="0"/>
        <strike val="0"/>
        <condense val="0"/>
        <extend val="0"/>
        <outline val="0"/>
        <shadow val="0"/>
        <u val="none"/>
        <vertAlign val="baseline"/>
        <sz val="11"/>
        <color theme="1"/>
        <name val="Calibri"/>
        <family val="2"/>
        <scheme val="none"/>
      </font>
      <numFmt numFmtId="34" formatCode="_ &quot;€&quot;\ * #,##0.00_ ;_ &quot;€&quot;\ * \-#,##0.00_ ;_ &quot;€&quot;\ * &quot;-&quot;??_ ;_ @_ "/>
      <alignment horizontal="center" vertical="bottom" textRotation="0" wrapText="0" indent="0" justifyLastLine="0" shrinkToFit="0" readingOrder="0"/>
    </dxf>
    <dxf>
      <numFmt numFmtId="164" formatCode="_-* #,##0.00\ &quot;€&quot;_-;\-* #,##0.00\ &quot;€&quot;_-;_-* &quot;-&quot;??\ &quot;€&quot;_-;_-@_-"/>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alignment horizontal="center" vertical="bottom" textRotation="0" indent="0" justifyLastLine="0" shrinkToFit="0" readingOrder="0"/>
    </dxf>
    <dxf>
      <alignment horizontal="center" vertical="bottom" textRotation="0" wrapText="0" indent="0" justifyLastLine="0" shrinkToFit="0" readingOrder="0"/>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border diagonalUp="0" diagonalDown="0">
        <left style="medium">
          <color rgb="FF9BC2E6"/>
        </left>
        <right style="medium">
          <color rgb="FF9BC2E6"/>
        </right>
        <top style="medium">
          <color rgb="FF9BC2E6"/>
        </top>
        <bottom style="medium">
          <color rgb="FF9BC2E6"/>
        </bottom>
      </border>
    </dxf>
    <dxf>
      <fill>
        <patternFill patternType="none">
          <fgColor rgb="FF000000"/>
          <bgColor auto="1"/>
        </patternFill>
      </fill>
    </dxf>
    <dxf>
      <fill>
        <patternFill patternType="solid">
          <fgColor indexed="64"/>
          <bgColor theme="4" tint="0.39997558519241921"/>
        </patternFill>
      </fill>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font>
        <b val="0"/>
        <i val="0"/>
        <strike val="0"/>
        <condense val="0"/>
        <extend val="0"/>
        <outline val="0"/>
        <shadow val="0"/>
        <u val="none"/>
        <vertAlign val="baseline"/>
        <sz val="11"/>
        <color theme="1"/>
        <name val="Calibri"/>
        <family val="2"/>
        <scheme val="none"/>
      </font>
      <numFmt numFmtId="34" formatCode="_ &quot;€&quot;\ * #,##0.00_ ;_ &quot;€&quot;\ * \-#,##0.00_ ;_ &quot;€&quot;\ * &quot;-&quot;??_ ;_ @_ "/>
      <alignment horizontal="center" vertical="bottom" textRotation="0" wrapText="0" indent="0" justifyLastLine="0" shrinkToFit="0" readingOrder="0"/>
    </dxf>
    <dxf>
      <numFmt numFmtId="164" formatCode="_-* #,##0.00\ &quot;€&quot;_-;\-* #,##0.00\ &quot;€&quot;_-;_-* &quot;-&quot;??\ &quot;€&quot;_-;_-@_-"/>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numFmt numFmtId="0" formatCode="General"/>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alignment horizontal="center" vertical="bottom" textRotation="0" indent="0" justifyLastLine="0" shrinkToFit="0" readingOrder="0"/>
    </dxf>
    <dxf>
      <alignment horizontal="center" vertical="bottom" textRotation="0" wrapText="0" indent="0" justifyLastLine="0" shrinkToFit="0" readingOrder="0"/>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border diagonalUp="0" diagonalDown="0">
        <left style="medium">
          <color theme="4" tint="0.39997558519241921"/>
        </left>
        <right style="medium">
          <color theme="4" tint="0.39997558519241921"/>
        </right>
        <top style="medium">
          <color theme="4" tint="0.39997558519241921"/>
        </top>
        <bottom style="medium">
          <color theme="4" tint="0.39997558519241921"/>
        </bottom>
      </border>
    </dxf>
    <dxf>
      <fill>
        <patternFill patternType="none">
          <fgColor indexed="64"/>
          <bgColor auto="1"/>
        </patternFill>
      </fill>
    </dxf>
    <dxf>
      <fill>
        <patternFill patternType="solid">
          <fgColor indexed="64"/>
          <bgColor theme="4" tint="0.39997558519241921"/>
        </patternFill>
      </fill>
    </dxf>
    <dxf>
      <numFmt numFmtId="168" formatCode="_-[$€-2]\ * #,##0.00_-;\-[$€-2]\ * #,##0.00_-;_-[$€-2]\ * &quot;-&quot;??_-;_-@"/>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font>
        <b val="0"/>
        <i val="0"/>
        <strike val="0"/>
        <condense val="0"/>
        <extend val="0"/>
        <outline val="0"/>
        <shadow val="0"/>
        <u val="none"/>
        <vertAlign val="baseline"/>
        <sz val="11"/>
        <color theme="1"/>
        <name val="Calibri"/>
        <family val="2"/>
        <scheme val="none"/>
      </font>
      <numFmt numFmtId="34" formatCode="_ &quot;€&quot;\ * #,##0.00_ ;_ &quot;€&quot;\ * \-#,##0.00_ ;_ &quot;€&quot;\ * &quot;-&quot;??_ ;_ @_ "/>
      <alignment horizontal="center" vertical="bottom" textRotation="0" wrapText="0" indent="0" justifyLastLine="0" shrinkToFit="0" readingOrder="0"/>
    </dxf>
    <dxf>
      <numFmt numFmtId="164" formatCode="_-* #,##0.00\ &quot;€&quot;_-;\-* #,##0.00\ &quot;€&quot;_-;_-* &quot;-&quot;??\ &quot;€&quot;_-;_-@_-"/>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alignment horizontal="center" vertical="bottom" textRotation="0" indent="0" justifyLastLine="0" shrinkToFit="0" readingOrder="0"/>
    </dxf>
    <dxf>
      <alignment horizontal="center" vertical="bottom" textRotation="0" wrapText="0" indent="0" justifyLastLine="0" shrinkToFit="0" readingOrder="0"/>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border diagonalUp="0" diagonalDown="0">
        <left style="medium">
          <color theme="4" tint="0.39997558519241921"/>
        </left>
        <right style="medium">
          <color theme="4" tint="0.39997558519241921"/>
        </right>
        <top style="medium">
          <color theme="4" tint="0.39997558519241921"/>
        </top>
        <bottom style="medium">
          <color theme="4" tint="0.39997558519241921"/>
        </bottom>
      </border>
    </dxf>
    <dxf>
      <fill>
        <patternFill patternType="none">
          <fgColor indexed="64"/>
          <bgColor auto="1"/>
        </patternFill>
      </fill>
    </dxf>
    <dxf>
      <fill>
        <patternFill patternType="solid">
          <fgColor indexed="64"/>
          <bgColor theme="4" tint="0.39997558519241921"/>
        </patternFill>
      </fill>
    </dxf>
    <dxf>
      <font>
        <b val="0"/>
        <i val="0"/>
        <strike val="0"/>
        <condense val="0"/>
        <extend val="0"/>
        <outline val="0"/>
        <shadow val="0"/>
        <u val="none"/>
        <vertAlign val="baseline"/>
        <sz val="11"/>
        <color theme="1"/>
        <name val="Calibri"/>
        <family val="2"/>
        <scheme val="none"/>
      </font>
      <numFmt numFmtId="34" formatCode="_ &quot;€&quot;\ * #,##0.00_ ;_ &quot;€&quot;\ * \-#,##0.00_ ;_ &quot;€&quot;\ * &quot;-&quot;??_ ;_ @_ "/>
      <alignment horizontal="center" vertical="bottom" textRotation="0" wrapText="0" indent="0" justifyLastLine="0" shrinkToFit="0" readingOrder="0"/>
    </dxf>
    <dxf>
      <font>
        <color rgb="FF000000"/>
        <name val="Calibri"/>
        <family val="2"/>
        <scheme val="none"/>
      </font>
      <numFmt numFmtId="168" formatCode="_-[$€-2]\ * #,##0.00_-;\-[$€-2]\ * #,##0.00_-;_-[$€-2]\ * &quot;-&quot;??_-;_-@"/>
      <alignment horizontal="right" vertical="bottom" textRotation="0" wrapText="0" indent="0" justifyLastLine="0" shrinkToFit="0" readingOrder="0"/>
    </dxf>
    <dxf>
      <font>
        <b val="0"/>
        <i val="0"/>
        <strike val="0"/>
        <condense val="0"/>
        <extend val="0"/>
        <outline val="0"/>
        <shadow val="0"/>
        <u val="none"/>
        <vertAlign val="baseline"/>
        <sz val="11"/>
        <color rgb="FF000000"/>
        <name val="Calibri"/>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1"/>
        <color rgb="FF000000"/>
        <name val="Calibri"/>
        <family val="2"/>
        <scheme val="none"/>
      </font>
      <alignment horizontal="right" vertical="bottom" textRotation="0" wrapText="0" indent="0" justifyLastLine="0" shrinkToFit="0" readingOrder="0"/>
    </dxf>
    <dxf>
      <font>
        <b val="0"/>
        <i val="0"/>
        <strike val="0"/>
        <condense val="0"/>
        <extend val="0"/>
        <outline val="0"/>
        <shadow val="0"/>
        <u val="none"/>
        <vertAlign val="baseline"/>
        <sz val="11"/>
        <color rgb="FF000000"/>
        <name val="Calibri"/>
        <family val="2"/>
        <scheme val="none"/>
      </font>
      <numFmt numFmtId="168" formatCode="_-[$€-2]\ * #,##0.00_-;\-[$€-2]\ * #,##0.00_-;_-[$€-2]\ * &quot;-&quot;??_-;_-@"/>
    </dxf>
    <dxf>
      <font>
        <b val="0"/>
        <i val="0"/>
        <strike val="0"/>
        <condense val="0"/>
        <extend val="0"/>
        <outline val="0"/>
        <shadow val="0"/>
        <u val="none"/>
        <vertAlign val="baseline"/>
        <sz val="11"/>
        <color rgb="FF000000"/>
        <name val="Calibri"/>
        <family val="2"/>
        <scheme val="none"/>
      </font>
    </dxf>
    <dxf>
      <font>
        <b val="0"/>
        <i val="0"/>
        <strike val="0"/>
        <condense val="0"/>
        <extend val="0"/>
        <outline val="0"/>
        <shadow val="0"/>
        <u val="none"/>
        <vertAlign val="baseline"/>
        <sz val="11"/>
        <color rgb="FF000000"/>
        <name val="Calibri"/>
        <family val="2"/>
        <scheme val="none"/>
      </font>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font>
        <b val="0"/>
        <i val="0"/>
        <strike val="0"/>
        <condense val="0"/>
        <extend val="0"/>
        <outline val="0"/>
        <shadow val="0"/>
        <u val="none"/>
        <vertAlign val="baseline"/>
        <sz val="11"/>
        <color theme="1"/>
        <name val="Calibri"/>
        <family val="2"/>
        <scheme val="none"/>
      </font>
      <numFmt numFmtId="34" formatCode="_ &quot;€&quot;\ * #,##0.00_ ;_ &quot;€&quot;\ * \-#,##0.00_ ;_ &quot;€&quot;\ * &quot;-&quot;??_ ;_ @_ "/>
      <alignment horizontal="center" vertical="bottom" textRotation="0" wrapText="0" indent="0" justifyLastLine="0" shrinkToFit="0" readingOrder="0"/>
    </dxf>
    <dxf>
      <numFmt numFmtId="164" formatCode="_-* #,##0.00\ &quot;€&quot;_-;\-* #,##0.00\ &quot;€&quot;_-;_-* &quot;-&quot;??\ &quot;€&quot;_-;_-@_-"/>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alignment horizontal="center" vertical="bottom" textRotation="0" indent="0" justifyLastLine="0" shrinkToFit="0" readingOrder="0"/>
    </dxf>
    <dxf>
      <alignment horizontal="center" vertical="bottom" textRotation="0" wrapText="0" indent="0" justifyLastLine="0" shrinkToFit="0" readingOrder="0"/>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border diagonalUp="0" diagonalDown="0">
        <left style="medium">
          <color rgb="FF9BC2E6"/>
        </left>
        <right style="medium">
          <color rgb="FF9BC2E6"/>
        </right>
        <top style="medium">
          <color rgb="FF9BC2E6"/>
        </top>
        <bottom style="medium">
          <color rgb="FF9BC2E6"/>
        </bottom>
      </border>
    </dxf>
    <dxf>
      <fill>
        <patternFill patternType="none">
          <fgColor rgb="FF000000"/>
          <bgColor auto="1"/>
        </patternFill>
      </fill>
    </dxf>
    <dxf>
      <fill>
        <patternFill patternType="solid">
          <fgColor indexed="64"/>
          <bgColor theme="4" tint="0.39997558519241921"/>
        </patternFill>
      </fill>
    </dxf>
    <dxf>
      <numFmt numFmtId="168" formatCode="_-[$€-2]\ * #,##0.00_-;\-[$€-2]\ * #,##0.00_-;_-[$€-2]\ * &quot;-&quot;??_-;_-@"/>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font>
        <b val="0"/>
        <i val="0"/>
        <strike val="0"/>
        <condense val="0"/>
        <extend val="0"/>
        <outline val="0"/>
        <shadow val="0"/>
        <u val="none"/>
        <vertAlign val="baseline"/>
        <sz val="11"/>
        <color theme="1"/>
        <name val="Calibri"/>
        <family val="2"/>
        <scheme val="none"/>
      </font>
      <numFmt numFmtId="34" formatCode="_ &quot;€&quot;\ * #,##0.00_ ;_ &quot;€&quot;\ * \-#,##0.00_ ;_ &quot;€&quot;\ * &quot;-&quot;??_ ;_ @_ "/>
      <alignment horizontal="center" vertical="bottom" textRotation="0" wrapText="0" indent="0" justifyLastLine="0" shrinkToFit="0" readingOrder="0"/>
    </dxf>
    <dxf>
      <numFmt numFmtId="164" formatCode="_-* #,##0.00\ &quot;€&quot;_-;\-* #,##0.00\ &quot;€&quot;_-;_-* &quot;-&quot;??\ &quot;€&quot;_-;_-@_-"/>
    </dxf>
    <dxf>
      <font>
        <b val="0"/>
        <i val="0"/>
        <strike val="0"/>
        <condense val="0"/>
        <extend val="0"/>
        <outline val="0"/>
        <shadow val="0"/>
        <u val="none"/>
        <vertAlign val="baseline"/>
        <sz val="11"/>
        <color theme="1"/>
        <name val="Calibri"/>
        <family val="2"/>
        <scheme val="none"/>
      </font>
      <numFmt numFmtId="1" formatCode="0"/>
      <alignment horizontal="left" vertical="bottom" textRotation="0" wrapText="0" indent="0" justifyLastLine="0" shrinkToFit="0" readingOrder="0"/>
    </dxf>
    <dxf>
      <font>
        <b val="0"/>
        <i val="0"/>
        <strike val="0"/>
        <condense val="0"/>
        <extend val="0"/>
        <outline val="0"/>
        <shadow val="0"/>
        <u val="none"/>
        <vertAlign val="baseline"/>
        <sz val="11"/>
        <color theme="1"/>
        <name val="Calibri"/>
        <family val="2"/>
        <scheme val="none"/>
      </font>
      <numFmt numFmtId="1" formatCode="0"/>
      <alignment horizontal="left" vertical="bottom" textRotation="0" wrapText="0" indent="0" justifyLastLine="0" shrinkToFit="0" readingOrder="0"/>
    </dxf>
    <dxf>
      <font>
        <b val="0"/>
        <i val="0"/>
        <strike val="0"/>
        <condense val="0"/>
        <extend val="0"/>
        <outline val="0"/>
        <shadow val="0"/>
        <u val="none"/>
        <vertAlign val="baseline"/>
        <sz val="11"/>
        <color theme="1"/>
        <name val="Calibri"/>
        <family val="2"/>
        <scheme val="none"/>
      </font>
      <numFmt numFmtId="177" formatCode="0.0"/>
      <alignment horizontal="left" vertical="bottom" textRotation="0" wrapText="0" indent="0" justifyLastLine="0" shrinkToFit="0" readingOrder="0"/>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numFmt numFmtId="0" formatCode="General"/>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dxf>
    <dxf>
      <font>
        <b val="0"/>
        <i val="0"/>
        <strike val="0"/>
        <condense val="0"/>
        <extend val="0"/>
        <outline val="0"/>
        <shadow val="0"/>
        <u val="none"/>
        <vertAlign val="baseline"/>
        <sz val="11"/>
        <color theme="1"/>
        <name val="Calibri"/>
        <family val="2"/>
        <scheme val="none"/>
      </font>
      <numFmt numFmtId="177" formatCode="0.0"/>
      <alignment horizontal="left" vertical="bottom" textRotation="0" wrapText="0" indent="0" justifyLastLine="0" shrinkToFit="0" readingOrder="0"/>
    </dxf>
    <dxf>
      <font>
        <b val="0"/>
        <i val="0"/>
        <strike val="0"/>
        <condense val="0"/>
        <extend val="0"/>
        <outline val="0"/>
        <shadow val="0"/>
        <u val="none"/>
        <vertAlign val="baseline"/>
        <sz val="11"/>
        <color theme="1"/>
        <name val="Calibri"/>
        <family val="2"/>
        <scheme val="none"/>
      </font>
      <numFmt numFmtId="1" formatCode="0"/>
      <alignment horizontal="left" vertical="bottom" textRotation="0" wrapText="0" indent="0" justifyLastLine="0" shrinkToFit="0" readingOrder="0"/>
    </dxf>
    <dxf>
      <font>
        <name val="Calibri"/>
        <family val="2"/>
        <scheme val="none"/>
      </font>
      <alignment horizontal="left" vertical="bottom" textRotation="0" wrapText="1" indent="0" justifyLastLine="0" shrinkToFit="0" readingOrder="0"/>
    </dxf>
    <dxf>
      <font>
        <b val="0"/>
        <i val="0"/>
        <strike val="0"/>
        <condense val="0"/>
        <extend val="0"/>
        <outline val="0"/>
        <shadow val="0"/>
        <u val="none"/>
        <vertAlign val="baseline"/>
        <sz val="11"/>
        <color theme="1"/>
        <name val="Calibri"/>
        <family val="2"/>
        <scheme val="none"/>
      </font>
      <alignment horizontal="left" vertical="bottom" textRotation="0" wrapText="1" indent="0" justifyLastLine="0" shrinkToFit="0" readingOrder="0"/>
    </dxf>
    <dxf>
      <font>
        <name val="Calibri"/>
        <family val="2"/>
        <scheme val="none"/>
      </font>
      <alignment horizontal="left" vertical="bottom" textRotation="0" wrapText="0" indent="0" justifyLastLine="0" shrinkToFit="0" readingOrder="0"/>
    </dxf>
    <dxf>
      <font>
        <b val="0"/>
        <i val="0"/>
        <strike val="0"/>
        <condense val="0"/>
        <extend val="0"/>
        <outline val="0"/>
        <shadow val="0"/>
        <u val="none"/>
        <vertAlign val="baseline"/>
        <sz val="11"/>
        <color theme="1"/>
        <name val="Calibri"/>
        <family val="2"/>
        <scheme val="none"/>
      </font>
      <alignment horizontal="left" vertical="bottom" textRotation="0" wrapText="1" indent="0" justifyLastLine="0" shrinkToFit="0" readingOrder="0"/>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border diagonalUp="0" diagonalDown="0">
        <left style="medium">
          <color rgb="FF9BC2E6"/>
        </left>
        <right style="medium">
          <color rgb="FF9BC2E6"/>
        </right>
        <top style="medium">
          <color rgb="FF9BC2E6"/>
        </top>
        <bottom style="medium">
          <color rgb="FF9BC2E6"/>
        </bottom>
      </border>
    </dxf>
    <dxf>
      <fill>
        <patternFill patternType="none">
          <fgColor rgb="FF000000"/>
          <bgColor auto="1"/>
        </patternFill>
      </fill>
    </dxf>
    <dxf>
      <fill>
        <patternFill patternType="solid">
          <fgColor indexed="64"/>
          <bgColor theme="4" tint="0.39997558519241921"/>
        </patternFill>
      </fill>
    </dxf>
    <dxf>
      <numFmt numFmtId="168" formatCode="_-[$€-2]\ * #,##0.00_-;\-[$€-2]\ * #,##0.00_-;_-[$€-2]\ * &quot;-&quot;??_-;_-@"/>
    </dxf>
    <dxf>
      <numFmt numFmtId="184" formatCode="_-* #,##0_-;\-* #,##0_-;_-* &quot;-&quot;??_-;_-@_-"/>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font>
        <b val="0"/>
        <i val="0"/>
        <strike val="0"/>
        <condense val="0"/>
        <extend val="0"/>
        <outline val="0"/>
        <shadow val="0"/>
        <u val="none"/>
        <vertAlign val="baseline"/>
        <sz val="11"/>
        <color theme="1"/>
        <name val="Calibri"/>
        <family val="2"/>
        <scheme val="none"/>
      </font>
      <numFmt numFmtId="34" formatCode="_ &quot;€&quot;\ * #,##0.00_ ;_ &quot;€&quot;\ * \-#,##0.00_ ;_ &quot;€&quot;\ * &quot;-&quot;??_ ;_ @_ "/>
      <alignment horizontal="center" vertical="bottom" textRotation="0" wrapText="0" indent="0" justifyLastLine="0" shrinkToFit="0" readingOrder="0"/>
    </dxf>
    <dxf>
      <numFmt numFmtId="164" formatCode="_-* #,##0.00\ &quot;€&quot;_-;\-* #,##0.00\ &quot;€&quot;_-;_-* &quot;-&quot;??\ &quot;€&quot;_-;_-@_-"/>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numFmt numFmtId="0" formatCode="General"/>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alignment horizontal="center" vertical="bottom" textRotation="0" indent="0" justifyLastLine="0" shrinkToFit="0" readingOrder="0"/>
    </dxf>
    <dxf>
      <alignment horizontal="center" vertical="bottom" textRotation="0" wrapText="0" indent="0" justifyLastLine="0" shrinkToFit="0" readingOrder="0"/>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border diagonalUp="0" diagonalDown="0">
        <left style="medium">
          <color rgb="FF9BC2E6"/>
        </left>
        <right style="medium">
          <color rgb="FF9BC2E6"/>
        </right>
        <top style="medium">
          <color rgb="FF9BC2E6"/>
        </top>
        <bottom style="medium">
          <color rgb="FF9BC2E6"/>
        </bottom>
      </border>
    </dxf>
    <dxf>
      <fill>
        <patternFill patternType="none">
          <fgColor rgb="FF000000"/>
          <bgColor auto="1"/>
        </patternFill>
      </fill>
    </dxf>
    <dxf>
      <fill>
        <patternFill patternType="solid">
          <fgColor indexed="64"/>
          <bgColor theme="4" tint="0.39997558519241921"/>
        </patternFill>
      </fill>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font>
        <b val="0"/>
        <i val="0"/>
        <strike val="0"/>
        <condense val="0"/>
        <extend val="0"/>
        <outline val="0"/>
        <shadow val="0"/>
        <u val="none"/>
        <vertAlign val="baseline"/>
        <sz val="11"/>
        <color theme="1"/>
        <name val="Calibri"/>
        <family val="2"/>
        <scheme val="none"/>
      </font>
      <numFmt numFmtId="34" formatCode="_ &quot;€&quot;\ * #,##0.00_ ;_ &quot;€&quot;\ * \-#,##0.00_ ;_ &quot;€&quot;\ * &quot;-&quot;??_ ;_ @_ "/>
      <alignment horizontal="center" vertical="bottom" textRotation="0" wrapText="0" indent="0" justifyLastLine="0" shrinkToFit="0" readingOrder="0"/>
    </dxf>
    <dxf>
      <numFmt numFmtId="164" formatCode="_-* #,##0.00\ &quot;€&quot;_-;\-* #,##0.00\ &quot;€&quot;_-;_-* &quot;-&quot;??\ &quot;€&quot;_-;_-@_-"/>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font>
        <b val="0"/>
        <i val="0"/>
        <strike val="0"/>
        <condense val="0"/>
        <extend val="0"/>
        <outline val="0"/>
        <shadow val="0"/>
        <u val="none"/>
        <vertAlign val="baseline"/>
        <sz val="11"/>
        <color theme="1"/>
        <name val="Calibri"/>
        <family val="2"/>
        <scheme val="none"/>
      </font>
      <numFmt numFmtId="177" formatCode="0.0"/>
      <alignment horizontal="left" vertical="bottom" textRotation="0" wrapText="0" indent="0" justifyLastLine="0" shrinkToFit="0" readingOrder="0"/>
    </dxf>
    <dxf>
      <font>
        <b val="0"/>
        <i val="0"/>
        <strike val="0"/>
        <condense val="0"/>
        <extend val="0"/>
        <outline val="0"/>
        <shadow val="0"/>
        <u val="none"/>
        <vertAlign val="baseline"/>
        <sz val="11"/>
        <color theme="1"/>
        <name val="Calibri"/>
        <family val="2"/>
        <scheme val="none"/>
      </font>
      <numFmt numFmtId="1" formatCode="0"/>
      <alignment horizontal="left" vertical="bottom" textRotation="0" wrapText="0" indent="0" justifyLastLine="0" shrinkToFit="0" readingOrder="0"/>
    </dxf>
    <dxf>
      <font>
        <b val="0"/>
        <i val="0"/>
        <strike val="0"/>
        <condense val="0"/>
        <extend val="0"/>
        <outline val="0"/>
        <shadow val="0"/>
        <u val="none"/>
        <vertAlign val="baseline"/>
        <sz val="11"/>
        <color rgb="FF000000"/>
        <name val="Calibri"/>
        <family val="2"/>
        <scheme val="none"/>
      </font>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font>
        <b val="0"/>
        <i val="0"/>
        <strike val="0"/>
        <condense val="0"/>
        <extend val="0"/>
        <outline val="0"/>
        <shadow val="0"/>
        <u val="none"/>
        <vertAlign val="baseline"/>
        <sz val="11"/>
        <color theme="1"/>
        <name val="Calibri"/>
        <family val="2"/>
        <scheme val="none"/>
      </font>
      <numFmt numFmtId="177" formatCode="0.0"/>
      <alignment horizontal="left" vertical="bottom" textRotation="0" wrapText="0" indent="0" justifyLastLine="0" shrinkToFit="0" readingOrder="0"/>
    </dxf>
    <dxf>
      <font>
        <b val="0"/>
        <i val="0"/>
        <strike val="0"/>
        <condense val="0"/>
        <extend val="0"/>
        <outline val="0"/>
        <shadow val="0"/>
        <u val="none"/>
        <vertAlign val="baseline"/>
        <sz val="11"/>
        <color theme="1"/>
        <name val="Calibri"/>
        <family val="2"/>
        <scheme val="none"/>
      </font>
      <numFmt numFmtId="1" formatCode="0"/>
      <alignment horizontal="left" vertical="bottom" textRotation="0" wrapText="0" indent="0" justifyLastLine="0" shrinkToFit="0" readingOrder="0"/>
    </dxf>
    <dxf>
      <font>
        <name val="Calibri"/>
        <family val="2"/>
        <scheme val="none"/>
      </font>
      <alignment horizontal="left" vertical="bottom" textRotation="0" wrapText="0" indent="0" justifyLastLine="0" shrinkToFit="0" readingOrder="0"/>
    </dxf>
    <dxf>
      <font>
        <name val="Calibri"/>
        <family val="2"/>
        <scheme val="none"/>
      </font>
      <alignment horizontal="left" vertical="bottom" textRotation="0" wrapText="0" indent="0" justifyLastLine="0" shrinkToFit="0" readingOrder="0"/>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border diagonalUp="0" diagonalDown="0">
        <left style="medium">
          <color rgb="FF9BC2E6"/>
        </left>
        <right style="medium">
          <color rgb="FF9BC2E6"/>
        </right>
        <top style="medium">
          <color rgb="FF9BC2E6"/>
        </top>
        <bottom style="medium">
          <color rgb="FF9BC2E6"/>
        </bottom>
      </border>
    </dxf>
    <dxf>
      <fill>
        <patternFill patternType="none">
          <fgColor rgb="FF000000"/>
          <bgColor auto="1"/>
        </patternFill>
      </fill>
    </dxf>
    <dxf>
      <fill>
        <patternFill patternType="solid">
          <fgColor indexed="64"/>
          <bgColor theme="4" tint="0.39997558519241921"/>
        </patternFill>
      </fill>
    </dxf>
    <dxf>
      <numFmt numFmtId="168" formatCode="_-[$€-2]\ * #,##0.00_-;\-[$€-2]\ * #,##0.00_-;_-[$€-2]\ * &quot;-&quot;??_-;_-@"/>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font>
        <b val="0"/>
        <i val="0"/>
        <strike val="0"/>
        <condense val="0"/>
        <extend val="0"/>
        <outline val="0"/>
        <shadow val="0"/>
        <u val="none"/>
        <vertAlign val="baseline"/>
        <sz val="11"/>
        <color theme="1"/>
        <name val="Calibri"/>
        <family val="2"/>
        <scheme val="none"/>
      </font>
      <numFmt numFmtId="34" formatCode="_ &quot;€&quot;\ * #,##0.00_ ;_ &quot;€&quot;\ * \-#,##0.00_ ;_ &quot;€&quot;\ * &quot;-&quot;??_ ;_ @_ "/>
      <alignment horizontal="center" vertical="bottom" textRotation="0" wrapText="0" indent="0" justifyLastLine="0" shrinkToFit="0" readingOrder="0"/>
      <border diagonalUp="0" diagonalDown="0">
        <left/>
        <right style="thick">
          <color theme="7" tint="0.59999389629810485"/>
        </right>
        <top/>
        <bottom/>
        <vertical/>
        <horizontal/>
      </border>
    </dxf>
    <dxf>
      <numFmt numFmtId="164" formatCode="_-* #,##0.00\ &quot;€&quot;_-;\-* #,##0.00\ &quot;€&quot;_-;_-* &quot;-&quot;??\ &quot;€&quot;_-;_-@_-"/>
    </dxf>
    <dxf>
      <border diagonalUp="0" diagonalDown="0">
        <left style="thick">
          <color theme="7" tint="0.59999389629810485"/>
        </left>
        <right/>
        <top/>
        <bottom/>
        <vertical/>
        <horizontal/>
      </border>
    </dxf>
    <dxf>
      <numFmt numFmtId="0" formatCode="General"/>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alignment horizontal="center" vertical="bottom" textRotation="0" indent="0" justifyLastLine="0" shrinkToFit="0" readingOrder="0"/>
    </dxf>
    <dxf>
      <alignment horizontal="center" vertical="bottom" textRotation="0" wrapText="0" indent="0" justifyLastLine="0" shrinkToFit="0" readingOrder="0"/>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border diagonalUp="0" diagonalDown="0">
        <left style="medium">
          <color rgb="FF9BC2E6"/>
        </left>
        <right style="medium">
          <color rgb="FF9BC2E6"/>
        </right>
        <top style="medium">
          <color rgb="FF9BC2E6"/>
        </top>
        <bottom style="medium">
          <color rgb="FF9BC2E6"/>
        </bottom>
      </border>
    </dxf>
    <dxf>
      <fill>
        <patternFill patternType="none">
          <fgColor rgb="FF000000"/>
          <bgColor auto="1"/>
        </patternFill>
      </fill>
    </dxf>
    <dxf>
      <fill>
        <patternFill patternType="solid">
          <fgColor indexed="64"/>
          <bgColor theme="4" tint="0.39997558519241921"/>
        </patternFill>
      </fill>
    </dxf>
    <dxf>
      <numFmt numFmtId="168" formatCode="_-[$€-2]\ * #,##0.00_-;\-[$€-2]\ * #,##0.00_-;_-[$€-2]\ * &quot;-&quot;??_-;_-@"/>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font>
        <b val="0"/>
        <i val="0"/>
        <strike val="0"/>
        <condense val="0"/>
        <extend val="0"/>
        <outline val="0"/>
        <shadow val="0"/>
        <u val="none"/>
        <vertAlign val="baseline"/>
        <sz val="11"/>
        <color theme="1"/>
        <name val="Calibri"/>
        <family val="2"/>
        <scheme val="none"/>
      </font>
      <numFmt numFmtId="34" formatCode="_ &quot;€&quot;\ * #,##0.00_ ;_ &quot;€&quot;\ * \-#,##0.00_ ;_ &quot;€&quot;\ * &quot;-&quot;??_ ;_ @_ "/>
      <alignment horizontal="center" vertical="bottom" textRotation="0" wrapText="0" indent="0" justifyLastLine="0" shrinkToFit="0" readingOrder="0"/>
    </dxf>
    <dxf>
      <numFmt numFmtId="164" formatCode="_-* #,##0.00\ &quot;€&quot;_-;\-* #,##0.00\ &quot;€&quot;_-;_-* &quot;-&quot;??\ &quot;€&quot;_-;_-@_-"/>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numFmt numFmtId="168" formatCode="_-[$€-2]\ * #,##0.00_-;\-[$€-2]\ * #,##0.00_-;_-[$€-2]\ * &quot;-&quot;??_-;_-@"/>
    </dxf>
    <dxf>
      <numFmt numFmtId="177" formatCode="0.0"/>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alignment horizontal="center" vertical="bottom" textRotation="0" indent="0" justifyLastLine="0" shrinkToFit="0" readingOrder="0"/>
    </dxf>
    <dxf>
      <alignment horizontal="center" vertical="bottom" textRotation="0" wrapText="0" indent="0" justifyLastLine="0" shrinkToFit="0" readingOrder="0"/>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border diagonalUp="0" diagonalDown="0">
        <left style="medium">
          <color theme="4" tint="0.39997558519241921"/>
        </left>
        <right style="medium">
          <color theme="4" tint="0.39997558519241921"/>
        </right>
        <top style="medium">
          <color theme="4" tint="0.39997558519241921"/>
        </top>
        <bottom style="medium">
          <color theme="4" tint="0.39997558519241921"/>
        </bottom>
      </border>
    </dxf>
    <dxf>
      <fill>
        <patternFill patternType="none">
          <fgColor indexed="64"/>
          <bgColor auto="1"/>
        </patternFill>
      </fill>
    </dxf>
    <dxf>
      <fill>
        <patternFill patternType="solid">
          <fgColor indexed="64"/>
          <bgColor theme="4" tint="0.39997558519241921"/>
        </patternFill>
      </fill>
    </dxf>
    <dxf>
      <numFmt numFmtId="168" formatCode="_-[$€-2]\ * #,##0.00_-;\-[$€-2]\ * #,##0.00_-;_-[$€-2]\ * &quot;-&quot;??_-;_-@"/>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font>
        <b val="0"/>
        <i val="0"/>
        <strike val="0"/>
        <condense val="0"/>
        <extend val="0"/>
        <outline val="0"/>
        <shadow val="0"/>
        <u val="none"/>
        <vertAlign val="baseline"/>
        <sz val="11"/>
        <color theme="1"/>
        <name val="Calibri"/>
        <family val="2"/>
        <scheme val="none"/>
      </font>
      <numFmt numFmtId="34" formatCode="_ &quot;€&quot;\ * #,##0.00_ ;_ &quot;€&quot;\ * \-#,##0.00_ ;_ &quot;€&quot;\ * &quot;-&quot;??_ ;_ @_ "/>
      <alignment horizontal="center" vertical="bottom" textRotation="0" wrapText="0" indent="0" justifyLastLine="0" shrinkToFit="0" readingOrder="0"/>
    </dxf>
    <dxf>
      <numFmt numFmtId="164" formatCode="_-* #,##0.00\ &quot;€&quot;_-;\-* #,##0.00\ &quot;€&quot;_-;_-* &quot;-&quot;??\ &quot;€&quot;_-;_-@_-"/>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alignment horizontal="center" vertical="bottom" textRotation="0" indent="0" justifyLastLine="0" shrinkToFit="0" readingOrder="0"/>
    </dxf>
    <dxf>
      <alignment horizontal="center" vertical="bottom" textRotation="0" wrapText="0" indent="0" justifyLastLine="0" shrinkToFit="0" readingOrder="0"/>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border diagonalUp="0" diagonalDown="0">
        <left style="medium">
          <color theme="4" tint="0.39997558519241921"/>
        </left>
        <right style="medium">
          <color theme="4" tint="0.39997558519241921"/>
        </right>
        <top style="medium">
          <color theme="4" tint="0.39997558519241921"/>
        </top>
        <bottom style="medium">
          <color theme="4" tint="0.39997558519241921"/>
        </bottom>
      </border>
    </dxf>
    <dxf>
      <fill>
        <patternFill patternType="none">
          <fgColor indexed="64"/>
          <bgColor auto="1"/>
        </patternFill>
      </fill>
    </dxf>
    <dxf>
      <fill>
        <patternFill patternType="solid">
          <fgColor indexed="64"/>
          <bgColor theme="4" tint="0.39997558519241921"/>
        </patternFill>
      </fill>
    </dxf>
    <dxf>
      <numFmt numFmtId="168" formatCode="_-[$€-2]\ * #,##0.00_-;\-[$€-2]\ * #,##0.00_-;_-[$€-2]\ * &quot;-&quot;??_-;_-@"/>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font>
        <b val="0"/>
        <i val="0"/>
        <strike val="0"/>
        <condense val="0"/>
        <extend val="0"/>
        <outline val="0"/>
        <shadow val="0"/>
        <u val="none"/>
        <vertAlign val="baseline"/>
        <sz val="11"/>
        <color theme="1"/>
        <name val="Calibri"/>
        <family val="2"/>
        <scheme val="none"/>
      </font>
      <numFmt numFmtId="34" formatCode="_ &quot;€&quot;\ * #,##0.00_ ;_ &quot;€&quot;\ * \-#,##0.00_ ;_ &quot;€&quot;\ * &quot;-&quot;??_ ;_ @_ "/>
      <alignment horizontal="center" vertical="bottom" textRotation="0" wrapText="0" indent="0" justifyLastLine="0" shrinkToFit="0" readingOrder="0"/>
    </dxf>
    <dxf>
      <numFmt numFmtId="164" formatCode="_-* #,##0.00\ &quot;€&quot;_-;\-* #,##0.00\ &quot;€&quot;_-;_-* &quot;-&quot;??\ &quot;€&quot;_-;_-@_-"/>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font>
        <b val="0"/>
        <i val="0"/>
        <strike val="0"/>
        <condense val="0"/>
        <extend val="0"/>
        <outline val="0"/>
        <shadow val="0"/>
        <u val="none"/>
        <vertAlign val="baseline"/>
        <sz val="11"/>
        <color theme="1"/>
        <name val="Calibri"/>
        <family val="2"/>
        <scheme val="none"/>
      </font>
      <numFmt numFmtId="177" formatCode="0.0"/>
      <alignment horizontal="center" vertical="bottom" textRotation="0" wrapText="0" indent="0" justifyLastLine="0" shrinkToFit="0" readingOrder="0"/>
    </dxf>
    <dxf>
      <font>
        <b val="0"/>
        <i val="0"/>
        <strike val="0"/>
        <condense val="0"/>
        <extend val="0"/>
        <outline val="0"/>
        <shadow val="0"/>
        <u val="none"/>
        <vertAlign val="baseline"/>
        <sz val="11"/>
        <color rgb="FF000000"/>
        <name val="Calibri"/>
        <family val="2"/>
        <scheme val="none"/>
      </font>
      <alignment horizontal="general" vertical="bottom" textRotation="0" wrapText="1" indent="0" justifyLastLine="0" shrinkToFit="0" readingOrder="0"/>
    </dxf>
    <dxf>
      <font>
        <color rgb="FF000000"/>
        <name val="Calibri"/>
        <family val="2"/>
        <scheme val="none"/>
      </font>
      <alignment horizontal="general" vertical="bottom" textRotation="0" wrapText="1" indent="0" justifyLastLine="0" shrinkToFit="0" readingOrder="0"/>
    </dxf>
    <dxf>
      <font>
        <b val="0"/>
        <i val="0"/>
        <strike val="0"/>
        <condense val="0"/>
        <extend val="0"/>
        <outline val="0"/>
        <shadow val="0"/>
        <u val="none"/>
        <vertAlign val="baseline"/>
        <sz val="11"/>
        <color rgb="FF000000"/>
        <name val="Calibri"/>
        <family val="2"/>
        <scheme val="none"/>
      </font>
      <alignment horizontal="general" vertical="bottom" textRotation="0" wrapText="1" indent="0" justifyLastLine="0" shrinkToFit="0" readingOrder="0"/>
    </dxf>
    <dxf>
      <font>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1"/>
        <color rgb="FF000000"/>
        <name val="Calibri"/>
        <family val="2"/>
        <scheme val="none"/>
      </font>
      <alignment horizontal="left" vertical="bottom" textRotation="0" wrapText="1" indent="0" justifyLastLine="0" shrinkToFit="0" readingOrder="0"/>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font>
        <color rgb="FF000000"/>
        <name val="Calibri"/>
        <family val="2"/>
        <scheme val="none"/>
      </font>
      <numFmt numFmtId="0" formatCode="General"/>
      <fill>
        <patternFill patternType="none">
          <fgColor indexed="64"/>
          <bgColor auto="1"/>
        </patternFill>
      </fill>
      <alignment horizontal="right" vertical="bottom" textRotation="0" wrapText="1" indent="0" justifyLastLine="0" shrinkToFit="0" readingOrder="0"/>
    </dxf>
    <dxf>
      <numFmt numFmtId="0" formatCode="General"/>
      <fill>
        <patternFill patternType="none">
          <fgColor indexed="64"/>
          <bgColor auto="1"/>
        </patternFill>
      </fill>
    </dxf>
    <dxf>
      <numFmt numFmtId="0" formatCode="General"/>
      <fill>
        <patternFill patternType="none">
          <fgColor indexed="64"/>
          <bgColor auto="1"/>
        </patternFill>
      </fill>
    </dxf>
    <dxf>
      <border diagonalUp="0" diagonalDown="0">
        <left style="medium">
          <color theme="4" tint="0.39997558519241921"/>
        </left>
        <right style="medium">
          <color theme="4" tint="0.39997558519241921"/>
        </right>
        <top style="medium">
          <color theme="4" tint="0.39997558519241921"/>
        </top>
        <bottom style="medium">
          <color theme="4" tint="0.39997558519241921"/>
        </bottom>
      </border>
    </dxf>
    <dxf>
      <fill>
        <patternFill patternType="none">
          <fgColor indexed="64"/>
          <bgColor auto="1"/>
        </patternFill>
      </fill>
    </dxf>
    <dxf>
      <fill>
        <patternFill patternType="solid">
          <fgColor indexed="64"/>
          <bgColor theme="4" tint="0.39997558519241921"/>
        </patternFill>
      </fill>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font>
        <b val="0"/>
        <i val="0"/>
        <strike val="0"/>
        <condense val="0"/>
        <extend val="0"/>
        <outline val="0"/>
        <shadow val="0"/>
        <u val="none"/>
        <vertAlign val="baseline"/>
        <sz val="11"/>
        <color theme="1"/>
        <name val="Calibri"/>
        <family val="2"/>
        <scheme val="none"/>
      </font>
      <numFmt numFmtId="34" formatCode="_ &quot;€&quot;\ * #,##0.00_ ;_ &quot;€&quot;\ * \-#,##0.00_ ;_ &quot;€&quot;\ * &quot;-&quot;??_ ;_ @_ "/>
      <alignment horizontal="center" vertical="bottom" textRotation="0" wrapText="0" indent="0" justifyLastLine="0" shrinkToFit="0" readingOrder="0"/>
    </dxf>
    <dxf>
      <numFmt numFmtId="164" formatCode="_-* #,##0.00\ &quot;€&quot;_-;\-* #,##0.00\ &quot;€&quot;_-;_-* &quot;-&quot;??\ &quot;€&quot;_-;_-@_-"/>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numFmt numFmtId="0" formatCode="General"/>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alignment horizontal="center" vertical="bottom" textRotation="0" indent="0" justifyLastLine="0" shrinkToFit="0" readingOrder="0"/>
    </dxf>
    <dxf>
      <alignment horizontal="center" vertical="bottom" textRotation="0" wrapText="0" indent="0" justifyLastLine="0" shrinkToFit="0" readingOrder="0"/>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border diagonalUp="0" diagonalDown="0">
        <left style="medium">
          <color theme="4" tint="0.39997558519241921"/>
        </left>
        <right style="medium">
          <color theme="4" tint="0.39997558519241921"/>
        </right>
        <top style="medium">
          <color theme="4" tint="0.39997558519241921"/>
        </top>
        <bottom style="medium">
          <color theme="4" tint="0.39997558519241921"/>
        </bottom>
      </border>
    </dxf>
    <dxf>
      <fill>
        <patternFill patternType="none">
          <fgColor indexed="64"/>
          <bgColor auto="1"/>
        </patternFill>
      </fill>
    </dxf>
    <dxf>
      <fill>
        <patternFill patternType="solid">
          <fgColor indexed="64"/>
          <bgColor theme="4" tint="0.39997558519241921"/>
        </patternFill>
      </fill>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font>
        <b val="0"/>
        <i val="0"/>
        <strike val="0"/>
        <condense val="0"/>
        <extend val="0"/>
        <outline val="0"/>
        <shadow val="0"/>
        <u val="none"/>
        <vertAlign val="baseline"/>
        <sz val="11"/>
        <color theme="1"/>
        <name val="Calibri"/>
        <family val="2"/>
        <scheme val="none"/>
      </font>
      <numFmt numFmtId="34" formatCode="_ &quot;€&quot;\ * #,##0.00_ ;_ &quot;€&quot;\ * \-#,##0.00_ ;_ &quot;€&quot;\ * &quot;-&quot;??_ ;_ @_ "/>
      <alignment horizontal="center" vertical="bottom" textRotation="0" wrapText="0" indent="0" justifyLastLine="0" shrinkToFit="0" readingOrder="0"/>
    </dxf>
    <dxf>
      <numFmt numFmtId="164" formatCode="_-* #,##0.00\ &quot;€&quot;_-;\-* #,##0.00\ &quot;€&quot;_-;_-* &quot;-&quot;??\ &quot;€&quot;_-;_-@_-"/>
    </dxf>
    <dxf>
      <font>
        <b val="0"/>
      </font>
      <alignment horizontal="center"/>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numFmt numFmtId="177" formatCode="0.0"/>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font>
        <b val="0"/>
        <i val="0"/>
        <strike val="0"/>
        <condense val="0"/>
        <extend val="0"/>
        <outline val="0"/>
        <shadow val="0"/>
        <u val="none"/>
        <vertAlign val="baseline"/>
        <sz val="11"/>
        <color theme="1"/>
        <name val="Calibri"/>
        <family val="2"/>
        <scheme val="none"/>
      </font>
    </dxf>
    <dxf>
      <font>
        <b val="0"/>
        <i val="0"/>
        <strike val="0"/>
        <condense val="0"/>
        <extend val="0"/>
        <outline val="0"/>
        <shadow val="0"/>
        <u val="none"/>
        <vertAlign val="baseline"/>
        <sz val="11"/>
        <color theme="1"/>
        <name val="Calibri"/>
        <family val="2"/>
        <scheme val="none"/>
      </font>
      <numFmt numFmtId="177" formatCode="0.0"/>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none"/>
      </font>
      <numFmt numFmtId="1" formatCode="0"/>
      <alignment horizontal="center" vertical="bottom" textRotation="0" wrapText="0" indent="0" justifyLastLine="0" shrinkToFit="0" readingOrder="0"/>
    </dxf>
    <dxf>
      <font>
        <b val="0"/>
        <i val="0"/>
        <strike val="0"/>
        <condense val="0"/>
        <extend val="0"/>
        <outline val="0"/>
        <shadow val="0"/>
        <u val="none"/>
        <vertAlign val="baseline"/>
        <sz val="11"/>
        <color rgb="FF000000"/>
        <name val="Calibri"/>
        <family val="2"/>
        <scheme val="none"/>
      </font>
      <alignment horizontal="general" vertical="bottom" textRotation="0" wrapText="1" indent="0" justifyLastLine="0" shrinkToFit="0" readingOrder="0"/>
    </dxf>
    <dxf>
      <font>
        <b val="0"/>
        <i val="0"/>
        <strike val="0"/>
        <condense val="0"/>
        <extend val="0"/>
        <outline val="0"/>
        <shadow val="0"/>
        <u val="none"/>
        <vertAlign val="baseline"/>
        <sz val="11"/>
        <color rgb="FF000000"/>
        <name val="Calibri"/>
        <family val="2"/>
        <scheme val="none"/>
      </font>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1"/>
        <color rgb="FF000000"/>
        <name val="Calibri"/>
        <family val="2"/>
        <scheme val="none"/>
      </font>
      <alignment horizontal="left" vertical="bottom" textRotation="0" wrapText="1" indent="0" justifyLastLine="0" shrinkToFit="0" readingOrder="0"/>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font>
        <b val="0"/>
        <i val="0"/>
        <strike val="0"/>
        <condense val="0"/>
        <extend val="0"/>
        <outline val="0"/>
        <shadow val="0"/>
        <u val="none"/>
        <vertAlign val="baseline"/>
        <sz val="11"/>
        <color rgb="FFFF0000"/>
        <name val="Calibri"/>
        <family val="2"/>
        <scheme val="none"/>
      </font>
      <alignment horizontal="left" vertical="bottom" textRotation="0" wrapText="0" indent="0" justifyLastLine="0" shrinkToFit="0" readingOrder="0"/>
    </dxf>
    <dxf>
      <font>
        <b val="0"/>
        <i val="0"/>
        <strike val="0"/>
        <condense val="0"/>
        <extend val="0"/>
        <outline val="0"/>
        <shadow val="0"/>
        <u val="none"/>
        <vertAlign val="baseline"/>
        <sz val="11"/>
        <color theme="1"/>
        <name val="Calibri"/>
        <family val="2"/>
        <scheme val="none"/>
      </font>
      <numFmt numFmtId="177" formatCode="0.0"/>
      <alignment horizontal="center" vertical="bottom" textRotation="0" wrapText="0" indent="0" justifyLastLine="0" shrinkToFit="0" readingOrder="0"/>
    </dxf>
    <dxf>
      <font>
        <b val="0"/>
        <i val="0"/>
        <strike val="0"/>
        <condense val="0"/>
        <extend val="0"/>
        <outline val="0"/>
        <shadow val="0"/>
        <u val="none"/>
        <vertAlign val="baseline"/>
        <sz val="11"/>
        <color rgb="FF000000"/>
        <name val="Calibri"/>
        <family val="2"/>
        <scheme val="none"/>
      </font>
      <alignment horizontal="center" vertical="bottom" textRotation="0" wrapText="1" indent="0" justifyLastLine="0" shrinkToFit="0" readingOrder="0"/>
    </dxf>
    <dxf>
      <font>
        <color rgb="FF000000"/>
        <name val="Calibri"/>
        <family val="2"/>
        <scheme val="none"/>
      </font>
      <alignment horizontal="general" vertical="bottom" textRotation="0" wrapText="1" indent="0" justifyLastLine="0" shrinkToFit="0" readingOrder="0"/>
    </dxf>
    <dxf>
      <font>
        <b val="0"/>
        <i val="0"/>
        <strike val="0"/>
        <condense val="0"/>
        <extend val="0"/>
        <outline val="0"/>
        <shadow val="0"/>
        <u val="none"/>
        <vertAlign val="baseline"/>
        <sz val="11"/>
        <color rgb="FF000000"/>
        <name val="Calibri"/>
        <family val="2"/>
        <scheme val="none"/>
      </font>
      <alignment horizontal="general" vertical="bottom" textRotation="0" wrapText="1" indent="0" justifyLastLine="0" shrinkToFit="0" readingOrder="0"/>
    </dxf>
    <dxf>
      <font>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1"/>
        <color rgb="FF000000"/>
        <name val="Calibri"/>
        <family val="2"/>
        <scheme val="none"/>
      </font>
      <alignment horizontal="left" vertical="bottom" textRotation="0" wrapText="1" indent="0" justifyLastLine="0" shrinkToFit="0" readingOrder="0"/>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border diagonalUp="0" diagonalDown="0">
        <left style="medium">
          <color theme="4" tint="0.39997558519241921"/>
        </left>
        <right style="medium">
          <color theme="4" tint="0.39997558519241921"/>
        </right>
        <top style="medium">
          <color theme="4" tint="0.39997558519241921"/>
        </top>
        <bottom style="medium">
          <color theme="4" tint="0.39997558519241921"/>
        </bottom>
      </border>
    </dxf>
    <dxf>
      <fill>
        <patternFill patternType="none">
          <fgColor indexed="64"/>
          <bgColor auto="1"/>
        </patternFill>
      </fill>
    </dxf>
    <dxf>
      <fill>
        <patternFill patternType="solid">
          <fgColor indexed="64"/>
          <bgColor theme="4" tint="0.39997558519241921"/>
        </patternFill>
      </fill>
    </dxf>
    <dxf>
      <numFmt numFmtId="168" formatCode="_-[$€-2]\ * #,##0.00_-;\-[$€-2]\ * #,##0.00_-;_-[$€-2]\ * &quot;-&quot;??_-;_-@"/>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font>
        <b val="0"/>
        <i val="0"/>
        <strike val="0"/>
        <condense val="0"/>
        <extend val="0"/>
        <outline val="0"/>
        <shadow val="0"/>
        <u val="none"/>
        <vertAlign val="baseline"/>
        <sz val="11"/>
        <color theme="1"/>
        <name val="Calibri"/>
        <family val="2"/>
        <scheme val="none"/>
      </font>
      <numFmt numFmtId="34" formatCode="_ &quot;€&quot;\ * #,##0.00_ ;_ &quot;€&quot;\ * \-#,##0.00_ ;_ &quot;€&quot;\ * &quot;-&quot;??_ ;_ @_ "/>
      <alignment horizontal="center" vertical="bottom" textRotation="0" wrapText="0" indent="0" justifyLastLine="0" shrinkToFit="0" readingOrder="0"/>
    </dxf>
    <dxf>
      <numFmt numFmtId="164" formatCode="_-* #,##0.00\ &quot;€&quot;_-;\-* #,##0.00\ &quot;€&quot;_-;_-* &quot;-&quot;??\ &quot;€&quot;_-;_-@_-"/>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font>
        <b val="0"/>
        <i val="0"/>
        <strike val="0"/>
        <condense val="0"/>
        <extend val="0"/>
        <outline val="0"/>
        <shadow val="0"/>
        <u val="none"/>
        <vertAlign val="baseline"/>
        <sz val="11"/>
        <color rgb="FF000000"/>
        <name val="Arial"/>
        <family val="2"/>
        <scheme val="none"/>
      </font>
      <alignment horizontal="left" vertical="bottom" textRotation="0" wrapText="1" indent="0" justifyLastLine="0" shrinkToFit="0" readingOrder="0"/>
      <border diagonalUp="0" diagonalDown="0">
        <left style="thin">
          <color rgb="FF000000"/>
        </left>
        <right/>
        <top style="thin">
          <color rgb="FF000000"/>
        </top>
        <bottom style="thin">
          <color rgb="FF000000"/>
        </bottom>
        <vertical/>
        <horizontal/>
      </border>
    </dxf>
    <dxf>
      <font>
        <b val="0"/>
        <i val="0"/>
        <strike val="0"/>
        <condense val="0"/>
        <extend val="0"/>
        <outline val="0"/>
        <shadow val="0"/>
        <u val="none"/>
        <vertAlign val="baseline"/>
        <sz val="11"/>
        <color theme="1"/>
        <name val="Calibri"/>
        <family val="2"/>
        <scheme val="none"/>
      </font>
      <numFmt numFmtId="177" formatCode="0.0"/>
      <alignment horizontal="center" vertical="bottom" textRotation="0" wrapText="0" indent="0" justifyLastLine="0" shrinkToFit="0" readingOrder="0"/>
    </dxf>
    <dxf>
      <font>
        <b val="0"/>
        <i val="0"/>
        <strike val="0"/>
        <condense val="0"/>
        <extend val="0"/>
        <outline val="0"/>
        <shadow val="0"/>
        <u val="none"/>
        <vertAlign val="baseline"/>
        <sz val="11"/>
        <color rgb="FF000000"/>
        <name val="Arial"/>
        <family val="2"/>
        <scheme val="none"/>
      </font>
      <numFmt numFmtId="1" formatCode="0"/>
      <alignment horizontal="left" vertical="bottom"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alignment horizontal="center" vertical="bottom" textRotation="0" indent="0" justifyLastLine="0" shrinkToFit="0" readingOrder="0"/>
    </dxf>
    <dxf>
      <font>
        <b val="0"/>
        <i val="0"/>
        <strike val="0"/>
        <condense val="0"/>
        <extend val="0"/>
        <outline val="0"/>
        <shadow val="0"/>
        <u val="none"/>
        <vertAlign val="baseline"/>
        <sz val="11"/>
        <color theme="1"/>
        <name val="Arial"/>
        <family val="2"/>
        <scheme val="none"/>
      </font>
      <alignment horizontal="left"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color rgb="FF000000"/>
        <family val="2"/>
      </font>
      <alignment horizontal="left" vertical="bottom"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rgb="FF000000"/>
        <name val="Arial"/>
        <family val="2"/>
        <scheme val="none"/>
      </font>
      <alignment horizontal="left" vertical="bottom" textRotation="0" wrapText="1" indent="0" justifyLastLine="0" shrinkToFit="0" readingOrder="0"/>
      <border diagonalUp="0" diagonalDown="0">
        <left/>
        <right style="thin">
          <color rgb="FF000000"/>
        </right>
        <top style="thin">
          <color rgb="FF000000"/>
        </top>
        <bottom style="thin">
          <color rgb="FF000000"/>
        </bottom>
        <vertical/>
        <horizontal/>
      </border>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border diagonalUp="0" diagonalDown="0">
        <left style="medium">
          <color theme="4" tint="0.39997558519241921"/>
        </left>
        <right style="medium">
          <color theme="4" tint="0.39997558519241921"/>
        </right>
        <top style="medium">
          <color theme="4" tint="0.39997558519241921"/>
        </top>
        <bottom style="medium">
          <color theme="4" tint="0.39997558519241921"/>
        </bottom>
      </border>
    </dxf>
    <dxf>
      <fill>
        <patternFill patternType="none">
          <fgColor indexed="64"/>
          <bgColor auto="1"/>
        </patternFill>
      </fill>
    </dxf>
    <dxf>
      <fill>
        <patternFill patternType="solid">
          <fgColor indexed="64"/>
          <bgColor theme="4" tint="0.39997558519241921"/>
        </patternFill>
      </fill>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font>
        <b val="0"/>
        <i val="0"/>
        <strike val="0"/>
        <condense val="0"/>
        <extend val="0"/>
        <outline val="0"/>
        <shadow val="0"/>
        <u val="none"/>
        <vertAlign val="baseline"/>
        <sz val="11"/>
        <color theme="1"/>
        <name val="Calibri"/>
        <family val="2"/>
        <scheme val="none"/>
      </font>
      <numFmt numFmtId="34" formatCode="_ &quot;€&quot;\ * #,##0.00_ ;_ &quot;€&quot;\ * \-#,##0.00_ ;_ &quot;€&quot;\ * &quot;-&quot;??_ ;_ @_ "/>
      <alignment horizontal="center" vertical="bottom" textRotation="0" wrapText="0" indent="0" justifyLastLine="0" shrinkToFit="0" readingOrder="0"/>
    </dxf>
    <dxf>
      <numFmt numFmtId="164" formatCode="_-* #,##0.00\ &quot;€&quot;_-;\-* #,##0.00\ &quot;€&quot;_-;_-* &quot;-&quot;??\ &quot;€&quot;_-;_-@_-"/>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dxf>
    <dxf>
      <font>
        <b val="0"/>
        <i val="0"/>
        <strike val="0"/>
        <condense val="0"/>
        <extend val="0"/>
        <outline val="0"/>
        <shadow val="0"/>
        <u val="none"/>
        <vertAlign val="baseline"/>
        <sz val="11"/>
        <color theme="1"/>
        <name val="Calibri"/>
        <family val="2"/>
        <scheme val="none"/>
      </font>
    </dxf>
    <dxf>
      <font>
        <b val="0"/>
        <i val="0"/>
        <strike val="0"/>
        <condense val="0"/>
        <extend val="0"/>
        <outline val="0"/>
        <shadow val="0"/>
        <u val="none"/>
        <vertAlign val="baseline"/>
        <sz val="11"/>
        <color theme="1"/>
        <name val="Calibri"/>
        <family val="2"/>
        <scheme val="none"/>
      </font>
      <numFmt numFmtId="177" formatCode="0.0"/>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none"/>
      </font>
      <numFmt numFmtId="1" formatCode="0"/>
      <alignment horizontal="center" vertical="bottom" textRotation="0" wrapText="0" indent="0" justifyLastLine="0" shrinkToFit="0" readingOrder="0"/>
    </dxf>
    <dxf>
      <font>
        <b val="0"/>
        <i val="0"/>
        <strike val="0"/>
        <condense val="0"/>
        <extend val="0"/>
        <outline val="0"/>
        <shadow val="0"/>
        <u val="none"/>
        <vertAlign val="baseline"/>
        <sz val="11"/>
        <color rgb="FF000000"/>
        <name val="Calibri"/>
        <family val="2"/>
        <scheme val="none"/>
      </font>
      <alignment horizontal="general" vertical="bottom" textRotation="0" wrapText="1" indent="0" justifyLastLine="0" shrinkToFit="0" readingOrder="0"/>
    </dxf>
    <dxf>
      <font>
        <b val="0"/>
        <i val="0"/>
        <strike val="0"/>
        <condense val="0"/>
        <extend val="0"/>
        <outline val="0"/>
        <shadow val="0"/>
        <u val="none"/>
        <vertAlign val="baseline"/>
        <sz val="11"/>
        <color rgb="FF000000"/>
        <name val="Calibri"/>
        <family val="2"/>
        <scheme val="none"/>
      </font>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1"/>
        <color rgb="FF000000"/>
        <name val="Calibri"/>
        <family val="2"/>
        <scheme val="none"/>
      </font>
      <alignment horizontal="left" vertical="bottom" textRotation="0" wrapText="1" indent="0" justifyLastLine="0" shrinkToFit="0" readingOrder="0"/>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alignment horizontal="center" vertical="bottom" textRotation="0" indent="0" justifyLastLine="0" shrinkToFit="0" readingOrder="0"/>
    </dxf>
    <dxf>
      <alignment horizontal="center" vertical="bottom" textRotation="0" wrapText="0" indent="0" justifyLastLine="0" shrinkToFit="0" readingOrder="0"/>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border diagonalUp="0" diagonalDown="0">
        <left style="medium">
          <color rgb="FF9BC2E6"/>
        </left>
        <right style="medium">
          <color rgb="FF9BC2E6"/>
        </right>
        <top style="medium">
          <color rgb="FF9BC2E6"/>
        </top>
        <bottom style="medium">
          <color rgb="FF9BC2E6"/>
        </bottom>
      </border>
    </dxf>
    <dxf>
      <fill>
        <patternFill patternType="none">
          <fgColor rgb="FF000000"/>
          <bgColor auto="1"/>
        </patternFill>
      </fill>
    </dxf>
    <dxf>
      <fill>
        <patternFill patternType="solid">
          <fgColor indexed="64"/>
          <bgColor theme="4" tint="0.39997558519241921"/>
        </patternFill>
      </fill>
    </dxf>
    <dxf>
      <numFmt numFmtId="168" formatCode="_-[$€-2]\ * #,##0.00_-;\-[$€-2]\ * #,##0.00_-;_-[$€-2]\ * &quot;-&quot;??_-;_-@"/>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font>
        <b val="0"/>
        <i val="0"/>
        <strike val="0"/>
        <condense val="0"/>
        <extend val="0"/>
        <outline val="0"/>
        <shadow val="0"/>
        <u val="none"/>
        <vertAlign val="baseline"/>
        <sz val="11"/>
        <color theme="1"/>
        <name val="Calibri"/>
        <family val="2"/>
        <scheme val="none"/>
      </font>
      <numFmt numFmtId="34" formatCode="_ &quot;€&quot;\ * #,##0.00_ ;_ &quot;€&quot;\ * \-#,##0.00_ ;_ &quot;€&quot;\ * &quot;-&quot;??_ ;_ @_ "/>
      <alignment horizontal="center" vertical="bottom" textRotation="0" wrapText="0" indent="0" justifyLastLine="0" shrinkToFit="0" readingOrder="0"/>
    </dxf>
    <dxf>
      <numFmt numFmtId="164" formatCode="_-* #,##0.00\ &quot;€&quot;_-;\-* #,##0.00\ &quot;€&quot;_-;_-* &quot;-&quot;??\ &quot;€&quot;_-;_-@_-"/>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numFmt numFmtId="0" formatCode="General"/>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font>
        <b val="0"/>
        <i val="0"/>
        <strike val="0"/>
        <condense val="0"/>
        <extend val="0"/>
        <outline val="0"/>
        <shadow val="0"/>
        <u val="none"/>
        <vertAlign val="baseline"/>
        <sz val="11"/>
        <color rgb="FF000000"/>
        <name val="Calibri"/>
        <family val="2"/>
        <scheme val="none"/>
      </font>
      <alignment horizontal="left" vertical="bottom" textRotation="0" wrapText="0" indent="0" justifyLastLine="0" shrinkToFit="0" readingOrder="0"/>
    </dxf>
    <dxf>
      <font>
        <b val="0"/>
        <i val="0"/>
        <strike val="0"/>
        <condense val="0"/>
        <extend val="0"/>
        <outline val="0"/>
        <shadow val="0"/>
        <u val="none"/>
        <vertAlign val="baseline"/>
        <sz val="11"/>
        <color theme="1"/>
        <name val="Calibri"/>
        <family val="2"/>
        <scheme val="none"/>
      </font>
      <numFmt numFmtId="177" formatCode="0.0"/>
      <alignment horizontal="left" vertical="bottom" textRotation="0" wrapText="0" indent="0" justifyLastLine="0" shrinkToFit="0" readingOrder="0"/>
    </dxf>
    <dxf>
      <font>
        <b val="0"/>
        <i val="0"/>
        <strike val="0"/>
        <condense val="0"/>
        <extend val="0"/>
        <outline val="0"/>
        <shadow val="0"/>
        <u val="none"/>
        <vertAlign val="baseline"/>
        <sz val="11"/>
        <color rgb="FF000000"/>
        <name val="Calibri"/>
        <family val="2"/>
        <scheme val="none"/>
      </font>
      <alignment horizontal="left" vertical="bottom" textRotation="0" wrapText="1" indent="0" justifyLastLine="0" shrinkToFit="0" readingOrder="0"/>
    </dxf>
    <dxf>
      <font>
        <color rgb="FF000000"/>
        <name val="Calibri"/>
        <family val="2"/>
        <scheme val="none"/>
      </font>
      <alignment horizontal="left" vertical="bottom" textRotation="0" wrapText="1" indent="0" justifyLastLine="0" shrinkToFit="0" readingOrder="0"/>
    </dxf>
    <dxf>
      <font>
        <b val="0"/>
        <i val="0"/>
        <strike val="0"/>
        <condense val="0"/>
        <extend val="0"/>
        <outline val="0"/>
        <shadow val="0"/>
        <u val="none"/>
        <vertAlign val="baseline"/>
        <sz val="11"/>
        <color rgb="FF000000"/>
        <name val="Calibri"/>
        <family val="2"/>
        <scheme val="none"/>
      </font>
      <alignment horizontal="left" vertical="bottom" textRotation="0" wrapText="1" indent="0" justifyLastLine="0" shrinkToFit="0" readingOrder="0"/>
    </dxf>
    <dxf>
      <font>
        <name val="Calibri"/>
        <family val="2"/>
        <scheme val="none"/>
      </font>
      <alignment horizontal="left" vertical="bottom" textRotation="0" wrapText="0" indent="0" justifyLastLine="0" shrinkToFit="0" readingOrder="0"/>
    </dxf>
    <dxf>
      <font>
        <b val="0"/>
        <i val="0"/>
        <strike val="0"/>
        <condense val="0"/>
        <extend val="0"/>
        <outline val="0"/>
        <shadow val="0"/>
        <u val="none"/>
        <vertAlign val="baseline"/>
        <sz val="11"/>
        <color theme="1"/>
        <name val="Calibri"/>
        <family val="2"/>
        <scheme val="none"/>
      </font>
      <numFmt numFmtId="177" formatCode="0.0"/>
      <alignment horizontal="left" vertical="bottom" textRotation="0" wrapText="0" indent="0" justifyLastLine="0" shrinkToFit="0" readingOrder="0"/>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font>
        <color rgb="FF000000"/>
        <name val="Calibri"/>
        <family val="2"/>
        <scheme val="none"/>
      </font>
      <numFmt numFmtId="0" formatCode="General"/>
      <fill>
        <patternFill patternType="none">
          <fgColor indexed="64"/>
          <bgColor auto="1"/>
        </patternFill>
      </fill>
      <alignment horizontal="right" vertical="bottom" textRotation="0" wrapText="1" indent="0" justifyLastLine="0" shrinkToFit="0" readingOrder="0"/>
    </dxf>
    <dxf>
      <numFmt numFmtId="0" formatCode="General"/>
      <fill>
        <patternFill patternType="none">
          <fgColor indexed="64"/>
          <bgColor auto="1"/>
        </patternFill>
      </fill>
    </dxf>
    <dxf>
      <numFmt numFmtId="0" formatCode="General"/>
      <fill>
        <patternFill patternType="none">
          <fgColor indexed="64"/>
          <bgColor auto="1"/>
        </patternFill>
      </fill>
    </dxf>
    <dxf>
      <border diagonalUp="0" diagonalDown="0">
        <left style="medium">
          <color theme="4" tint="0.39997558519241921"/>
        </left>
        <right style="medium">
          <color theme="4" tint="0.39997558519241921"/>
        </right>
        <top style="medium">
          <color theme="4" tint="0.39997558519241921"/>
        </top>
        <bottom style="medium">
          <color theme="4" tint="0.39997558519241921"/>
        </bottom>
      </border>
    </dxf>
    <dxf>
      <fill>
        <patternFill patternType="none">
          <fgColor indexed="64"/>
          <bgColor auto="1"/>
        </patternFill>
      </fill>
    </dxf>
    <dxf>
      <fill>
        <patternFill patternType="solid">
          <fgColor indexed="64"/>
          <bgColor theme="4" tint="0.39997558519241921"/>
        </patternFill>
      </fill>
    </dxf>
    <dxf>
      <font>
        <b val="0"/>
        <i val="0"/>
        <strike val="0"/>
        <condense val="0"/>
        <extend val="0"/>
        <outline val="0"/>
        <shadow val="0"/>
        <u val="none"/>
        <vertAlign val="baseline"/>
        <sz val="11"/>
        <color theme="1"/>
        <name val="Calibri"/>
        <family val="2"/>
        <scheme val="none"/>
      </font>
      <numFmt numFmtId="34" formatCode="_ &quot;€&quot;\ * #,##0.00_ ;_ &quot;€&quot;\ * \-#,##0.00_ ;_ &quot;€&quot;\ * &quot;-&quot;??_ ;_ @_ "/>
      <alignment horizontal="center" vertical="bottom" textRotation="0" wrapText="1" indent="0" justifyLastLine="0" shrinkToFit="0" readingOrder="0"/>
    </dxf>
    <dxf>
      <font>
        <b val="0"/>
        <i val="0"/>
        <strike val="0"/>
        <condense val="0"/>
        <extend val="0"/>
        <outline val="0"/>
        <shadow val="0"/>
        <u val="none"/>
        <vertAlign val="baseline"/>
        <sz val="11"/>
        <color rgb="FF000000"/>
        <name val="Calibri"/>
        <family val="2"/>
        <scheme val="none"/>
      </font>
      <numFmt numFmtId="168" formatCode="_-[$€-2]\ * #,##0.00_-;\-[$€-2]\ * #,##0.00_-;_-[$€-2]\ * &quot;-&quot;??_-;_-@"/>
      <alignment horizontal="right" vertical="bottom" textRotation="0" wrapText="0" indent="0" justifyLastLine="0" shrinkToFit="0" readingOrder="0"/>
    </dxf>
    <dxf>
      <font>
        <b val="0"/>
        <i val="0"/>
        <strike val="0"/>
        <condense val="0"/>
        <extend val="0"/>
        <outline val="0"/>
        <shadow val="0"/>
        <u val="none"/>
        <vertAlign val="baseline"/>
        <sz val="11"/>
        <color rgb="FF000000"/>
        <name val="Calibri"/>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1"/>
        <color rgb="FF000000"/>
        <name val="Calibri"/>
        <family val="2"/>
        <scheme val="none"/>
      </font>
      <numFmt numFmtId="2" formatCode="0.00"/>
      <alignment horizontal="right" vertical="bottom" textRotation="0" wrapText="0" indent="0" justifyLastLine="0" shrinkToFit="0" readingOrder="0"/>
    </dxf>
    <dxf>
      <font>
        <b val="0"/>
        <i val="0"/>
        <strike val="0"/>
        <condense val="0"/>
        <extend val="0"/>
        <outline val="0"/>
        <shadow val="0"/>
        <u val="none"/>
        <vertAlign val="baseline"/>
        <sz val="11"/>
        <color rgb="FF000000"/>
        <name val="Calibri"/>
        <family val="2"/>
        <scheme val="none"/>
      </font>
      <numFmt numFmtId="168" formatCode="_-[$€-2]\ * #,##0.00_-;\-[$€-2]\ * #,##0.00_-;_-[$€-2]\ * &quot;-&quot;??_-;_-@"/>
      <alignment horizontal="right" vertical="bottom" textRotation="0" wrapText="0" indent="0" justifyLastLine="0" shrinkToFit="0" readingOrder="0"/>
    </dxf>
    <dxf>
      <font>
        <b val="0"/>
        <i val="0"/>
        <strike val="0"/>
        <condense val="0"/>
        <extend val="0"/>
        <outline val="0"/>
        <shadow val="0"/>
        <u val="none"/>
        <vertAlign val="baseline"/>
        <sz val="11"/>
        <color rgb="FF000000"/>
        <name val="Calibri"/>
        <family val="2"/>
        <scheme val="none"/>
      </font>
    </dxf>
    <dxf>
      <font>
        <b val="0"/>
        <i val="0"/>
        <strike val="0"/>
        <condense val="0"/>
        <extend val="0"/>
        <outline val="0"/>
        <shadow val="0"/>
        <u val="none"/>
        <vertAlign val="baseline"/>
        <sz val="11"/>
        <color rgb="FF000000"/>
        <name val="Calibri"/>
        <family val="2"/>
        <scheme val="none"/>
      </font>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font>
        <b val="0"/>
        <i val="0"/>
        <strike val="0"/>
        <condense val="0"/>
        <extend val="0"/>
        <outline val="0"/>
        <shadow val="0"/>
        <u val="none"/>
        <vertAlign val="baseline"/>
        <sz val="11"/>
        <color rgb="FF000000"/>
        <name val="Calibri"/>
        <family val="2"/>
        <scheme val="none"/>
      </font>
      <alignment horizontal="right" vertical="bottom" textRotation="0" wrapText="0" indent="0" justifyLastLine="0" shrinkToFit="0" readingOrder="0"/>
    </dxf>
    <dxf>
      <font>
        <b val="0"/>
        <i val="0"/>
        <strike val="0"/>
        <condense val="0"/>
        <extend val="0"/>
        <outline val="0"/>
        <shadow val="0"/>
        <u val="none"/>
        <vertAlign val="baseline"/>
        <sz val="11"/>
        <color theme="1"/>
        <name val="Calibri"/>
        <family val="2"/>
        <scheme val="none"/>
      </font>
      <numFmt numFmtId="34" formatCode="_ &quot;€&quot;\ * #,##0.00_ ;_ &quot;€&quot;\ * \-#,##0.00_ ;_ &quot;€&quot;\ * &quot;-&quot;??_ ;_ @_ "/>
      <alignment horizontal="center" vertical="bottom" textRotation="0" wrapText="0" indent="0" justifyLastLine="0" shrinkToFit="0" readingOrder="0"/>
    </dxf>
    <dxf>
      <numFmt numFmtId="164" formatCode="_-* #,##0.00\ &quot;€&quot;_-;\-* #,##0.00\ &quot;€&quot;_-;_-* &quot;-&quot;??\ &quot;€&quot;_-;_-@_-"/>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numFmt numFmtId="0" formatCode="General"/>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alignment horizontal="center" vertical="bottom" textRotation="0" indent="0" justifyLastLine="0" shrinkToFit="0" readingOrder="0"/>
    </dxf>
    <dxf>
      <alignment horizontal="center" vertical="bottom" textRotation="0" wrapText="0" indent="0" justifyLastLine="0" shrinkToFit="0" readingOrder="0"/>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border diagonalUp="0" diagonalDown="0">
        <left style="medium">
          <color rgb="FF9BC2E6"/>
        </left>
        <right style="medium">
          <color rgb="FF9BC2E6"/>
        </right>
        <top style="medium">
          <color rgb="FF9BC2E6"/>
        </top>
        <bottom style="medium">
          <color rgb="FF9BC2E6"/>
        </bottom>
      </border>
    </dxf>
    <dxf>
      <fill>
        <patternFill patternType="none">
          <fgColor rgb="FF000000"/>
          <bgColor auto="1"/>
        </patternFill>
      </fill>
    </dxf>
    <dxf>
      <fill>
        <patternFill patternType="solid">
          <fgColor indexed="64"/>
          <bgColor theme="4" tint="0.39997558519241921"/>
        </patternFill>
      </fill>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font>
        <b val="0"/>
        <i val="0"/>
        <strike val="0"/>
        <condense val="0"/>
        <extend val="0"/>
        <outline val="0"/>
        <shadow val="0"/>
        <u val="none"/>
        <vertAlign val="baseline"/>
        <sz val="11"/>
        <color theme="1"/>
        <name val="Calibri"/>
        <family val="2"/>
        <scheme val="none"/>
      </font>
      <numFmt numFmtId="34" formatCode="_ &quot;€&quot;\ * #,##0.00_ ;_ &quot;€&quot;\ * \-#,##0.00_ ;_ &quot;€&quot;\ * &quot;-&quot;??_ ;_ @_ "/>
      <alignment horizontal="center" vertical="bottom" textRotation="0" wrapText="0" indent="0" justifyLastLine="0" shrinkToFit="0" readingOrder="0"/>
    </dxf>
    <dxf>
      <numFmt numFmtId="164" formatCode="_-* #,##0.00\ &quot;€&quot;_-;\-* #,##0.00\ &quot;€&quot;_-;_-* &quot;-&quot;??\ &quot;€&quot;_-;_-@_-"/>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numFmt numFmtId="177" formatCode="0.0"/>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alignment horizontal="center" vertical="bottom" textRotation="0" indent="0" justifyLastLine="0" shrinkToFit="0" readingOrder="0"/>
    </dxf>
    <dxf>
      <alignment horizontal="center" vertical="bottom" textRotation="0" wrapText="0" indent="0" justifyLastLine="0" shrinkToFit="0" readingOrder="0"/>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border diagonalUp="0" diagonalDown="0">
        <left style="medium">
          <color theme="4" tint="0.39997558519241921"/>
        </left>
        <right style="medium">
          <color theme="4" tint="0.39997558519241921"/>
        </right>
        <top style="medium">
          <color theme="4" tint="0.39997558519241921"/>
        </top>
        <bottom style="medium">
          <color theme="4" tint="0.39997558519241921"/>
        </bottom>
      </border>
    </dxf>
    <dxf>
      <fill>
        <patternFill patternType="none">
          <fgColor indexed="64"/>
          <bgColor auto="1"/>
        </patternFill>
      </fill>
    </dxf>
    <dxf>
      <fill>
        <patternFill patternType="solid">
          <fgColor indexed="64"/>
          <bgColor theme="4" tint="0.39997558519241921"/>
        </patternFill>
      </fill>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font>
        <b val="0"/>
        <i val="0"/>
        <strike val="0"/>
        <condense val="0"/>
        <extend val="0"/>
        <outline val="0"/>
        <shadow val="0"/>
        <u val="none"/>
        <vertAlign val="baseline"/>
        <sz val="11"/>
        <color theme="1"/>
        <name val="Calibri"/>
        <family val="2"/>
        <scheme val="none"/>
      </font>
      <numFmt numFmtId="34" formatCode="_ &quot;€&quot;\ * #,##0.00_ ;_ &quot;€&quot;\ * \-#,##0.00_ ;_ &quot;€&quot;\ * &quot;-&quot;??_ ;_ @_ "/>
      <alignment horizontal="center" vertical="bottom" textRotation="0" wrapText="0" indent="0" justifyLastLine="0" shrinkToFit="0" readingOrder="0"/>
    </dxf>
    <dxf>
      <numFmt numFmtId="164" formatCode="_-* #,##0.00\ &quot;€&quot;_-;\-* #,##0.00\ &quot;€&quot;_-;_-* &quot;-&quot;??\ &quot;€&quot;_-;_-@_-"/>
    </dxf>
    <dxf>
      <numFmt numFmtId="34" formatCode="_ &quot;€&quot;\ * #,##0.00_ ;_ &quot;€&quot;\ * \-#,##0.00_ ;_ &quot;€&quot;\ * &quot;-&quot;??_ ;_ @_ "/>
    </dxf>
    <dxf>
      <numFmt numFmtId="2" formatCode="0.00"/>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numFmt numFmtId="177" formatCode="0.0"/>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dxf>
    <dxf>
      <font>
        <b val="0"/>
        <i val="0"/>
        <strike val="0"/>
        <condense val="0"/>
        <extend val="0"/>
        <outline val="0"/>
        <shadow val="0"/>
        <u val="none"/>
        <vertAlign val="baseline"/>
        <sz val="11"/>
        <color theme="1"/>
        <name val="Calibri"/>
        <family val="2"/>
        <scheme val="none"/>
      </font>
      <numFmt numFmtId="177" formatCode="0.0"/>
      <alignment horizontal="left" vertical="bottom" textRotation="0" wrapText="0" indent="0" justifyLastLine="0" shrinkToFit="0" readingOrder="0"/>
    </dxf>
    <dxf>
      <font>
        <b val="0"/>
        <i val="0"/>
        <strike val="0"/>
        <condense val="0"/>
        <extend val="0"/>
        <outline val="0"/>
        <shadow val="0"/>
        <u val="none"/>
        <vertAlign val="baseline"/>
        <sz val="11"/>
        <color theme="1"/>
        <name val="Calibri"/>
        <family val="2"/>
        <scheme val="none"/>
      </font>
      <numFmt numFmtId="1" formatCode="0"/>
      <alignment horizontal="left" vertical="bottom" textRotation="0" wrapText="0" indent="0" justifyLastLine="0" shrinkToFit="0" readingOrder="0"/>
    </dxf>
    <dxf>
      <font>
        <name val="Calibri"/>
        <family val="2"/>
        <scheme val="none"/>
      </font>
      <alignment horizontal="left" vertical="bottom" textRotation="0" wrapText="0" indent="0" justifyLastLine="0" shrinkToFit="0" readingOrder="0"/>
    </dxf>
    <dxf>
      <font>
        <name val="Calibri"/>
        <family val="2"/>
        <scheme val="none"/>
      </font>
      <alignment horizontal="left" vertical="bottom" textRotation="0" wrapText="0" indent="0" justifyLastLine="0" shrinkToFit="0" readingOrder="0"/>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border diagonalUp="0" diagonalDown="0">
        <left style="medium">
          <color rgb="FF9BC2E6"/>
        </left>
        <right style="medium">
          <color rgb="FF9BC2E6"/>
        </right>
        <top style="medium">
          <color rgb="FF9BC2E6"/>
        </top>
        <bottom style="medium">
          <color rgb="FF9BC2E6"/>
        </bottom>
      </border>
    </dxf>
    <dxf>
      <fill>
        <patternFill patternType="none">
          <fgColor rgb="FF000000"/>
          <bgColor auto="1"/>
        </patternFill>
      </fill>
    </dxf>
    <dxf>
      <fill>
        <patternFill patternType="solid">
          <fgColor indexed="64"/>
          <bgColor theme="4" tint="0.39997558519241921"/>
        </patternFill>
      </fill>
    </dxf>
    <dxf>
      <numFmt numFmtId="168" formatCode="_-[$€-2]\ * #,##0.00_-;\-[$€-2]\ * #,##0.00_-;_-[$€-2]\ * &quot;-&quot;??_-;_-@"/>
    </dxf>
    <dxf>
      <numFmt numFmtId="184" formatCode="_-* #,##0_-;\-* #,##0_-;_-* &quot;-&quot;??_-;_-@_-"/>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font>
        <b val="0"/>
        <i val="0"/>
        <strike val="0"/>
        <condense val="0"/>
        <extend val="0"/>
        <outline val="0"/>
        <shadow val="0"/>
        <u val="none"/>
        <vertAlign val="baseline"/>
        <sz val="11"/>
        <color theme="1"/>
        <name val="Calibri"/>
        <family val="2"/>
        <scheme val="none"/>
      </font>
      <numFmt numFmtId="34" formatCode="_ &quot;€&quot;\ * #,##0.00_ ;_ &quot;€&quot;\ * \-#,##0.00_ ;_ &quot;€&quot;\ * &quot;-&quot;??_ ;_ @_ "/>
      <alignment horizontal="center" vertical="bottom" textRotation="0" wrapText="0" indent="0" justifyLastLine="0" shrinkToFit="0" readingOrder="0"/>
    </dxf>
    <dxf>
      <numFmt numFmtId="164" formatCode="_-* #,##0.00\ &quot;€&quot;_-;\-* #,##0.00\ &quot;€&quot;_-;_-* &quot;-&quot;??\ &quot;€&quot;_-;_-@_-"/>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alignment horizontal="center" vertical="bottom" textRotation="0" indent="0" justifyLastLine="0" shrinkToFit="0" readingOrder="0"/>
    </dxf>
    <dxf>
      <alignment horizontal="center" vertical="bottom" textRotation="0" wrapText="0" indent="0" justifyLastLine="0" shrinkToFit="0" readingOrder="0"/>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border diagonalUp="0" diagonalDown="0">
        <left style="medium">
          <color theme="4" tint="0.39997558519241921"/>
        </left>
        <right style="medium">
          <color theme="4" tint="0.39997558519241921"/>
        </right>
        <top style="medium">
          <color theme="4" tint="0.39997558519241921"/>
        </top>
        <bottom style="medium">
          <color theme="4" tint="0.39997558519241921"/>
        </bottom>
      </border>
    </dxf>
    <dxf>
      <fill>
        <patternFill patternType="none">
          <fgColor indexed="64"/>
          <bgColor auto="1"/>
        </patternFill>
      </fill>
    </dxf>
    <dxf>
      <fill>
        <patternFill patternType="solid">
          <fgColor indexed="64"/>
          <bgColor theme="4" tint="0.39997558519241921"/>
        </patternFill>
      </fill>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font>
        <b val="0"/>
        <i val="0"/>
        <strike val="0"/>
        <condense val="0"/>
        <extend val="0"/>
        <outline val="0"/>
        <shadow val="0"/>
        <u val="none"/>
        <vertAlign val="baseline"/>
        <sz val="11"/>
        <color theme="1"/>
        <name val="Calibri"/>
        <family val="2"/>
        <scheme val="none"/>
      </font>
      <numFmt numFmtId="34" formatCode="_ &quot;€&quot;\ * #,##0.00_ ;_ &quot;€&quot;\ * \-#,##0.00_ ;_ &quot;€&quot;\ * &quot;-&quot;??_ ;_ @_ "/>
      <alignment horizontal="center" vertical="bottom" textRotation="0" wrapText="0" indent="0" justifyLastLine="0" shrinkToFit="0" readingOrder="0"/>
    </dxf>
    <dxf>
      <font>
        <name val="Calibri"/>
        <family val="2"/>
        <scheme val="none"/>
      </font>
      <numFmt numFmtId="34" formatCode="_ &quot;€&quot;\ * #,##0.00_ ;_ &quot;€&quot;\ * \-#,##0.00_ ;_ &quot;€&quot;\ * &quot;-&quot;??_ ;_ @_ "/>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none"/>
      </font>
      <numFmt numFmtId="34" formatCode="_ &quot;€&quot;\ * #,##0.00_ ;_ &quot;€&quot;\ * \-#,##0.00_ ;_ &quot;€&quot;\ * &quot;-&quot;??_ ;_ @_ "/>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none"/>
      </font>
      <numFmt numFmtId="1" formatCode="0"/>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none"/>
      </font>
      <numFmt numFmtId="2" formatCode="0.00"/>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none"/>
      </font>
      <numFmt numFmtId="1" formatCode="0"/>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none"/>
      </font>
      <numFmt numFmtId="177" formatCode="0.0"/>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none"/>
      </font>
    </dxf>
    <dxf>
      <font>
        <b val="0"/>
        <i val="0"/>
        <strike val="0"/>
        <condense val="0"/>
        <extend val="0"/>
        <outline val="0"/>
        <shadow val="0"/>
        <u val="none"/>
        <vertAlign val="baseline"/>
        <sz val="11"/>
        <color theme="1"/>
        <name val="Calibri"/>
        <family val="2"/>
        <scheme val="none"/>
      </font>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font>
        <b val="0"/>
        <i val="0"/>
        <strike val="0"/>
        <condense val="0"/>
        <extend val="0"/>
        <outline val="0"/>
        <shadow val="0"/>
        <u val="none"/>
        <vertAlign val="baseline"/>
        <sz val="11"/>
        <color rgb="FFFF0000"/>
        <name val="Calibri"/>
        <family val="2"/>
        <scheme val="none"/>
      </font>
      <alignment horizontal="left" vertical="bottom" textRotation="0" wrapText="0" indent="0" justifyLastLine="0" shrinkToFit="0" readingOrder="0"/>
    </dxf>
    <dxf>
      <font>
        <b val="0"/>
        <i val="0"/>
        <strike val="0"/>
        <condense val="0"/>
        <extend val="0"/>
        <outline val="0"/>
        <shadow val="0"/>
        <u val="none"/>
        <vertAlign val="baseline"/>
        <sz val="11"/>
        <color theme="1"/>
        <name val="Calibri"/>
        <family val="2"/>
        <scheme val="none"/>
      </font>
      <numFmt numFmtId="177" formatCode="0.0"/>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none"/>
      </font>
      <numFmt numFmtId="1" formatCode="0"/>
      <alignment horizontal="center" vertical="bottom" textRotation="0" wrapText="0" indent="0" justifyLastLine="0" shrinkToFit="0" readingOrder="0"/>
    </dxf>
    <dxf>
      <font>
        <color rgb="FF000000"/>
        <name val="Calibri"/>
        <family val="2"/>
        <scheme val="none"/>
      </font>
      <alignment horizontal="general" vertical="bottom" textRotation="0" wrapText="1" indent="0" justifyLastLine="0" shrinkToFit="0" readingOrder="0"/>
    </dxf>
    <dxf>
      <font>
        <b val="0"/>
        <i val="0"/>
        <strike val="0"/>
        <condense val="0"/>
        <extend val="0"/>
        <outline val="0"/>
        <shadow val="0"/>
        <u val="none"/>
        <vertAlign val="baseline"/>
        <sz val="11"/>
        <color rgb="FF000000"/>
        <name val="Calibri"/>
        <family val="2"/>
        <scheme val="none"/>
      </font>
      <alignment horizontal="general" vertical="bottom" textRotation="0" wrapText="1" indent="0" justifyLastLine="0" shrinkToFit="0" readingOrder="0"/>
    </dxf>
    <dxf>
      <font>
        <name val="Calibri"/>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1"/>
        <color rgb="FF000000"/>
        <name val="Calibri"/>
        <family val="2"/>
        <scheme val="none"/>
      </font>
      <alignment horizontal="left" vertical="bottom" textRotation="0" wrapText="1" indent="0" justifyLastLine="0" shrinkToFit="0" readingOrder="0"/>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border diagonalUp="0" diagonalDown="0">
        <left style="medium">
          <color rgb="FF9BC2E6"/>
        </left>
        <right style="medium">
          <color rgb="FF9BC2E6"/>
        </right>
        <top style="medium">
          <color rgb="FF9BC2E6"/>
        </top>
        <bottom style="medium">
          <color rgb="FF9BC2E6"/>
        </bottom>
      </border>
    </dxf>
    <dxf>
      <fill>
        <patternFill patternType="none">
          <fgColor rgb="FF000000"/>
          <bgColor auto="1"/>
        </patternFill>
      </fill>
    </dxf>
    <dxf>
      <fill>
        <patternFill patternType="solid">
          <fgColor indexed="64"/>
          <bgColor theme="4" tint="0.39997558519241921"/>
        </patternFill>
      </fill>
    </dxf>
    <dxf>
      <numFmt numFmtId="168" formatCode="_-[$€-2]\ * #,##0.00_-;\-[$€-2]\ * #,##0.00_-;_-[$€-2]\ * &quot;-&quot;??_-;_-@"/>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font>
        <b val="0"/>
        <i val="0"/>
        <strike val="0"/>
        <condense val="0"/>
        <extend val="0"/>
        <outline val="0"/>
        <shadow val="0"/>
        <u val="none"/>
        <vertAlign val="baseline"/>
        <sz val="11"/>
        <color theme="1"/>
        <name val="Calibri"/>
        <family val="2"/>
        <scheme val="none"/>
      </font>
      <numFmt numFmtId="34" formatCode="_ &quot;€&quot;\ * #,##0.00_ ;_ &quot;€&quot;\ * \-#,##0.00_ ;_ &quot;€&quot;\ * &quot;-&quot;??_ ;_ @_ "/>
      <alignment horizontal="center" vertical="bottom" textRotation="0" wrapText="0" indent="0" justifyLastLine="0" shrinkToFit="0" readingOrder="0"/>
    </dxf>
    <dxf>
      <numFmt numFmtId="164" formatCode="_-* #,##0.00\ &quot;€&quot;_-;\-* #,##0.00\ &quot;€&quot;_-;_-* &quot;-&quot;??\ &quot;€&quot;_-;_-@_-"/>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numFmt numFmtId="177" formatCode="0.0"/>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font>
        <b val="0"/>
        <i val="0"/>
        <strike val="0"/>
        <condense val="0"/>
        <extend val="0"/>
        <outline val="0"/>
        <shadow val="0"/>
        <u val="none"/>
        <vertAlign val="baseline"/>
        <sz val="11"/>
        <color theme="1"/>
        <name val="Calibri"/>
        <family val="2"/>
        <scheme val="none"/>
      </font>
      <alignment horizontal="left" vertical="bottom" textRotation="0" wrapText="0" indent="0" justifyLastLine="0" shrinkToFit="0" readingOrder="0"/>
    </dxf>
    <dxf>
      <font>
        <b val="0"/>
        <i val="0"/>
        <strike val="0"/>
        <condense val="0"/>
        <extend val="0"/>
        <outline val="0"/>
        <shadow val="0"/>
        <u val="none"/>
        <vertAlign val="baseline"/>
        <sz val="11"/>
        <color rgb="FF000000"/>
        <name val="Calibri"/>
        <family val="2"/>
        <scheme val="none"/>
      </font>
      <numFmt numFmtId="2" formatCode="0.00"/>
      <fill>
        <patternFill patternType="solid">
          <fgColor rgb="FFDADADA"/>
          <bgColor rgb="FFDADADA"/>
        </patternFill>
      </fill>
    </dxf>
    <dxf>
      <font>
        <b val="0"/>
        <i val="0"/>
        <strike val="0"/>
        <condense val="0"/>
        <extend val="0"/>
        <outline val="0"/>
        <shadow val="0"/>
        <u val="none"/>
        <vertAlign val="baseline"/>
        <sz val="11"/>
        <color rgb="FF000000"/>
        <name val="Calibri"/>
        <family val="2"/>
        <scheme val="none"/>
      </font>
      <numFmt numFmtId="177" formatCode="0.0"/>
      <fill>
        <patternFill patternType="solid">
          <fgColor rgb="FFDADADA"/>
          <bgColor rgb="FFDADADA"/>
        </patternFill>
      </fill>
      <alignment horizontal="right" vertical="bottom" textRotation="0" wrapText="0" indent="0" justifyLastLine="0" shrinkToFit="0" readingOrder="0"/>
    </dxf>
    <dxf>
      <font>
        <b val="0"/>
        <i val="0"/>
        <strike val="0"/>
        <condense val="0"/>
        <extend val="0"/>
        <outline val="0"/>
        <shadow val="0"/>
        <u val="none"/>
        <vertAlign val="baseline"/>
        <sz val="11"/>
        <color rgb="FF000000"/>
        <name val="Calibri"/>
        <family val="2"/>
        <scheme val="none"/>
      </font>
      <numFmt numFmtId="177" formatCode="0.0"/>
      <fill>
        <patternFill patternType="solid">
          <fgColor rgb="FFDADADA"/>
          <bgColor rgb="FFDADADA"/>
        </patternFill>
      </fill>
    </dxf>
    <dxf>
      <font>
        <b val="0"/>
        <i val="0"/>
        <strike val="0"/>
        <condense val="0"/>
        <extend val="0"/>
        <outline val="0"/>
        <shadow val="0"/>
        <u val="none"/>
        <vertAlign val="baseline"/>
        <sz val="11"/>
        <color rgb="FF000000"/>
        <name val="Calibri"/>
        <family val="2"/>
        <scheme val="none"/>
      </font>
      <fill>
        <patternFill patternType="solid">
          <fgColor rgb="FFD8D8D8"/>
          <bgColor rgb="FFD8D8D8"/>
        </patternFill>
      </fill>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font>
        <color rgb="FF000000"/>
        <name val="Calibri"/>
        <family val="2"/>
        <scheme val="none"/>
      </font>
      <fill>
        <patternFill patternType="solid">
          <fgColor rgb="FFD8D8D8"/>
          <bgColor rgb="FFD8D8D8"/>
        </patternFill>
      </fill>
      <alignment horizontal="right" vertical="bottom" textRotation="0" wrapText="0" indent="0" justifyLastLine="0" shrinkToFit="0" readingOrder="0"/>
    </dxf>
    <dxf>
      <font>
        <color rgb="FF000000"/>
        <name val="Calibri"/>
        <family val="2"/>
        <scheme val="none"/>
      </font>
      <fill>
        <patternFill patternType="solid">
          <fgColor rgb="FFD8D8D8"/>
          <bgColor rgb="FFD8D8D8"/>
        </patternFill>
      </fill>
      <alignment horizontal="right" vertical="bottom" textRotation="0" wrapText="0" indent="0" justifyLastLine="0" shrinkToFit="0" readingOrder="0"/>
    </dxf>
    <dxf>
      <font>
        <b val="0"/>
        <i val="0"/>
        <strike val="0"/>
        <condense val="0"/>
        <extend val="0"/>
        <outline val="0"/>
        <shadow val="0"/>
        <u val="none"/>
        <vertAlign val="baseline"/>
        <sz val="11"/>
        <color rgb="FF000000"/>
        <name val="Calibri"/>
        <family val="2"/>
        <scheme val="none"/>
      </font>
      <fill>
        <patternFill patternType="solid">
          <fgColor rgb="FFD8D8D8"/>
          <bgColor rgb="FFD8D8D8"/>
        </patternFill>
      </fill>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border diagonalUp="0" diagonalDown="0">
        <left style="medium">
          <color rgb="FF9BC2E6"/>
        </left>
        <right style="medium">
          <color rgb="FF9BC2E6"/>
        </right>
        <top style="medium">
          <color rgb="FF9BC2E6"/>
        </top>
        <bottom style="medium">
          <color rgb="FF9BC2E6"/>
        </bottom>
      </border>
    </dxf>
    <dxf>
      <fill>
        <patternFill patternType="none">
          <fgColor rgb="FF000000"/>
          <bgColor auto="1"/>
        </patternFill>
      </fill>
    </dxf>
    <dxf>
      <fill>
        <patternFill patternType="solid">
          <fgColor indexed="64"/>
          <bgColor theme="4" tint="0.39997558519241921"/>
        </patternFill>
      </fill>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font>
        <b val="0"/>
        <i val="0"/>
        <strike val="0"/>
        <condense val="0"/>
        <extend val="0"/>
        <outline val="0"/>
        <shadow val="0"/>
        <u val="none"/>
        <vertAlign val="baseline"/>
        <sz val="11"/>
        <color theme="1"/>
        <name val="Calibri"/>
        <family val="2"/>
        <scheme val="none"/>
      </font>
      <numFmt numFmtId="34" formatCode="_ &quot;€&quot;\ * #,##0.00_ ;_ &quot;€&quot;\ * \-#,##0.00_ ;_ &quot;€&quot;\ * &quot;-&quot;??_ ;_ @_ "/>
      <alignment horizontal="center" vertical="bottom" textRotation="0" wrapText="0" indent="0" justifyLastLine="0" shrinkToFit="0" readingOrder="0"/>
    </dxf>
    <dxf>
      <numFmt numFmtId="164" formatCode="_-* #,##0.00\ &quot;€&quot;_-;\-* #,##0.00\ &quot;€&quot;_-;_-* &quot;-&quot;??\ &quot;€&quot;_-;_-@_-"/>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numFmt numFmtId="0" formatCode="General"/>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alignment horizontal="center" vertical="bottom" textRotation="0" indent="0" justifyLastLine="0" shrinkToFit="0" readingOrder="0"/>
    </dxf>
    <dxf>
      <alignment horizontal="center" vertical="bottom" textRotation="0" wrapText="0" indent="0" justifyLastLine="0" shrinkToFit="0" readingOrder="0"/>
    </dxf>
    <dxf>
      <border diagonalUp="0" diagonalDown="0">
        <left style="thick">
          <color theme="7" tint="0.59999389629810485"/>
        </left>
        <right style="thick">
          <color theme="7" tint="0.59999389629810485"/>
        </right>
        <top style="thick">
          <color theme="7" tint="0.59999389629810485"/>
        </top>
        <bottom style="thick">
          <color theme="7" tint="0.59999389629810485"/>
        </bottom>
      </border>
    </dxf>
    <dxf>
      <fill>
        <patternFill patternType="solid">
          <fgColor rgb="FFFFE599"/>
          <bgColor rgb="FFFFE599"/>
        </patternFill>
      </fill>
    </dxf>
    <dxf>
      <fill>
        <patternFill patternType="solid">
          <fgColor rgb="FFBDD6EE"/>
          <bgColor rgb="FFBDD6EE"/>
        </patternFill>
      </fill>
    </dxf>
    <dxf>
      <font>
        <color rgb="FF000000"/>
      </font>
      <fill>
        <patternFill patternType="solid">
          <fgColor rgb="FFBDD6EE"/>
          <bgColor rgb="FFBDD6EE"/>
        </patternFill>
      </fill>
    </dxf>
    <dxf>
      <font>
        <color rgb="FF9C0006"/>
      </font>
      <fill>
        <patternFill patternType="solid">
          <fgColor rgb="FFFFC7CE"/>
          <bgColor rgb="FFFFC7CE"/>
        </patternFill>
      </fill>
    </dxf>
    <dxf>
      <fill>
        <patternFill patternType="solid">
          <fgColor rgb="FF8EAADB"/>
          <bgColor rgb="FF8EAADB"/>
        </patternFill>
      </fill>
    </dxf>
    <dxf>
      <fill>
        <patternFill patternType="solid">
          <fgColor rgb="FF8EAADB"/>
          <bgColor rgb="FF8EAADB"/>
        </patternFill>
      </fill>
    </dxf>
    <dxf>
      <fill>
        <patternFill patternType="solid">
          <fgColor rgb="FF8EAADB"/>
          <bgColor rgb="FF8EAADB"/>
        </patternFill>
      </fill>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rgb="FFFFC000"/>
          <bgColor rgb="FFFFC000"/>
        </patternFill>
      </fill>
    </dxf>
    <dxf>
      <fill>
        <patternFill patternType="solid">
          <fgColor rgb="FFECECEC"/>
          <bgColor rgb="FFECECEC"/>
        </patternFill>
      </fill>
    </dxf>
    <dxf>
      <fill>
        <patternFill patternType="solid">
          <fgColor rgb="FFDADADA"/>
          <bgColor rgb="FFDADADA"/>
        </patternFill>
      </fill>
    </dxf>
    <dxf>
      <fill>
        <patternFill patternType="solid">
          <fgColor rgb="FFFFC000"/>
          <bgColor rgb="FFFFC000"/>
        </patternFill>
      </fill>
    </dxf>
    <dxf>
      <fill>
        <patternFill patternType="solid">
          <fgColor rgb="FFECECEC"/>
          <bgColor rgb="FFECECEC"/>
        </patternFill>
      </fill>
    </dxf>
    <dxf>
      <fill>
        <patternFill patternType="solid">
          <fgColor rgb="FFDADADA"/>
          <bgColor rgb="FFDADADA"/>
        </patternFill>
      </fill>
    </dxf>
    <dxf>
      <fill>
        <patternFill patternType="solid">
          <fgColor rgb="FFFFC000"/>
          <bgColor rgb="FFFFC000"/>
        </patternFill>
      </fill>
    </dxf>
    <dxf>
      <fill>
        <patternFill patternType="solid">
          <fgColor rgb="FFECECEC"/>
          <bgColor rgb="FFECECEC"/>
        </patternFill>
      </fill>
    </dxf>
    <dxf>
      <fill>
        <patternFill patternType="solid">
          <fgColor rgb="FFDADADA"/>
          <bgColor rgb="FFDADADA"/>
        </patternFill>
      </fill>
    </dxf>
    <dxf>
      <fill>
        <patternFill patternType="solid">
          <fgColor rgb="FFFFC000"/>
          <bgColor rgb="FFFFC000"/>
        </patternFill>
      </fill>
    </dxf>
    <dxf>
      <fill>
        <patternFill patternType="solid">
          <fgColor rgb="FFECECEC"/>
          <bgColor rgb="FFECECEC"/>
        </patternFill>
      </fill>
    </dxf>
    <dxf>
      <fill>
        <patternFill patternType="solid">
          <fgColor rgb="FFDADADA"/>
          <bgColor rgb="FFDADADA"/>
        </patternFill>
      </fill>
    </dxf>
    <dxf>
      <fill>
        <patternFill patternType="solid">
          <fgColor rgb="FFFFC000"/>
          <bgColor rgb="FFFFC000"/>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ECECEC"/>
          <bgColor rgb="FFECECEC"/>
        </patternFill>
      </fill>
    </dxf>
    <dxf>
      <fill>
        <patternFill patternType="solid">
          <fgColor rgb="FFDADADA"/>
          <bgColor rgb="FFDADADA"/>
        </patternFill>
      </fill>
    </dxf>
    <dxf>
      <fill>
        <patternFill patternType="solid">
          <fgColor theme="7"/>
          <bgColor theme="7"/>
        </patternFill>
      </fill>
    </dxf>
    <dxf>
      <fill>
        <patternFill patternType="solid">
          <fgColor rgb="FFBDD6EE"/>
          <bgColor rgb="FFBDD6EE"/>
        </patternFill>
      </fill>
    </dxf>
    <dxf>
      <fill>
        <patternFill patternType="solid">
          <fgColor rgb="FFFEF2CB"/>
          <bgColor rgb="FFFEF2CB"/>
        </patternFill>
      </fill>
    </dxf>
    <dxf>
      <fill>
        <patternFill patternType="solid">
          <fgColor theme="7"/>
          <bgColor theme="7"/>
        </patternFill>
      </fill>
    </dxf>
  </dxfs>
  <tableStyles count="164">
    <tableStyle name="Logboek -style" pivot="0" count="3" xr9:uid="{00000000-0011-0000-FFFF-FFFF00000000}">
      <tableStyleElement type="headerRow" dxfId="1351"/>
      <tableStyleElement type="firstRowStripe" dxfId="1350"/>
      <tableStyleElement type="secondRowStripe" dxfId="1349"/>
    </tableStyle>
    <tableStyle name="Aloha-style" pivot="0" count="3" xr9:uid="{00000000-0011-0000-FFFF-FFFF01000000}">
      <tableStyleElement type="headerRow" dxfId="1348"/>
      <tableStyleElement type="firstRowStripe" dxfId="1347"/>
      <tableStyleElement type="secondRowStripe" dxfId="1346"/>
    </tableStyle>
    <tableStyle name="Aloha-style 2" pivot="0" count="3" xr9:uid="{00000000-0011-0000-FFFF-FFFF02000000}">
      <tableStyleElement type="headerRow" dxfId="1345"/>
      <tableStyleElement type="firstRowStripe" dxfId="1344"/>
      <tableStyleElement type="secondRowStripe" dxfId="1343"/>
    </tableStyle>
    <tableStyle name="Aloha-style 3" pivot="0" count="3" xr9:uid="{00000000-0011-0000-FFFF-FFFF03000000}">
      <tableStyleElement type="headerRow" dxfId="1342"/>
      <tableStyleElement type="firstRowStripe" dxfId="1341"/>
      <tableStyleElement type="secondRowStripe" dxfId="1340"/>
    </tableStyle>
    <tableStyle name="Aloha-style 4" pivot="0" count="3" xr9:uid="{00000000-0011-0000-FFFF-FFFF04000000}">
      <tableStyleElement type="headerRow" dxfId="1339"/>
      <tableStyleElement type="firstRowStripe" dxfId="1338"/>
      <tableStyleElement type="secondRowStripe" dxfId="1337"/>
    </tableStyle>
    <tableStyle name="Aloha-style 5" pivot="0" count="3" xr9:uid="{00000000-0011-0000-FFFF-FFFF05000000}">
      <tableStyleElement type="headerRow" dxfId="1336"/>
      <tableStyleElement type="firstRowStripe" dxfId="1335"/>
      <tableStyleElement type="secondRowStripe" dxfId="1334"/>
    </tableStyle>
    <tableStyle name="Arashi-style" pivot="0" count="3" xr9:uid="{00000000-0011-0000-FFFF-FFFF06000000}">
      <tableStyleElement type="headerRow" dxfId="1333"/>
      <tableStyleElement type="firstRowStripe" dxfId="1332"/>
      <tableStyleElement type="secondRowStripe" dxfId="1331"/>
    </tableStyle>
    <tableStyle name="Arashi-style 2" pivot="0" count="3" xr9:uid="{00000000-0011-0000-FFFF-FFFF07000000}">
      <tableStyleElement type="headerRow" dxfId="1330"/>
      <tableStyleElement type="firstRowStripe" dxfId="1329"/>
      <tableStyleElement type="secondRowStripe" dxfId="1328"/>
    </tableStyle>
    <tableStyle name="Arashi-style 3" pivot="0" count="3" xr9:uid="{00000000-0011-0000-FFFF-FFFF08000000}">
      <tableStyleElement type="headerRow" dxfId="1327"/>
      <tableStyleElement type="firstRowStripe" dxfId="1326"/>
      <tableStyleElement type="secondRowStripe" dxfId="1325"/>
    </tableStyle>
    <tableStyle name="Arashi-style 4" pivot="0" count="3" xr9:uid="{00000000-0011-0000-FFFF-FFFF09000000}">
      <tableStyleElement type="headerRow" dxfId="1324"/>
      <tableStyleElement type="firstRowStripe" dxfId="1323"/>
      <tableStyleElement type="secondRowStripe" dxfId="1322"/>
    </tableStyle>
    <tableStyle name="Arashi-style 5" pivot="0" count="3" xr9:uid="{00000000-0011-0000-FFFF-FFFF0A000000}">
      <tableStyleElement type="headerRow" dxfId="1321"/>
      <tableStyleElement type="firstRowStripe" dxfId="1320"/>
      <tableStyleElement type="secondRowStripe" dxfId="1319"/>
    </tableStyle>
    <tableStyle name="Arriba-style" pivot="0" count="3" xr9:uid="{00000000-0011-0000-FFFF-FFFF0B000000}">
      <tableStyleElement type="headerRow" dxfId="1318"/>
      <tableStyleElement type="firstRowStripe" dxfId="1317"/>
      <tableStyleElement type="secondRowStripe" dxfId="1316"/>
    </tableStyle>
    <tableStyle name="Arriba-style 2" pivot="0" count="3" xr9:uid="{00000000-0011-0000-FFFF-FFFF0C000000}">
      <tableStyleElement type="headerRow" dxfId="1315"/>
      <tableStyleElement type="firstRowStripe" dxfId="1314"/>
      <tableStyleElement type="secondRowStripe" dxfId="1313"/>
    </tableStyle>
    <tableStyle name="Arriba-style 3" pivot="0" count="3" xr9:uid="{00000000-0011-0000-FFFF-FFFF0D000000}">
      <tableStyleElement type="headerRow" dxfId="1312"/>
      <tableStyleElement type="firstRowStripe" dxfId="1311"/>
      <tableStyleElement type="secondRowStripe" dxfId="1310"/>
    </tableStyle>
    <tableStyle name="Arriba-style 4" pivot="0" count="3" xr9:uid="{00000000-0011-0000-FFFF-FFFF0E000000}">
      <tableStyleElement type="headerRow" dxfId="1309"/>
      <tableStyleElement type="firstRowStripe" dxfId="1308"/>
      <tableStyleElement type="secondRowStripe" dxfId="1307"/>
    </tableStyle>
    <tableStyle name="Arriba-style 5" pivot="0" count="3" xr9:uid="{00000000-0011-0000-FFFF-FFFF0F000000}">
      <tableStyleElement type="headerRow" dxfId="1306"/>
      <tableStyleElement type="firstRowStripe" dxfId="1305"/>
      <tableStyleElement type="secondRowStripe" dxfId="1304"/>
    </tableStyle>
    <tableStyle name="Buitenwesten-style" pivot="0" count="3" xr9:uid="{00000000-0011-0000-FFFF-FFFF10000000}">
      <tableStyleElement type="headerRow" dxfId="1303"/>
      <tableStyleElement type="firstRowStripe" dxfId="1302"/>
      <tableStyleElement type="secondRowStripe" dxfId="1301"/>
    </tableStyle>
    <tableStyle name="Buitenwesten-style 2" pivot="0" count="3" xr9:uid="{00000000-0011-0000-FFFF-FFFF11000000}">
      <tableStyleElement type="headerRow" dxfId="1300"/>
      <tableStyleElement type="firstRowStripe" dxfId="1299"/>
      <tableStyleElement type="secondRowStripe" dxfId="1298"/>
    </tableStyle>
    <tableStyle name="Buitenwesten-style 3" pivot="0" count="3" xr9:uid="{00000000-0011-0000-FFFF-FFFF12000000}">
      <tableStyleElement type="headerRow" dxfId="1297"/>
      <tableStyleElement type="firstRowStripe" dxfId="1296"/>
      <tableStyleElement type="secondRowStripe" dxfId="1295"/>
    </tableStyle>
    <tableStyle name="Buitenwesten-style 4" pivot="0" count="3" xr9:uid="{00000000-0011-0000-FFFF-FFFF13000000}">
      <tableStyleElement type="headerRow" dxfId="1294"/>
      <tableStyleElement type="firstRowStripe" dxfId="1293"/>
      <tableStyleElement type="secondRowStripe" dxfId="1292"/>
    </tableStyle>
    <tableStyle name="Cabezota-style" pivot="0" count="3" xr9:uid="{00000000-0011-0000-FFFF-FFFF14000000}">
      <tableStyleElement type="headerRow" dxfId="1291"/>
      <tableStyleElement type="firstRowStripe" dxfId="1290"/>
      <tableStyleElement type="secondRowStripe" dxfId="1289"/>
    </tableStyle>
    <tableStyle name="Cabezota-style 2" pivot="0" count="3" xr9:uid="{00000000-0011-0000-FFFF-FFFF15000000}">
      <tableStyleElement type="headerRow" dxfId="1288"/>
      <tableStyleElement type="firstRowStripe" dxfId="1287"/>
      <tableStyleElement type="secondRowStripe" dxfId="1286"/>
    </tableStyle>
    <tableStyle name="Cabezota-style 3" pivot="0" count="3" xr9:uid="{00000000-0011-0000-FFFF-FFFF16000000}">
      <tableStyleElement type="headerRow" dxfId="1285"/>
      <tableStyleElement type="firstRowStripe" dxfId="1284"/>
      <tableStyleElement type="secondRowStripe" dxfId="1283"/>
    </tableStyle>
    <tableStyle name="Cabezota-style 4" pivot="0" count="3" xr9:uid="{00000000-0011-0000-FFFF-FFFF17000000}">
      <tableStyleElement type="headerRow" dxfId="1282"/>
      <tableStyleElement type="firstRowStripe" dxfId="1281"/>
      <tableStyleElement type="secondRowStripe" dxfId="1280"/>
    </tableStyle>
    <tableStyle name="Cabezota-style 5" pivot="0" count="3" xr9:uid="{00000000-0011-0000-FFFF-FFFF18000000}">
      <tableStyleElement type="headerRow" dxfId="1279"/>
      <tableStyleElement type="firstRowStripe" dxfId="1278"/>
      <tableStyleElement type="secondRowStripe" dxfId="1277"/>
    </tableStyle>
    <tableStyle name="DHC-style" pivot="0" count="3" xr9:uid="{00000000-0011-0000-FFFF-FFFF19000000}">
      <tableStyleElement type="headerRow" dxfId="1276"/>
      <tableStyleElement type="firstRowStripe" dxfId="1275"/>
      <tableStyleElement type="secondRowStripe" dxfId="1274"/>
    </tableStyle>
    <tableStyle name="DHC-style 2" pivot="0" count="3" xr9:uid="{00000000-0011-0000-FFFF-FFFF1A000000}">
      <tableStyleElement type="headerRow" dxfId="1273"/>
      <tableStyleElement type="firstRowStripe" dxfId="1272"/>
      <tableStyleElement type="secondRowStripe" dxfId="1271"/>
    </tableStyle>
    <tableStyle name="DHC-style 3" pivot="0" count="3" xr9:uid="{00000000-0011-0000-FFFF-FFFF1B000000}">
      <tableStyleElement type="headerRow" dxfId="1270"/>
      <tableStyleElement type="firstRowStripe" dxfId="1269"/>
      <tableStyleElement type="secondRowStripe" dxfId="1268"/>
    </tableStyle>
    <tableStyle name="DHC-style 4" pivot="0" count="3" xr9:uid="{00000000-0011-0000-FFFF-FFFF1C000000}">
      <tableStyleElement type="headerRow" dxfId="1267"/>
      <tableStyleElement type="firstRowStripe" dxfId="1266"/>
      <tableStyleElement type="secondRowStripe" dxfId="1265"/>
    </tableStyle>
    <tableStyle name="DHC-style 5" pivot="0" count="3" xr9:uid="{00000000-0011-0000-FFFF-FFFF1D000000}">
      <tableStyleElement type="headerRow" dxfId="1264"/>
      <tableStyleElement type="firstRowStripe" dxfId="1263"/>
      <tableStyleElement type="secondRowStripe" dxfId="1262"/>
    </tableStyle>
    <tableStyle name="DIOK-style" pivot="0" count="3" xr9:uid="{00000000-0011-0000-FFFF-FFFF1E000000}">
      <tableStyleElement type="headerRow" dxfId="1261"/>
      <tableStyleElement type="firstRowStripe" dxfId="1260"/>
      <tableStyleElement type="secondRowStripe" dxfId="1259"/>
    </tableStyle>
    <tableStyle name="DIOK-style 2" pivot="0" count="3" xr9:uid="{00000000-0011-0000-FFFF-FFFF1F000000}">
      <tableStyleElement type="headerRow" dxfId="1258"/>
      <tableStyleElement type="firstRowStripe" dxfId="1257"/>
      <tableStyleElement type="secondRowStripe" dxfId="1256"/>
    </tableStyle>
    <tableStyle name="DIOK-style 3" pivot="0" count="3" xr9:uid="{00000000-0011-0000-FFFF-FFFF20000000}">
      <tableStyleElement type="headerRow" dxfId="1255"/>
      <tableStyleElement type="firstRowStripe" dxfId="1254"/>
      <tableStyleElement type="secondRowStripe" dxfId="1253"/>
    </tableStyle>
    <tableStyle name="DIOK-style 4" pivot="0" count="3" xr9:uid="{00000000-0011-0000-FFFF-FFFF21000000}">
      <tableStyleElement type="headerRow" dxfId="1252"/>
      <tableStyleElement type="firstRowStripe" dxfId="1251"/>
      <tableStyleElement type="secondRowStripe" dxfId="1250"/>
    </tableStyle>
    <tableStyle name="DIOK-style 5" pivot="0" count="3" xr9:uid="{00000000-0011-0000-FFFF-FFFF22000000}">
      <tableStyleElement type="headerRow" dxfId="1249"/>
      <tableStyleElement type="firstRowStripe" dxfId="1248"/>
      <tableStyleElement type="secondRowStripe" dxfId="1247"/>
    </tableStyle>
    <tableStyle name="DKV Euros-style" pivot="0" count="3" xr9:uid="{00000000-0011-0000-FFFF-FFFF23000000}">
      <tableStyleElement type="headerRow" dxfId="1246"/>
      <tableStyleElement type="firstRowStripe" dxfId="1245"/>
      <tableStyleElement type="secondRowStripe" dxfId="1244"/>
    </tableStyle>
    <tableStyle name="DKV Euros-style 2" pivot="0" count="3" xr9:uid="{00000000-0011-0000-FFFF-FFFF24000000}">
      <tableStyleElement type="headerRow" dxfId="1243"/>
      <tableStyleElement type="firstRowStripe" dxfId="1242"/>
      <tableStyleElement type="secondRowStripe" dxfId="1241"/>
    </tableStyle>
    <tableStyle name="DKV Euros-style 3" pivot="0" count="3" xr9:uid="{00000000-0011-0000-FFFF-FFFF25000000}">
      <tableStyleElement type="headerRow" dxfId="1240"/>
      <tableStyleElement type="firstRowStripe" dxfId="1239"/>
      <tableStyleElement type="secondRowStripe" dxfId="1238"/>
    </tableStyle>
    <tableStyle name="DKV Euros-style 4" pivot="0" count="3" xr9:uid="{00000000-0011-0000-FFFF-FFFF26000000}">
      <tableStyleElement type="headerRow" dxfId="1237"/>
      <tableStyleElement type="firstRowStripe" dxfId="1236"/>
      <tableStyleElement type="secondRowStripe" dxfId="1235"/>
    </tableStyle>
    <tableStyle name="DKV Euros-style 5" pivot="0" count="3" xr9:uid="{00000000-0011-0000-FFFF-FFFF27000000}">
      <tableStyleElement type="headerRow" dxfId="1234"/>
      <tableStyleElement type="firstRowStripe" dxfId="1233"/>
      <tableStyleElement type="secondRowStripe" dxfId="1232"/>
    </tableStyle>
    <tableStyle name="DRV Euros-style" pivot="0" count="3" xr9:uid="{00000000-0011-0000-FFFF-FFFF28000000}">
      <tableStyleElement type="headerRow" dxfId="1231"/>
      <tableStyleElement type="firstRowStripe" dxfId="1230"/>
      <tableStyleElement type="secondRowStripe" dxfId="1229"/>
    </tableStyle>
    <tableStyle name="DRV Euros-style 2" pivot="0" count="3" xr9:uid="{00000000-0011-0000-FFFF-FFFF29000000}">
      <tableStyleElement type="headerRow" dxfId="1228"/>
      <tableStyleElement type="firstRowStripe" dxfId="1227"/>
      <tableStyleElement type="secondRowStripe" dxfId="1226"/>
    </tableStyle>
    <tableStyle name="DRV Euros-style 3" pivot="0" count="3" xr9:uid="{00000000-0011-0000-FFFF-FFFF2A000000}">
      <tableStyleElement type="headerRow" dxfId="1225"/>
      <tableStyleElement type="firstRowStripe" dxfId="1224"/>
      <tableStyleElement type="secondRowStripe" dxfId="1223"/>
    </tableStyle>
    <tableStyle name="DRV Euros-style 4" pivot="0" count="3" xr9:uid="{00000000-0011-0000-FFFF-FFFF2B000000}">
      <tableStyleElement type="headerRow" dxfId="1222"/>
      <tableStyleElement type="firstRowStripe" dxfId="1221"/>
      <tableStyleElement type="secondRowStripe" dxfId="1220"/>
    </tableStyle>
    <tableStyle name="DRV Euros-style 5" pivot="0" count="3" xr9:uid="{00000000-0011-0000-FFFF-FFFF2C000000}">
      <tableStyleElement type="headerRow" dxfId="1219"/>
      <tableStyleElement type="firstRowStripe" dxfId="1218"/>
      <tableStyleElement type="secondRowStripe" dxfId="1217"/>
    </tableStyle>
    <tableStyle name="DZ Euros-style" pivot="0" count="3" xr9:uid="{00000000-0011-0000-FFFF-FFFF2D000000}">
      <tableStyleElement type="headerRow" dxfId="1216"/>
      <tableStyleElement type="firstRowStripe" dxfId="1215"/>
      <tableStyleElement type="secondRowStripe" dxfId="1214"/>
    </tableStyle>
    <tableStyle name="DZ Euros-style 2" pivot="0" count="3" xr9:uid="{00000000-0011-0000-FFFF-FFFF2E000000}">
      <tableStyleElement type="headerRow" dxfId="1213"/>
      <tableStyleElement type="firstRowStripe" dxfId="1212"/>
      <tableStyleElement type="secondRowStripe" dxfId="1211"/>
    </tableStyle>
    <tableStyle name="DZ Euros-style 3" pivot="0" count="3" xr9:uid="{00000000-0011-0000-FFFF-FFFF2F000000}">
      <tableStyleElement type="headerRow" dxfId="1210"/>
      <tableStyleElement type="firstRowStripe" dxfId="1209"/>
      <tableStyleElement type="secondRowStripe" dxfId="1208"/>
    </tableStyle>
    <tableStyle name="DZ Euros-style 4" pivot="0" count="3" xr9:uid="{00000000-0011-0000-FFFF-FFFF30000000}">
      <tableStyleElement type="headerRow" dxfId="1207"/>
      <tableStyleElement type="firstRowStripe" dxfId="1206"/>
      <tableStyleElement type="secondRowStripe" dxfId="1205"/>
    </tableStyle>
    <tableStyle name="DZ Euros-style 5" pivot="0" count="3" xr9:uid="{00000000-0011-0000-FFFF-FFFF31000000}">
      <tableStyleElement type="headerRow" dxfId="1204"/>
      <tableStyleElement type="firstRowStripe" dxfId="1203"/>
      <tableStyleElement type="secondRowStripe" dxfId="1202"/>
    </tableStyle>
    <tableStyle name="Harambee-style" pivot="0" count="3" xr9:uid="{00000000-0011-0000-FFFF-FFFF32000000}">
      <tableStyleElement type="headerRow" dxfId="1201"/>
      <tableStyleElement type="firstRowStripe" dxfId="1200"/>
      <tableStyleElement type="secondRowStripe" dxfId="1199"/>
    </tableStyle>
    <tableStyle name="Harambee-style 2" pivot="0" count="3" xr9:uid="{00000000-0011-0000-FFFF-FFFF33000000}">
      <tableStyleElement type="headerRow" dxfId="1198"/>
      <tableStyleElement type="firstRowStripe" dxfId="1197"/>
      <tableStyleElement type="secondRowStripe" dxfId="1196"/>
    </tableStyle>
    <tableStyle name="Harambee-style 3" pivot="0" count="3" xr9:uid="{00000000-0011-0000-FFFF-FFFF34000000}">
      <tableStyleElement type="headerRow" dxfId="1195"/>
      <tableStyleElement type="firstRowStripe" dxfId="1194"/>
      <tableStyleElement type="secondRowStripe" dxfId="1193"/>
    </tableStyle>
    <tableStyle name="Harambee-style 4" pivot="0" count="3" xr9:uid="{00000000-0011-0000-FFFF-FFFF35000000}">
      <tableStyleElement type="headerRow" dxfId="1192"/>
      <tableStyleElement type="firstRowStripe" dxfId="1191"/>
      <tableStyleElement type="secondRowStripe" dxfId="1190"/>
    </tableStyle>
    <tableStyle name="Harambee-style 5" pivot="0" count="3" xr9:uid="{00000000-0011-0000-FFFF-FFFF36000000}">
      <tableStyleElement type="headerRow" dxfId="1189"/>
      <tableStyleElement type="firstRowStripe" dxfId="1188"/>
      <tableStyleElement type="secondRowStripe" dxfId="1187"/>
    </tableStyle>
    <tableStyle name="Hardboard-style" pivot="0" count="3" xr9:uid="{00000000-0011-0000-FFFF-FFFF37000000}">
      <tableStyleElement type="headerRow" dxfId="1186"/>
      <tableStyleElement type="firstRowStripe" dxfId="1185"/>
      <tableStyleElement type="secondRowStripe" dxfId="1184"/>
    </tableStyle>
    <tableStyle name="Hardboard-style 2" pivot="0" count="3" xr9:uid="{00000000-0011-0000-FFFF-FFFF38000000}">
      <tableStyleElement type="headerRow" dxfId="1183"/>
      <tableStyleElement type="firstRowStripe" dxfId="1182"/>
      <tableStyleElement type="secondRowStripe" dxfId="1181"/>
    </tableStyle>
    <tableStyle name="Hardboard-style 3" pivot="0" count="3" xr9:uid="{00000000-0011-0000-FFFF-FFFF39000000}">
      <tableStyleElement type="headerRow" dxfId="1180"/>
      <tableStyleElement type="firstRowStripe" dxfId="1179"/>
      <tableStyleElement type="secondRowStripe" dxfId="1178"/>
    </tableStyle>
    <tableStyle name="Hardboard-style 4" pivot="0" count="3" xr9:uid="{00000000-0011-0000-FFFF-FFFF3A000000}">
      <tableStyleElement type="headerRow" dxfId="1177"/>
      <tableStyleElement type="firstRowStripe" dxfId="1176"/>
      <tableStyleElement type="secondRowStripe" dxfId="1175"/>
    </tableStyle>
    <tableStyle name="Hardboard-style 5" pivot="0" count="3" xr9:uid="{00000000-0011-0000-FFFF-FFFF3B000000}">
      <tableStyleElement type="headerRow" dxfId="1174"/>
      <tableStyleElement type="firstRowStripe" dxfId="1173"/>
      <tableStyleElement type="secondRowStripe" dxfId="1172"/>
    </tableStyle>
    <tableStyle name="Hercules-style" pivot="0" count="3" xr9:uid="{00000000-0011-0000-FFFF-FFFF3C000000}">
      <tableStyleElement type="headerRow" dxfId="1171"/>
      <tableStyleElement type="firstRowStripe" dxfId="1170"/>
      <tableStyleElement type="secondRowStripe" dxfId="1169"/>
    </tableStyle>
    <tableStyle name="Hercules-style 2" pivot="0" count="3" xr9:uid="{00000000-0011-0000-FFFF-FFFF3D000000}">
      <tableStyleElement type="headerRow" dxfId="1168"/>
      <tableStyleElement type="firstRowStripe" dxfId="1167"/>
      <tableStyleElement type="secondRowStripe" dxfId="1166"/>
    </tableStyle>
    <tableStyle name="Hercules-style 3" pivot="0" count="3" xr9:uid="{00000000-0011-0000-FFFF-FFFF3E000000}">
      <tableStyleElement type="headerRow" dxfId="1165"/>
      <tableStyleElement type="firstRowStripe" dxfId="1164"/>
      <tableStyleElement type="secondRowStripe" dxfId="1163"/>
    </tableStyle>
    <tableStyle name="Hercules-style 4" pivot="0" count="3" xr9:uid="{00000000-0011-0000-FFFF-FFFF3F000000}">
      <tableStyleElement type="headerRow" dxfId="1162"/>
      <tableStyleElement type="firstRowStripe" dxfId="1161"/>
      <tableStyleElement type="secondRowStripe" dxfId="1160"/>
    </tableStyle>
    <tableStyle name="Hercules-style 5" pivot="0" count="3" xr9:uid="{00000000-0011-0000-FFFF-FFFF40000000}">
      <tableStyleElement type="headerRow" dxfId="1159"/>
      <tableStyleElement type="firstRowStripe" dxfId="1158"/>
      <tableStyleElement type="secondRowStripe" dxfId="1157"/>
    </tableStyle>
    <tableStyle name="High-Tech Hitters-style" pivot="0" count="3" xr9:uid="{00000000-0011-0000-FFFF-FFFF41000000}">
      <tableStyleElement type="headerRow" dxfId="1156"/>
      <tableStyleElement type="firstRowStripe" dxfId="1155"/>
      <tableStyleElement type="secondRowStripe" dxfId="1154"/>
    </tableStyle>
    <tableStyle name="High-Tech Hitters-style 2" pivot="0" count="3" xr9:uid="{00000000-0011-0000-FFFF-FFFF42000000}">
      <tableStyleElement type="headerRow" dxfId="1153"/>
      <tableStyleElement type="firstRowStripe" dxfId="1152"/>
      <tableStyleElement type="secondRowStripe" dxfId="1151"/>
    </tableStyle>
    <tableStyle name="High-Tech Hitters-style 3" pivot="0" count="3" xr9:uid="{00000000-0011-0000-FFFF-FFFF43000000}">
      <tableStyleElement type="headerRow" dxfId="1150"/>
      <tableStyleElement type="firstRowStripe" dxfId="1149"/>
      <tableStyleElement type="secondRowStripe" dxfId="1148"/>
    </tableStyle>
    <tableStyle name="High-Tech Hitters-style 4" pivot="0" count="3" xr9:uid="{00000000-0011-0000-FFFF-FFFF44000000}">
      <tableStyleElement type="headerRow" dxfId="1147"/>
      <tableStyleElement type="firstRowStripe" dxfId="1146"/>
      <tableStyleElement type="secondRowStripe" dxfId="1145"/>
    </tableStyle>
    <tableStyle name="High-Tech Hitters-style 5" pivot="0" count="3" xr9:uid="{00000000-0011-0000-FFFF-FFFF45000000}">
      <tableStyleElement type="headerRow" dxfId="1144"/>
      <tableStyleElement type="firstRowStripe" dxfId="1143"/>
      <tableStyleElement type="secondRowStripe" dxfId="1142"/>
    </tableStyle>
    <tableStyle name="Hippocampus-style" pivot="0" count="3" xr9:uid="{00000000-0011-0000-FFFF-FFFF46000000}">
      <tableStyleElement type="headerRow" dxfId="1141"/>
      <tableStyleElement type="firstRowStripe" dxfId="1140"/>
      <tableStyleElement type="secondRowStripe" dxfId="1139"/>
    </tableStyle>
    <tableStyle name="Hippocampus-style 2" pivot="0" count="3" xr9:uid="{00000000-0011-0000-FFFF-FFFF47000000}">
      <tableStyleElement type="headerRow" dxfId="1138"/>
      <tableStyleElement type="firstRowStripe" dxfId="1137"/>
      <tableStyleElement type="secondRowStripe" dxfId="1136"/>
    </tableStyle>
    <tableStyle name="Hippocampus-style 3" pivot="0" count="3" xr9:uid="{00000000-0011-0000-FFFF-FFFF48000000}">
      <tableStyleElement type="headerRow" dxfId="1135"/>
      <tableStyleElement type="firstRowStripe" dxfId="1134"/>
      <tableStyleElement type="secondRowStripe" dxfId="1133"/>
    </tableStyle>
    <tableStyle name="Hippocampus-style 4" pivot="0" count="3" xr9:uid="{00000000-0011-0000-FFFF-FFFF49000000}">
      <tableStyleElement type="headerRow" dxfId="1132"/>
      <tableStyleElement type="firstRowStripe" dxfId="1131"/>
      <tableStyleElement type="secondRowStripe" dxfId="1130"/>
    </tableStyle>
    <tableStyle name="Hippocampus-style 5" pivot="0" count="3" xr9:uid="{00000000-0011-0000-FFFF-FFFF4A000000}">
      <tableStyleElement type="headerRow" dxfId="1129"/>
      <tableStyleElement type="firstRowStripe" dxfId="1128"/>
      <tableStyleElement type="secondRowStripe" dxfId="1127"/>
    </tableStyle>
    <tableStyle name="Klein Verzet-style" pivot="0" count="3" xr9:uid="{00000000-0011-0000-FFFF-FFFF4B000000}">
      <tableStyleElement type="headerRow" dxfId="1126"/>
      <tableStyleElement type="firstRowStripe" dxfId="1125"/>
      <tableStyleElement type="secondRowStripe" dxfId="1124"/>
    </tableStyle>
    <tableStyle name="Klein Verzet-style 2" pivot="0" count="3" xr9:uid="{00000000-0011-0000-FFFF-FFFF4C000000}">
      <tableStyleElement type="headerRow" dxfId="1123"/>
      <tableStyleElement type="firstRowStripe" dxfId="1122"/>
      <tableStyleElement type="secondRowStripe" dxfId="1121"/>
    </tableStyle>
    <tableStyle name="Klein Verzet-style 3" pivot="0" count="3" xr9:uid="{00000000-0011-0000-FFFF-FFFF4D000000}">
      <tableStyleElement type="headerRow" dxfId="1120"/>
      <tableStyleElement type="firstRowStripe" dxfId="1119"/>
      <tableStyleElement type="secondRowStripe" dxfId="1118"/>
    </tableStyle>
    <tableStyle name="Klein Verzet-style 4" pivot="0" count="3" xr9:uid="{00000000-0011-0000-FFFF-FFFF4E000000}">
      <tableStyleElement type="headerRow" dxfId="1117"/>
      <tableStyleElement type="firstRowStripe" dxfId="1116"/>
      <tableStyleElement type="secondRowStripe" dxfId="1115"/>
    </tableStyle>
    <tableStyle name="Klein Verzet-style 5" pivot="0" count="3" xr9:uid="{00000000-0011-0000-FFFF-FFFF4F000000}">
      <tableStyleElement type="headerRow" dxfId="1114"/>
      <tableStyleElement type="firstRowStripe" dxfId="1113"/>
      <tableStyleElement type="secondRowStripe" dxfId="1112"/>
    </tableStyle>
    <tableStyle name="Kronos-style" pivot="0" count="3" xr9:uid="{00000000-0011-0000-FFFF-FFFF50000000}">
      <tableStyleElement type="headerRow" dxfId="1111"/>
      <tableStyleElement type="firstRowStripe" dxfId="1110"/>
      <tableStyleElement type="secondRowStripe" dxfId="1109"/>
    </tableStyle>
    <tableStyle name="Kronos-style 2" pivot="0" count="3" xr9:uid="{00000000-0011-0000-FFFF-FFFF51000000}">
      <tableStyleElement type="headerRow" dxfId="1108"/>
      <tableStyleElement type="firstRowStripe" dxfId="1107"/>
      <tableStyleElement type="secondRowStripe" dxfId="1106"/>
    </tableStyle>
    <tableStyle name="Kronos-style 3" pivot="0" count="3" xr9:uid="{00000000-0011-0000-FFFF-FFFF52000000}">
      <tableStyleElement type="headerRow" dxfId="1105"/>
      <tableStyleElement type="firstRowStripe" dxfId="1104"/>
      <tableStyleElement type="secondRowStripe" dxfId="1103"/>
    </tableStyle>
    <tableStyle name="Kronos-style 4" pivot="0" count="3" xr9:uid="{00000000-0011-0000-FFFF-FFFF53000000}">
      <tableStyleElement type="headerRow" dxfId="1102"/>
      <tableStyleElement type="firstRowStripe" dxfId="1101"/>
      <tableStyleElement type="secondRowStripe" dxfId="1100"/>
    </tableStyle>
    <tableStyle name="Kronos-style 5" pivot="0" count="3" xr9:uid="{00000000-0011-0000-FFFF-FFFF54000000}">
      <tableStyleElement type="headerRow" dxfId="1099"/>
      <tableStyleElement type="firstRowStripe" dxfId="1098"/>
      <tableStyleElement type="secondRowStripe" dxfId="1097"/>
    </tableStyle>
    <tableStyle name="Linea Recta-style" pivot="0" count="3" xr9:uid="{00000000-0011-0000-FFFF-FFFF55000000}">
      <tableStyleElement type="headerRow" dxfId="1096"/>
      <tableStyleElement type="firstRowStripe" dxfId="1095"/>
      <tableStyleElement type="secondRowStripe" dxfId="1094"/>
    </tableStyle>
    <tableStyle name="Linea Recta-style 2" pivot="0" count="3" xr9:uid="{00000000-0011-0000-FFFF-FFFF56000000}">
      <tableStyleElement type="headerRow" dxfId="1093"/>
      <tableStyleElement type="firstRowStripe" dxfId="1092"/>
      <tableStyleElement type="secondRowStripe" dxfId="1091"/>
    </tableStyle>
    <tableStyle name="Linea Recta-style 3" pivot="0" count="3" xr9:uid="{00000000-0011-0000-FFFF-FFFF57000000}">
      <tableStyleElement type="headerRow" dxfId="1090"/>
      <tableStyleElement type="firstRowStripe" dxfId="1089"/>
      <tableStyleElement type="secondRowStripe" dxfId="1088"/>
    </tableStyle>
    <tableStyle name="Linea Recta-style 4" pivot="0" count="3" xr9:uid="{00000000-0011-0000-FFFF-FFFF58000000}">
      <tableStyleElement type="headerRow" dxfId="1087"/>
      <tableStyleElement type="firstRowStripe" dxfId="1086"/>
      <tableStyleElement type="secondRowStripe" dxfId="1085"/>
    </tableStyle>
    <tableStyle name="Linea Recta-style 5" pivot="0" count="3" xr9:uid="{00000000-0011-0000-FFFF-FFFF59000000}">
      <tableStyleElement type="headerRow" dxfId="1084"/>
      <tableStyleElement type="firstRowStripe" dxfId="1083"/>
      <tableStyleElement type="secondRowStripe" dxfId="1082"/>
    </tableStyle>
    <tableStyle name="Ludica-style" pivot="0" count="3" xr9:uid="{00000000-0011-0000-FFFF-FFFF5A000000}">
      <tableStyleElement type="headerRow" dxfId="1081"/>
      <tableStyleElement type="firstRowStripe" dxfId="1080"/>
      <tableStyleElement type="secondRowStripe" dxfId="1079"/>
    </tableStyle>
    <tableStyle name="Ludica-style 2" pivot="0" count="3" xr9:uid="{00000000-0011-0000-FFFF-FFFF5B000000}">
      <tableStyleElement type="headerRow" dxfId="1078"/>
      <tableStyleElement type="firstRowStripe" dxfId="1077"/>
      <tableStyleElement type="secondRowStripe" dxfId="1076"/>
    </tableStyle>
    <tableStyle name="Ludica-style 3" pivot="0" count="3" xr9:uid="{00000000-0011-0000-FFFF-FFFF5C000000}">
      <tableStyleElement type="headerRow" dxfId="1075"/>
      <tableStyleElement type="firstRowStripe" dxfId="1074"/>
      <tableStyleElement type="secondRowStripe" dxfId="1073"/>
    </tableStyle>
    <tableStyle name="Ludica-style 4" pivot="0" count="3" xr9:uid="{00000000-0011-0000-FFFF-FFFF5D000000}">
      <tableStyleElement type="headerRow" dxfId="1072"/>
      <tableStyleElement type="firstRowStripe" dxfId="1071"/>
      <tableStyleElement type="secondRowStripe" dxfId="1070"/>
    </tableStyle>
    <tableStyle name="Ludica-style 5" pivot="0" count="3" xr9:uid="{00000000-0011-0000-FFFF-FFFF5E000000}">
      <tableStyleElement type="headerRow" dxfId="1069"/>
      <tableStyleElement type="firstRowStripe" dxfId="1068"/>
      <tableStyleElement type="secondRowStripe" dxfId="1067"/>
    </tableStyle>
    <tableStyle name="Messed Up-style" pivot="0" count="3" xr9:uid="{00000000-0011-0000-FFFF-FFFF5F000000}">
      <tableStyleElement type="headerRow" dxfId="1066"/>
      <tableStyleElement type="firstRowStripe" dxfId="1065"/>
      <tableStyleElement type="secondRowStripe" dxfId="1064"/>
    </tableStyle>
    <tableStyle name="Messed Up-style 2" pivot="0" count="3" xr9:uid="{00000000-0011-0000-FFFF-FFFF60000000}">
      <tableStyleElement type="headerRow" dxfId="1063"/>
      <tableStyleElement type="firstRowStripe" dxfId="1062"/>
      <tableStyleElement type="secondRowStripe" dxfId="1061"/>
    </tableStyle>
    <tableStyle name="Messed Up-style 3" pivot="0" count="3" xr9:uid="{00000000-0011-0000-FFFF-FFFF61000000}">
      <tableStyleElement type="headerRow" dxfId="1060"/>
      <tableStyleElement type="firstRowStripe" dxfId="1059"/>
      <tableStyleElement type="secondRowStripe" dxfId="1058"/>
    </tableStyle>
    <tableStyle name="Messed Up-style 4" pivot="0" count="3" xr9:uid="{00000000-0011-0000-FFFF-FFFF62000000}">
      <tableStyleElement type="headerRow" dxfId="1057"/>
      <tableStyleElement type="firstRowStripe" dxfId="1056"/>
      <tableStyleElement type="secondRowStripe" dxfId="1055"/>
    </tableStyle>
    <tableStyle name="Messed Up-style 5" pivot="0" count="3" xr9:uid="{00000000-0011-0000-FFFF-FFFF63000000}">
      <tableStyleElement type="headerRow" dxfId="1054"/>
      <tableStyleElement type="firstRowStripe" dxfId="1053"/>
      <tableStyleElement type="secondRowStripe" dxfId="1052"/>
    </tableStyle>
    <tableStyle name="MSG-style" pivot="0" count="3" xr9:uid="{00000000-0011-0000-FFFF-FFFF64000000}">
      <tableStyleElement type="headerRow" dxfId="1051"/>
      <tableStyleElement type="firstRowStripe" dxfId="1050"/>
      <tableStyleElement type="secondRowStripe" dxfId="1049"/>
    </tableStyle>
    <tableStyle name="MSG-style 2" pivot="0" count="3" xr9:uid="{00000000-0011-0000-FFFF-FFFF65000000}">
      <tableStyleElement type="headerRow" dxfId="1048"/>
      <tableStyleElement type="firstRowStripe" dxfId="1047"/>
      <tableStyleElement type="secondRowStripe" dxfId="1046"/>
    </tableStyle>
    <tableStyle name="MSG-style 3" pivot="0" count="3" xr9:uid="{00000000-0011-0000-FFFF-FFFF66000000}">
      <tableStyleElement type="headerRow" dxfId="1045"/>
      <tableStyleElement type="firstRowStripe" dxfId="1044"/>
      <tableStyleElement type="secondRowStripe" dxfId="1043"/>
    </tableStyle>
    <tableStyle name="MSG-style 4" pivot="0" count="3" xr9:uid="{00000000-0011-0000-FFFF-FFFF67000000}">
      <tableStyleElement type="headerRow" dxfId="1042"/>
      <tableStyleElement type="firstRowStripe" dxfId="1041"/>
      <tableStyleElement type="secondRowStripe" dxfId="1040"/>
    </tableStyle>
    <tableStyle name="MSG-style 5" pivot="0" count="3" xr9:uid="{00000000-0011-0000-FFFF-FFFF68000000}">
      <tableStyleElement type="headerRow" dxfId="1039"/>
      <tableStyleElement type="firstRowStripe" dxfId="1038"/>
      <tableStyleElement type="secondRowStripe" dxfId="1037"/>
    </tableStyle>
    <tableStyle name="Phoenix-style" pivot="0" count="3" xr9:uid="{00000000-0011-0000-FFFF-FFFF69000000}">
      <tableStyleElement type="headerRow" dxfId="1036"/>
      <tableStyleElement type="firstRowStripe" dxfId="1035"/>
      <tableStyleElement type="secondRowStripe" dxfId="1034"/>
    </tableStyle>
    <tableStyle name="Phoenix-style 2" pivot="0" count="3" xr9:uid="{00000000-0011-0000-FFFF-FFFF6A000000}">
      <tableStyleElement type="headerRow" dxfId="1033"/>
      <tableStyleElement type="firstRowStripe" dxfId="1032"/>
      <tableStyleElement type="secondRowStripe" dxfId="1031"/>
    </tableStyle>
    <tableStyle name="Phoenix-style 3" pivot="0" count="3" xr9:uid="{00000000-0011-0000-FFFF-FFFF6B000000}">
      <tableStyleElement type="headerRow" dxfId="1030"/>
      <tableStyleElement type="firstRowStripe" dxfId="1029"/>
      <tableStyleElement type="secondRowStripe" dxfId="1028"/>
    </tableStyle>
    <tableStyle name="Phoenix-style 4" pivot="0" count="3" xr9:uid="{00000000-0011-0000-FFFF-FFFF6C000000}">
      <tableStyleElement type="headerRow" dxfId="1027"/>
      <tableStyleElement type="firstRowStripe" dxfId="1026"/>
      <tableStyleElement type="secondRowStripe" dxfId="1025"/>
    </tableStyle>
    <tableStyle name="Phoenix-style 5" pivot="0" count="3" xr9:uid="{00000000-0011-0000-FFFF-FFFF6D000000}">
      <tableStyleElement type="headerRow" dxfId="1024"/>
      <tableStyleElement type="firstRowStripe" dxfId="1023"/>
      <tableStyleElement type="secondRowStripe" dxfId="1022"/>
    </tableStyle>
    <tableStyle name="Piranha Duiken-style" pivot="0" count="3" xr9:uid="{00000000-0011-0000-FFFF-FFFF6E000000}">
      <tableStyleElement type="headerRow" dxfId="1021"/>
      <tableStyleElement type="firstRowStripe" dxfId="1020"/>
      <tableStyleElement type="secondRowStripe" dxfId="1019"/>
    </tableStyle>
    <tableStyle name="Piranha Duiken-style 2" pivot="0" count="3" xr9:uid="{00000000-0011-0000-FFFF-FFFF6F000000}">
      <tableStyleElement type="headerRow" dxfId="1018"/>
      <tableStyleElement type="firstRowStripe" dxfId="1017"/>
      <tableStyleElement type="secondRowStripe" dxfId="1016"/>
    </tableStyle>
    <tableStyle name="Piranha Duiken-style 3" pivot="0" count="3" xr9:uid="{00000000-0011-0000-FFFF-FFFF70000000}">
      <tableStyleElement type="headerRow" dxfId="1015"/>
      <tableStyleElement type="firstRowStripe" dxfId="1014"/>
      <tableStyleElement type="secondRowStripe" dxfId="1013"/>
    </tableStyle>
    <tableStyle name="Piranha Duiken-style 4" pivot="0" count="3" xr9:uid="{00000000-0011-0000-FFFF-FFFF71000000}">
      <tableStyleElement type="headerRow" dxfId="1012"/>
      <tableStyleElement type="firstRowStripe" dxfId="1011"/>
      <tableStyleElement type="secondRowStripe" dxfId="1010"/>
    </tableStyle>
    <tableStyle name="Piranha Duiken-style 5" pivot="0" count="3" xr9:uid="{00000000-0011-0000-FFFF-FFFF72000000}">
      <tableStyleElement type="headerRow" dxfId="1009"/>
      <tableStyleElement type="firstRowStripe" dxfId="1008"/>
      <tableStyleElement type="secondRowStripe" dxfId="1007"/>
    </tableStyle>
    <tableStyle name="Piranha ZPR-style" pivot="0" count="3" xr9:uid="{00000000-0011-0000-FFFF-FFFF73000000}">
      <tableStyleElement type="headerRow" dxfId="1006"/>
      <tableStyleElement type="firstRowStripe" dxfId="1005"/>
      <tableStyleElement type="secondRowStripe" dxfId="1004"/>
    </tableStyle>
    <tableStyle name="Piranha ZPR-style 2" pivot="0" count="3" xr9:uid="{00000000-0011-0000-FFFF-FFFF74000000}">
      <tableStyleElement type="headerRow" dxfId="1003"/>
      <tableStyleElement type="firstRowStripe" dxfId="1002"/>
      <tableStyleElement type="secondRowStripe" dxfId="1001"/>
    </tableStyle>
    <tableStyle name="Piranha ZPR-style 3" pivot="0" count="3" xr9:uid="{00000000-0011-0000-FFFF-FFFF75000000}">
      <tableStyleElement type="headerRow" dxfId="1000"/>
      <tableStyleElement type="firstRowStripe" dxfId="999"/>
      <tableStyleElement type="secondRowStripe" dxfId="998"/>
    </tableStyle>
    <tableStyle name="Piranha ZPR-style 4" pivot="0" count="3" xr9:uid="{00000000-0011-0000-FFFF-FFFF76000000}">
      <tableStyleElement type="headerRow" dxfId="997"/>
      <tableStyleElement type="firstRowStripe" dxfId="996"/>
      <tableStyleElement type="secondRowStripe" dxfId="995"/>
    </tableStyle>
    <tableStyle name="Piranha ZPR-style 5" pivot="0" count="3" xr9:uid="{00000000-0011-0000-FFFF-FFFF77000000}">
      <tableStyleElement type="headerRow" dxfId="994"/>
      <tableStyleElement type="firstRowStripe" dxfId="993"/>
      <tableStyleElement type="secondRowStripe" dxfId="992"/>
    </tableStyle>
    <tableStyle name="Sagittarius-style" pivot="0" count="3" xr9:uid="{00000000-0011-0000-FFFF-FFFF78000000}">
      <tableStyleElement type="headerRow" dxfId="991"/>
      <tableStyleElement type="firstRowStripe" dxfId="990"/>
      <tableStyleElement type="secondRowStripe" dxfId="989"/>
    </tableStyle>
    <tableStyle name="Sagittarius-style 2" pivot="0" count="3" xr9:uid="{00000000-0011-0000-FFFF-FFFF79000000}">
      <tableStyleElement type="headerRow" dxfId="988"/>
      <tableStyleElement type="firstRowStripe" dxfId="987"/>
      <tableStyleElement type="secondRowStripe" dxfId="986"/>
    </tableStyle>
    <tableStyle name="Sagittarius-style 3" pivot="0" count="3" xr9:uid="{00000000-0011-0000-FFFF-FFFF7A000000}">
      <tableStyleElement type="headerRow" dxfId="985"/>
      <tableStyleElement type="firstRowStripe" dxfId="984"/>
      <tableStyleElement type="secondRowStripe" dxfId="983"/>
    </tableStyle>
    <tableStyle name="Sagittarius-style 4" pivot="0" count="3" xr9:uid="{00000000-0011-0000-FFFF-FFFF7B000000}">
      <tableStyleElement type="headerRow" dxfId="982"/>
      <tableStyleElement type="firstRowStripe" dxfId="981"/>
      <tableStyleElement type="secondRowStripe" dxfId="980"/>
    </tableStyle>
    <tableStyle name="Sagittarius-style 5" pivot="0" count="3" xr9:uid="{00000000-0011-0000-FFFF-FFFF7C000000}">
      <tableStyleElement type="headerRow" dxfId="979"/>
      <tableStyleElement type="firstRowStripe" dxfId="978"/>
      <tableStyleElement type="secondRowStripe" dxfId="977"/>
    </tableStyle>
    <tableStyle name="Skeuvel-style" pivot="0" count="3" xr9:uid="{00000000-0011-0000-FFFF-FFFF7D000000}">
      <tableStyleElement type="headerRow" dxfId="976"/>
      <tableStyleElement type="firstRowStripe" dxfId="975"/>
      <tableStyleElement type="secondRowStripe" dxfId="974"/>
    </tableStyle>
    <tableStyle name="Skeuvel-style 2" pivot="0" count="3" xr9:uid="{00000000-0011-0000-FFFF-FFFF7E000000}">
      <tableStyleElement type="headerRow" dxfId="973"/>
      <tableStyleElement type="firstRowStripe" dxfId="972"/>
      <tableStyleElement type="secondRowStripe" dxfId="971"/>
    </tableStyle>
    <tableStyle name="Skeuvel-style 3" pivot="0" count="3" xr9:uid="{00000000-0011-0000-FFFF-FFFF7F000000}">
      <tableStyleElement type="headerRow" dxfId="970"/>
      <tableStyleElement type="firstRowStripe" dxfId="969"/>
      <tableStyleElement type="secondRowStripe" dxfId="968"/>
    </tableStyle>
    <tableStyle name="Skeuvel-style 4" pivot="0" count="3" xr9:uid="{00000000-0011-0000-FFFF-FFFF80000000}">
      <tableStyleElement type="headerRow" dxfId="967"/>
      <tableStyleElement type="firstRowStripe" dxfId="966"/>
      <tableStyleElement type="secondRowStripe" dxfId="965"/>
    </tableStyle>
    <tableStyle name="Slapping Studs-style" pivot="0" count="3" xr9:uid="{00000000-0011-0000-FFFF-FFFF81000000}">
      <tableStyleElement type="headerRow" dxfId="964"/>
      <tableStyleElement type="firstRowStripe" dxfId="963"/>
      <tableStyleElement type="secondRowStripe" dxfId="962"/>
    </tableStyle>
    <tableStyle name="Slapping Studs-style 2" pivot="0" count="3" xr9:uid="{00000000-0011-0000-FFFF-FFFF82000000}">
      <tableStyleElement type="headerRow" dxfId="961"/>
      <tableStyleElement type="firstRowStripe" dxfId="960"/>
      <tableStyleElement type="secondRowStripe" dxfId="959"/>
    </tableStyle>
    <tableStyle name="Slapping Studs-style 3" pivot="0" count="3" xr9:uid="{00000000-0011-0000-FFFF-FFFF83000000}">
      <tableStyleElement type="headerRow" dxfId="958"/>
      <tableStyleElement type="firstRowStripe" dxfId="957"/>
      <tableStyleElement type="secondRowStripe" dxfId="956"/>
    </tableStyle>
    <tableStyle name="Slapping Studs-style 4" pivot="0" count="3" xr9:uid="{00000000-0011-0000-FFFF-FFFF84000000}">
      <tableStyleElement type="headerRow" dxfId="955"/>
      <tableStyleElement type="firstRowStripe" dxfId="954"/>
      <tableStyleElement type="secondRowStripe" dxfId="953"/>
    </tableStyle>
    <tableStyle name="Slapping Studs-style 5" pivot="0" count="3" xr9:uid="{00000000-0011-0000-FFFF-FFFF85000000}">
      <tableStyleElement type="headerRow" dxfId="952"/>
      <tableStyleElement type="firstRowStripe" dxfId="951"/>
      <tableStyleElement type="secondRowStripe" dxfId="950"/>
    </tableStyle>
    <tableStyle name="Stretchers-style" pivot="0" count="3" xr9:uid="{00000000-0011-0000-FFFF-FFFF86000000}">
      <tableStyleElement type="headerRow" dxfId="949"/>
      <tableStyleElement type="firstRowStripe" dxfId="948"/>
      <tableStyleElement type="secondRowStripe" dxfId="947"/>
    </tableStyle>
    <tableStyle name="Stretchers-style 2" pivot="0" count="3" xr9:uid="{00000000-0011-0000-FFFF-FFFF87000000}">
      <tableStyleElement type="headerRow" dxfId="946"/>
      <tableStyleElement type="firstRowStripe" dxfId="945"/>
      <tableStyleElement type="secondRowStripe" dxfId="944"/>
    </tableStyle>
    <tableStyle name="Stretchers-style 3" pivot="0" count="3" xr9:uid="{00000000-0011-0000-FFFF-FFFF88000000}">
      <tableStyleElement type="headerRow" dxfId="943"/>
      <tableStyleElement type="firstRowStripe" dxfId="942"/>
      <tableStyleElement type="secondRowStripe" dxfId="941"/>
    </tableStyle>
    <tableStyle name="Stretchers-style 4" pivot="0" count="3" xr9:uid="{00000000-0011-0000-FFFF-FFFF89000000}">
      <tableStyleElement type="headerRow" dxfId="940"/>
      <tableStyleElement type="firstRowStripe" dxfId="939"/>
      <tableStyleElement type="secondRowStripe" dxfId="938"/>
    </tableStyle>
    <tableStyle name="Stretchers-style 5" pivot="0" count="3" xr9:uid="{00000000-0011-0000-FFFF-FFFF8A000000}">
      <tableStyleElement type="headerRow" dxfId="937"/>
      <tableStyleElement type="firstRowStripe" dxfId="936"/>
      <tableStyleElement type="secondRowStripe" dxfId="935"/>
    </tableStyle>
    <tableStyle name="Tartaros-style" pivot="0" count="3" xr9:uid="{00000000-0011-0000-FFFF-FFFF8B000000}">
      <tableStyleElement type="headerRow" dxfId="934"/>
      <tableStyleElement type="firstRowStripe" dxfId="933"/>
      <tableStyleElement type="secondRowStripe" dxfId="932"/>
    </tableStyle>
    <tableStyle name="Tartaros-style 2" pivot="0" count="3" xr9:uid="{00000000-0011-0000-FFFF-FFFF8C000000}">
      <tableStyleElement type="headerRow" dxfId="931"/>
      <tableStyleElement type="firstRowStripe" dxfId="930"/>
      <tableStyleElement type="secondRowStripe" dxfId="929"/>
    </tableStyle>
    <tableStyle name="Tartaros-style 3" pivot="0" count="3" xr9:uid="{00000000-0011-0000-FFFF-FFFF8D000000}">
      <tableStyleElement type="headerRow" dxfId="928"/>
      <tableStyleElement type="firstRowStripe" dxfId="927"/>
      <tableStyleElement type="secondRowStripe" dxfId="926"/>
    </tableStyle>
    <tableStyle name="Tartaros-style 4" pivot="0" count="3" xr9:uid="{00000000-0011-0000-FFFF-FFFF8E000000}">
      <tableStyleElement type="headerRow" dxfId="925"/>
      <tableStyleElement type="firstRowStripe" dxfId="924"/>
      <tableStyleElement type="secondRowStripe" dxfId="923"/>
    </tableStyle>
    <tableStyle name="Tartaros-style 5" pivot="0" count="3" xr9:uid="{00000000-0011-0000-FFFF-FFFF8F000000}">
      <tableStyleElement type="headerRow" dxfId="922"/>
      <tableStyleElement type="firstRowStripe" dxfId="921"/>
      <tableStyleElement type="secondRowStripe" dxfId="920"/>
    </tableStyle>
    <tableStyle name="Thibats-style" pivot="0" count="3" xr9:uid="{00000000-0011-0000-FFFF-FFFF90000000}">
      <tableStyleElement type="headerRow" dxfId="919"/>
      <tableStyleElement type="firstRowStripe" dxfId="918"/>
      <tableStyleElement type="secondRowStripe" dxfId="917"/>
    </tableStyle>
    <tableStyle name="Thibats-style 2" pivot="0" count="3" xr9:uid="{00000000-0011-0000-FFFF-FFFF91000000}">
      <tableStyleElement type="headerRow" dxfId="916"/>
      <tableStyleElement type="firstRowStripe" dxfId="915"/>
      <tableStyleElement type="secondRowStripe" dxfId="914"/>
    </tableStyle>
    <tableStyle name="Thibats-style 3" pivot="0" count="3" xr9:uid="{00000000-0011-0000-FFFF-FFFF92000000}">
      <tableStyleElement type="headerRow" dxfId="913"/>
      <tableStyleElement type="firstRowStripe" dxfId="912"/>
      <tableStyleElement type="secondRowStripe" dxfId="911"/>
    </tableStyle>
    <tableStyle name="Thibats-style 4" pivot="0" count="3" xr9:uid="{00000000-0011-0000-FFFF-FFFF93000000}">
      <tableStyleElement type="headerRow" dxfId="910"/>
      <tableStyleElement type="firstRowStripe" dxfId="909"/>
      <tableStyleElement type="secondRowStripe" dxfId="908"/>
    </tableStyle>
    <tableStyle name="Thibats-style 5" pivot="0" count="3" xr9:uid="{00000000-0011-0000-FFFF-FFFF94000000}">
      <tableStyleElement type="headerRow" dxfId="907"/>
      <tableStyleElement type="firstRowStripe" dxfId="906"/>
      <tableStyleElement type="secondRowStripe" dxfId="905"/>
    </tableStyle>
    <tableStyle name="TSAC-style" pivot="0" count="3" xr9:uid="{00000000-0011-0000-FFFF-FFFF95000000}">
      <tableStyleElement type="headerRow" dxfId="904"/>
      <tableStyleElement type="firstRowStripe" dxfId="903"/>
      <tableStyleElement type="secondRowStripe" dxfId="902"/>
    </tableStyle>
    <tableStyle name="TSAC-style 2" pivot="0" count="3" xr9:uid="{00000000-0011-0000-FFFF-FFFF96000000}">
      <tableStyleElement type="headerRow" dxfId="901"/>
      <tableStyleElement type="firstRowStripe" dxfId="900"/>
      <tableStyleElement type="secondRowStripe" dxfId="899"/>
    </tableStyle>
    <tableStyle name="TSAC-style 3" pivot="0" count="3" xr9:uid="{00000000-0011-0000-FFFF-FFFF97000000}">
      <tableStyleElement type="headerRow" dxfId="898"/>
      <tableStyleElement type="firstRowStripe" dxfId="897"/>
      <tableStyleElement type="secondRowStripe" dxfId="896"/>
    </tableStyle>
    <tableStyle name="TSAC-style 4" pivot="0" count="3" xr9:uid="{00000000-0011-0000-FFFF-FFFF98000000}">
      <tableStyleElement type="headerRow" dxfId="895"/>
      <tableStyleElement type="firstRowStripe" dxfId="894"/>
      <tableStyleElement type="secondRowStripe" dxfId="893"/>
    </tableStyle>
    <tableStyle name="TSAC-style 5" pivot="0" count="3" xr9:uid="{00000000-0011-0000-FFFF-FFFF99000000}">
      <tableStyleElement type="headerRow" dxfId="892"/>
      <tableStyleElement type="firstRowStripe" dxfId="891"/>
      <tableStyleElement type="secondRowStripe" dxfId="890"/>
    </tableStyle>
    <tableStyle name="Vakgericht-style" pivot="0" count="3" xr9:uid="{00000000-0011-0000-FFFF-FFFF9A000000}">
      <tableStyleElement type="headerRow" dxfId="889"/>
      <tableStyleElement type="firstRowStripe" dxfId="888"/>
      <tableStyleElement type="secondRowStripe" dxfId="887"/>
    </tableStyle>
    <tableStyle name="Vakgericht-style 2" pivot="0" count="3" xr9:uid="{00000000-0011-0000-FFFF-FFFF9B000000}">
      <tableStyleElement type="headerRow" dxfId="886"/>
      <tableStyleElement type="firstRowStripe" dxfId="885"/>
      <tableStyleElement type="secondRowStripe" dxfId="884"/>
    </tableStyle>
    <tableStyle name="Vakgericht-style 3" pivot="0" count="3" xr9:uid="{00000000-0011-0000-FFFF-FFFF9C000000}">
      <tableStyleElement type="headerRow" dxfId="883"/>
      <tableStyleElement type="firstRowStripe" dxfId="882"/>
      <tableStyleElement type="secondRowStripe" dxfId="881"/>
    </tableStyle>
    <tableStyle name="Vakgericht-style 4" pivot="0" count="3" xr9:uid="{00000000-0011-0000-FFFF-FFFF9D000000}">
      <tableStyleElement type="headerRow" dxfId="880"/>
      <tableStyleElement type="firstRowStripe" dxfId="879"/>
      <tableStyleElement type="secondRowStripe" dxfId="878"/>
    </tableStyle>
    <tableStyle name="Vakgericht-style 5" pivot="0" count="3" xr9:uid="{00000000-0011-0000-FFFF-FFFF9E000000}">
      <tableStyleElement type="headerRow" dxfId="877"/>
      <tableStyleElement type="firstRowStripe" dxfId="876"/>
      <tableStyleElement type="secondRowStripe" dxfId="875"/>
    </tableStyle>
    <tableStyle name="VV Drienerlo-style" pivot="0" count="3" xr9:uid="{00000000-0011-0000-FFFF-FFFF9F000000}">
      <tableStyleElement type="headerRow" dxfId="874"/>
      <tableStyleElement type="firstRowStripe" dxfId="873"/>
      <tableStyleElement type="secondRowStripe" dxfId="872"/>
    </tableStyle>
    <tableStyle name="VV Drienerlo-style 2" pivot="0" count="3" xr9:uid="{00000000-0011-0000-FFFF-FFFFA0000000}">
      <tableStyleElement type="headerRow" dxfId="871"/>
      <tableStyleElement type="firstRowStripe" dxfId="870"/>
      <tableStyleElement type="secondRowStripe" dxfId="869"/>
    </tableStyle>
    <tableStyle name="VV Drienerlo-style 3" pivot="0" count="3" xr9:uid="{00000000-0011-0000-FFFF-FFFFA1000000}">
      <tableStyleElement type="headerRow" dxfId="868"/>
      <tableStyleElement type="firstRowStripe" dxfId="867"/>
      <tableStyleElement type="secondRowStripe" dxfId="866"/>
    </tableStyle>
    <tableStyle name="VV Drienerlo-style 4" pivot="0" count="3" xr9:uid="{00000000-0011-0000-FFFF-FFFFA2000000}">
      <tableStyleElement type="headerRow" dxfId="865"/>
      <tableStyleElement type="firstRowStripe" dxfId="864"/>
      <tableStyleElement type="secondRowStripe" dxfId="863"/>
    </tableStyle>
    <tableStyle name="VV Drienerlo-style 5" pivot="0" count="3" xr9:uid="{00000000-0011-0000-FFFF-FFFFA3000000}">
      <tableStyleElement type="headerRow" dxfId="862"/>
      <tableStyleElement type="firstRowStripe" dxfId="861"/>
      <tableStyleElement type="secondRowStripe" dxfId="86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6"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74" Type="http://schemas.openxmlformats.org/officeDocument/2006/relationships/theme" Target="theme/theme1.xml"/><Relationship Id="rId79" Type="http://schemas.openxmlformats.org/officeDocument/2006/relationships/calcChain" Target="calcChain.xml"/><Relationship Id="rId5" Type="http://schemas.openxmlformats.org/officeDocument/2006/relationships/worksheet" Target="worksheets/sheet5.xml"/><Relationship Id="rId82"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73" Type="http://customschemas.google.com/relationships/workbookmetadata" Target="metadata"/><Relationship Id="rId78" Type="http://schemas.microsoft.com/office/2017/10/relationships/person" Target="persons/person.xml"/><Relationship Id="rId8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77" Type="http://schemas.openxmlformats.org/officeDocument/2006/relationships/sheetMetadata" Target="metadata.xml"/><Relationship Id="rId8" Type="http://schemas.openxmlformats.org/officeDocument/2006/relationships/worksheet" Target="worksheets/sheet8.xml"/><Relationship Id="rId80"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worksheet" Target="worksheets/sheet41.xml"/><Relationship Id="rId75"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152400</xdr:colOff>
      <xdr:row>0</xdr:row>
      <xdr:rowOff>190500</xdr:rowOff>
    </xdr:from>
    <xdr:ext cx="4257675" cy="1790700"/>
    <xdr:pic>
      <xdr:nvPicPr>
        <xdr:cNvPr id="2" name="image1.png" title="Image">
          <a:extLst>
            <a:ext uri="{FF2B5EF4-FFF2-40B4-BE49-F238E27FC236}">
              <a16:creationId xmlns:a16="http://schemas.microsoft.com/office/drawing/2014/main" id="{6B6959EF-C497-A04A-9811-DAE08104AD57}"/>
            </a:ext>
          </a:extLst>
        </xdr:cNvPr>
        <xdr:cNvPicPr preferRelativeResize="0"/>
      </xdr:nvPicPr>
      <xdr:blipFill>
        <a:blip xmlns:r="http://schemas.openxmlformats.org/officeDocument/2006/relationships" r:embed="rId1" cstate="print"/>
        <a:stretch>
          <a:fillRect/>
        </a:stretch>
      </xdr:blipFill>
      <xdr:spPr>
        <a:xfrm>
          <a:off x="152400" y="190500"/>
          <a:ext cx="4257675" cy="1790700"/>
        </a:xfrm>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152400</xdr:colOff>
      <xdr:row>0</xdr:row>
      <xdr:rowOff>190500</xdr:rowOff>
    </xdr:from>
    <xdr:ext cx="4257675" cy="1790700"/>
    <xdr:pic>
      <xdr:nvPicPr>
        <xdr:cNvPr id="2" name="image1.png" title="Image">
          <a:extLst>
            <a:ext uri="{FF2B5EF4-FFF2-40B4-BE49-F238E27FC236}">
              <a16:creationId xmlns:a16="http://schemas.microsoft.com/office/drawing/2014/main" id="{D2E27D26-CF79-44CA-BAB3-F06EEA0C41BF}"/>
            </a:ext>
          </a:extLst>
        </xdr:cNvPr>
        <xdr:cNvPicPr preferRelativeResize="0"/>
      </xdr:nvPicPr>
      <xdr:blipFill>
        <a:blip xmlns:r="http://schemas.openxmlformats.org/officeDocument/2006/relationships" r:embed="rId1" cstate="print"/>
        <a:stretch>
          <a:fillRect/>
        </a:stretch>
      </xdr:blipFill>
      <xdr:spPr>
        <a:xfrm>
          <a:off x="152400" y="190500"/>
          <a:ext cx="4257675" cy="1790700"/>
        </a:xfrm>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152400</xdr:colOff>
      <xdr:row>0</xdr:row>
      <xdr:rowOff>190500</xdr:rowOff>
    </xdr:from>
    <xdr:ext cx="4257675" cy="1790700"/>
    <xdr:pic>
      <xdr:nvPicPr>
        <xdr:cNvPr id="2" name="image1.png" title="Image">
          <a:extLst>
            <a:ext uri="{FF2B5EF4-FFF2-40B4-BE49-F238E27FC236}">
              <a16:creationId xmlns:a16="http://schemas.microsoft.com/office/drawing/2014/main" id="{400CD072-AFB9-4409-8F05-605A3CF54DDC}"/>
            </a:ext>
          </a:extLst>
        </xdr:cNvPr>
        <xdr:cNvPicPr preferRelativeResize="0"/>
      </xdr:nvPicPr>
      <xdr:blipFill>
        <a:blip xmlns:r="http://schemas.openxmlformats.org/officeDocument/2006/relationships" r:embed="rId1" cstate="print"/>
        <a:stretch>
          <a:fillRect/>
        </a:stretch>
      </xdr:blipFill>
      <xdr:spPr>
        <a:xfrm>
          <a:off x="152400" y="190500"/>
          <a:ext cx="4257675" cy="1790700"/>
        </a:xfrm>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152400</xdr:colOff>
      <xdr:row>0</xdr:row>
      <xdr:rowOff>190500</xdr:rowOff>
    </xdr:from>
    <xdr:ext cx="4257675" cy="1790700"/>
    <xdr:pic>
      <xdr:nvPicPr>
        <xdr:cNvPr id="2" name="image1.png" title="Image">
          <a:extLst>
            <a:ext uri="{FF2B5EF4-FFF2-40B4-BE49-F238E27FC236}">
              <a16:creationId xmlns:a16="http://schemas.microsoft.com/office/drawing/2014/main" id="{A5AAC169-271D-4EFC-9E16-EA886C5D4844}"/>
            </a:ext>
          </a:extLst>
        </xdr:cNvPr>
        <xdr:cNvPicPr preferRelativeResize="0"/>
      </xdr:nvPicPr>
      <xdr:blipFill>
        <a:blip xmlns:r="http://schemas.openxmlformats.org/officeDocument/2006/relationships" r:embed="rId1" cstate="print"/>
        <a:stretch>
          <a:fillRect/>
        </a:stretch>
      </xdr:blipFill>
      <xdr:spPr>
        <a:xfrm>
          <a:off x="152400" y="190500"/>
          <a:ext cx="4257675" cy="1790700"/>
        </a:xfrm>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152400</xdr:colOff>
      <xdr:row>0</xdr:row>
      <xdr:rowOff>190500</xdr:rowOff>
    </xdr:from>
    <xdr:ext cx="4257675" cy="1790700"/>
    <xdr:pic>
      <xdr:nvPicPr>
        <xdr:cNvPr id="2" name="image1.png" title="Image">
          <a:extLst>
            <a:ext uri="{FF2B5EF4-FFF2-40B4-BE49-F238E27FC236}">
              <a16:creationId xmlns:a16="http://schemas.microsoft.com/office/drawing/2014/main" id="{EFA0BE04-5BD7-4D48-95FB-F20303E24871}"/>
            </a:ext>
          </a:extLst>
        </xdr:cNvPr>
        <xdr:cNvPicPr preferRelativeResize="0"/>
      </xdr:nvPicPr>
      <xdr:blipFill>
        <a:blip xmlns:r="http://schemas.openxmlformats.org/officeDocument/2006/relationships" r:embed="rId1" cstate="print"/>
        <a:stretch>
          <a:fillRect/>
        </a:stretch>
      </xdr:blipFill>
      <xdr:spPr>
        <a:xfrm>
          <a:off x="152400" y="190500"/>
          <a:ext cx="4257675" cy="1790700"/>
        </a:xfrm>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152400</xdr:colOff>
      <xdr:row>0</xdr:row>
      <xdr:rowOff>190500</xdr:rowOff>
    </xdr:from>
    <xdr:ext cx="4257675" cy="1790700"/>
    <xdr:pic>
      <xdr:nvPicPr>
        <xdr:cNvPr id="2" name="image1.png" title="Image">
          <a:extLst>
            <a:ext uri="{FF2B5EF4-FFF2-40B4-BE49-F238E27FC236}">
              <a16:creationId xmlns:a16="http://schemas.microsoft.com/office/drawing/2014/main" id="{17501C6E-6E21-4C26-856C-DEE008895908}"/>
            </a:ext>
          </a:extLst>
        </xdr:cNvPr>
        <xdr:cNvPicPr preferRelativeResize="0"/>
      </xdr:nvPicPr>
      <xdr:blipFill>
        <a:blip xmlns:r="http://schemas.openxmlformats.org/officeDocument/2006/relationships" r:embed="rId1" cstate="print"/>
        <a:stretch>
          <a:fillRect/>
        </a:stretch>
      </xdr:blipFill>
      <xdr:spPr>
        <a:xfrm>
          <a:off x="152400" y="190500"/>
          <a:ext cx="4257675" cy="1790700"/>
        </a:xfrm>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0</xdr:col>
      <xdr:colOff>152400</xdr:colOff>
      <xdr:row>0</xdr:row>
      <xdr:rowOff>190500</xdr:rowOff>
    </xdr:from>
    <xdr:ext cx="4257675" cy="1790700"/>
    <xdr:pic>
      <xdr:nvPicPr>
        <xdr:cNvPr id="2" name="image1.png" title="Image">
          <a:extLst>
            <a:ext uri="{FF2B5EF4-FFF2-40B4-BE49-F238E27FC236}">
              <a16:creationId xmlns:a16="http://schemas.microsoft.com/office/drawing/2014/main" id="{482DD0ED-0EA4-1C48-BE60-41D32C1A991A}"/>
            </a:ext>
          </a:extLst>
        </xdr:cNvPr>
        <xdr:cNvPicPr preferRelativeResize="0"/>
      </xdr:nvPicPr>
      <xdr:blipFill>
        <a:blip xmlns:r="http://schemas.openxmlformats.org/officeDocument/2006/relationships" r:embed="rId1" cstate="print"/>
        <a:stretch>
          <a:fillRect/>
        </a:stretch>
      </xdr:blipFill>
      <xdr:spPr>
        <a:xfrm>
          <a:off x="152400" y="190500"/>
          <a:ext cx="4257675" cy="1790700"/>
        </a:xfrm>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0</xdr:col>
      <xdr:colOff>152400</xdr:colOff>
      <xdr:row>0</xdr:row>
      <xdr:rowOff>190500</xdr:rowOff>
    </xdr:from>
    <xdr:ext cx="4257675" cy="1790700"/>
    <xdr:pic>
      <xdr:nvPicPr>
        <xdr:cNvPr id="2" name="image1.png" title="Image">
          <a:extLst>
            <a:ext uri="{FF2B5EF4-FFF2-40B4-BE49-F238E27FC236}">
              <a16:creationId xmlns:a16="http://schemas.microsoft.com/office/drawing/2014/main" id="{18BEAADF-A84F-CB45-AEF7-B29BF7CEF42F}"/>
            </a:ext>
          </a:extLst>
        </xdr:cNvPr>
        <xdr:cNvPicPr preferRelativeResize="0"/>
      </xdr:nvPicPr>
      <xdr:blipFill>
        <a:blip xmlns:r="http://schemas.openxmlformats.org/officeDocument/2006/relationships" r:embed="rId1" cstate="print"/>
        <a:stretch>
          <a:fillRect/>
        </a:stretch>
      </xdr:blipFill>
      <xdr:spPr>
        <a:xfrm>
          <a:off x="152400" y="190500"/>
          <a:ext cx="4257675" cy="1790700"/>
        </a:xfrm>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0</xdr:col>
      <xdr:colOff>152400</xdr:colOff>
      <xdr:row>0</xdr:row>
      <xdr:rowOff>190500</xdr:rowOff>
    </xdr:from>
    <xdr:ext cx="4257675" cy="1790700"/>
    <xdr:pic>
      <xdr:nvPicPr>
        <xdr:cNvPr id="2" name="image1.png" title="Image">
          <a:extLst>
            <a:ext uri="{FF2B5EF4-FFF2-40B4-BE49-F238E27FC236}">
              <a16:creationId xmlns:a16="http://schemas.microsoft.com/office/drawing/2014/main" id="{ED4532FF-6C10-9844-8D62-A688EADBE889}"/>
            </a:ext>
          </a:extLst>
        </xdr:cNvPr>
        <xdr:cNvPicPr preferRelativeResize="0"/>
      </xdr:nvPicPr>
      <xdr:blipFill>
        <a:blip xmlns:r="http://schemas.openxmlformats.org/officeDocument/2006/relationships" r:embed="rId1" cstate="print"/>
        <a:stretch>
          <a:fillRect/>
        </a:stretch>
      </xdr:blipFill>
      <xdr:spPr>
        <a:xfrm>
          <a:off x="152400" y="190500"/>
          <a:ext cx="4257675" cy="1790700"/>
        </a:xfrm>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0</xdr:col>
      <xdr:colOff>152400</xdr:colOff>
      <xdr:row>0</xdr:row>
      <xdr:rowOff>190500</xdr:rowOff>
    </xdr:from>
    <xdr:ext cx="4257675" cy="1790700"/>
    <xdr:pic>
      <xdr:nvPicPr>
        <xdr:cNvPr id="2" name="image1.png" title="Image">
          <a:extLst>
            <a:ext uri="{FF2B5EF4-FFF2-40B4-BE49-F238E27FC236}">
              <a16:creationId xmlns:a16="http://schemas.microsoft.com/office/drawing/2014/main" id="{664CDF2F-CA4A-427A-BBBC-EDB8E27BF03A}"/>
            </a:ext>
          </a:extLst>
        </xdr:cNvPr>
        <xdr:cNvPicPr preferRelativeResize="0"/>
      </xdr:nvPicPr>
      <xdr:blipFill>
        <a:blip xmlns:r="http://schemas.openxmlformats.org/officeDocument/2006/relationships" r:embed="rId1" cstate="print"/>
        <a:stretch>
          <a:fillRect/>
        </a:stretch>
      </xdr:blipFill>
      <xdr:spPr>
        <a:xfrm>
          <a:off x="152400" y="190500"/>
          <a:ext cx="4257675" cy="1790700"/>
        </a:xfrm>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dr:oneCellAnchor>
    <xdr:from>
      <xdr:col>0</xdr:col>
      <xdr:colOff>152400</xdr:colOff>
      <xdr:row>0</xdr:row>
      <xdr:rowOff>190500</xdr:rowOff>
    </xdr:from>
    <xdr:ext cx="4257675" cy="1790700"/>
    <xdr:pic>
      <xdr:nvPicPr>
        <xdr:cNvPr id="2" name="image1.png" title="Image">
          <a:extLst>
            <a:ext uri="{FF2B5EF4-FFF2-40B4-BE49-F238E27FC236}">
              <a16:creationId xmlns:a16="http://schemas.microsoft.com/office/drawing/2014/main" id="{0D977206-5912-F24E-A54D-C2BD2B920AED}"/>
            </a:ext>
          </a:extLst>
        </xdr:cNvPr>
        <xdr:cNvPicPr preferRelativeResize="0"/>
      </xdr:nvPicPr>
      <xdr:blipFill>
        <a:blip xmlns:r="http://schemas.openxmlformats.org/officeDocument/2006/relationships" r:embed="rId1" cstate="print"/>
        <a:stretch>
          <a:fillRect/>
        </a:stretch>
      </xdr:blipFill>
      <xdr:spPr>
        <a:xfrm>
          <a:off x="152400" y="190500"/>
          <a:ext cx="4257675" cy="1790700"/>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152400</xdr:colOff>
      <xdr:row>0</xdr:row>
      <xdr:rowOff>190500</xdr:rowOff>
    </xdr:from>
    <xdr:ext cx="4257675" cy="1790700"/>
    <xdr:pic>
      <xdr:nvPicPr>
        <xdr:cNvPr id="2" name="image1.png" title="Image">
          <a:extLst>
            <a:ext uri="{FF2B5EF4-FFF2-40B4-BE49-F238E27FC236}">
              <a16:creationId xmlns:a16="http://schemas.microsoft.com/office/drawing/2014/main" id="{4692DD3F-977C-4596-A973-513EC3EEAEAF}"/>
            </a:ext>
          </a:extLst>
        </xdr:cNvPr>
        <xdr:cNvPicPr preferRelativeResize="0"/>
      </xdr:nvPicPr>
      <xdr:blipFill>
        <a:blip xmlns:r="http://schemas.openxmlformats.org/officeDocument/2006/relationships" r:embed="rId1" cstate="print"/>
        <a:stretch>
          <a:fillRect/>
        </a:stretch>
      </xdr:blipFill>
      <xdr:spPr>
        <a:xfrm>
          <a:off x="152400" y="190500"/>
          <a:ext cx="4257675" cy="1790700"/>
        </a:xfrm>
        <a:prstGeom prst="rect">
          <a:avLst/>
        </a:prstGeom>
        <a:noFill/>
      </xdr:spPr>
    </xdr:pic>
    <xdr:clientData fLocksWithSheet="0"/>
  </xdr:oneCellAnchor>
</xdr:wsDr>
</file>

<file path=xl/drawings/drawing20.xml><?xml version="1.0" encoding="utf-8"?>
<xdr:wsDr xmlns:xdr="http://schemas.openxmlformats.org/drawingml/2006/spreadsheetDrawing" xmlns:a="http://schemas.openxmlformats.org/drawingml/2006/main">
  <xdr:oneCellAnchor>
    <xdr:from>
      <xdr:col>0</xdr:col>
      <xdr:colOff>152400</xdr:colOff>
      <xdr:row>0</xdr:row>
      <xdr:rowOff>190500</xdr:rowOff>
    </xdr:from>
    <xdr:ext cx="4257675" cy="1790700"/>
    <xdr:pic>
      <xdr:nvPicPr>
        <xdr:cNvPr id="2" name="image1.png" title="Image">
          <a:extLst>
            <a:ext uri="{FF2B5EF4-FFF2-40B4-BE49-F238E27FC236}">
              <a16:creationId xmlns:a16="http://schemas.microsoft.com/office/drawing/2014/main" id="{320F588D-191B-4DF9-81E0-F0BFE65AD400}"/>
            </a:ext>
          </a:extLst>
        </xdr:cNvPr>
        <xdr:cNvPicPr preferRelativeResize="0"/>
      </xdr:nvPicPr>
      <xdr:blipFill>
        <a:blip xmlns:r="http://schemas.openxmlformats.org/officeDocument/2006/relationships" r:embed="rId1" cstate="print"/>
        <a:stretch>
          <a:fillRect/>
        </a:stretch>
      </xdr:blipFill>
      <xdr:spPr>
        <a:xfrm>
          <a:off x="152400" y="190500"/>
          <a:ext cx="4257675" cy="1790700"/>
        </a:xfrm>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dr:oneCellAnchor>
    <xdr:from>
      <xdr:col>0</xdr:col>
      <xdr:colOff>152400</xdr:colOff>
      <xdr:row>0</xdr:row>
      <xdr:rowOff>190500</xdr:rowOff>
    </xdr:from>
    <xdr:ext cx="4257675" cy="1790700"/>
    <xdr:pic>
      <xdr:nvPicPr>
        <xdr:cNvPr id="2" name="image1.png" title="Image">
          <a:extLst>
            <a:ext uri="{FF2B5EF4-FFF2-40B4-BE49-F238E27FC236}">
              <a16:creationId xmlns:a16="http://schemas.microsoft.com/office/drawing/2014/main" id="{5506A945-5A1F-421D-A96A-A04BEFFF3EE5}"/>
            </a:ext>
          </a:extLst>
        </xdr:cNvPr>
        <xdr:cNvPicPr preferRelativeResize="0"/>
      </xdr:nvPicPr>
      <xdr:blipFill>
        <a:blip xmlns:r="http://schemas.openxmlformats.org/officeDocument/2006/relationships" r:embed="rId1" cstate="print"/>
        <a:stretch>
          <a:fillRect/>
        </a:stretch>
      </xdr:blipFill>
      <xdr:spPr>
        <a:xfrm>
          <a:off x="152400" y="190500"/>
          <a:ext cx="4257675" cy="1790700"/>
        </a:xfrm>
        <a:prstGeom prst="rect">
          <a:avLst/>
        </a:prstGeom>
        <a:noFill/>
      </xdr:spPr>
    </xdr:pic>
    <xdr:clientData fLocksWithSheet="0"/>
  </xdr:oneCellAnchor>
</xdr:wsDr>
</file>

<file path=xl/drawings/drawing22.xml><?xml version="1.0" encoding="utf-8"?>
<xdr:wsDr xmlns:xdr="http://schemas.openxmlformats.org/drawingml/2006/spreadsheetDrawing" xmlns:a="http://schemas.openxmlformats.org/drawingml/2006/main">
  <xdr:oneCellAnchor>
    <xdr:from>
      <xdr:col>0</xdr:col>
      <xdr:colOff>152400</xdr:colOff>
      <xdr:row>0</xdr:row>
      <xdr:rowOff>190500</xdr:rowOff>
    </xdr:from>
    <xdr:ext cx="4257675" cy="1790700"/>
    <xdr:pic>
      <xdr:nvPicPr>
        <xdr:cNvPr id="2" name="image1.png" title="Image">
          <a:extLst>
            <a:ext uri="{FF2B5EF4-FFF2-40B4-BE49-F238E27FC236}">
              <a16:creationId xmlns:a16="http://schemas.microsoft.com/office/drawing/2014/main" id="{D09AA1DC-2A1A-6446-A38A-DD957D7063E4}"/>
            </a:ext>
          </a:extLst>
        </xdr:cNvPr>
        <xdr:cNvPicPr preferRelativeResize="0"/>
      </xdr:nvPicPr>
      <xdr:blipFill>
        <a:blip xmlns:r="http://schemas.openxmlformats.org/officeDocument/2006/relationships" r:embed="rId1" cstate="print"/>
        <a:stretch>
          <a:fillRect/>
        </a:stretch>
      </xdr:blipFill>
      <xdr:spPr>
        <a:xfrm>
          <a:off x="152400" y="190500"/>
          <a:ext cx="4257675" cy="1790700"/>
        </a:xfrm>
        <a:prstGeom prst="rect">
          <a:avLst/>
        </a:prstGeom>
        <a:noFill/>
      </xdr:spPr>
    </xdr:pic>
    <xdr:clientData fLocksWithSheet="0"/>
  </xdr:oneCellAnchor>
</xdr:wsDr>
</file>

<file path=xl/drawings/drawing23.xml><?xml version="1.0" encoding="utf-8"?>
<xdr:wsDr xmlns:xdr="http://schemas.openxmlformats.org/drawingml/2006/spreadsheetDrawing" xmlns:a="http://schemas.openxmlformats.org/drawingml/2006/main">
  <xdr:oneCellAnchor>
    <xdr:from>
      <xdr:col>0</xdr:col>
      <xdr:colOff>152400</xdr:colOff>
      <xdr:row>0</xdr:row>
      <xdr:rowOff>190500</xdr:rowOff>
    </xdr:from>
    <xdr:ext cx="4257675" cy="1790700"/>
    <xdr:pic>
      <xdr:nvPicPr>
        <xdr:cNvPr id="2" name="image1.png" title="Image">
          <a:extLst>
            <a:ext uri="{FF2B5EF4-FFF2-40B4-BE49-F238E27FC236}">
              <a16:creationId xmlns:a16="http://schemas.microsoft.com/office/drawing/2014/main" id="{65D4B3E6-E368-4386-BEF6-03D5484C3416}"/>
            </a:ext>
          </a:extLst>
        </xdr:cNvPr>
        <xdr:cNvPicPr preferRelativeResize="0"/>
      </xdr:nvPicPr>
      <xdr:blipFill>
        <a:blip xmlns:r="http://schemas.openxmlformats.org/officeDocument/2006/relationships" r:embed="rId1" cstate="print"/>
        <a:stretch>
          <a:fillRect/>
        </a:stretch>
      </xdr:blipFill>
      <xdr:spPr>
        <a:xfrm>
          <a:off x="152400" y="190500"/>
          <a:ext cx="4257675" cy="1790700"/>
        </a:xfrm>
        <a:prstGeom prst="rect">
          <a:avLst/>
        </a:prstGeom>
        <a:noFill/>
      </xdr:spPr>
    </xdr:pic>
    <xdr:clientData fLocksWithSheet="0"/>
  </xdr:oneCellAnchor>
</xdr:wsDr>
</file>

<file path=xl/drawings/drawing24.xml><?xml version="1.0" encoding="utf-8"?>
<xdr:wsDr xmlns:xdr="http://schemas.openxmlformats.org/drawingml/2006/spreadsheetDrawing" xmlns:a="http://schemas.openxmlformats.org/drawingml/2006/main">
  <xdr:oneCellAnchor>
    <xdr:from>
      <xdr:col>0</xdr:col>
      <xdr:colOff>152400</xdr:colOff>
      <xdr:row>0</xdr:row>
      <xdr:rowOff>190500</xdr:rowOff>
    </xdr:from>
    <xdr:ext cx="4257675" cy="1790700"/>
    <xdr:pic>
      <xdr:nvPicPr>
        <xdr:cNvPr id="2" name="image1.png" title="Image">
          <a:extLst>
            <a:ext uri="{FF2B5EF4-FFF2-40B4-BE49-F238E27FC236}">
              <a16:creationId xmlns:a16="http://schemas.microsoft.com/office/drawing/2014/main" id="{AABCA589-4205-44DD-9866-A922D1F5543C}"/>
            </a:ext>
          </a:extLst>
        </xdr:cNvPr>
        <xdr:cNvPicPr preferRelativeResize="0"/>
      </xdr:nvPicPr>
      <xdr:blipFill>
        <a:blip xmlns:r="http://schemas.openxmlformats.org/officeDocument/2006/relationships" r:embed="rId1" cstate="print"/>
        <a:stretch>
          <a:fillRect/>
        </a:stretch>
      </xdr:blipFill>
      <xdr:spPr>
        <a:xfrm>
          <a:off x="152400" y="190500"/>
          <a:ext cx="4257675" cy="1790700"/>
        </a:xfrm>
        <a:prstGeom prst="rect">
          <a:avLst/>
        </a:prstGeom>
        <a:noFill/>
      </xdr:spPr>
    </xdr:pic>
    <xdr:clientData fLocksWithSheet="0"/>
  </xdr:oneCellAnchor>
</xdr:wsDr>
</file>

<file path=xl/drawings/drawing25.xml><?xml version="1.0" encoding="utf-8"?>
<xdr:wsDr xmlns:xdr="http://schemas.openxmlformats.org/drawingml/2006/spreadsheetDrawing" xmlns:a="http://schemas.openxmlformats.org/drawingml/2006/main">
  <xdr:oneCellAnchor>
    <xdr:from>
      <xdr:col>0</xdr:col>
      <xdr:colOff>152400</xdr:colOff>
      <xdr:row>0</xdr:row>
      <xdr:rowOff>190500</xdr:rowOff>
    </xdr:from>
    <xdr:ext cx="4257675" cy="1790700"/>
    <xdr:pic>
      <xdr:nvPicPr>
        <xdr:cNvPr id="2" name="image1.png" title="Image">
          <a:extLst>
            <a:ext uri="{FF2B5EF4-FFF2-40B4-BE49-F238E27FC236}">
              <a16:creationId xmlns:a16="http://schemas.microsoft.com/office/drawing/2014/main" id="{8C314F38-2ECF-4F1E-A277-C2D00E3FFCE7}"/>
            </a:ext>
          </a:extLst>
        </xdr:cNvPr>
        <xdr:cNvPicPr preferRelativeResize="0"/>
      </xdr:nvPicPr>
      <xdr:blipFill>
        <a:blip xmlns:r="http://schemas.openxmlformats.org/officeDocument/2006/relationships" r:embed="rId1" cstate="print"/>
        <a:stretch>
          <a:fillRect/>
        </a:stretch>
      </xdr:blipFill>
      <xdr:spPr>
        <a:xfrm>
          <a:off x="152400" y="190500"/>
          <a:ext cx="4257675" cy="1790700"/>
        </a:xfrm>
        <a:prstGeom prst="rect">
          <a:avLst/>
        </a:prstGeom>
        <a:noFill/>
      </xdr:spPr>
    </xdr:pic>
    <xdr:clientData fLocksWithSheet="0"/>
  </xdr:oneCellAnchor>
</xdr:wsDr>
</file>

<file path=xl/drawings/drawing26.xml><?xml version="1.0" encoding="utf-8"?>
<xdr:wsDr xmlns:xdr="http://schemas.openxmlformats.org/drawingml/2006/spreadsheetDrawing" xmlns:a="http://schemas.openxmlformats.org/drawingml/2006/main">
  <xdr:oneCellAnchor>
    <xdr:from>
      <xdr:col>0</xdr:col>
      <xdr:colOff>152400</xdr:colOff>
      <xdr:row>0</xdr:row>
      <xdr:rowOff>190500</xdr:rowOff>
    </xdr:from>
    <xdr:ext cx="4257675" cy="1790700"/>
    <xdr:pic>
      <xdr:nvPicPr>
        <xdr:cNvPr id="2" name="image1.png" title="Image">
          <a:extLst>
            <a:ext uri="{FF2B5EF4-FFF2-40B4-BE49-F238E27FC236}">
              <a16:creationId xmlns:a16="http://schemas.microsoft.com/office/drawing/2014/main" id="{CB21CE37-6483-BB4C-ADD1-59E3E52B0F13}"/>
            </a:ext>
          </a:extLst>
        </xdr:cNvPr>
        <xdr:cNvPicPr preferRelativeResize="0"/>
      </xdr:nvPicPr>
      <xdr:blipFill>
        <a:blip xmlns:r="http://schemas.openxmlformats.org/officeDocument/2006/relationships" r:embed="rId1" cstate="print"/>
        <a:stretch>
          <a:fillRect/>
        </a:stretch>
      </xdr:blipFill>
      <xdr:spPr>
        <a:xfrm>
          <a:off x="152400" y="190500"/>
          <a:ext cx="4257675" cy="1790700"/>
        </a:xfrm>
        <a:prstGeom prst="rect">
          <a:avLst/>
        </a:prstGeom>
        <a:noFill/>
      </xdr:spPr>
    </xdr:pic>
    <xdr:clientData fLocksWithSheet="0"/>
  </xdr:oneCellAnchor>
</xdr:wsDr>
</file>

<file path=xl/drawings/drawing27.xml><?xml version="1.0" encoding="utf-8"?>
<xdr:wsDr xmlns:xdr="http://schemas.openxmlformats.org/drawingml/2006/spreadsheetDrawing" xmlns:a="http://schemas.openxmlformats.org/drawingml/2006/main">
  <xdr:oneCellAnchor>
    <xdr:from>
      <xdr:col>0</xdr:col>
      <xdr:colOff>152400</xdr:colOff>
      <xdr:row>0</xdr:row>
      <xdr:rowOff>190500</xdr:rowOff>
    </xdr:from>
    <xdr:ext cx="4257675" cy="1790700"/>
    <xdr:pic>
      <xdr:nvPicPr>
        <xdr:cNvPr id="2" name="image1.png" title="Image">
          <a:extLst>
            <a:ext uri="{FF2B5EF4-FFF2-40B4-BE49-F238E27FC236}">
              <a16:creationId xmlns:a16="http://schemas.microsoft.com/office/drawing/2014/main" id="{5CEA560F-F159-0042-99A3-34893DBFF09C}"/>
            </a:ext>
          </a:extLst>
        </xdr:cNvPr>
        <xdr:cNvPicPr preferRelativeResize="0"/>
      </xdr:nvPicPr>
      <xdr:blipFill>
        <a:blip xmlns:r="http://schemas.openxmlformats.org/officeDocument/2006/relationships" r:embed="rId1" cstate="print"/>
        <a:stretch>
          <a:fillRect/>
        </a:stretch>
      </xdr:blipFill>
      <xdr:spPr>
        <a:xfrm>
          <a:off x="152400" y="190500"/>
          <a:ext cx="4257675" cy="1790700"/>
        </a:xfrm>
        <a:prstGeom prst="rect">
          <a:avLst/>
        </a:prstGeom>
        <a:noFill/>
      </xdr:spPr>
    </xdr:pic>
    <xdr:clientData fLocksWithSheet="0"/>
  </xdr:oneCellAnchor>
</xdr:wsDr>
</file>

<file path=xl/drawings/drawing28.xml><?xml version="1.0" encoding="utf-8"?>
<xdr:wsDr xmlns:xdr="http://schemas.openxmlformats.org/drawingml/2006/spreadsheetDrawing" xmlns:a="http://schemas.openxmlformats.org/drawingml/2006/main">
  <xdr:oneCellAnchor>
    <xdr:from>
      <xdr:col>0</xdr:col>
      <xdr:colOff>152400</xdr:colOff>
      <xdr:row>0</xdr:row>
      <xdr:rowOff>190500</xdr:rowOff>
    </xdr:from>
    <xdr:ext cx="4257675" cy="1790700"/>
    <xdr:pic>
      <xdr:nvPicPr>
        <xdr:cNvPr id="2" name="image1.png" title="Image">
          <a:extLst>
            <a:ext uri="{FF2B5EF4-FFF2-40B4-BE49-F238E27FC236}">
              <a16:creationId xmlns:a16="http://schemas.microsoft.com/office/drawing/2014/main" id="{41A2D2B6-77AE-4641-A713-7C2B3474C74D}"/>
            </a:ext>
          </a:extLst>
        </xdr:cNvPr>
        <xdr:cNvPicPr preferRelativeResize="0"/>
      </xdr:nvPicPr>
      <xdr:blipFill>
        <a:blip xmlns:r="http://schemas.openxmlformats.org/officeDocument/2006/relationships" r:embed="rId1" cstate="print"/>
        <a:stretch>
          <a:fillRect/>
        </a:stretch>
      </xdr:blipFill>
      <xdr:spPr>
        <a:xfrm>
          <a:off x="152400" y="190500"/>
          <a:ext cx="4257675" cy="1790700"/>
        </a:xfrm>
        <a:prstGeom prst="rect">
          <a:avLst/>
        </a:prstGeom>
        <a:noFill/>
      </xdr:spPr>
    </xdr:pic>
    <xdr:clientData fLocksWithSheet="0"/>
  </xdr:oneCellAnchor>
</xdr:wsDr>
</file>

<file path=xl/drawings/drawing29.xml><?xml version="1.0" encoding="utf-8"?>
<xdr:wsDr xmlns:xdr="http://schemas.openxmlformats.org/drawingml/2006/spreadsheetDrawing" xmlns:a="http://schemas.openxmlformats.org/drawingml/2006/main">
  <xdr:oneCellAnchor>
    <xdr:from>
      <xdr:col>0</xdr:col>
      <xdr:colOff>152400</xdr:colOff>
      <xdr:row>0</xdr:row>
      <xdr:rowOff>190500</xdr:rowOff>
    </xdr:from>
    <xdr:ext cx="4257675" cy="1790700"/>
    <xdr:pic>
      <xdr:nvPicPr>
        <xdr:cNvPr id="2" name="image1.png" title="Image">
          <a:extLst>
            <a:ext uri="{FF2B5EF4-FFF2-40B4-BE49-F238E27FC236}">
              <a16:creationId xmlns:a16="http://schemas.microsoft.com/office/drawing/2014/main" id="{1FEB3D29-DCB6-4D61-B6C7-D813EEF30588}"/>
            </a:ext>
          </a:extLst>
        </xdr:cNvPr>
        <xdr:cNvPicPr preferRelativeResize="0"/>
      </xdr:nvPicPr>
      <xdr:blipFill>
        <a:blip xmlns:r="http://schemas.openxmlformats.org/officeDocument/2006/relationships" r:embed="rId1" cstate="print"/>
        <a:stretch>
          <a:fillRect/>
        </a:stretch>
      </xdr:blipFill>
      <xdr:spPr>
        <a:xfrm>
          <a:off x="152400" y="190500"/>
          <a:ext cx="4257675" cy="1790700"/>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152400</xdr:colOff>
      <xdr:row>0</xdr:row>
      <xdr:rowOff>190500</xdr:rowOff>
    </xdr:from>
    <xdr:ext cx="4257675" cy="1790700"/>
    <xdr:pic>
      <xdr:nvPicPr>
        <xdr:cNvPr id="2" name="image1.png" title="Image">
          <a:extLst>
            <a:ext uri="{FF2B5EF4-FFF2-40B4-BE49-F238E27FC236}">
              <a16:creationId xmlns:a16="http://schemas.microsoft.com/office/drawing/2014/main" id="{4D60377F-200F-4163-BB0C-0E6885A7CFE4}"/>
            </a:ext>
          </a:extLst>
        </xdr:cNvPr>
        <xdr:cNvPicPr preferRelativeResize="0"/>
      </xdr:nvPicPr>
      <xdr:blipFill>
        <a:blip xmlns:r="http://schemas.openxmlformats.org/officeDocument/2006/relationships" r:embed="rId1" cstate="print"/>
        <a:stretch>
          <a:fillRect/>
        </a:stretch>
      </xdr:blipFill>
      <xdr:spPr>
        <a:xfrm>
          <a:off x="152400" y="190500"/>
          <a:ext cx="4257675" cy="1790700"/>
        </a:xfrm>
        <a:prstGeom prst="rect">
          <a:avLst/>
        </a:prstGeom>
        <a:noFill/>
      </xdr:spPr>
    </xdr:pic>
    <xdr:clientData fLocksWithSheet="0"/>
  </xdr:oneCellAnchor>
</xdr:wsDr>
</file>

<file path=xl/drawings/drawing30.xml><?xml version="1.0" encoding="utf-8"?>
<xdr:wsDr xmlns:xdr="http://schemas.openxmlformats.org/drawingml/2006/spreadsheetDrawing" xmlns:a="http://schemas.openxmlformats.org/drawingml/2006/main">
  <xdr:oneCellAnchor>
    <xdr:from>
      <xdr:col>0</xdr:col>
      <xdr:colOff>152400</xdr:colOff>
      <xdr:row>0</xdr:row>
      <xdr:rowOff>190500</xdr:rowOff>
    </xdr:from>
    <xdr:ext cx="4257675" cy="1790700"/>
    <xdr:pic>
      <xdr:nvPicPr>
        <xdr:cNvPr id="2" name="image1.png" title="Image">
          <a:extLst>
            <a:ext uri="{FF2B5EF4-FFF2-40B4-BE49-F238E27FC236}">
              <a16:creationId xmlns:a16="http://schemas.microsoft.com/office/drawing/2014/main" id="{CFCBF6BD-44E4-4B3E-99B9-94F832097CCA}"/>
            </a:ext>
          </a:extLst>
        </xdr:cNvPr>
        <xdr:cNvPicPr preferRelativeResize="0"/>
      </xdr:nvPicPr>
      <xdr:blipFill>
        <a:blip xmlns:r="http://schemas.openxmlformats.org/officeDocument/2006/relationships" r:embed="rId1" cstate="print"/>
        <a:stretch>
          <a:fillRect/>
        </a:stretch>
      </xdr:blipFill>
      <xdr:spPr>
        <a:xfrm>
          <a:off x="152400" y="190500"/>
          <a:ext cx="4257675" cy="1790700"/>
        </a:xfrm>
        <a:prstGeom prst="rect">
          <a:avLst/>
        </a:prstGeom>
        <a:noFill/>
      </xdr:spPr>
    </xdr:pic>
    <xdr:clientData fLocksWithSheet="0"/>
  </xdr:oneCellAnchor>
</xdr:wsDr>
</file>

<file path=xl/drawings/drawing31.xml><?xml version="1.0" encoding="utf-8"?>
<xdr:wsDr xmlns:xdr="http://schemas.openxmlformats.org/drawingml/2006/spreadsheetDrawing" xmlns:a="http://schemas.openxmlformats.org/drawingml/2006/main">
  <xdr:oneCellAnchor>
    <xdr:from>
      <xdr:col>0</xdr:col>
      <xdr:colOff>152400</xdr:colOff>
      <xdr:row>0</xdr:row>
      <xdr:rowOff>190500</xdr:rowOff>
    </xdr:from>
    <xdr:ext cx="4257675" cy="1790700"/>
    <xdr:pic>
      <xdr:nvPicPr>
        <xdr:cNvPr id="2" name="image1.png" title="Image">
          <a:extLst>
            <a:ext uri="{FF2B5EF4-FFF2-40B4-BE49-F238E27FC236}">
              <a16:creationId xmlns:a16="http://schemas.microsoft.com/office/drawing/2014/main" id="{0FDF306C-895A-43D5-BCEA-467BDE7536B1}"/>
            </a:ext>
          </a:extLst>
        </xdr:cNvPr>
        <xdr:cNvPicPr preferRelativeResize="0"/>
      </xdr:nvPicPr>
      <xdr:blipFill>
        <a:blip xmlns:r="http://schemas.openxmlformats.org/officeDocument/2006/relationships" r:embed="rId1" cstate="print"/>
        <a:stretch>
          <a:fillRect/>
        </a:stretch>
      </xdr:blipFill>
      <xdr:spPr>
        <a:xfrm>
          <a:off x="152400" y="190500"/>
          <a:ext cx="4257675" cy="1790700"/>
        </a:xfrm>
        <a:prstGeom prst="rect">
          <a:avLst/>
        </a:prstGeom>
        <a:noFill/>
      </xdr:spPr>
    </xdr:pic>
    <xdr:clientData fLocksWithSheet="0"/>
  </xdr:oneCellAnchor>
</xdr:wsDr>
</file>

<file path=xl/drawings/drawing32.xml><?xml version="1.0" encoding="utf-8"?>
<xdr:wsDr xmlns:xdr="http://schemas.openxmlformats.org/drawingml/2006/spreadsheetDrawing" xmlns:a="http://schemas.openxmlformats.org/drawingml/2006/main">
  <xdr:oneCellAnchor>
    <xdr:from>
      <xdr:col>0</xdr:col>
      <xdr:colOff>152400</xdr:colOff>
      <xdr:row>0</xdr:row>
      <xdr:rowOff>190500</xdr:rowOff>
    </xdr:from>
    <xdr:ext cx="4257675" cy="1790700"/>
    <xdr:pic>
      <xdr:nvPicPr>
        <xdr:cNvPr id="2" name="image1.png" title="Image">
          <a:extLst>
            <a:ext uri="{FF2B5EF4-FFF2-40B4-BE49-F238E27FC236}">
              <a16:creationId xmlns:a16="http://schemas.microsoft.com/office/drawing/2014/main" id="{D3A0CA73-D8D0-0245-A979-D73F75D10F0E}"/>
            </a:ext>
          </a:extLst>
        </xdr:cNvPr>
        <xdr:cNvPicPr preferRelativeResize="0"/>
      </xdr:nvPicPr>
      <xdr:blipFill>
        <a:blip xmlns:r="http://schemas.openxmlformats.org/officeDocument/2006/relationships" r:embed="rId1" cstate="print"/>
        <a:stretch>
          <a:fillRect/>
        </a:stretch>
      </xdr:blipFill>
      <xdr:spPr>
        <a:xfrm>
          <a:off x="152400" y="190500"/>
          <a:ext cx="4257675" cy="1790700"/>
        </a:xfrm>
        <a:prstGeom prst="rect">
          <a:avLst/>
        </a:prstGeom>
        <a:noFill/>
      </xdr:spPr>
    </xdr:pic>
    <xdr:clientData fLocksWithSheet="0"/>
  </xdr:oneCellAnchor>
</xdr:wsDr>
</file>

<file path=xl/drawings/drawing33.xml><?xml version="1.0" encoding="utf-8"?>
<xdr:wsDr xmlns:xdr="http://schemas.openxmlformats.org/drawingml/2006/spreadsheetDrawing" xmlns:a="http://schemas.openxmlformats.org/drawingml/2006/main">
  <xdr:oneCellAnchor>
    <xdr:from>
      <xdr:col>0</xdr:col>
      <xdr:colOff>152400</xdr:colOff>
      <xdr:row>0</xdr:row>
      <xdr:rowOff>190500</xdr:rowOff>
    </xdr:from>
    <xdr:ext cx="4257675" cy="1790700"/>
    <xdr:pic>
      <xdr:nvPicPr>
        <xdr:cNvPr id="2" name="image1.png" title="Image">
          <a:extLst>
            <a:ext uri="{FF2B5EF4-FFF2-40B4-BE49-F238E27FC236}">
              <a16:creationId xmlns:a16="http://schemas.microsoft.com/office/drawing/2014/main" id="{CD7A4B26-D56C-4C4C-BC04-09EDDB41CC19}"/>
            </a:ext>
          </a:extLst>
        </xdr:cNvPr>
        <xdr:cNvPicPr preferRelativeResize="0"/>
      </xdr:nvPicPr>
      <xdr:blipFill>
        <a:blip xmlns:r="http://schemas.openxmlformats.org/officeDocument/2006/relationships" r:embed="rId1" cstate="print"/>
        <a:stretch>
          <a:fillRect/>
        </a:stretch>
      </xdr:blipFill>
      <xdr:spPr>
        <a:xfrm>
          <a:off x="152400" y="190500"/>
          <a:ext cx="4257675" cy="1790700"/>
        </a:xfrm>
        <a:prstGeom prst="rect">
          <a:avLst/>
        </a:prstGeom>
        <a:noFill/>
      </xdr:spPr>
    </xdr:pic>
    <xdr:clientData fLocksWithSheet="0"/>
  </xdr:oneCellAnchor>
</xdr:wsDr>
</file>

<file path=xl/drawings/drawing34.xml><?xml version="1.0" encoding="utf-8"?>
<xdr:wsDr xmlns:xdr="http://schemas.openxmlformats.org/drawingml/2006/spreadsheetDrawing" xmlns:a="http://schemas.openxmlformats.org/drawingml/2006/main">
  <xdr:oneCellAnchor>
    <xdr:from>
      <xdr:col>0</xdr:col>
      <xdr:colOff>152400</xdr:colOff>
      <xdr:row>0</xdr:row>
      <xdr:rowOff>190500</xdr:rowOff>
    </xdr:from>
    <xdr:ext cx="4257675" cy="1790700"/>
    <xdr:pic>
      <xdr:nvPicPr>
        <xdr:cNvPr id="2" name="image1.png" title="Image">
          <a:extLst>
            <a:ext uri="{FF2B5EF4-FFF2-40B4-BE49-F238E27FC236}">
              <a16:creationId xmlns:a16="http://schemas.microsoft.com/office/drawing/2014/main" id="{6F126C88-C65C-4AC2-B53E-DBF717C16E8E}"/>
            </a:ext>
          </a:extLst>
        </xdr:cNvPr>
        <xdr:cNvPicPr preferRelativeResize="0"/>
      </xdr:nvPicPr>
      <xdr:blipFill>
        <a:blip xmlns:r="http://schemas.openxmlformats.org/officeDocument/2006/relationships" r:embed="rId1" cstate="print"/>
        <a:stretch>
          <a:fillRect/>
        </a:stretch>
      </xdr:blipFill>
      <xdr:spPr>
        <a:xfrm>
          <a:off x="152400" y="190500"/>
          <a:ext cx="4257675" cy="1790700"/>
        </a:xfrm>
        <a:prstGeom prst="rect">
          <a:avLst/>
        </a:prstGeom>
        <a:noFill/>
      </xdr:spPr>
    </xdr:pic>
    <xdr:clientData fLocksWithSheet="0"/>
  </xdr:oneCellAnchor>
</xdr:wsDr>
</file>

<file path=xl/drawings/drawing35.xml><?xml version="1.0" encoding="utf-8"?>
<xdr:wsDr xmlns:xdr="http://schemas.openxmlformats.org/drawingml/2006/spreadsheetDrawing" xmlns:a="http://schemas.openxmlformats.org/drawingml/2006/main">
  <xdr:oneCellAnchor>
    <xdr:from>
      <xdr:col>0</xdr:col>
      <xdr:colOff>152400</xdr:colOff>
      <xdr:row>0</xdr:row>
      <xdr:rowOff>190500</xdr:rowOff>
    </xdr:from>
    <xdr:ext cx="4257675" cy="1790700"/>
    <xdr:pic>
      <xdr:nvPicPr>
        <xdr:cNvPr id="2" name="image1.png" title="Image">
          <a:extLst>
            <a:ext uri="{FF2B5EF4-FFF2-40B4-BE49-F238E27FC236}">
              <a16:creationId xmlns:a16="http://schemas.microsoft.com/office/drawing/2014/main" id="{129F491C-A2EF-40FF-99A3-23E1B9158D44}"/>
            </a:ext>
          </a:extLst>
        </xdr:cNvPr>
        <xdr:cNvPicPr preferRelativeResize="0"/>
      </xdr:nvPicPr>
      <xdr:blipFill>
        <a:blip xmlns:r="http://schemas.openxmlformats.org/officeDocument/2006/relationships" r:embed="rId1" cstate="print"/>
        <a:stretch>
          <a:fillRect/>
        </a:stretch>
      </xdr:blipFill>
      <xdr:spPr>
        <a:xfrm>
          <a:off x="152400" y="190500"/>
          <a:ext cx="4257675" cy="1790700"/>
        </a:xfrm>
        <a:prstGeom prst="rect">
          <a:avLst/>
        </a:prstGeom>
        <a:noFill/>
      </xdr:spPr>
    </xdr:pic>
    <xdr:clientData fLocksWithSheet="0"/>
  </xdr:oneCellAnchor>
</xdr:wsDr>
</file>

<file path=xl/drawings/drawing36.xml><?xml version="1.0" encoding="utf-8"?>
<xdr:wsDr xmlns:xdr="http://schemas.openxmlformats.org/drawingml/2006/spreadsheetDrawing" xmlns:a="http://schemas.openxmlformats.org/drawingml/2006/main">
  <xdr:oneCellAnchor>
    <xdr:from>
      <xdr:col>0</xdr:col>
      <xdr:colOff>152400</xdr:colOff>
      <xdr:row>0</xdr:row>
      <xdr:rowOff>190500</xdr:rowOff>
    </xdr:from>
    <xdr:ext cx="4257675" cy="1790700"/>
    <xdr:pic>
      <xdr:nvPicPr>
        <xdr:cNvPr id="2" name="image1.png" title="Image">
          <a:extLst>
            <a:ext uri="{FF2B5EF4-FFF2-40B4-BE49-F238E27FC236}">
              <a16:creationId xmlns:a16="http://schemas.microsoft.com/office/drawing/2014/main" id="{4871CB3D-9D73-4421-BF3D-351522D9E93D}"/>
            </a:ext>
          </a:extLst>
        </xdr:cNvPr>
        <xdr:cNvPicPr preferRelativeResize="0"/>
      </xdr:nvPicPr>
      <xdr:blipFill>
        <a:blip xmlns:r="http://schemas.openxmlformats.org/officeDocument/2006/relationships" r:embed="rId1" cstate="print"/>
        <a:stretch>
          <a:fillRect/>
        </a:stretch>
      </xdr:blipFill>
      <xdr:spPr>
        <a:xfrm>
          <a:off x="152400" y="190500"/>
          <a:ext cx="4257675" cy="1790700"/>
        </a:xfrm>
        <a:prstGeom prst="rect">
          <a:avLst/>
        </a:prstGeom>
        <a:noFill/>
      </xdr:spPr>
    </xdr:pic>
    <xdr:clientData fLocksWithSheet="0"/>
  </xdr:oneCellAnchor>
</xdr:wsDr>
</file>

<file path=xl/drawings/drawing37.xml><?xml version="1.0" encoding="utf-8"?>
<xdr:wsDr xmlns:xdr="http://schemas.openxmlformats.org/drawingml/2006/spreadsheetDrawing" xmlns:a="http://schemas.openxmlformats.org/drawingml/2006/main">
  <xdr:oneCellAnchor>
    <xdr:from>
      <xdr:col>0</xdr:col>
      <xdr:colOff>152400</xdr:colOff>
      <xdr:row>0</xdr:row>
      <xdr:rowOff>190500</xdr:rowOff>
    </xdr:from>
    <xdr:ext cx="4257675" cy="1790700"/>
    <xdr:pic>
      <xdr:nvPicPr>
        <xdr:cNvPr id="2" name="image1.png" title="Image">
          <a:extLst>
            <a:ext uri="{FF2B5EF4-FFF2-40B4-BE49-F238E27FC236}">
              <a16:creationId xmlns:a16="http://schemas.microsoft.com/office/drawing/2014/main" id="{7AC4077D-7E11-43D7-A8AD-13591F586749}"/>
            </a:ext>
          </a:extLst>
        </xdr:cNvPr>
        <xdr:cNvPicPr preferRelativeResize="0"/>
      </xdr:nvPicPr>
      <xdr:blipFill>
        <a:blip xmlns:r="http://schemas.openxmlformats.org/officeDocument/2006/relationships" r:embed="rId1" cstate="print"/>
        <a:stretch>
          <a:fillRect/>
        </a:stretch>
      </xdr:blipFill>
      <xdr:spPr>
        <a:xfrm>
          <a:off x="152400" y="190500"/>
          <a:ext cx="4257675" cy="1790700"/>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152400</xdr:colOff>
      <xdr:row>0</xdr:row>
      <xdr:rowOff>190500</xdr:rowOff>
    </xdr:from>
    <xdr:ext cx="4257675" cy="1790700"/>
    <xdr:pic>
      <xdr:nvPicPr>
        <xdr:cNvPr id="2" name="image1.png" title="Image">
          <a:extLst>
            <a:ext uri="{FF2B5EF4-FFF2-40B4-BE49-F238E27FC236}">
              <a16:creationId xmlns:a16="http://schemas.microsoft.com/office/drawing/2014/main" id="{6568A834-2D54-4661-8384-F0C64E2A1773}"/>
            </a:ext>
          </a:extLst>
        </xdr:cNvPr>
        <xdr:cNvPicPr preferRelativeResize="0"/>
      </xdr:nvPicPr>
      <xdr:blipFill>
        <a:blip xmlns:r="http://schemas.openxmlformats.org/officeDocument/2006/relationships" r:embed="rId1" cstate="print"/>
        <a:stretch>
          <a:fillRect/>
        </a:stretch>
      </xdr:blipFill>
      <xdr:spPr>
        <a:xfrm>
          <a:off x="152400" y="190500"/>
          <a:ext cx="4257675" cy="179070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152400</xdr:colOff>
      <xdr:row>0</xdr:row>
      <xdr:rowOff>190500</xdr:rowOff>
    </xdr:from>
    <xdr:ext cx="4257675" cy="1790700"/>
    <xdr:pic>
      <xdr:nvPicPr>
        <xdr:cNvPr id="2" name="image1.png" title="Image">
          <a:extLst>
            <a:ext uri="{FF2B5EF4-FFF2-40B4-BE49-F238E27FC236}">
              <a16:creationId xmlns:a16="http://schemas.microsoft.com/office/drawing/2014/main" id="{AF4B759B-6847-424C-A288-04142C5DF969}"/>
            </a:ext>
          </a:extLst>
        </xdr:cNvPr>
        <xdr:cNvPicPr preferRelativeResize="0"/>
      </xdr:nvPicPr>
      <xdr:blipFill>
        <a:blip xmlns:r="http://schemas.openxmlformats.org/officeDocument/2006/relationships" r:embed="rId1" cstate="print"/>
        <a:stretch>
          <a:fillRect/>
        </a:stretch>
      </xdr:blipFill>
      <xdr:spPr>
        <a:xfrm>
          <a:off x="152400" y="190500"/>
          <a:ext cx="4257675" cy="1790700"/>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152400</xdr:colOff>
      <xdr:row>0</xdr:row>
      <xdr:rowOff>190500</xdr:rowOff>
    </xdr:from>
    <xdr:ext cx="4257675" cy="1790700"/>
    <xdr:pic>
      <xdr:nvPicPr>
        <xdr:cNvPr id="2" name="image1.png" title="Image">
          <a:extLst>
            <a:ext uri="{FF2B5EF4-FFF2-40B4-BE49-F238E27FC236}">
              <a16:creationId xmlns:a16="http://schemas.microsoft.com/office/drawing/2014/main" id="{DFA535A5-886C-574B-8072-20F182FDACBF}"/>
            </a:ext>
          </a:extLst>
        </xdr:cNvPr>
        <xdr:cNvPicPr preferRelativeResize="0"/>
      </xdr:nvPicPr>
      <xdr:blipFill>
        <a:blip xmlns:r="http://schemas.openxmlformats.org/officeDocument/2006/relationships" r:embed="rId1" cstate="print"/>
        <a:stretch>
          <a:fillRect/>
        </a:stretch>
      </xdr:blipFill>
      <xdr:spPr>
        <a:xfrm>
          <a:off x="152400" y="190500"/>
          <a:ext cx="4257675" cy="1790700"/>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152400</xdr:colOff>
      <xdr:row>0</xdr:row>
      <xdr:rowOff>190500</xdr:rowOff>
    </xdr:from>
    <xdr:ext cx="4257675" cy="1790700"/>
    <xdr:pic>
      <xdr:nvPicPr>
        <xdr:cNvPr id="2" name="image1.png" title="Image">
          <a:extLst>
            <a:ext uri="{FF2B5EF4-FFF2-40B4-BE49-F238E27FC236}">
              <a16:creationId xmlns:a16="http://schemas.microsoft.com/office/drawing/2014/main" id="{77ECDE7F-6908-444A-9A88-DDDF19FD69C3}"/>
            </a:ext>
          </a:extLst>
        </xdr:cNvPr>
        <xdr:cNvPicPr preferRelativeResize="0"/>
      </xdr:nvPicPr>
      <xdr:blipFill>
        <a:blip xmlns:r="http://schemas.openxmlformats.org/officeDocument/2006/relationships" r:embed="rId1" cstate="print"/>
        <a:stretch>
          <a:fillRect/>
        </a:stretch>
      </xdr:blipFill>
      <xdr:spPr>
        <a:xfrm>
          <a:off x="152400" y="190500"/>
          <a:ext cx="4257675" cy="1790700"/>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152400</xdr:colOff>
      <xdr:row>0</xdr:row>
      <xdr:rowOff>190500</xdr:rowOff>
    </xdr:from>
    <xdr:ext cx="4257675" cy="1790700"/>
    <xdr:pic>
      <xdr:nvPicPr>
        <xdr:cNvPr id="2" name="image1.png" title="Image">
          <a:extLst>
            <a:ext uri="{FF2B5EF4-FFF2-40B4-BE49-F238E27FC236}">
              <a16:creationId xmlns:a16="http://schemas.microsoft.com/office/drawing/2014/main" id="{124EFDB8-D404-DE45-AB2C-591EAFD9F37A}"/>
            </a:ext>
          </a:extLst>
        </xdr:cNvPr>
        <xdr:cNvPicPr preferRelativeResize="0"/>
      </xdr:nvPicPr>
      <xdr:blipFill>
        <a:blip xmlns:r="http://schemas.openxmlformats.org/officeDocument/2006/relationships" r:embed="rId1" cstate="print"/>
        <a:stretch>
          <a:fillRect/>
        </a:stretch>
      </xdr:blipFill>
      <xdr:spPr>
        <a:xfrm>
          <a:off x="152400" y="190500"/>
          <a:ext cx="4257675" cy="1790700"/>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152400</xdr:colOff>
      <xdr:row>0</xdr:row>
      <xdr:rowOff>190500</xdr:rowOff>
    </xdr:from>
    <xdr:ext cx="4257675" cy="1790700"/>
    <xdr:pic>
      <xdr:nvPicPr>
        <xdr:cNvPr id="2" name="image1.png" title="Image">
          <a:extLst>
            <a:ext uri="{FF2B5EF4-FFF2-40B4-BE49-F238E27FC236}">
              <a16:creationId xmlns:a16="http://schemas.microsoft.com/office/drawing/2014/main" id="{9947718D-7598-474F-9493-C9B1125C710F}"/>
            </a:ext>
          </a:extLst>
        </xdr:cNvPr>
        <xdr:cNvPicPr preferRelativeResize="0"/>
      </xdr:nvPicPr>
      <xdr:blipFill>
        <a:blip xmlns:r="http://schemas.openxmlformats.org/officeDocument/2006/relationships" r:embed="rId1" cstate="print"/>
        <a:stretch>
          <a:fillRect/>
        </a:stretch>
      </xdr:blipFill>
      <xdr:spPr>
        <a:xfrm>
          <a:off x="152400" y="190500"/>
          <a:ext cx="4257675" cy="1790700"/>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WIP)%20FAM%20Sheets%20-%20Regulations%202025-28%20-%20Version%20April%20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IP) FAM Sheets - Regulations "/>
    </sheetNames>
    <definedNames>
      <definedName name="LocationNames"/>
      <definedName name="TypesOfTrainers"/>
      <definedName name="TypesOfTraining"/>
    </definedNames>
    <sheetDataSet>
      <sheetData sheetId="0"/>
    </sheetDataSet>
  </externalBook>
</externalLink>
</file>

<file path=xl/persons/person.xml><?xml version="1.0" encoding="utf-8"?>
<personList xmlns="http://schemas.microsoft.com/office/spreadsheetml/2018/threadedcomments" xmlns:x="http://schemas.openxmlformats.org/spreadsheetml/2006/main">
  <person displayName="Dalitz, J. (Jonas, Student B-EE)" id="{DC95346D-D8D2-4A67-88B6-5F0DE9DD3BCA}" userId="S::j.dalitz@student.utwente.nl::2fd8cf41-cda4-497b-8934-34577b0e6ef5" providerId="AD"/>
  <person displayName="Harris, H.R. (Henry, Student B-MST)" id="{33602AF2-2954-45B4-AEB7-E4EF4B3E7248}" userId="S::h.r.harris@student.utwente.nl::7ef594bd-a71d-4de6-89ea-25ee836a5b45" providerId="AD"/>
  <person displayName="Swieringa, T.J. (Thimo, Student B-AT)" id="{E38FDA05-D0EE-458B-A049-453F2A836882}" userId="S::t.j.swieringa@student.utwente.nl::5a775734-ecf6-4eb2-8069-7601faf82a04"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A6:F82" dataDxfId="859">
  <tableColumns count="6">
    <tableColumn id="1" xr3:uid="{00000000-0010-0000-0000-000001000000}" name=" " dataDxfId="858"/>
    <tableColumn id="2" xr3:uid="{00000000-0010-0000-0000-000002000000}" name="Datum" dataDxfId="857"/>
    <tableColumn id="3" xr3:uid="{00000000-0010-0000-0000-000003000000}" name="Wie?" dataDxfId="856"/>
    <tableColumn id="4" xr3:uid="{00000000-0010-0000-0000-000004000000}" name="Welk blad? (Vereniging)" dataDxfId="855"/>
    <tableColumn id="5" xr3:uid="{00000000-0010-0000-0000-000005000000}" name="Waar zijn dingen aangepast?" dataDxfId="854"/>
    <tableColumn id="6" xr3:uid="{00000000-0010-0000-0000-000006000000}" name="Besproken en toegelicht in een vergadering? " dataDxfId="853"/>
  </tableColumns>
  <tableStyleInfo name="Logboek -style" showFirstColumn="1" showLastColumn="1"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AAC94E5-CE97-4390-8894-A613007AD1C9}" name="Table_416882" displayName="Table_416882" ref="A55:J68" tableBorderDxfId="816">
  <tableColumns count="10">
    <tableColumn id="1" xr3:uid="{212903F6-7718-4EB6-945A-3E3714FB92D5}" name="Training group"/>
    <tableColumn id="2" xr3:uid="{88E1308C-6B93-4614-B6BF-6E4191CE18C1}" name="Type of training"/>
    <tableColumn id="3" xr3:uid="{375FDC28-0AE6-49A7-B611-E6CF7AA0429E}" name="# Weeks"/>
    <tableColumn id="4" xr3:uid="{1CA506F7-AED8-45CA-B0EF-25AA91A16AE9}" name="# Times/week"/>
    <tableColumn id="5" xr3:uid="{D33132CE-B69F-4CF2-98B0-FEC9B6004B73}" name="Total hours/week"/>
    <tableColumn id="6" xr3:uid="{63EBEF3C-7F2C-47F7-9D81-379EBFA6EA9D}" name="Total hours" dataDxfId="815">
      <calculatedColumnFormula>C56*E56</calculatedColumnFormula>
    </tableColumn>
    <tableColumn id="7" xr3:uid="{B0194C84-A539-415C-93F6-9E00C252166E}" name="Name of trainer"/>
    <tableColumn id="8" xr3:uid="{8EE44DE6-F0C0-4341-9A53-C488AD16136A}" name="Type of trainer"/>
    <tableColumn id="9" xr3:uid="{742642C6-7910-4890-BCA2-6042CA6C5E65}" name="Hourly rate"/>
    <tableColumn id="10" xr3:uid="{1AD0697F-2144-45B3-9540-27E4B3C23948}" name="Remarks/Clarification"/>
  </tableColumns>
  <tableStyleInfo name="Aloha-style 3" showFirstColumn="1" showLastColumn="1"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531F04C6-D27B-2047-A745-27F43BF0DBBB}" name="Table_4168254" displayName="Table_4168254" ref="A56:J69" tableBorderDxfId="457">
  <tableColumns count="10">
    <tableColumn id="1" xr3:uid="{10B6C64D-7DA9-D94D-852B-43264230B034}" name="Training group"/>
    <tableColumn id="2" xr3:uid="{56A44DBE-5FCF-DE44-8F19-1F624684A93F}" name="Type of training"/>
    <tableColumn id="3" xr3:uid="{EAA41AF0-D584-1244-8096-C260412A7896}" name="# Weeks"/>
    <tableColumn id="4" xr3:uid="{01F0F2E4-31A1-E548-A4F9-104A4FA6CD83}" name="# Times/week"/>
    <tableColumn id="5" xr3:uid="{F733A4D6-4823-2D46-BFC6-468F8620FE11}" name="Total hours/week"/>
    <tableColumn id="6" xr3:uid="{430FC818-5021-0A41-9715-8A0410FE94CC}" name="Total hours"/>
    <tableColumn id="7" xr3:uid="{18BA4C5D-D483-CA47-A788-D11D9F9125EB}" name="Name of trainer"/>
    <tableColumn id="8" xr3:uid="{EF1C07B9-8DC7-CD47-8335-0D43BDBA3765}" name="Type of trainer"/>
    <tableColumn id="9" xr3:uid="{20CD52D1-3059-BA47-A714-40D63D95D540}" name="Hourly rate"/>
    <tableColumn id="10" xr3:uid="{4EAF9EC0-CE76-E344-8141-980E163D9687}" name="Remarks/Clarification"/>
  </tableColumns>
  <tableStyleInfo name="Aloha-style 3" showFirstColumn="1" showLastColumn="1"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184EC36D-1583-1D4B-BE93-DEC72C0BF24B}" name="Table_5169255" displayName="Table_5169255" ref="A72:J89" tableBorderDxfId="456">
  <tableColumns count="10">
    <tableColumn id="1" xr3:uid="{41CB0692-CEA9-7D40-814F-BB21C21DE589}" name="Training group"/>
    <tableColumn id="2" xr3:uid="{B562D3B5-BBC3-B044-A253-E7D37695F4D0}" name="Location"/>
    <tableColumn id="3" xr3:uid="{F5ADD11B-094F-2445-AFBF-EB76BCC38289}" name="Day"/>
    <tableColumn id="4" xr3:uid="{412C2FFD-E281-C541-AA1F-54FFD641E47D}" name="Duration [hours]"/>
    <tableColumn id="5" xr3:uid="{3B7B75C5-67C9-BF42-97AF-0A616B59B02C}" name="Weeks"/>
    <tableColumn id="6" xr3:uid="{ADDD4834-A71F-FC46-BEAC-FCFB7EF3F90C}" name="Hours total">
      <calculatedColumnFormula>Kronos!$D73*Kronos!$E73</calculatedColumnFormula>
    </tableColumn>
    <tableColumn id="7" xr3:uid="{C5E9311B-21F3-D646-A6DB-CDBDF48929FA}" name="Priority"/>
    <tableColumn id="8" xr3:uid="{82AFD329-A915-CF4F-BB1F-7CED5BC2E33E}" name="Hourly rate - unscaled">
      <calculatedColumnFormula>IF($B73= "","-",IF($B73= "External","Specify location tariff", INDEX(Constants!$3:$3,MATCH($B73,Constants!$2:$2,0))))</calculatedColumnFormula>
    </tableColumn>
    <tableColumn id="9" xr3:uid="{7A0EF8EC-C382-E24D-99A4-9E64E1A1B6E0}" name="Total cost - unscaled" dataDxfId="455">
      <calculatedColumnFormula>IF($H73="-","-",IF($H73="Specify location tariff","-",$H73*$F73))</calculatedColumnFormula>
    </tableColumn>
    <tableColumn id="10" xr3:uid="{25FC3E63-AB99-1A40-BEF6-01BD477AA222}" name="Remarks / Clarification" dataDxfId="454"/>
  </tableColumns>
  <tableStyleInfo name="Aloha-style 4" showFirstColumn="1" showLastColumn="1"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408FA723-B30B-534E-A969-D3F4BA5E9B0C}" name="Table_6170256" displayName="Table_6170256" ref="A93:G149" tableBorderDxfId="453">
  <tableColumns count="7">
    <tableColumn id="1" xr3:uid="{A9927287-F8EB-764B-B8CF-1C914EAA1BC9}" name="Item"/>
    <tableColumn id="2" xr3:uid="{333272F9-801F-DD44-8F2D-65C33F831883}" name="Type (depreciation/maintenance)"/>
    <tableColumn id="3" xr3:uid="{A8439C4D-27BB-FA40-B9B1-F08D1EA15FF2}" name="Purchase / Running costs"/>
    <tableColumn id="4" xr3:uid="{F28189FD-2909-564F-9C1B-7FB3C96B78DF}" name="Depreciation period"/>
    <tableColumn id="5" xr3:uid="{8BA34DA8-AAD1-9C48-A91D-CD736E0A0466}" name="Amount"/>
    <tableColumn id="6" xr3:uid="{54BC199C-75B0-EA41-A2BB-9B0ECC25E628}" name="Costs per year"/>
    <tableColumn id="7" xr3:uid="{D7A78137-D198-DD48-9205-A4E284584524}" name="Remarks / Clarification"/>
  </tableColumns>
  <tableStyleInfo name="Aloha-style 5" showFirstColumn="1" showLastColumn="1"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6" xr:uid="{C333E82A-3074-3D49-8EBF-94B3A7BB8634}" name="Table_6170171257" displayName="Table_6170171257" ref="AD29:AF40" headerRowDxfId="452" dataDxfId="451" tableBorderDxfId="450">
  <tableColumns count="3">
    <tableColumn id="1" xr3:uid="{0F9F15A7-F058-8440-96D3-1570DFAC0D86}" name="Item" dataDxfId="449">
      <calculatedColumnFormula>IF($B$12="individual",Constants!F55,Constants!L55)</calculatedColumnFormula>
    </tableColumn>
    <tableColumn id="2" xr3:uid="{4D82B3C8-0C4B-8C49-AB65-C903AE76D0A6}" name="Type (depreciation/maintenance)" dataDxfId="448">
      <calculatedColumnFormula>B7</calculatedColumnFormula>
    </tableColumn>
    <tableColumn id="3" xr3:uid="{8C375D4D-0722-5647-9891-B9BA66FD3D49}" name="Score" dataDxfId="447">
      <calculatedColumnFormula>IF(AE30&gt;301,5,IF(AE30&gt;176,4,IF(AE30&gt;101,3,IF(AE30&gt;51,2,1))))</calculatedColumnFormula>
    </tableColumn>
  </tableColumns>
  <tableStyleInfo name="Aloha-style 5" showFirstColumn="1" showLastColumn="1"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DD206B63-D133-4EAA-B8D3-A16765BB4D72}" name="Table_2166134" displayName="Table_2166134" ref="A37:G42" tableBorderDxfId="443">
  <tableColumns count="7">
    <tableColumn id="1" xr3:uid="{706A7170-B429-4A61-B0D6-4BC9EBF75F29}" name="Group"/>
    <tableColumn id="2" xr3:uid="{9E07FB5F-C89F-4623-B598-FED6E8D01BC1}" name="Group size" dataDxfId="442"/>
    <tableColumn id="3" xr3:uid="{ADA9CC7A-F0FC-416A-A3EB-C006E912B930}" name="Trainings per week"/>
    <tableColumn id="4" xr3:uid="{A23D2246-F8A5-4CD6-9AA5-EB0390C83725}" name="Weeks per year" dataDxfId="441"/>
    <tableColumn id="5" xr3:uid="{3BB30F0F-BE9F-4511-A888-F1B582964A1E}" name="Type of trainer"/>
    <tableColumn id="6" xr3:uid="{F8314170-4AFB-4752-867D-F2CA54EE35F6}" name="(Expected) Level"/>
    <tableColumn id="7" xr3:uid="{9834E1B1-7910-4278-8792-BD1F3B40C807}" name="Remarks/clarification"/>
  </tableColumns>
  <tableStyleInfo name="Aloha-style" showFirstColumn="1" showLastColumn="1"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1F4AB778-403B-4A35-B9FE-2C1C436D9D01}" name="Table_3167135" displayName="Table_3167135" ref="A45:H50" tableBorderDxfId="440">
  <tableColumns count="8">
    <tableColumn id="1" xr3:uid="{8B3DFAFC-6623-4C48-BF9F-D3F1691FF907}" name="Group"/>
    <tableColumn id="2" xr3:uid="{FEC27BC4-ADEF-43B0-8AAD-541B1B7B0880}" name="Group size"/>
    <tableColumn id="3" xr3:uid="{C04EB3AC-E619-43BC-8F09-0E74E104FC24}" name="Who"/>
    <tableColumn id="4" xr3:uid="{D07B1CF5-9C9D-469B-9C1D-3BEB39104D3C}" name="Type of Trainer"/>
    <tableColumn id="5" xr3:uid="{DB53C942-3788-4A6A-9260-D10E616EC59B}" name="Training per week"/>
    <tableColumn id="6" xr3:uid="{E28591DC-9DC7-4BA7-B96C-4D6B2B24C083}" name="Hours per week"/>
    <tableColumn id="7" xr3:uid="{9970A069-48D6-40C7-A07B-1EFDEC2A74C3}" name="Coaching?"/>
    <tableColumn id="8" xr3:uid="{C650C6F9-E985-4E66-B451-D87AC9127922}" name="Remarks/clarification"/>
  </tableColumns>
  <tableStyleInfo name="Aloha-style 2" showFirstColumn="1" showLastColumn="1"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5" xr:uid="{C85353F4-3562-4FED-BAB4-6F30DD5394C1}" name="Table_4168156" displayName="Table_4168156" ref="A54:J67" tableBorderDxfId="439">
  <tableColumns count="10">
    <tableColumn id="1" xr3:uid="{74CA7BF4-64B5-4C86-A030-3E21D774B912}" name="Training group"/>
    <tableColumn id="2" xr3:uid="{7066D788-5E3C-4B26-A10A-53A15524C367}" name="Type of training"/>
    <tableColumn id="3" xr3:uid="{B1838B2F-BD4B-4BB7-8D77-EA676B28D162}" name="# Weeks"/>
    <tableColumn id="4" xr3:uid="{A2B7CB93-65A1-469D-B979-1F2AAD503FA6}" name="# Times/week"/>
    <tableColumn id="5" xr3:uid="{FD44A424-7926-4475-9C96-F2541930B8D5}" name="Total hours/week"/>
    <tableColumn id="6" xr3:uid="{6585B79B-6A3B-4F96-B20A-8BA4F4FAE0D2}" name="Total hours" dataDxfId="438">
      <calculatedColumnFormula>Table_4168156[[#This Row],[Total hours/week]]*Table_4168156[[#This Row],['# Weeks]]</calculatedColumnFormula>
    </tableColumn>
    <tableColumn id="7" xr3:uid="{C59FF338-F4BF-478B-8B06-30B51AE3182E}" name="Name of trainer"/>
    <tableColumn id="8" xr3:uid="{BCAE837F-D37D-40D4-9014-478AADA7ABDC}" name="Type of trainer"/>
    <tableColumn id="9" xr3:uid="{405305D2-91D0-4051-9022-925E353D514F}" name="Hourly rate"/>
    <tableColumn id="10" xr3:uid="{0C2E2731-3ED1-40C9-B396-C3E6BB624A8A}" name="Remarks/Clarification"/>
  </tableColumns>
  <tableStyleInfo name="Aloha-style 3" showFirstColumn="1" showLastColumn="1"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6" xr:uid="{7BCDCB8D-084B-49DE-A7DE-40FFF437A135}" name="Table_5169157" displayName="Table_5169157" ref="A70:J87" tableBorderDxfId="437">
  <tableColumns count="10">
    <tableColumn id="1" xr3:uid="{B45BE60A-E6CA-4212-8D00-F8D8E142BFE5}" name="Training group"/>
    <tableColumn id="2" xr3:uid="{FBB2CABA-7798-4AC8-B467-AB7378EF36C5}" name="Location"/>
    <tableColumn id="3" xr3:uid="{FED51C74-01B4-4323-973D-CBFF2657AC2F}" name="Day"/>
    <tableColumn id="4" xr3:uid="{9A379CFE-FA0F-4DBA-9D52-253DED209FED}" name="Duration [hours]"/>
    <tableColumn id="5" xr3:uid="{E1896853-C854-462F-AA4C-39B8FAF3022C}" name="Weeks"/>
    <tableColumn id="6" xr3:uid="{639937C2-99E0-4350-9E61-3779AE0F34F3}" name="Hours total">
      <calculatedColumnFormula>'Linea Recta'!$D71*'Linea Recta'!$E71</calculatedColumnFormula>
    </tableColumn>
    <tableColumn id="7" xr3:uid="{76133C41-B218-4390-A21D-051A27C4CDC7}" name="Priority"/>
    <tableColumn id="8" xr3:uid="{4B7B347A-1378-4712-A6C0-F894541EC00E}" name="Hourly rate - unscaled">
      <calculatedColumnFormula>IF($B71= "","-",IF($B71= "External","Specify location tariff", INDEX(Constants!$3:$3,MATCH($B71,Constants!$2:$2,0))))</calculatedColumnFormula>
    </tableColumn>
    <tableColumn id="9" xr3:uid="{7848287A-BAA8-44A1-BDEA-F9981F56E133}" name="Total cost - unscaled" dataDxfId="436">
      <calculatedColumnFormula>IF($H71="-","-",IF($H71="Specify location tariff","-",$H71*$F71))</calculatedColumnFormula>
    </tableColumn>
    <tableColumn id="10" xr3:uid="{F8533E42-D2E0-412A-B055-7C60304A11A9}" name="Remarks / Clarification" dataDxfId="435"/>
  </tableColumns>
  <tableStyleInfo name="Aloha-style 4" showFirstColumn="1" showLastColumn="1"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7" xr:uid="{CD2F7BCD-A672-41C1-8AED-7C2C364C51D1}" name="Table_6170158" displayName="Table_6170158" ref="A91:G105" tableBorderDxfId="434">
  <tableColumns count="7">
    <tableColumn id="1" xr3:uid="{E2FABB91-9F71-4654-B1A9-38EE357F1E18}" name="Item"/>
    <tableColumn id="2" xr3:uid="{F6AA07DE-9DB6-4C66-9FB4-11D3DA7940F9}" name="Type (depreciation/maintenance)"/>
    <tableColumn id="3" xr3:uid="{59C55020-E448-4003-AFF6-72AC2C6F7CA8}" name="Purchase / Running costs"/>
    <tableColumn id="4" xr3:uid="{31EC5516-6D19-4143-9496-9C251B5EF222}" name="Depreciation period" dataDxfId="433" dataCellStyle="Comma"/>
    <tableColumn id="5" xr3:uid="{2606BA8F-299A-4B6E-B213-71F18B93CFE7}" name="Amount"/>
    <tableColumn id="6" xr3:uid="{45E7A167-6403-4FD9-B1CB-2F780D4FD413}" name="Costs per year" dataDxfId="432">
      <calculatedColumnFormula>IF(Table_6170158[[#This Row],[Item]]="",0,Table_6170158[[#This Row],[Amount]]*Table_6170158[[#This Row],[Purchase / Running costs]])</calculatedColumnFormula>
    </tableColumn>
    <tableColumn id="7" xr3:uid="{9D6B89E0-68C3-4F94-8388-FD9F0A62E7BD}" name="Remarks / Clarification"/>
  </tableColumns>
  <tableStyleInfo name="Aloha-style 5" showFirstColumn="1" showLastColumn="1"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8" xr:uid="{868BBEA6-B755-406E-B2C9-58B0343C8E05}" name="Table_6170171159" displayName="Table_6170171159" ref="AD29:AF40" headerRowDxfId="431" dataDxfId="430" tableBorderDxfId="429">
  <tableColumns count="3">
    <tableColumn id="1" xr3:uid="{82BE11D9-902A-4375-BF1A-D27A2CAA1FEC}" name="Item" dataDxfId="428">
      <calculatedColumnFormula>IF($B$12="individual",Constants!F55,Constants!L55)</calculatedColumnFormula>
    </tableColumn>
    <tableColumn id="2" xr3:uid="{68F5B67A-9096-4BFF-A344-D6C7C6FE74BD}" name="Type (depreciation/maintenance)" dataDxfId="427">
      <calculatedColumnFormula>B7</calculatedColumnFormula>
    </tableColumn>
    <tableColumn id="3" xr3:uid="{746359CC-B180-4356-B0A1-74BEEC32B8E8}" name="Score" dataDxfId="426">
      <calculatedColumnFormula>IF(AE30&gt;301,5,IF(AE30&gt;176,4,IF(AE30&gt;101,3,IF(AE30&gt;51,2,1))))</calculatedColumnFormula>
    </tableColumn>
  </tableColumns>
  <tableStyleInfo name="Aloha-style 5" showFirstColumn="1" showLastColumn="1"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38C52AC7-ABAA-4B58-A2FA-DF9CFD7AA220}" name="Table_516983" displayName="Table_516983" ref="A71:J88" tableBorderDxfId="814">
  <tableColumns count="10">
    <tableColumn id="1" xr3:uid="{26CF2C0C-0A46-4CD0-BBA2-548CB1ACB051}" name="Training group"/>
    <tableColumn id="2" xr3:uid="{D1FEDC5D-37D4-4D9B-B398-571E48BECA57}" name="Location"/>
    <tableColumn id="3" xr3:uid="{B466F975-967D-4704-A7E1-2064DC93BD35}" name="Day"/>
    <tableColumn id="4" xr3:uid="{E651CB30-5348-47AA-BB53-1914F17D20CF}" name="Duration [hours]"/>
    <tableColumn id="5" xr3:uid="{0A1D6BCB-79EF-496F-834E-9DF6E031BC29}" name="Weeks"/>
    <tableColumn id="6" xr3:uid="{8681C0DC-0D86-4811-A977-3D49C0F247B2}" name="Hours total">
      <calculatedColumnFormula>Arashi!$D72*Arashi!$E72</calculatedColumnFormula>
    </tableColumn>
    <tableColumn id="7" xr3:uid="{7FE0127B-A429-4AB6-8124-98770C586866}" name="Priority"/>
    <tableColumn id="8" xr3:uid="{CFF65010-389F-4AC7-9FB1-AA538DCE2ADE}" name="Hourly rate - unscaled">
      <calculatedColumnFormula>IF($B72= "","-",IF($B72= "External","Specify location tariff", INDEX(Constants!$3:$3,MATCH($B72,Constants!$2:$2,0))))</calculatedColumnFormula>
    </tableColumn>
    <tableColumn id="9" xr3:uid="{0F7DB461-6C67-4D8A-9C65-FE1653D5C578}" name="Total cost - unscaled" dataDxfId="813">
      <calculatedColumnFormula>IF($H72="-","-",IF($H72="Specify location tariff","-",$H72*$F72))</calculatedColumnFormula>
    </tableColumn>
    <tableColumn id="10" xr3:uid="{F16C7EBA-BB86-40F1-8343-D2B512D732CB}" name="Remarks / Clarification" dataDxfId="812"/>
  </tableColumns>
  <tableStyleInfo name="Aloha-style 4" showFirstColumn="1" showLastColumn="1"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7" xr:uid="{864AE060-E1F1-124F-8913-2E5839AE05E5}" name="Table_2166288" displayName="Table_2166288" ref="A37:G51" tableBorderDxfId="422">
  <tableColumns count="7">
    <tableColumn id="1" xr3:uid="{918E75CE-1286-6D43-B30C-18E114FCCDE1}" name="Group" dataDxfId="421"/>
    <tableColumn id="2" xr3:uid="{A95B9253-ED39-674D-9EDD-2C2D1E815085}" name="Group size" dataDxfId="420"/>
    <tableColumn id="3" xr3:uid="{CABFC196-CC98-0046-B5EC-C0F320ACD1BB}" name="Trainings per week" dataDxfId="419"/>
    <tableColumn id="4" xr3:uid="{B2FF46D2-D2E6-B44B-8CA8-83BAB188B130}" name="Weeks per year" dataDxfId="418"/>
    <tableColumn id="5" xr3:uid="{18F603A4-090A-B64A-883B-B01A6868F48C}" name="Type of trainer" dataDxfId="417"/>
    <tableColumn id="6" xr3:uid="{250B6DAB-B3E2-6E4D-9455-3F301F2083CD}" name="(Expected) Level" dataDxfId="416"/>
    <tableColumn id="7" xr3:uid="{76830D63-DA18-E64D-96A1-98780FA3EE5C}" name="Remarks/clarification" dataDxfId="415"/>
  </tableColumns>
  <tableStyleInfo name="Aloha-style" showFirstColumn="1" showLastColumn="1"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8" xr:uid="{73290200-E3D9-AA47-883F-F743DBD39514}" name="Table_3167289" displayName="Table_3167289" ref="A54:H62" tableBorderDxfId="414">
  <tableColumns count="8">
    <tableColumn id="1" xr3:uid="{5E68F913-5FA8-7941-965F-699296AB9290}" name="Group"/>
    <tableColumn id="2" xr3:uid="{65365DFC-8B40-F34F-AA80-EF083AB64B82}" name="Group size"/>
    <tableColumn id="3" xr3:uid="{FD153F08-20AE-4948-A2C6-0A6ECFA24871}" name="Who"/>
    <tableColumn id="4" xr3:uid="{008C50DD-E93F-9F44-AE5D-BF7110259D45}" name="Type of Trainer"/>
    <tableColumn id="5" xr3:uid="{2D7585DB-84B9-C942-85CC-5501CF458AD8}" name="Training per week"/>
    <tableColumn id="6" xr3:uid="{61764C69-F30F-634E-AC9B-8247FC9DB45C}" name="Hours per week"/>
    <tableColumn id="7" xr3:uid="{597FF5C9-4BC2-8F4F-A4F8-30ECD411349C}" name="Coaching?"/>
    <tableColumn id="8" xr3:uid="{13B578F2-080E-C544-A372-D4545501109A}" name="Remarks/clarification"/>
  </tableColumns>
  <tableStyleInfo name="Aloha-style 2" showFirstColumn="1" showLastColumn="1"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9" xr:uid="{0BA7ED3F-AFA3-EE4D-B17C-F6A7F60DAA11}" name="Table_4168290" displayName="Table_4168290" ref="A66:J89" tableBorderDxfId="413">
  <tableColumns count="10">
    <tableColumn id="1" xr3:uid="{8ECD5502-ECB7-734D-9C59-BA54ED7469E3}" name="Training group"/>
    <tableColumn id="2" xr3:uid="{A5FAA3C6-783D-A74E-A3CB-8AD3FFF82F86}" name="Type of training"/>
    <tableColumn id="3" xr3:uid="{E6E6D47C-FA32-DE44-82F1-B0E51ED50CB9}" name="# Weeks"/>
    <tableColumn id="4" xr3:uid="{1628D479-0201-6D4D-A985-EC6622E3318D}" name="# Times/week"/>
    <tableColumn id="5" xr3:uid="{E9F3F4C4-E1E1-AC45-94BE-3BD784FACEE0}" name="Total hours/week"/>
    <tableColumn id="6" xr3:uid="{DFF18C56-57DD-6B40-8AF1-1CCC4B9F0E48}" name="Total hours" dataDxfId="412">
      <calculatedColumnFormula>Table_4168290[[#This Row],['# Weeks]]*Table_4168290[[#This Row],[Total hours/week]]</calculatedColumnFormula>
    </tableColumn>
    <tableColumn id="7" xr3:uid="{FB0F6A56-FCCB-2141-9AAE-12561D3BB446}" name="Name of trainer"/>
    <tableColumn id="8" xr3:uid="{3F91FDDF-944F-D144-9CA7-ECDC9EDA9789}" name="Type of trainer"/>
    <tableColumn id="9" xr3:uid="{4C961D7B-0CBE-6940-9BE6-941822B31544}" name="Hourly rate"/>
    <tableColumn id="10" xr3:uid="{A480B89E-FAAF-064B-BF58-83364D4E422F}" name="Remarks/Clarification"/>
  </tableColumns>
  <tableStyleInfo name="Aloha-style 3" showFirstColumn="1" showLastColumn="1"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0" xr:uid="{ABCD4328-1481-C74E-BA8B-ED0E020A8810}" name="Table_5169291" displayName="Table_5169291" ref="A92:J124" tableBorderDxfId="411">
  <tableColumns count="10">
    <tableColumn id="1" xr3:uid="{46D58B9B-566B-B542-84CE-C10CFB88BBB4}" name="Training group" dataDxfId="410"/>
    <tableColumn id="2" xr3:uid="{582E3B80-08DA-5A44-B308-6FD0661100CE}" name="Location" dataDxfId="409"/>
    <tableColumn id="3" xr3:uid="{2C11FB32-6AA0-D846-80C4-7F169EF6B0DC}" name="Day" dataDxfId="408"/>
    <tableColumn id="4" xr3:uid="{2F01A1BB-34E9-C944-8AD1-A913A2C97922}" name="Duration [hours]" dataDxfId="407"/>
    <tableColumn id="5" xr3:uid="{9458D968-803E-9F42-AA9E-C6BEA108BF98}" name="Weeks" dataDxfId="406"/>
    <tableColumn id="6" xr3:uid="{31F60A03-A2D9-8143-AC4F-BA616511E2F3}" name="Hours total">
      <calculatedColumnFormula>Ludica!$D93*Ludica!$E93</calculatedColumnFormula>
    </tableColumn>
    <tableColumn id="7" xr3:uid="{9B7D5B06-3E89-974F-91F9-BD902FB08C9C}" name="Priority" dataDxfId="405"/>
    <tableColumn id="8" xr3:uid="{56146204-F7B5-A949-AB44-F759E56C3AD9}" name="Hourly rate - unscaled">
      <calculatedColumnFormula>IF($B93= "","-",IF($B93= "External","Specify location tariff", INDEX(Constants!$3:$3,MATCH($B93,Constants!$2:$2,0))))</calculatedColumnFormula>
    </tableColumn>
    <tableColumn id="9" xr3:uid="{FEB9CD1B-36E0-DB45-AA6E-DE71E1514DD0}" name="Total cost - unscaled" dataDxfId="404">
      <calculatedColumnFormula>IF($H93="-","-",IF($H93="Specify location tariff","-",$H93*$F93))</calculatedColumnFormula>
    </tableColumn>
    <tableColumn id="10" xr3:uid="{7014FC4E-92A1-654D-ABB9-85FD83025F98}" name="Remarks / Clarification" dataDxfId="403"/>
  </tableColumns>
  <tableStyleInfo name="Aloha-style 4" showFirstColumn="1" showLastColumn="1"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1" xr:uid="{C2C1CFF8-01AA-B040-B111-34B8B4FA9455}" name="Table_6170292" displayName="Table_6170292" ref="A128:G142" tableBorderDxfId="402">
  <tableColumns count="7">
    <tableColumn id="1" xr3:uid="{8B1A9E4D-CB80-C945-A201-29A748A919A0}" name="Item"/>
    <tableColumn id="2" xr3:uid="{24E48BAF-BE5C-E54C-9963-AB4B5BE3DC40}" name="Type (depreciation/maintenance)"/>
    <tableColumn id="3" xr3:uid="{B0F0B7CE-C977-A445-A517-83234F2685B3}" name="Purchase / Running costs"/>
    <tableColumn id="4" xr3:uid="{B744D029-E523-6842-9ACF-D7FBFEF55E52}" name="Depreciation period"/>
    <tableColumn id="5" xr3:uid="{66996139-0D6C-824C-B906-89E30E03DE03}" name="Amount"/>
    <tableColumn id="6" xr3:uid="{A7395B37-7739-6E44-BC0A-2457115AE89C}" name="Costs per year" dataDxfId="401">
      <calculatedColumnFormula>IF(Table_6170292[[#This Row],[Item]]="",0,Table_6170292[[#This Row],[Amount]]*Table_6170292[[#This Row],[Purchase / Running costs]]/Table_6170292[[#This Row],[Depreciation period]])</calculatedColumnFormula>
    </tableColumn>
    <tableColumn id="7" xr3:uid="{A3F2AF29-B4A0-824E-8388-08A4F488997A}" name="Remarks / Clarification"/>
  </tableColumns>
  <tableStyleInfo name="Aloha-style 5" showFirstColumn="1" showLastColumn="1"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2" xr:uid="{14F5AF59-0567-9544-867D-350E913F4FBC}" name="Table_6170171293" displayName="Table_6170171293" ref="AD29:AF40" headerRowDxfId="400" dataDxfId="399" tableBorderDxfId="398">
  <tableColumns count="3">
    <tableColumn id="1" xr3:uid="{E7C4D770-724D-4740-BE7B-EDE8AFE90B37}" name="Item" dataDxfId="397">
      <calculatedColumnFormula>IF($B$12="individual",Constants!F55,Constants!L55)</calculatedColumnFormula>
    </tableColumn>
    <tableColumn id="2" xr3:uid="{0565B807-0EC5-2E44-A5C2-D57749E64E1D}" name="Type (depreciation/maintenance)" dataDxfId="396">
      <calculatedColumnFormula>B7</calculatedColumnFormula>
    </tableColumn>
    <tableColumn id="3" xr3:uid="{B67203DD-A78F-2844-8CC9-1CE785869D72}" name="Score" dataDxfId="395">
      <calculatedColumnFormula>IF(AE30&gt;301,5,IF(AE30&gt;176,4,IF(AE30&gt;101,3,IF(AE30&gt;51,2,1))))</calculatedColumnFormula>
    </tableColumn>
  </tableColumns>
  <tableStyleInfo name="Aloha-style 5" showFirstColumn="1" showLastColumn="1"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FFDC1C7-84A7-42FF-983F-35CF46323D0A}" name="Table_21663" displayName="Table_21663" ref="A37:G44" tableBorderDxfId="391">
  <tableColumns count="7">
    <tableColumn id="1" xr3:uid="{81AF9A54-4F5A-4CE5-8506-E2F536B47E2F}" name="Group"/>
    <tableColumn id="2" xr3:uid="{E5EE8289-FEF0-45B7-82D1-23276D69C6FA}" name="Group size" dataDxfId="390"/>
    <tableColumn id="3" xr3:uid="{2EC1F191-9DDF-4A82-815B-ECDAC9AC7B2D}" name="Trainings per week"/>
    <tableColumn id="4" xr3:uid="{A6173660-E030-42AD-887E-02153C9AF604}" name="Weeks per year" dataDxfId="389"/>
    <tableColumn id="5" xr3:uid="{F7C820B6-930F-4DF4-BA05-196BE1CE7365}" name="Type of trainer"/>
    <tableColumn id="6" xr3:uid="{307EDFD1-D122-4AB4-8D83-ED10D346CE82}" name="(Expected) Level"/>
    <tableColumn id="7" xr3:uid="{06C18C19-C614-4FFD-BF3B-C628178C33B1}" name="Remarks/clarification"/>
  </tableColumns>
  <tableStyleInfo name="Aloha-style" showFirstColumn="1" showLastColumn="1"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3E63CDA1-0FB8-4F04-BA33-BA8E157D131D}" name="Table_31674" displayName="Table_31674" ref="A47:H52" tableBorderDxfId="388">
  <tableColumns count="8">
    <tableColumn id="1" xr3:uid="{DB240688-62E8-49E9-8FD8-FDD919651A14}" name="Group"/>
    <tableColumn id="2" xr3:uid="{1D6BCEEC-B22A-425A-A758-373E50C11842}" name="Group size"/>
    <tableColumn id="3" xr3:uid="{DBC53C83-9E25-4270-AD87-CF607FEE1CE9}" name="Who"/>
    <tableColumn id="4" xr3:uid="{F5B9ECD6-701C-4968-A1D6-DCA6CCD502F1}" name="Type of Trainer"/>
    <tableColumn id="5" xr3:uid="{EB9BF5AD-54FA-4C47-A887-11FF9CFC6F74}" name="Training per week"/>
    <tableColumn id="6" xr3:uid="{E00C709C-3E6D-453F-B23F-8C9EAB5F76E6}" name="Hours per week"/>
    <tableColumn id="7" xr3:uid="{F0D4B836-3CDF-49B8-A5DE-CC32CDB145AF}" name="Coaching?"/>
    <tableColumn id="8" xr3:uid="{903506E7-16E0-474A-9C58-4EFF2B17C22C}" name="Remarks/clarification"/>
  </tableColumns>
  <tableStyleInfo name="Aloha-style 2" showFirstColumn="1" showLastColumn="1"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81222B5B-83B8-489E-9180-768F55D19C9C}" name="Table_41685" displayName="Table_41685" ref="A56:J69">
  <tableColumns count="10">
    <tableColumn id="1" xr3:uid="{C1F34C26-5A7C-47E3-863B-9EE8E78A0C6A}" name="Training group"/>
    <tableColumn id="2" xr3:uid="{FCA39BA3-E1B8-410C-8D7B-9B833FB03DB6}" name="Type of training"/>
    <tableColumn id="3" xr3:uid="{B0EFD5E0-14B6-4FE8-BBF3-53758293E2E9}" name="# Weeks"/>
    <tableColumn id="4" xr3:uid="{CFA84FC4-69D4-40E6-A9F9-A22AABDED554}" name="# Times/week"/>
    <tableColumn id="5" xr3:uid="{936E0FB4-6D85-42AE-8203-EA49BD00F82C}" name="Total hours/week"/>
    <tableColumn id="6" xr3:uid="{8BB1F5DE-5C32-4A6A-9394-F9331454EC79}" name="Total hours"/>
    <tableColumn id="7" xr3:uid="{DBB4FB53-13EA-4615-AD64-868A95E008B9}" name="Name of trainer"/>
    <tableColumn id="8" xr3:uid="{40A255AB-9699-4D21-8D07-D8DF6126A234}" name="Type of trainer"/>
    <tableColumn id="9" xr3:uid="{A499D484-A405-418B-8B59-6562AEA4E098}" name="Hourly rate"/>
    <tableColumn id="10" xr3:uid="{0DDA97F5-3E12-4DA0-B5E7-52F6EB1CC6ED}" name="Remarks/Clarification"/>
  </tableColumns>
  <tableStyleInfo name="Aloha-style 3" showFirstColumn="1" showLastColumn="1"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42702F82-396E-4B69-A653-62B8413DF9AB}" name="Table_51696" displayName="Table_51696" ref="A72:J89" tableBorderDxfId="387">
  <tableColumns count="10">
    <tableColumn id="1" xr3:uid="{28258747-6B43-4D1C-8D5B-CD36D9C26466}" name="Training group"/>
    <tableColumn id="2" xr3:uid="{067D9943-6A47-4F56-919C-360915CB8A43}" name="Location"/>
    <tableColumn id="3" xr3:uid="{6BE9E4C0-100B-4440-AA0B-EB2CEB1AD77B}" name="Day"/>
    <tableColumn id="4" xr3:uid="{7A9999AE-9BE5-4FAA-BCFC-6C4A53D7772A}" name="Duration [hours]"/>
    <tableColumn id="5" xr3:uid="{F4720E73-88BF-43D9-BE5A-1932B4648451}" name="Weeks"/>
    <tableColumn id="6" xr3:uid="{C95C073D-B25A-40D1-802A-9988098556D5}" name="Hours total">
      <calculatedColumnFormula>'Messed Up'!$D73*'Messed Up'!$E73</calculatedColumnFormula>
    </tableColumn>
    <tableColumn id="7" xr3:uid="{7802B948-9497-47E8-BC79-03D1E2E2E770}" name="Priority"/>
    <tableColumn id="8" xr3:uid="{B0C2F5A8-67D2-4DCE-9BCE-59AE77F638DE}" name="Hourly rate - unscaled">
      <calculatedColumnFormula>IF($B73= "","-",IF($B73= "External","Specify location tariff", INDEX(Constants!$3:$3,MATCH($B73,Constants!$2:$2,0))))</calculatedColumnFormula>
    </tableColumn>
    <tableColumn id="9" xr3:uid="{0242854F-D504-4FCC-898C-563247A57020}" name="Total cost - unscaled" dataDxfId="386">
      <calculatedColumnFormula>IF($H73="-","-",IF($H73="Specify location tariff","-",$H73*$F73))</calculatedColumnFormula>
    </tableColumn>
    <tableColumn id="10" xr3:uid="{2ED63F1C-CD8D-48AB-9C42-F618F4DF91DE}" name="Remarks / Clarification" dataDxfId="385"/>
  </tableColumns>
  <tableStyleInfo name="Aloha-style 4" showFirstColumn="1" showLastColumn="1"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5AF47398-B4F5-4FFB-95E7-0A605356F3A4}" name="Table_617084" displayName="Table_617084" ref="A92:G106" tableBorderDxfId="811">
  <tableColumns count="7">
    <tableColumn id="1" xr3:uid="{C6826AC2-35CE-4687-BBCE-62EF6219D3E3}" name="Item"/>
    <tableColumn id="2" xr3:uid="{23A578A7-A96A-46EB-9418-FC58D46EF5E5}" name="Type (depreciation/maintenance)"/>
    <tableColumn id="3" xr3:uid="{145BE694-788E-436F-9711-987CC254E12A}" name="Purchase / Running costs"/>
    <tableColumn id="4" xr3:uid="{E2D7FA5F-4D2C-4AE7-8B79-138EE1763842}" name="Depreciation period"/>
    <tableColumn id="5" xr3:uid="{BF93D9AF-5C43-4047-B72A-088FA11D08FE}" name="Amount"/>
    <tableColumn id="6" xr3:uid="{5B36FBF4-5057-4861-905D-074D0D769220}" name="Costs per year" dataDxfId="810">
      <calculatedColumnFormula>IF(Table_617084[[#This Row],[Item]]="",0,Table_617084[[#This Row],[Amount]]*Table_617084[[#This Row],[Purchase / Running costs]]/Table_617084[[#This Row],[Depreciation period]])</calculatedColumnFormula>
    </tableColumn>
    <tableColumn id="7" xr3:uid="{EDAA437F-B2F8-4439-B2DE-B2E095D18212}" name="Remarks / Clarification"/>
  </tableColumns>
  <tableStyleInfo name="Aloha-style 5" showFirstColumn="1" showLastColumn="1"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41D5C816-FE2D-4DA4-8123-95F65F617C72}" name="Table_61707" displayName="Table_61707" ref="A93:G107" tableBorderDxfId="384">
  <tableColumns count="7">
    <tableColumn id="1" xr3:uid="{3038B20B-26CE-4F93-8246-F21A9CFD093F}" name="Item" dataDxfId="383"/>
    <tableColumn id="2" xr3:uid="{8113A0B4-E85A-4F80-A33E-31EE800FB71E}" name="Type (depreciation/maintenance)" dataDxfId="382"/>
    <tableColumn id="3" xr3:uid="{53C5B05E-38DB-4DED-8686-57789262AA97}" name="Purchase / Running costs" dataDxfId="381"/>
    <tableColumn id="4" xr3:uid="{D370F4DA-4EFE-4CC8-B94F-94DBE1EA931C}" name="Depreciation period" dataDxfId="380"/>
    <tableColumn id="5" xr3:uid="{B9EC252E-0294-4D25-896A-04BC311F5F91}" name="Amount" dataDxfId="379"/>
    <tableColumn id="6" xr3:uid="{2A51DCE7-79B8-4DD0-AA5B-8E0484F9A106}" name="Costs per year" dataDxfId="378"/>
    <tableColumn id="7" xr3:uid="{9D076F85-930A-448C-A43F-211F0A32C47D}" name="Remarks / Clarification" dataDxfId="377"/>
  </tableColumns>
  <tableStyleInfo name="Aloha-style 5" showFirstColumn="1" showLastColumn="1"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7F95661C-DB0A-4C46-A22B-DA7BA9AF2BD3}" name="Table_617017168" displayName="Table_617017168" ref="AD29:AF40" headerRowDxfId="376" dataDxfId="375" tableBorderDxfId="374">
  <tableColumns count="3">
    <tableColumn id="1" xr3:uid="{EA5AFC71-14CD-4E19-9EEA-739BA03EBD19}" name="Item" dataDxfId="373">
      <calculatedColumnFormula>IF($B$12="individual",Constants!F55,Constants!L55)</calculatedColumnFormula>
    </tableColumn>
    <tableColumn id="2" xr3:uid="{D869DD07-307D-4ACF-9040-46858BBACCCC}" name="Type (depreciation/maintenance)" dataDxfId="372">
      <calculatedColumnFormula>B7</calculatedColumnFormula>
    </tableColumn>
    <tableColumn id="3" xr3:uid="{4EAA0C2F-EEAF-470E-9316-600442DE2C22}" name="Score" dataDxfId="371">
      <calculatedColumnFormula>IF(AE30&gt;301,5,IF(AE30&gt;176,4,IF(AE30&gt;101,3,IF(AE30&gt;51,2,1))))</calculatedColumnFormula>
    </tableColumn>
  </tableColumns>
  <tableStyleInfo name="Aloha-style 5" showFirstColumn="1" showLastColumn="1"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111E3A34-16CB-4418-8E3A-3487ADFDEFCB}" name="Table_216627" displayName="Table_216627" ref="A37:G42" tableBorderDxfId="367">
  <tableColumns count="7">
    <tableColumn id="1" xr3:uid="{774F362B-CCE9-4032-8E06-C103BF38F838}" name="Group"/>
    <tableColumn id="2" xr3:uid="{9730FBCF-0859-40A0-AD2D-CAD3E326C9A9}" name="Group size" dataDxfId="366"/>
    <tableColumn id="3" xr3:uid="{34817F42-07F7-434D-B75A-0A60C29F12DC}" name="Trainings per week"/>
    <tableColumn id="4" xr3:uid="{2F26A3A5-B0CF-4B0F-BFBD-BE59AE072B78}" name="Weeks per year" dataDxfId="365"/>
    <tableColumn id="5" xr3:uid="{26194C7E-4E15-47C6-8F51-F7D1FFDB2DB6}" name="Type of trainer"/>
    <tableColumn id="6" xr3:uid="{DA7D1BDA-1923-49AF-9C53-4D8BA3EE57F4}" name="(Expected) Level"/>
    <tableColumn id="7" xr3:uid="{6EF6FB87-A6B6-4D87-8510-B8F795357C08}" name="Remarks/clarification"/>
  </tableColumns>
  <tableStyleInfo name="Aloha-style" showFirstColumn="1" showLastColumn="1"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E7AE45C-E0DC-4AE5-AC28-A715585E2018}" name="Table_316728" displayName="Table_316728" ref="A45:H50" tableBorderDxfId="364">
  <tableColumns count="8">
    <tableColumn id="1" xr3:uid="{08EC6337-5BAC-4062-AEDE-25C14FF8EACD}" name="Group"/>
    <tableColumn id="2" xr3:uid="{A5758C24-7584-4CCF-ADB1-73EB617F35EC}" name="Group size"/>
    <tableColumn id="3" xr3:uid="{1DD50847-B976-4888-BCA7-8062FE2626F5}" name="Who"/>
    <tableColumn id="4" xr3:uid="{5DE45E3A-056A-447F-85C5-6CE0BB3588CF}" name="Type of Trainer"/>
    <tableColumn id="5" xr3:uid="{94624D09-F78B-4B04-9FF1-7D6AD4224675}" name="Training per week"/>
    <tableColumn id="6" xr3:uid="{AB7AFFB7-A5F6-4B3A-843F-18CD75C4FE9C}" name="Hours per week"/>
    <tableColumn id="7" xr3:uid="{31D8A840-C60E-433A-9679-8793EA60599D}" name="Coaching?"/>
    <tableColumn id="8" xr3:uid="{CB50C982-89DB-424E-941F-2F17B76C49B1}" name="Remarks/clarification"/>
  </tableColumns>
  <tableStyleInfo name="Aloha-style 2" showFirstColumn="1" showLastColumn="1"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2C513B6A-B1B0-41B6-9FA7-7FB2184A09DA}" name="Table_416829" displayName="Table_416829" ref="A54:J67" tableBorderDxfId="363">
  <tableColumns count="10">
    <tableColumn id="1" xr3:uid="{9727FE1E-77E1-4503-8368-20E2A21E7002}" name="Training group"/>
    <tableColumn id="2" xr3:uid="{5C900150-7A3C-4E32-8450-35F6F96B8024}" name="Type of training"/>
    <tableColumn id="3" xr3:uid="{FF225D70-FE5C-4434-8B78-395088D16E77}" name="# Weeks"/>
    <tableColumn id="4" xr3:uid="{EE321C57-59AD-44EB-8653-05D71E2E314D}" name="# Times/week"/>
    <tableColumn id="5" xr3:uid="{8251B17E-8B54-42A6-947B-4827E11D40A2}" name="Total hours/week"/>
    <tableColumn id="6" xr3:uid="{16D74499-6910-44C8-85C3-02E181922D78}" name="Total hours"/>
    <tableColumn id="7" xr3:uid="{5344D519-80A9-4BC7-82C1-C30DF1A49519}" name="Name of trainer"/>
    <tableColumn id="8" xr3:uid="{F0255426-0AE8-47EA-8F6B-3501E23FABCD}" name="Type of trainer"/>
    <tableColumn id="9" xr3:uid="{35C580CC-1D44-4508-B80F-BDB99D9CA386}" name="Hourly rate"/>
    <tableColumn id="10" xr3:uid="{34673267-9F5E-43F8-9553-7F4C5C81C08B}" name="Remarks/Clarification"/>
  </tableColumns>
  <tableStyleInfo name="Aloha-style 3" showFirstColumn="1" showLastColumn="1"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BCCD79F9-42B0-4E65-9C3D-8613A8FB9AA8}" name="Table_516930" displayName="Table_516930" ref="A70:J87" tableBorderDxfId="362">
  <tableColumns count="10">
    <tableColumn id="1" xr3:uid="{891C3090-5751-4E85-BB12-5EB71E726409}" name="Training group"/>
    <tableColumn id="2" xr3:uid="{F414422F-70BD-463C-8226-E99F50F3A34A}" name="Location"/>
    <tableColumn id="3" xr3:uid="{DF230756-C6BA-4601-A8AA-A2DAB39D7540}" name="Day"/>
    <tableColumn id="4" xr3:uid="{A578BEB3-358B-40CE-93AC-03EEBBB2BBF2}" name="Duration [hours]"/>
    <tableColumn id="5" xr3:uid="{A54BC965-3458-4D60-8BC3-430B23A93FF8}" name="Weeks"/>
    <tableColumn id="6" xr3:uid="{A786BA65-7000-4316-B674-730E7BFF6005}" name="Hours total">
      <calculatedColumnFormula>MSG!$D71*MSG!$E71</calculatedColumnFormula>
    </tableColumn>
    <tableColumn id="7" xr3:uid="{D4DD718D-9F49-45D9-B30C-F1AA2FF6EEF1}" name="Priority"/>
    <tableColumn id="8" xr3:uid="{E291CAFB-FEAB-4991-8EA1-29ABFD151D1A}" name="Hourly rate - unscaled">
      <calculatedColumnFormula>IF($B71= "","-",IF($B71= "External","Specify location tariff", INDEX(Constants!$3:$3,MATCH($B71,Constants!$2:$2,0))))</calculatedColumnFormula>
    </tableColumn>
    <tableColumn id="9" xr3:uid="{5E0737C4-7052-4B90-A889-32801B7A11A8}" name="Total cost - unscaled" dataDxfId="361">
      <calculatedColumnFormula>IF($H71="-","-",IF($H71="Specify location tariff","-",$H71*$F71))</calculatedColumnFormula>
    </tableColumn>
    <tableColumn id="10" xr3:uid="{419941D3-3A5E-43B0-808C-6BC0D73CE59E}" name="Remarks / Clarification" dataDxfId="360"/>
  </tableColumns>
  <tableStyleInfo name="Aloha-style 4" showFirstColumn="1" showLastColumn="1"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D78077D2-12FE-4E03-B719-44016D59FFBF}" name="Table_617031" displayName="Table_617031" ref="A91:G105" tableBorderDxfId="359">
  <tableColumns count="7">
    <tableColumn id="1" xr3:uid="{6EC4216E-EA03-49A8-ABAF-B82F090BB279}" name="Item"/>
    <tableColumn id="2" xr3:uid="{2FF42ECE-4778-42EA-B2EF-18DA8D84F860}" name="Type (depreciation/maintenance)"/>
    <tableColumn id="3" xr3:uid="{FC90DAA1-6911-4B67-A397-A2D580A58EE0}" name="Purchase / Running costs"/>
    <tableColumn id="4" xr3:uid="{1E1EC54D-34C3-4536-BADE-6470EB14E40B}" name="Depreciation period"/>
    <tableColumn id="5" xr3:uid="{D865C796-652F-4030-B328-E82814242993}" name="Amount"/>
    <tableColumn id="6" xr3:uid="{F36D945A-1A45-4F99-A4C8-282101D2DDD6}" name="Costs per year" dataDxfId="358">
      <calculatedColumnFormula>IF(Table_617031[[#This Row],[Item]]="",0,Table_617031[[#This Row],[Amount]]*Table_617031[[#This Row],[Purchase / Running costs]]/Table_617031[[#This Row],[Depreciation period]])</calculatedColumnFormula>
    </tableColumn>
    <tableColumn id="7" xr3:uid="{B9FD95F7-C49F-40EB-85F1-D598FACAFCDC}" name="Remarks / Clarification"/>
  </tableColumns>
  <tableStyleInfo name="Aloha-style 5" showFirstColumn="1" showLastColumn="1"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DF8E26C1-487E-4016-968F-7B0B82DA2607}" name="Table_617017167" displayName="Table_617017167" ref="AD29:AF40" headerRowDxfId="357" dataDxfId="356" tableBorderDxfId="355">
  <tableColumns count="3">
    <tableColumn id="1" xr3:uid="{AFE256DB-8628-472D-8953-CB5307D4B409}" name="Item" dataDxfId="354">
      <calculatedColumnFormula>IF($B$12="individual",Constants!F55,Constants!L55)</calculatedColumnFormula>
    </tableColumn>
    <tableColumn id="2" xr3:uid="{26EB40AF-E91E-4862-AC90-650F6BBF23DE}" name="Type (depreciation/maintenance)" dataDxfId="353">
      <calculatedColumnFormula>B7</calculatedColumnFormula>
    </tableColumn>
    <tableColumn id="3" xr3:uid="{F61AA01E-0BD4-47E4-A24B-5C7E4FA73167}" name="Score" dataDxfId="352">
      <calculatedColumnFormula>IF(AE30&gt;301,5,IF(AE30&gt;176,4,IF(AE30&gt;101,3,IF(AE30&gt;51,2,1))))</calculatedColumnFormula>
    </tableColumn>
  </tableColumns>
  <tableStyleInfo name="Aloha-style 5" showFirstColumn="1" showLastColumn="1"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5" xr:uid="{9C7A4B85-170D-2643-81F8-7E79908DC3C2}" name="Table_2166276" displayName="Table_2166276" ref="A37:G42" tableBorderDxfId="348">
  <tableColumns count="7">
    <tableColumn id="1" xr3:uid="{4E509D59-F95E-774E-B091-163EA30BABB5}" name="Group"/>
    <tableColumn id="2" xr3:uid="{F01098E6-A574-D741-B545-CF292E33584A}" name="Group size" dataDxfId="347"/>
    <tableColumn id="3" xr3:uid="{43F6B829-BF65-4C4C-9E86-DE2CE408E5A1}" name="Trainings per week"/>
    <tableColumn id="4" xr3:uid="{8BE82C2B-AFDB-314E-B709-84488812B57E}" name="Weeks per year" dataDxfId="346"/>
    <tableColumn id="5" xr3:uid="{F2925D72-B56C-3647-B7D0-4A0BBDCE579D}" name="Type of trainer"/>
    <tableColumn id="6" xr3:uid="{DADD1B9B-715F-2F4B-A3A1-7004CA4C1C56}" name="(Expected) Level"/>
    <tableColumn id="7" xr3:uid="{2B55B9BC-3E88-944A-8C71-49E3D0D8FFFB}" name="Remarks/clarification"/>
  </tableColumns>
  <tableStyleInfo name="Aloha-style" showFirstColumn="1" showLastColumn="1"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6" xr:uid="{B843A816-191F-4142-9629-4ECDD4E087E7}" name="Table_3167277" displayName="Table_3167277" ref="A45:H50" tableBorderDxfId="345">
  <tableColumns count="8">
    <tableColumn id="1" xr3:uid="{1B0AC8F1-6CC5-6F42-BB8A-0885EA542488}" name="Group"/>
    <tableColumn id="2" xr3:uid="{BE8960F0-5758-8142-BD34-50998C801AD5}" name="Group size"/>
    <tableColumn id="3" xr3:uid="{20FE4AC6-0F54-224E-852A-ED756A6CBBC1}" name="Who"/>
    <tableColumn id="4" xr3:uid="{2BA7B191-B1D2-494B-9A4D-333DF9C0BF7E}" name="Type of Trainer"/>
    <tableColumn id="5" xr3:uid="{32F54E9C-1D51-3645-8758-00A8C75C7AFD}" name="Training per week"/>
    <tableColumn id="6" xr3:uid="{5D599B80-EE0F-2A4A-8A94-47D027B1E6E7}" name="Hours per week"/>
    <tableColumn id="7" xr3:uid="{1B34625B-4E60-DB44-8E23-82B557472A91}" name="Coaching?"/>
    <tableColumn id="8" xr3:uid="{06A64572-83A3-1742-80A8-D8CD305516A6}" name="Remarks/clarification"/>
  </tableColumns>
  <tableStyleInfo name="Aloha-style 2" showFirstColumn="1" showLastColumn="1"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35FADE10-211C-4E7A-85B0-82F9270F9377}" name="Table_617017185" displayName="Table_617017185" ref="AD29:AF40" headerRowDxfId="809" dataDxfId="808" tableBorderDxfId="807">
  <tableColumns count="3">
    <tableColumn id="1" xr3:uid="{027E4447-B7C5-410B-848E-5389E655BB71}" name="Item" dataDxfId="806">
      <calculatedColumnFormula>IF($B$12="individual",Constants!F55,Constants!L55)</calculatedColumnFormula>
    </tableColumn>
    <tableColumn id="2" xr3:uid="{C3C88979-55F5-49EF-9825-BC4E0312A630}" name="Type (depreciation/maintenance)" dataDxfId="805">
      <calculatedColumnFormula>B7</calculatedColumnFormula>
    </tableColumn>
    <tableColumn id="3" xr3:uid="{9925D560-E039-4A1E-87E7-6CED15C2E558}" name="Score" dataDxfId="804">
      <calculatedColumnFormula>IF(AE30&gt;301,5,IF(AE30&gt;176,4,IF(AE30&gt;101,3,IF(AE30&gt;51,2,1))))</calculatedColumnFormula>
    </tableColumn>
  </tableColumns>
  <tableStyleInfo name="Aloha-style 5" showFirstColumn="1" showLastColumn="1"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7" xr:uid="{FF39FFD6-7B0C-6E4E-B474-36415FAF8498}" name="Table_4168278" displayName="Table_4168278" ref="A54:J67" tableBorderDxfId="344">
  <tableColumns count="10">
    <tableColumn id="1" xr3:uid="{B5CD9B7F-0B46-4244-B074-8237D001C01C}" name="Training group"/>
    <tableColumn id="2" xr3:uid="{36082A3F-849A-7745-B47B-08F751C9BA0D}" name="Type of training"/>
    <tableColumn id="3" xr3:uid="{183E464D-3101-5648-8133-9F51BBFCB545}" name="# Weeks"/>
    <tableColumn id="4" xr3:uid="{FEC989A6-2610-8A40-9192-50688649AF66}" name="# Times/week"/>
    <tableColumn id="5" xr3:uid="{23AE12C2-AC32-1D46-A298-32D6D7F5E63C}" name="Total hours/week"/>
    <tableColumn id="6" xr3:uid="{6BD2D2D3-04EF-1B40-914B-E9397AF627BB}" name="Total hours" dataDxfId="343">
      <calculatedColumnFormula>Table_4168278[[#This Row],['# Weeks]]*Table_4168278[[#This Row],[Total hours/week]]</calculatedColumnFormula>
    </tableColumn>
    <tableColumn id="7" xr3:uid="{1403A3C4-7C90-1D4E-9658-27DFC8F929BE}" name="Name of trainer"/>
    <tableColumn id="8" xr3:uid="{31EA37D6-91DB-6547-A65C-792CF05BBFA8}" name="Type of trainer"/>
    <tableColumn id="9" xr3:uid="{C3297D1F-7727-2940-8BDF-727BFB6B602D}" name="Hourly rate"/>
    <tableColumn id="10" xr3:uid="{D76EA1AE-4F53-BD45-A145-23D3E2970126}" name="Remarks/Clarification"/>
  </tableColumns>
  <tableStyleInfo name="Aloha-style 3" showFirstColumn="1" showLastColumn="1"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8" xr:uid="{EDAA8B36-FCCC-EE48-9F30-1FD464A20BBF}" name="Table_5169279" displayName="Table_5169279" ref="A70:J87" tableBorderDxfId="342">
  <tableColumns count="10">
    <tableColumn id="1" xr3:uid="{56E5B671-3A87-F240-81E8-D1670F6B1075}" name="Training group"/>
    <tableColumn id="2" xr3:uid="{9DB6EE32-687E-414B-AA9C-BEDA6611976B}" name="Location"/>
    <tableColumn id="3" xr3:uid="{5FD2DF27-7E5F-194C-B9FD-AB0099BD0D3C}" name="Day"/>
    <tableColumn id="4" xr3:uid="{F5C31652-5AE9-304F-B0E0-1861F2F44246}" name="Duration [hours]"/>
    <tableColumn id="5" xr3:uid="{A10085C7-C56A-B740-A75F-3C82F16E7ED7}" name="Weeks"/>
    <tableColumn id="6" xr3:uid="{E55F7EFF-0502-F04C-A944-37CF43A1CB80}" name="Hours total">
      <calculatedColumnFormula>Phoenix!$D71*Phoenix!$E71</calculatedColumnFormula>
    </tableColumn>
    <tableColumn id="7" xr3:uid="{100D428C-B3AD-DC40-95B8-35CDA563B350}" name="Priority"/>
    <tableColumn id="8" xr3:uid="{FC5AFFC3-EEB6-C940-BCF5-86C3AA20AB38}" name="Hourly rate - unscaled">
      <calculatedColumnFormula>IF($B71= "","-",IF($B71= "External","Specify location tariff", INDEX(Constants!$3:$3,MATCH($B71,Constants!$2:$2,0))))</calculatedColumnFormula>
    </tableColumn>
    <tableColumn id="9" xr3:uid="{9A811106-F369-9F46-A0EC-F3E7AD24846C}" name="Total cost - unscaled" dataDxfId="341">
      <calculatedColumnFormula>IF($H71="-","-",IF($H71="Specify location tariff","-",$H71*$F71))</calculatedColumnFormula>
    </tableColumn>
    <tableColumn id="10" xr3:uid="{42829C97-1471-A342-830F-471938E224A8}" name="Remarks / Clarification" dataDxfId="340"/>
  </tableColumns>
  <tableStyleInfo name="Aloha-style 4" showFirstColumn="1" showLastColumn="1"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9" xr:uid="{0AB40620-F96E-B64F-97C6-928972A1D960}" name="Table_6170280" displayName="Table_6170280" ref="A91:G105" tableBorderDxfId="339">
  <tableColumns count="7">
    <tableColumn id="1" xr3:uid="{4DB6BA50-CED4-AE4B-9FAC-90289A558795}" name="Item"/>
    <tableColumn id="2" xr3:uid="{7275D3A7-6240-DA4A-874C-B30D972E5A49}" name="Type (depreciation/maintenance)"/>
    <tableColumn id="3" xr3:uid="{014CC7D2-22B2-1543-9417-B6630A241ED0}" name="Purchase / Running costs"/>
    <tableColumn id="4" xr3:uid="{26374F79-2FEB-9E49-84AD-15353ED3333F}" name="Depreciation period"/>
    <tableColumn id="5" xr3:uid="{472ACB3A-13C8-1F43-B065-04C9688C314D}" name="Amount"/>
    <tableColumn id="6" xr3:uid="{A0546448-E333-DB4C-A6BC-5BB54CE3AE5F}" name="Costs per year">
      <calculatedColumnFormula>IF(Table_6170280[[#This Row],[Item]]="",0,Table_6170280[[#This Row],[Amount]]*Table_6170280[[#This Row],[Purchase / Running costs]]/Table_6170280[[#This Row],[Depreciation period]])</calculatedColumnFormula>
    </tableColumn>
    <tableColumn id="7" xr3:uid="{7DC74A49-B36F-D943-9D84-D92A98791C0D}" name="Remarks / Clarification"/>
  </tableColumns>
  <tableStyleInfo name="Aloha-style 5" showFirstColumn="1" showLastColumn="1" showRowStripes="1" showColumnStripes="0"/>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0" xr:uid="{098BBF38-C7D7-BC48-8755-CF238190517B}" name="Table_6170171281" displayName="Table_6170171281" ref="AD29:AF40" headerRowDxfId="338" dataDxfId="337" tableBorderDxfId="336">
  <tableColumns count="3">
    <tableColumn id="1" xr3:uid="{D5D8309A-83B8-F948-BCCF-948061267079}" name="Item" dataDxfId="335">
      <calculatedColumnFormula>IF($B$12="individual",Constants!F55,Constants!L55)</calculatedColumnFormula>
    </tableColumn>
    <tableColumn id="2" xr3:uid="{9898CDB0-3FFE-994A-A2DE-43CD62219166}" name="Type (depreciation/maintenance)" dataDxfId="334">
      <calculatedColumnFormula>B7</calculatedColumnFormula>
    </tableColumn>
    <tableColumn id="3" xr3:uid="{10C82D94-A201-4143-BB0A-9B92F6C86648}" name="Score" dataDxfId="333">
      <calculatedColumnFormula>IF(AE30&gt;301,5,IF(AE30&gt;176,4,IF(AE30&gt;101,3,IF(AE30&gt;51,2,1))))</calculatedColumnFormula>
    </tableColumn>
  </tableColumns>
  <tableStyleInfo name="Aloha-style 5" showFirstColumn="1" showLastColumn="1" showRowStripes="1" showColumnStripes="0"/>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1" xr:uid="{502AEFEA-7342-4D56-9C99-ED38808A574D}" name="Table_2166222" displayName="Table_2166222" ref="A37:G42" tableBorderDxfId="329">
  <tableColumns count="7">
    <tableColumn id="1" xr3:uid="{8F93534F-4246-4BD0-BF28-91EF38626F9C}" name="Group"/>
    <tableColumn id="2" xr3:uid="{F992C04C-0024-4A2D-82C2-C2F93CAD4EDE}" name="Group size" dataDxfId="328"/>
    <tableColumn id="3" xr3:uid="{E18B2434-DC65-4198-8BAF-9371BEA40FAC}" name="Trainings per week"/>
    <tableColumn id="4" xr3:uid="{7818489E-79FE-4BB7-8E57-8717CA402E3C}" name="Weeks per year" dataDxfId="327"/>
    <tableColumn id="5" xr3:uid="{FBAA3594-5D57-4DBE-B648-5962C592FBF9}" name="Type of trainer"/>
    <tableColumn id="6" xr3:uid="{9207EDDF-F74B-473F-B4B9-769F62E76A80}" name="(Expected) Level"/>
    <tableColumn id="7" xr3:uid="{3FCF88F0-7853-4398-8F35-B9A7BBDDD24F}" name="Remarks/clarification"/>
  </tableColumns>
  <tableStyleInfo name="Aloha-style" showFirstColumn="1" showLastColumn="1" showRowStripes="1" showColumnStripes="0"/>
</table>
</file>

<file path=xl/tables/table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2" xr:uid="{4DD633B9-2B16-4EA3-A812-0FF36E5A819B}" name="Table_3167223" displayName="Table_3167223" ref="A45:H50" tableBorderDxfId="326">
  <tableColumns count="8">
    <tableColumn id="1" xr3:uid="{66739EBD-1F5F-47F9-B645-454579A54FD4}" name="Group"/>
    <tableColumn id="2" xr3:uid="{D2B33174-D69A-4F1C-83E7-456A235DF5B2}" name="Group size"/>
    <tableColumn id="3" xr3:uid="{3D2CDCBB-1102-442E-89B0-45A81FA098FE}" name="Who"/>
    <tableColumn id="4" xr3:uid="{26C4F439-C6DA-4DCB-887F-D8A759FC5E14}" name="Type of Trainer"/>
    <tableColumn id="5" xr3:uid="{05998537-00B7-4378-80B1-39303843C30E}" name="Training per week"/>
    <tableColumn id="6" xr3:uid="{DEAA329D-7A05-4008-8EBC-78A2109DEF6A}" name="Hours per week"/>
    <tableColumn id="7" xr3:uid="{4A3D5DB7-F8CB-48E8-AF5F-F3CF5F2B1686}" name="Coaching?"/>
    <tableColumn id="8" xr3:uid="{486C9F18-9F5D-4E2A-97BC-B7F625D0D1E0}" name="Remarks/clarification"/>
  </tableColumns>
  <tableStyleInfo name="Aloha-style 2" showFirstColumn="1" showLastColumn="1" showRowStripes="1" showColumnStripes="0"/>
</table>
</file>

<file path=xl/tables/table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3" xr:uid="{38F5E1C0-4096-4889-99E9-0127A821BA29}" name="Table_4168224" displayName="Table_4168224" ref="A54:J80" tableBorderDxfId="325">
  <tableColumns count="10">
    <tableColumn id="1" xr3:uid="{0515CB99-36ED-45DD-BDD8-3A355E9B5812}" name="Training group"/>
    <tableColumn id="2" xr3:uid="{6F9FA8F0-E456-4153-814A-BCF07DA236F6}" name="Type of training"/>
    <tableColumn id="3" xr3:uid="{02709B8F-4685-46D6-B7AA-70FD7CC4FFB3}" name="# Weeks"/>
    <tableColumn id="4" xr3:uid="{3642FE5F-A668-42C1-9CCA-B915A483D27C}" name="# Times/week"/>
    <tableColumn id="5" xr3:uid="{BE16ABFC-E674-4EF7-94ED-B196C9F599FC}" name="Total hours/week"/>
    <tableColumn id="6" xr3:uid="{32AFD0BD-6082-4F45-BF97-46F6E7A7C653}" name="Total hours"/>
    <tableColumn id="7" xr3:uid="{BD279BC6-3D22-432C-91A5-D9F79D0E1F24}" name="Name of trainer"/>
    <tableColumn id="8" xr3:uid="{3F9977C8-DFC0-4F7E-8331-EF45288586DF}" name="Type of trainer"/>
    <tableColumn id="9" xr3:uid="{2082219A-93F7-4B83-B388-95F85A00ADBF}" name="Hourly rate"/>
    <tableColumn id="10" xr3:uid="{E34F20CA-0A32-4FCE-B1BF-3608B7A7A745}" name="Remarks/Clarification"/>
  </tableColumns>
  <tableStyleInfo name="Aloha-style 3" showFirstColumn="1" showLastColumn="1" showRowStripes="1" showColumnStripes="0"/>
</table>
</file>

<file path=xl/tables/table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4" xr:uid="{77AAD793-8C10-4469-8944-BB9E731D2F91}" name="Table_5169225" displayName="Table_5169225" ref="A83:J100" tableBorderDxfId="324">
  <tableColumns count="10">
    <tableColumn id="1" xr3:uid="{7DFDD53E-7FEB-41B3-AC3C-751B137951C7}" name="Training group"/>
    <tableColumn id="2" xr3:uid="{BB51ECD8-86E5-4AE7-A672-D02034ADC82A}" name="Location"/>
    <tableColumn id="3" xr3:uid="{D4A19BF2-B68A-460F-B3F7-2EBC554F4278}" name="Day"/>
    <tableColumn id="4" xr3:uid="{E9E43C27-4095-453D-B6E7-C75CF4BADEE2}" name="Duration [hours]"/>
    <tableColumn id="5" xr3:uid="{3EC266E8-E5CB-4CB3-ACC7-BC760BD5B3AE}" name="Weeks"/>
    <tableColumn id="6" xr3:uid="{C3ED80BC-B80B-44B3-8473-E55524F1F180}" name="Hours total">
      <calculatedColumnFormula>'Piranha Duiken'!$D84*'Piranha Duiken'!$E84</calculatedColumnFormula>
    </tableColumn>
    <tableColumn id="7" xr3:uid="{7340FF91-FA4B-4A0A-B2A7-88ED4F5A0A5D}" name="Priority"/>
    <tableColumn id="8" xr3:uid="{48A086CC-3CAD-4827-829C-A1D40C454FB8}" name="Hourly rate - unscaled">
      <calculatedColumnFormula>IF($B84= "","-",IF($B84= "External","Specify location tariff", INDEX(Constants!$3:$3,MATCH($B84,Constants!$2:$2,0))))</calculatedColumnFormula>
    </tableColumn>
    <tableColumn id="9" xr3:uid="{31787376-367A-426F-B728-DCB8DF4AEEDA}" name="Total cost - unscaled" dataDxfId="323">
      <calculatedColumnFormula>IF($H84="-","-",IF($H84="Specify location tariff","-",$H84*$F84))</calculatedColumnFormula>
    </tableColumn>
    <tableColumn id="10" xr3:uid="{BC429E89-10AE-4FCA-9A0B-9087FACB69D2}" name="Remarks / Clarification" dataDxfId="322"/>
  </tableColumns>
  <tableStyleInfo name="Aloha-style 4" showFirstColumn="1" showLastColumn="1" showRowStripes="1" showColumnStripes="0"/>
</table>
</file>

<file path=xl/tables/table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5" xr:uid="{0B7DCD36-A887-4C87-80B2-48AB1F4628F2}" name="Table_6170226" displayName="Table_6170226" ref="A104:G160" tableBorderDxfId="321">
  <tableColumns count="7">
    <tableColumn id="1" xr3:uid="{F2D92AF5-E8B0-4BA1-86A0-5B12B864497E}" name="Item" dataDxfId="320"/>
    <tableColumn id="2" xr3:uid="{4BC8441B-6881-4273-AA9D-7D8029DCD19A}" name="Type (depreciation/maintenance)" dataDxfId="319"/>
    <tableColumn id="3" xr3:uid="{476C778A-1613-4FA3-BCC2-029BF1CDCB8B}" name="Purchase / Running costs" dataDxfId="318"/>
    <tableColumn id="4" xr3:uid="{4433024F-D68D-486E-9168-893E1CB37EC3}" name="Depreciation period" dataDxfId="317"/>
    <tableColumn id="5" xr3:uid="{19461BBE-D6CF-48A1-889E-BD1E432BF8E9}" name="Amount" dataDxfId="316"/>
    <tableColumn id="6" xr3:uid="{E2D37C05-897E-4B8B-A820-B1B46120D0D7}" name="Costs per year" dataDxfId="315"/>
    <tableColumn id="7" xr3:uid="{9601F261-3983-43F8-B107-CB107C52B4EC}" name="Remarks / Clarification" dataDxfId="314"/>
  </tableColumns>
  <tableStyleInfo name="Aloha-style 5" showFirstColumn="1" showLastColumn="1" showRowStripes="1" showColumnStripes="0"/>
</table>
</file>

<file path=xl/tables/table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6" xr:uid="{A6E40470-9D32-48D8-B794-BA3DE55D8E83}" name="Table_6170171227" displayName="Table_6170171227" ref="AD29:AF40" headerRowDxfId="313" dataDxfId="312" tableBorderDxfId="311">
  <tableColumns count="3">
    <tableColumn id="1" xr3:uid="{0FF6EB61-F594-4BCB-A4B2-7175F949884D}" name="Item" dataDxfId="310">
      <calculatedColumnFormula>IF($B$12="individual",Constants!F55,Constants!L55)</calculatedColumnFormula>
    </tableColumn>
    <tableColumn id="2" xr3:uid="{B2529C52-8959-4CCD-BA5E-6683543A6950}" name="Type (depreciation/maintenance)" dataDxfId="309">
      <calculatedColumnFormula>B7</calculatedColumnFormula>
    </tableColumn>
    <tableColumn id="3" xr3:uid="{3E0F0219-6056-4013-8990-7B17A675281B}" name="Score" dataDxfId="308">
      <calculatedColumnFormula>IF(AE30&gt;301,5,IF(AE30&gt;176,4,IF(AE30&gt;101,3,IF(AE30&gt;51,2,1))))</calculatedColumnFormula>
    </tableColumn>
  </tableColumns>
  <tableStyleInfo name="Aloha-style 5" showFirstColumn="1" showLastColumn="1"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3B231C72-064A-480D-AE4B-2B1CC3237E2F}" name="Table_2166210" displayName="Table_2166210" ref="A37:G45" tableBorderDxfId="800">
  <tableColumns count="7">
    <tableColumn id="1" xr3:uid="{1D009562-5F83-48B0-B897-B97123CC52A9}" name="Group" dataDxfId="799"/>
    <tableColumn id="2" xr3:uid="{E0F7234D-9208-4F1C-837A-351E34219A3E}" name="Group size" dataDxfId="798"/>
    <tableColumn id="3" xr3:uid="{E0CFB1C3-0FFA-4CD2-AB8E-4FC0F804FBBC}" name="Trainings per week" dataDxfId="797"/>
    <tableColumn id="4" xr3:uid="{5E4D96B9-FA6E-46BD-A886-24F25112DC3E}" name="Weeks per year" dataDxfId="796"/>
    <tableColumn id="5" xr3:uid="{945683E3-6C5F-46A6-AE65-EC1F3D04835F}" name="Type of trainer" dataDxfId="795"/>
    <tableColumn id="6" xr3:uid="{E7D64F18-260F-4190-9A97-4D3F884320BB}" name="(Expected) Level" dataDxfId="794"/>
    <tableColumn id="7" xr3:uid="{530F288C-7B03-46F2-82DB-AF09423FA4C8}" name="Remarks/clarification" dataDxfId="793"/>
  </tableColumns>
  <tableStyleInfo name="Aloha-style" showFirstColumn="1" showLastColumn="1" showRowStripes="1" showColumnStripes="0"/>
</table>
</file>

<file path=xl/tables/table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926A4E99-5E9D-41B6-ACC0-E7BD01847721}" name="Table_2166216" displayName="Table_2166216" ref="A37:G47" tableBorderDxfId="304">
  <tableColumns count="7">
    <tableColumn id="1" xr3:uid="{977C249D-16B2-40B8-A9D1-3B96CBC4850D}" name="Group"/>
    <tableColumn id="2" xr3:uid="{BDECD4AA-6A18-4E2D-B4F8-F35CA530D22C}" name="Group size" dataDxfId="303"/>
    <tableColumn id="3" xr3:uid="{14A50494-FDD8-46B2-8950-10BCB11EB577}" name="Trainings per week"/>
    <tableColumn id="4" xr3:uid="{F1A49436-9DA7-4A92-B802-A41B5084D075}" name="Weeks per year" dataDxfId="302"/>
    <tableColumn id="5" xr3:uid="{974B0F6C-83B8-4A8F-AE4C-23CA7FDEFB85}" name="Type of trainer"/>
    <tableColumn id="6" xr3:uid="{99978F18-585A-4590-9CBA-DCB3312D4824}" name="(Expected) Level"/>
    <tableColumn id="7" xr3:uid="{4F1C5615-9EBA-4EE3-8CB2-08D341BACBDB}" name="Remarks/clarification"/>
  </tableColumns>
  <tableStyleInfo name="Aloha-style" showFirstColumn="1" showLastColumn="1" showRowStripes="1" showColumnStripes="0"/>
</table>
</file>

<file path=xl/tables/table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7AEDE6B4-2819-4339-BD48-2552F2960706}" name="Table_3167217" displayName="Table_3167217" ref="A50:H55" tableBorderDxfId="301">
  <tableColumns count="8">
    <tableColumn id="1" xr3:uid="{30F38A82-BEB0-4A65-AB5E-3D97CBAE6987}" name="Group"/>
    <tableColumn id="2" xr3:uid="{3955C9F7-06D0-428B-B837-432FBC386964}" name="Group size"/>
    <tableColumn id="3" xr3:uid="{33CDD43C-70DA-46B6-9D06-F8D7AEFC58B1}" name="Who"/>
    <tableColumn id="4" xr3:uid="{B2E96A1F-48B8-4A66-AF57-C9C860E0BFFE}" name="Type of Trainer"/>
    <tableColumn id="5" xr3:uid="{8A2579AC-AAEF-46FB-9BFC-4AE70FC0377B}" name="Training per week"/>
    <tableColumn id="6" xr3:uid="{1738C769-6497-4579-974E-0AED95AD94A8}" name="Hours per week"/>
    <tableColumn id="7" xr3:uid="{8F72BFCD-D555-4065-9C89-BAFC2BDD20D8}" name="Coaching?"/>
    <tableColumn id="8" xr3:uid="{E5A70465-1D71-4C01-A1F8-8F1E21C0CC01}" name="Remarks/clarification"/>
  </tableColumns>
  <tableStyleInfo name="Aloha-style 2" showFirstColumn="1" showLastColumn="1" showRowStripes="1" showColumnStripes="0"/>
</table>
</file>

<file path=xl/tables/table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8EFEC1E1-CEF6-434E-8032-918E4D29A90B}" name="Table_4168218" displayName="Table_4168218" ref="A59:J87" tableBorderDxfId="300">
  <tableColumns count="10">
    <tableColumn id="1" xr3:uid="{7DA8E1DE-C6CA-4B45-AF5C-AFA80D084B3A}" name="Training group" dataDxfId="299"/>
    <tableColumn id="2" xr3:uid="{1D21A919-9D72-4C42-9F35-1F8F6B6B792D}" name="Type of training" dataDxfId="298"/>
    <tableColumn id="3" xr3:uid="{2FB10C20-B9EF-4FC4-822D-2B9983992AC4}" name="# Weeks" dataDxfId="297"/>
    <tableColumn id="4" xr3:uid="{2888EC7D-B70D-48A1-B405-BE2189142C43}" name="# Times/week" dataDxfId="296"/>
    <tableColumn id="5" xr3:uid="{6CA60A5F-B679-4ABF-9CD5-F16B96720B15}" name="Total hours/week" dataDxfId="295"/>
    <tableColumn id="6" xr3:uid="{C6965B65-6BF2-4F39-8068-91456CAE34DD}" name="Total hours" dataDxfId="294">
      <calculatedColumnFormula>Table_4168218[[#This Row],['# Weeks]]*Table_4168218[[#This Row],[Total hours/week]]</calculatedColumnFormula>
    </tableColumn>
    <tableColumn id="7" xr3:uid="{7E33B34C-1B84-4584-8B18-42CF98DD0944}" name="Name of trainer" dataDxfId="293"/>
    <tableColumn id="8" xr3:uid="{B7FA1799-92DD-4737-B1D5-26E0EAF12971}" name="Type of trainer" dataDxfId="292"/>
    <tableColumn id="9" xr3:uid="{B5FB429D-0ED3-46D4-BEF5-2EECDAC40F81}" name="Hourly rate" dataDxfId="291"/>
    <tableColumn id="10" xr3:uid="{1E28DBC8-E0D2-40F1-84CB-CDCCBC84BAE7}" name="Remarks/Clarification" dataDxfId="290"/>
  </tableColumns>
  <tableStyleInfo name="Aloha-style 3" showFirstColumn="1" showLastColumn="1" showRowStripes="1" showColumnStripes="0"/>
</table>
</file>

<file path=xl/tables/table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4F777F0F-7E0F-4ED6-975B-46E2C0AA6723}" name="Table_5169219" displayName="Table_5169219" ref="A89:J103" tableBorderDxfId="289">
  <tableColumns count="10">
    <tableColumn id="1" xr3:uid="{EC155788-EF30-4D4F-BF31-03C54136065E}" name="Training group" dataDxfId="288"/>
    <tableColumn id="2" xr3:uid="{C0372904-C4E5-42F3-B10F-77AFBD63031E}" name="Location" dataDxfId="287"/>
    <tableColumn id="3" xr3:uid="{25F5581C-3196-4CD7-A465-7365DD8001C9}" name="Day" dataDxfId="286"/>
    <tableColumn id="4" xr3:uid="{8C92E949-EEE3-41E5-B4FD-EAD1C97DE795}" name="Duration [hours]" dataDxfId="285"/>
    <tableColumn id="5" xr3:uid="{E8F99F87-D10E-40AE-98ED-BB5E322934C7}" name="Weeks" dataDxfId="284"/>
    <tableColumn id="6" xr3:uid="{90438B14-4A4C-41F0-8628-634400EB821E}" name="Hours total">
      <calculatedColumnFormula>'Piranha ZPR'!$D90*'Piranha ZPR'!$E90</calculatedColumnFormula>
    </tableColumn>
    <tableColumn id="7" xr3:uid="{D4617675-2C80-41E2-8401-A0E8A8F785EA}" name="Priority"/>
    <tableColumn id="8" xr3:uid="{98F17682-14C4-4FC9-BBF2-247D4F60E6C4}" name="Hourly rate - unscaled">
      <calculatedColumnFormula>IF($B90= "","-",IF($B90= "External","Specify location tariff", INDEX(Constants!$3:$3,MATCH($B90,Constants!$2:$2,0))))</calculatedColumnFormula>
    </tableColumn>
    <tableColumn id="9" xr3:uid="{86862DB0-6340-425E-9364-100E248FC76F}" name="Total cost - unscaled" dataDxfId="283">
      <calculatedColumnFormula>IF($H90="-","-",IF($H90="Specify location tariff","-",$H90*$F90))</calculatedColumnFormula>
    </tableColumn>
    <tableColumn id="10" xr3:uid="{F50731FB-8406-43DE-8A6E-8636A166398C}" name="Remarks / Clarification" dataDxfId="282"/>
  </tableColumns>
  <tableStyleInfo name="Aloha-style 4" showFirstColumn="1" showLastColumn="1" showRowStripes="1" showColumnStripes="0"/>
</table>
</file>

<file path=xl/tables/table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9" xr:uid="{64C0E5CD-1B3B-46D9-BCE8-4088D88BEEDD}" name="Table_6170220" displayName="Table_6170220" ref="A107:G150" tableBorderDxfId="281">
  <tableColumns count="7">
    <tableColumn id="1" xr3:uid="{4A0218EE-23C2-4E8B-979C-1704B453780D}" name="Item"/>
    <tableColumn id="2" xr3:uid="{E29ED891-DB1B-4545-ACF5-763814D83803}" name="Type (depreciation/maintenance)"/>
    <tableColumn id="3" xr3:uid="{4917A8D6-E625-4D58-9736-EF05B17A09C7}" name="Purchase / Running costs"/>
    <tableColumn id="4" xr3:uid="{300CEAE7-B9BE-4C7C-8277-589861403C42}" name="Depreciation period"/>
    <tableColumn id="5" xr3:uid="{5B2ABA84-1C00-4D6A-8BE9-CF5EE40C9000}" name="Amount"/>
    <tableColumn id="6" xr3:uid="{EF5B0D32-1FCB-4119-AF15-5EB9CC5AB8F4}" name="Costs per year"/>
    <tableColumn id="7" xr3:uid="{E605A6E8-816D-4ECF-97B1-077B6ECEA4B1}" name="Remarks / Clarification"/>
  </tableColumns>
  <tableStyleInfo name="Aloha-style 5" showFirstColumn="1" showLastColumn="1" showRowStripes="1" showColumnStripes="0"/>
</table>
</file>

<file path=xl/tables/table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0" xr:uid="{8DEDEB96-4A4A-48A9-A846-AD1B7B74FD54}" name="Table_6170171221" displayName="Table_6170171221" ref="AD29:AF40" headerRowDxfId="280" dataDxfId="279" tableBorderDxfId="278">
  <tableColumns count="3">
    <tableColumn id="1" xr3:uid="{8F01DF0C-F507-42E2-8103-B77B946D22B1}" name="Item" dataDxfId="277">
      <calculatedColumnFormula>IF($B$12="individual",Constants!F55,Constants!L55)</calculatedColumnFormula>
    </tableColumn>
    <tableColumn id="2" xr3:uid="{465A4CF2-8645-4380-843A-909E3884BE18}" name="Type (depreciation/maintenance)" dataDxfId="276">
      <calculatedColumnFormula>B7</calculatedColumnFormula>
    </tableColumn>
    <tableColumn id="3" xr3:uid="{6BC6831C-C8D4-426A-884B-E89DD756F94E}" name="Score" dataDxfId="275">
      <calculatedColumnFormula>IF(AE30&gt;301,5,IF(AE30&gt;176,4,IF(AE30&gt;101,3,IF(AE30&gt;51,2,1))))</calculatedColumnFormula>
    </tableColumn>
  </tableColumns>
  <tableStyleInfo name="Aloha-style 5" showFirstColumn="1" showLastColumn="1" showRowStripes="1" showColumnStripes="0"/>
</table>
</file>

<file path=xl/tables/table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39865438-AF5B-4CD1-B46C-0C6F1A048B3C}" name="Table_2166192" displayName="Table_2166192" ref="A37:G42" tableBorderDxfId="271">
  <tableColumns count="7">
    <tableColumn id="1" xr3:uid="{CAFD0507-708E-47AB-B7A6-DA2599201ACB}" name="Group"/>
    <tableColumn id="2" xr3:uid="{F81ED47F-0A0E-4AFA-BF8B-E15A9B6CDE38}" name="Group size" dataDxfId="270"/>
    <tableColumn id="3" xr3:uid="{1699011D-7584-4A62-B2B8-97A5BD093D9B}" name="Trainings per week"/>
    <tableColumn id="4" xr3:uid="{91179955-BCAF-4174-A640-D610A6809E0E}" name="Weeks per year" dataDxfId="269"/>
    <tableColumn id="5" xr3:uid="{B8713259-C5AB-4129-AB88-C5C474685873}" name="Type of trainer"/>
    <tableColumn id="6" xr3:uid="{63AEAAFB-C576-4E2B-A598-38CFD24FE3D6}" name="(Expected) Level"/>
    <tableColumn id="7" xr3:uid="{D6512BB3-5FE8-4CB0-8A08-BA7D12B33542}" name="Remarks/clarification"/>
  </tableColumns>
  <tableStyleInfo name="Aloha-style" showFirstColumn="1" showLastColumn="1" showRowStripes="1" showColumnStripes="0"/>
</table>
</file>

<file path=xl/tables/table1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3E530384-EF0A-422A-BE25-5A180209AFC5}" name="Table_3167193" displayName="Table_3167193" ref="A45:H50" tableBorderDxfId="268">
  <tableColumns count="8">
    <tableColumn id="1" xr3:uid="{46F3F9B7-5700-4BDD-93CC-29D5EBD6F7F3}" name="Group"/>
    <tableColumn id="2" xr3:uid="{52B82C48-2482-454C-A5E2-55F386ACBC3B}" name="Group size"/>
    <tableColumn id="3" xr3:uid="{4DE877E8-0340-443C-B7B5-937DAEBF83C7}" name="Who"/>
    <tableColumn id="4" xr3:uid="{8FF7549E-845F-4E63-B64C-E07E2635FBE6}" name="Type of Trainer"/>
    <tableColumn id="5" xr3:uid="{80183FFB-9A8D-4650-9D79-413171A6B3E5}" name="Training per week"/>
    <tableColumn id="6" xr3:uid="{2B59707C-CECD-4436-82FF-EAC93DD0BD34}" name="Hours per week"/>
    <tableColumn id="7" xr3:uid="{6B247E3A-AEC6-4E4A-A1C5-EB4B0FAD5D3C}" name="Coaching?"/>
    <tableColumn id="8" xr3:uid="{5BB43A82-66E4-4584-AF11-E5DC125166B4}" name="Remarks/clarification"/>
  </tableColumns>
  <tableStyleInfo name="Aloha-style 2" showFirstColumn="1" showLastColumn="1" showRowStripes="1" showColumnStripes="0"/>
</table>
</file>

<file path=xl/tables/table1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48A1C65D-5574-477F-AE43-238A017B4DCC}" name="Table_4168194" displayName="Table_4168194" ref="A54:J67" tableBorderDxfId="267">
  <tableColumns count="10">
    <tableColumn id="1" xr3:uid="{F68D432B-78FE-4E74-8388-E0CA58CD65C3}" name="Training group"/>
    <tableColumn id="2" xr3:uid="{061F72E5-BEFA-4C75-8B77-A84E68AECCDA}" name="Type of training"/>
    <tableColumn id="3" xr3:uid="{12B33EB0-2C2E-426C-9649-5AFBD98EB583}" name="# Weeks"/>
    <tableColumn id="4" xr3:uid="{7C65489F-7096-427F-A928-003B8DC25C39}" name="# Times/week"/>
    <tableColumn id="5" xr3:uid="{61FDC5FD-FC3C-4FE5-A9A0-020134FDB876}" name="Total hours/week"/>
    <tableColumn id="6" xr3:uid="{8D812105-C27E-4EF9-BF8E-0E67EF4ED8FA}" name="Total hours" dataDxfId="266">
      <calculatedColumnFormula>Table_4168194[[#This Row],['# Weeks]]*Table_4168194[[#This Row],[Total hours/week]]</calculatedColumnFormula>
    </tableColumn>
    <tableColumn id="7" xr3:uid="{822C6A1D-B9FA-412C-AFA2-843DA590939C}" name="Name of trainer"/>
    <tableColumn id="8" xr3:uid="{ABF29202-3EAD-4820-B698-7B71C52D9738}" name="Type of trainer"/>
    <tableColumn id="9" xr3:uid="{684DEBC8-4EC6-4296-9951-CEF431C51887}" name="Hourly rate"/>
    <tableColumn id="10" xr3:uid="{F1C5D963-AD1B-47B2-9974-735390FBBAAD}" name="Remarks/Clarification"/>
  </tableColumns>
  <tableStyleInfo name="Aloha-style 3" showFirstColumn="1" showLastColumn="1" showRowStripes="1" showColumnStripes="0"/>
</table>
</file>

<file path=xl/tables/table1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DD9AB7B1-7E5E-416A-A0E6-FD2937D44421}" name="Table_5169195" displayName="Table_5169195" ref="A70:J87" tableBorderDxfId="265">
  <tableColumns count="10">
    <tableColumn id="1" xr3:uid="{6FDD253A-D3FD-48D9-B49B-764074663734}" name="Training group"/>
    <tableColumn id="2" xr3:uid="{6F0F469A-DCC1-4D55-8E5A-39561DE06FE1}" name="Location"/>
    <tableColumn id="3" xr3:uid="{1C5F81CC-C3C3-431F-90EB-3A088EBDD960}" name="Day"/>
    <tableColumn id="4" xr3:uid="{DB720424-5C8C-4A9A-9E2F-2BA3E4C477D9}" name="Duration [hours]"/>
    <tableColumn id="5" xr3:uid="{45871079-4521-4982-93D3-633135E02A33}" name="Weeks"/>
    <tableColumn id="6" xr3:uid="{28816C41-20C2-4E92-B918-187F2873E066}" name="Hours total">
      <calculatedColumnFormula>Sagittarius!$D71*Sagittarius!$E71</calculatedColumnFormula>
    </tableColumn>
    <tableColumn id="7" xr3:uid="{32B7633A-786A-4A6E-BD2B-D746759813C4}" name="Priority"/>
    <tableColumn id="8" xr3:uid="{CDEE5B43-1004-40BE-88C0-5183450B6A17}" name="Hourly rate - unscaled">
      <calculatedColumnFormula>IF($B71= "","-",IF($B71= "External","Specify location tariff", INDEX(Constants!$3:$3,MATCH($B71,Constants!$2:$2,0))))</calculatedColumnFormula>
    </tableColumn>
    <tableColumn id="9" xr3:uid="{CC38DA8D-EDB6-4133-997E-ED02221A5CE5}" name="Total cost - unscaled" dataDxfId="264">
      <calculatedColumnFormula>IF($H71="-","-",IF($H71="Specify location tariff","-",$H71*$F71))</calculatedColumnFormula>
    </tableColumn>
    <tableColumn id="10" xr3:uid="{C846D1EF-18C8-4378-A1EF-43CCC66D969B}" name="Remarks / Clarification" dataDxfId="263"/>
  </tableColumns>
  <tableStyleInfo name="Aloha-style 4" showFirstColumn="1" showLastColumn="1"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40373245-F050-4846-8331-3D5FAA586941}" name="Table_3167211" displayName="Table_3167211" ref="A48:H53" tableBorderDxfId="792">
  <tableColumns count="8">
    <tableColumn id="1" xr3:uid="{4BD91B73-6D4A-45C9-A155-E0F3BC88DE50}" name="Group"/>
    <tableColumn id="2" xr3:uid="{6BBED636-AEEA-427B-853B-BFD805A0DD3A}" name="Group size"/>
    <tableColumn id="3" xr3:uid="{E3AA042B-376F-4D13-A474-25F5AD9C3308}" name="Who"/>
    <tableColumn id="4" xr3:uid="{5A76F5C4-E881-4805-8F09-4EABD736F845}" name="Type of Trainer"/>
    <tableColumn id="5" xr3:uid="{F88C910F-8474-4ECB-A4E0-8985D77409D3}" name="Training per week"/>
    <tableColumn id="6" xr3:uid="{1DDA6617-77ED-4741-8A7B-D1E1467EA728}" name="Hours per week"/>
    <tableColumn id="7" xr3:uid="{D037D31C-6096-4DE0-9056-DF8AD6275461}" name="Coaching?"/>
    <tableColumn id="8" xr3:uid="{401AF2EE-A8B9-4713-B481-595B1A6AC890}" name="Remarks/clarification"/>
  </tableColumns>
  <tableStyleInfo name="Aloha-style 2" showFirstColumn="1" showLastColumn="1" showRowStripes="1" showColumnStripes="0"/>
</table>
</file>

<file path=xl/tables/table1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AD096CD-678E-41E2-ADEB-4F0D1C962F09}" name="Table_6170196" displayName="Table_6170196" ref="A91:G119" tableBorderDxfId="262">
  <tableColumns count="7">
    <tableColumn id="1" xr3:uid="{40663EA5-FB07-415A-B15C-61294C998E7A}" name="Item"/>
    <tableColumn id="2" xr3:uid="{F647772D-91E4-4E31-8392-B9FF27F0DBF2}" name="Type (depreciation/maintenance)"/>
    <tableColumn id="3" xr3:uid="{665A2438-1FA9-4E61-94F4-FA602625FD80}" name="Purchase / Running costs"/>
    <tableColumn id="4" xr3:uid="{5B4B0F4B-BFBC-42B0-B5B0-A02BE6D1DE7D}" name="Depreciation period"/>
    <tableColumn id="5" xr3:uid="{650132C7-0152-452B-8D38-FDD049DC1FE6}" name="Amount"/>
    <tableColumn id="6" xr3:uid="{E87D203B-30E3-4688-86DF-9B2F514917E3}" name="Costs per year"/>
    <tableColumn id="7" xr3:uid="{9A5F2666-1520-41D0-AE56-AEA07158788E}" name="Remarks / Clarification"/>
  </tableColumns>
  <tableStyleInfo name="Aloha-style 5" showFirstColumn="1" showLastColumn="1" showRowStripes="1" showColumnStripes="0"/>
</table>
</file>

<file path=xl/tables/table1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22191DDE-531C-4527-980A-894BCB80E355}" name="Table_6170171197" displayName="Table_6170171197" ref="AD29:AF40" headerRowDxfId="261" dataDxfId="260" tableBorderDxfId="259">
  <tableColumns count="3">
    <tableColumn id="1" xr3:uid="{EF504318-5384-4389-AF91-29B1B2514202}" name="Item" dataDxfId="258">
      <calculatedColumnFormula>IF($B$12="individual",Constants!F55,Constants!L55)</calculatedColumnFormula>
    </tableColumn>
    <tableColumn id="2" xr3:uid="{40C7324E-C187-4933-97D1-1E50A8612D94}" name="Type (depreciation/maintenance)" dataDxfId="257">
      <calculatedColumnFormula>B7</calculatedColumnFormula>
    </tableColumn>
    <tableColumn id="3" xr3:uid="{4C2CF974-656C-40C7-B8BA-AD2A9B62662C}" name="Score" dataDxfId="256">
      <calculatedColumnFormula>IF(AE30&gt;301,5,IF(AE30&gt;176,4,IF(AE30&gt;101,3,IF(AE30&gt;51,2,1))))</calculatedColumnFormula>
    </tableColumn>
  </tableColumns>
  <tableStyleInfo name="Aloha-style 5" showFirstColumn="1" showLastColumn="1" showRowStripes="1" showColumnStripes="0"/>
</table>
</file>

<file path=xl/tables/table1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1" xr:uid="{92D0F1F6-0C73-5744-B936-4B491682EC88}" name="Table_2166282" displayName="Table_2166282" ref="A37:G46" tableBorderDxfId="252">
  <tableColumns count="7">
    <tableColumn id="1" xr3:uid="{0793C53D-F4CF-374E-8F1F-4145568A5104}" name="Group"/>
    <tableColumn id="2" xr3:uid="{B7056F76-9CD6-044C-8B6C-40C29BDE1AB5}" name="Group size" dataDxfId="251"/>
    <tableColumn id="3" xr3:uid="{09346F9F-7AF3-994B-8924-CFFC4CF3CC52}" name="Trainings per week"/>
    <tableColumn id="4" xr3:uid="{7374E920-EE04-5A41-A377-6A43D44640BC}" name="Weeks per year" dataDxfId="250"/>
    <tableColumn id="5" xr3:uid="{A11862BD-2F58-304E-9FDB-02F977F8D08C}" name="Type of trainer"/>
    <tableColumn id="6" xr3:uid="{4195CE86-17FF-3741-9447-5718D1E1EF2A}" name="(Expected) Level"/>
    <tableColumn id="7" xr3:uid="{59E6898C-BC9A-2642-B5AB-F0F83E9BBD4E}" name="Remarks/clarification"/>
  </tableColumns>
  <tableStyleInfo name="Aloha-style" showFirstColumn="1" showLastColumn="1" showRowStripes="1" showColumnStripes="0"/>
</table>
</file>

<file path=xl/tables/table1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2" xr:uid="{9A40FF8A-26CA-D246-88CE-466EFF5B7722}" name="Table_3167283" displayName="Table_3167283" ref="A49:H54" tableBorderDxfId="249">
  <tableColumns count="8">
    <tableColumn id="1" xr3:uid="{C6545429-0AE5-5746-9149-FB3833F4605A}" name="Group"/>
    <tableColumn id="2" xr3:uid="{10A81F0C-F864-E641-8C37-9D81D4633C5A}" name="Group size"/>
    <tableColumn id="3" xr3:uid="{F1A56658-1BF2-AD4E-A211-60CEE0C273D8}" name="Who"/>
    <tableColumn id="4" xr3:uid="{29AEED86-6E4A-F442-9855-39E7D89D522C}" name="Type of Trainer"/>
    <tableColumn id="5" xr3:uid="{616EC29C-10E2-D543-B6F4-0DF21FD40A73}" name="Training per week"/>
    <tableColumn id="6" xr3:uid="{88187F04-51A7-8842-8433-14F39F93110E}" name="Hours per week"/>
    <tableColumn id="7" xr3:uid="{4D183795-AE7E-6C40-B7C0-9C16AAACAE42}" name="Coaching?"/>
    <tableColumn id="8" xr3:uid="{16BD153C-4DF5-DB40-9713-DCD7B5ED61DF}" name="Remarks/clarification"/>
  </tableColumns>
  <tableStyleInfo name="Aloha-style 2" showFirstColumn="1" showLastColumn="1" showRowStripes="1" showColumnStripes="0"/>
</table>
</file>

<file path=xl/tables/table1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3" xr:uid="{097266FF-3BA3-E149-9D33-CF8F432D0CD2}" name="Table_4168284" displayName="Table_4168284" ref="A58:J76" tableBorderDxfId="248">
  <tableColumns count="10">
    <tableColumn id="1" xr3:uid="{3721C4AE-A3AB-B042-913B-9C42C714E007}" name="Training group"/>
    <tableColumn id="2" xr3:uid="{929DA6E8-5E77-6A46-8747-BCCF60D783DE}" name="Type of training"/>
    <tableColumn id="3" xr3:uid="{84BD0E3A-C2DE-E546-82F1-11846BBFE166}" name="# Weeks"/>
    <tableColumn id="4" xr3:uid="{A3037D1A-40E8-9041-B2E4-8B9B21BAD247}" name="# Times/week"/>
    <tableColumn id="5" xr3:uid="{CDF32546-9750-A74D-8E6C-26107452DC6D}" name="Total hours/week"/>
    <tableColumn id="6" xr3:uid="{BF4022A4-A465-4E45-A06F-2B92B4F472D6}" name="Total hours" dataDxfId="247">
      <calculatedColumnFormula>Table_4168284[[#This Row],['# Weeks]]*Table_4168284[[#This Row],[Total hours/week]]</calculatedColumnFormula>
    </tableColumn>
    <tableColumn id="7" xr3:uid="{2E851523-FCAA-2842-B003-9A729820BA18}" name="Name of trainer"/>
    <tableColumn id="8" xr3:uid="{AE7BC5CF-1F2E-4E4D-BF5D-87FEAA1F85AA}" name="Type of trainer"/>
    <tableColumn id="9" xr3:uid="{7E304AEA-535E-AF4A-A7AF-478AE694243A}" name="Hourly rate"/>
    <tableColumn id="10" xr3:uid="{66DCFBCA-2EC6-B349-BCC4-61926A116102}" name="Remarks/Clarification"/>
  </tableColumns>
  <tableStyleInfo name="Aloha-style 3" showFirstColumn="1" showLastColumn="1" showRowStripes="1" showColumnStripes="0"/>
</table>
</file>

<file path=xl/tables/table1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4" xr:uid="{6716D8B2-18ED-2147-93B2-96EAC571296D}" name="Table_5169285" displayName="Table_5169285" ref="A79:J96" tableBorderDxfId="246">
  <tableColumns count="10">
    <tableColumn id="1" xr3:uid="{F8CF5770-548D-BC43-A221-4BB492A80591}" name="Training group"/>
    <tableColumn id="2" xr3:uid="{ED2BC74E-80FC-2445-B547-A32EA71762A1}" name="Location"/>
    <tableColumn id="3" xr3:uid="{5342DFDB-1A1B-F44C-9C92-7E37DA10A3B1}" name="Day"/>
    <tableColumn id="4" xr3:uid="{F8030586-B7C4-A64B-ADBB-84C9D0A32AC4}" name="Duration [hours]"/>
    <tableColumn id="5" xr3:uid="{4D681FF4-31B2-3448-8962-9CEB0DACDB9B}" name="Weeks"/>
    <tableColumn id="6" xr3:uid="{FCADDEC7-4962-F24F-915B-EB17DEFCFF75}" name="Hours total">
      <calculatedColumnFormula>Skeuvel!$D80*Skeuvel!$E80</calculatedColumnFormula>
    </tableColumn>
    <tableColumn id="7" xr3:uid="{EEAC7AB7-938B-8042-8F38-DBBC78D266E2}" name="Priority"/>
    <tableColumn id="8" xr3:uid="{BE868689-4165-4849-9C3C-CED7FDEA3FFC}" name="Hourly rate - unscaled">
      <calculatedColumnFormula>IF($B80= "","-",IF($B80= "External","Specify location tariff", INDEX(Constants!$3:$3,MATCH($B80,Constants!$2:$2,0))))</calculatedColumnFormula>
    </tableColumn>
    <tableColumn id="9" xr3:uid="{D4301E22-4AC3-5341-8CD5-80B1A86BC706}" name="Total cost - unscaled" dataDxfId="245">
      <calculatedColumnFormula>IF($H80="-","-",IF($H80="Specify location tariff","-",$H80*$F80))</calculatedColumnFormula>
    </tableColumn>
    <tableColumn id="10" xr3:uid="{898B4DF9-FB56-F04C-912B-8F1D694C395A}" name="Remarks / Clarification" dataDxfId="244"/>
  </tableColumns>
  <tableStyleInfo name="Aloha-style 4" showFirstColumn="1" showLastColumn="1" showRowStripes="1" showColumnStripes="0"/>
</table>
</file>

<file path=xl/tables/table1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5" xr:uid="{9D92A33B-4A1F-5448-8DDE-396A9BED8AFA}" name="Table_6170286" displayName="Table_6170286" ref="A100:G114" tableBorderDxfId="243">
  <tableColumns count="7">
    <tableColumn id="1" xr3:uid="{59610987-1168-E545-A04F-2F3F4AE99518}" name="Item"/>
    <tableColumn id="2" xr3:uid="{6DCE0AA4-5BD6-624D-860B-FAC1A7B746F4}" name="Type (depreciation/maintenance)"/>
    <tableColumn id="3" xr3:uid="{B2D22C31-E1F5-A845-9BED-5EB2C36D43DD}" name="Purchase / Running costs"/>
    <tableColumn id="4" xr3:uid="{79DE7A5A-8652-3B43-94CA-E989D67E9269}" name="Depreciation period"/>
    <tableColumn id="5" xr3:uid="{0496C6BC-6821-BD4E-BF5A-6F9FCD272538}" name="Amount"/>
    <tableColumn id="6" xr3:uid="{8734C21E-CC0A-2345-AFFC-A2B3B4AD8F6C}" name="Costs per year">
      <calculatedColumnFormula>Table_6170286[[#This Row],[Amount]]*Table_6170286[[#This Row],[Purchase / Running costs]]/Table_6170286[[#This Row],[Depreciation period]]</calculatedColumnFormula>
    </tableColumn>
    <tableColumn id="7" xr3:uid="{2C464FEC-7B8F-2F4A-91B8-0271EA9F8D8B}" name="Remarks / Clarification"/>
  </tableColumns>
  <tableStyleInfo name="Aloha-style 5" showFirstColumn="1" showLastColumn="1" showRowStripes="1" showColumnStripes="0"/>
</table>
</file>

<file path=xl/tables/table1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6" xr:uid="{6A5A7611-66F6-E047-BBC5-491C30860983}" name="Table_6170171287" displayName="Table_6170171287" ref="AD29:AF40" headerRowDxfId="242" dataDxfId="241" tableBorderDxfId="240">
  <tableColumns count="3">
    <tableColumn id="1" xr3:uid="{F71171ED-5B00-7B46-B805-E37186EB1CF4}" name="Item" dataDxfId="239">
      <calculatedColumnFormula>IF($B$12="individual",Constants!F55,Constants!L55)</calculatedColumnFormula>
    </tableColumn>
    <tableColumn id="2" xr3:uid="{6828B1C0-3B80-584F-BC64-D3BF6D5C74AB}" name="Type (depreciation/maintenance)" dataDxfId="238">
      <calculatedColumnFormula>B7</calculatedColumnFormula>
    </tableColumn>
    <tableColumn id="3" xr3:uid="{9714B6BE-93BA-E342-9859-6FF81E3708F0}" name="Score" dataDxfId="237">
      <calculatedColumnFormula>IF(AE30&gt;301,5,IF(AE30&gt;176,4,IF(AE30&gt;101,3,IF(AE30&gt;51,2,1))))</calculatedColumnFormula>
    </tableColumn>
  </tableColumns>
  <tableStyleInfo name="Aloha-style 5" showFirstColumn="1" showLastColumn="1" showRowStripes="1" showColumnStripes="0"/>
</table>
</file>

<file path=xl/tables/table1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5" xr:uid="{6038EBDE-FDD8-A54C-ADA3-11973BBC38D4}" name="Table_2166306" displayName="Table_2166306" ref="A38:G43" tableBorderDxfId="233">
  <tableColumns count="7">
    <tableColumn id="1" xr3:uid="{B18410F8-08D8-C745-B0CD-DF73554B9F04}" name="Group"/>
    <tableColumn id="2" xr3:uid="{ACAD765F-A42F-7146-AC63-D9CCB85AB5DB}" name="Group size" dataDxfId="232"/>
    <tableColumn id="3" xr3:uid="{47011EB7-9201-0542-A4A3-47B81419C92E}" name="Trainings per week"/>
    <tableColumn id="4" xr3:uid="{1A3DC6E8-9663-4E4D-BFFF-0604E9523962}" name="Weeks per year" dataDxfId="231"/>
    <tableColumn id="5" xr3:uid="{363CA920-621A-E841-BF03-C2771E24188C}" name="Type of trainer"/>
    <tableColumn id="6" xr3:uid="{D27947C1-6629-F148-B968-C7C94F5D5CBC}" name="(Expected) Level"/>
    <tableColumn id="7" xr3:uid="{9DA1D7AF-8D3E-614F-86AD-F836C3C6A272}" name="Remarks/clarification"/>
  </tableColumns>
  <tableStyleInfo name="Aloha-style" showFirstColumn="1" showLastColumn="1" showRowStripes="1" showColumnStripes="0"/>
</table>
</file>

<file path=xl/tables/table1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6" xr:uid="{2493CD08-811C-C840-9E74-71DFC265949F}" name="Table_3167307" displayName="Table_3167307" ref="A46:H51" tableBorderDxfId="230">
  <tableColumns count="8">
    <tableColumn id="1" xr3:uid="{2E04ACD9-C5EA-A348-8942-FD9FCCB321FF}" name="Group"/>
    <tableColumn id="2" xr3:uid="{FD548D8C-CE20-6F46-8893-8BBAAFED55AD}" name="Group size"/>
    <tableColumn id="3" xr3:uid="{7236B85E-ACE6-8A4D-BEEE-06B9A71FA4D3}" name="Who"/>
    <tableColumn id="4" xr3:uid="{33D66C6B-1153-D243-AE93-29840569D1CF}" name="Type of Trainer"/>
    <tableColumn id="5" xr3:uid="{C23BCA51-D32F-7E45-9BC2-A0A4D42C5CDD}" name="Training per week"/>
    <tableColumn id="6" xr3:uid="{63B6EB0B-CCB8-2F4A-AB1B-E14FD415D255}" name="Hours per week"/>
    <tableColumn id="7" xr3:uid="{4D1CF79F-6287-0A4C-BD1D-32D814547611}" name="Coaching?"/>
    <tableColumn id="8" xr3:uid="{8E60099D-5A1B-8941-B4B0-9B2C65C16A40}" name="Remarks/clarification"/>
  </tableColumns>
  <tableStyleInfo name="Aloha-style 2" showFirstColumn="1" showLastColumn="1"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260CB18B-4454-4419-95F9-7569D7AD1ECF}" name="Table_4168212" displayName="Table_4168212" ref="A57:J70">
  <tableColumns count="10">
    <tableColumn id="1" xr3:uid="{23043092-1DE9-42C9-B134-E7626FD85B25}" name="Training group"/>
    <tableColumn id="2" xr3:uid="{3B59A83C-7680-4FD8-AEEE-16EC32FFEB98}" name="Type of training"/>
    <tableColumn id="3" xr3:uid="{2714BF51-5B52-4455-B659-6C8FD664259D}" name="# Weeks"/>
    <tableColumn id="4" xr3:uid="{7E3DBDDA-3FEE-4915-92A0-8E7E0A6064F8}" name="# Times/week"/>
    <tableColumn id="5" xr3:uid="{6A30133B-16A2-4C0A-8F81-2532929EC7FE}" name="Total hours/week"/>
    <tableColumn id="6" xr3:uid="{2FE0B4AF-6C20-451A-9350-FAD5828FB95B}" name="Total hours"/>
    <tableColumn id="7" xr3:uid="{B4574221-1216-4ACF-9F46-7B5B90DFC3C9}" name="Name of trainer"/>
    <tableColumn id="8" xr3:uid="{8A28AEA4-D4A6-47DF-8EB6-85D9EE431A49}" name="Type of trainer"/>
    <tableColumn id="9" xr3:uid="{12598E1C-D314-463C-BA30-0F3ACC85A6EE}" name="Hourly rate"/>
    <tableColumn id="10" xr3:uid="{F91B0C4C-221E-43A4-921C-4D8ACD0C3F34}" name="Remarks/Clarification"/>
  </tableColumns>
  <tableStyleInfo name="Aloha-style 3" showFirstColumn="1" showLastColumn="1" showRowStripes="1" showColumnStripes="0"/>
</table>
</file>

<file path=xl/tables/table1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7" xr:uid="{06EA4A36-0AAF-B44C-A24C-3BA8E2FB11C8}" name="Table_4168308" displayName="Table_4168308" ref="A55:J68">
  <tableColumns count="10">
    <tableColumn id="1" xr3:uid="{B8B33B44-A43C-1A40-9816-57C602CF4A2D}" name="Training group"/>
    <tableColumn id="2" xr3:uid="{44262822-2DA2-CE47-98BB-A05BCC3A7301}" name="Type of training"/>
    <tableColumn id="3" xr3:uid="{7BA89693-676D-4547-A024-CDC013341DBE}" name="# Weeks"/>
    <tableColumn id="4" xr3:uid="{6850806C-7D68-1245-B22A-9491B1C3AC84}" name="# Times/week"/>
    <tableColumn id="5" xr3:uid="{3CAA6C02-318A-E347-826E-4F760733507C}" name="Total hours/week"/>
    <tableColumn id="6" xr3:uid="{E04DBEAE-8265-A041-B5C1-7FDF04F4B7D9}" name="Total hours" dataDxfId="229">
      <calculatedColumnFormula>Table_4168308[[#This Row],['# Weeks]]*Table_4168308[[#This Row],[Total hours/week]]</calculatedColumnFormula>
    </tableColumn>
    <tableColumn id="7" xr3:uid="{028D4999-A496-F344-9472-1A90999003A2}" name="Name of trainer"/>
    <tableColumn id="8" xr3:uid="{DBD602DC-A3F0-1849-AD47-91F471447615}" name="Type of trainer"/>
    <tableColumn id="9" xr3:uid="{6E2DC0D8-521B-6D40-905F-2B923F0B594B}" name="Hourly rate" dataDxfId="228">
      <calculatedColumnFormula>IF(H56 = "PT-V","n/a",IF(H56 = "PT","n/a",IF(H56 = "RT","n/a",IF(OR(H56 = "Extern",H56 = "PT-ZZP"), "Please fill in", 0))))</calculatedColumnFormula>
    </tableColumn>
    <tableColumn id="10" xr3:uid="{1D6CCB77-D399-5B4A-A7B9-976416B92391}" name="Remarks/Clarification"/>
  </tableColumns>
  <tableStyleInfo name="Aloha-style 3" showFirstColumn="1" showLastColumn="1" showRowStripes="1" showColumnStripes="0"/>
</table>
</file>

<file path=xl/tables/table1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8" xr:uid="{D1266515-CC10-9B4D-9EBC-0D4CE200B035}" name="Table_5169309" displayName="Table_5169309" ref="A71:J88" tableBorderDxfId="227">
  <tableColumns count="10">
    <tableColumn id="1" xr3:uid="{4932A13E-7769-A344-A91A-1DEE4A0C2B18}" name="Training group"/>
    <tableColumn id="2" xr3:uid="{0167BAD9-FF9B-8446-872C-BE9DC5497D51}" name="Location"/>
    <tableColumn id="3" xr3:uid="{D34F4EE4-2DF5-F541-AC78-55F95DA867CF}" name="Day"/>
    <tableColumn id="4" xr3:uid="{A611E3C8-A395-6D42-93FD-C47D8B4EB4A1}" name="Duration [hours]"/>
    <tableColumn id="5" xr3:uid="{6D5284BB-86FC-8D41-B7CC-C17B0A8F332C}" name="Weeks"/>
    <tableColumn id="6" xr3:uid="{45A611E9-BC51-9B43-BB24-81E8479623F1}" name="Hours total">
      <calculatedColumnFormula>'Slapping Studs'!$D72*'Slapping Studs'!$E72</calculatedColumnFormula>
    </tableColumn>
    <tableColumn id="7" xr3:uid="{2858B5AD-4F14-0A41-838F-4D0D9ADC60A6}" name="Priority"/>
    <tableColumn id="8" xr3:uid="{F49289C2-F2E9-2E44-A041-1B4E5B1C9C86}" name="Hourly rate - unscaled">
      <calculatedColumnFormula>IF($B72= "","-",IF($B72= "External","Specify location tariff", INDEX(Constants!$3:$3,MATCH($B72,Constants!$2:$2,0))))</calculatedColumnFormula>
    </tableColumn>
    <tableColumn id="9" xr3:uid="{5FFE6BA3-1C38-9547-9BF0-CE8B4ACC5D15}" name="Total cost - unscaled" dataDxfId="226">
      <calculatedColumnFormula>IF($H72="-","-",IF($H72="Specify location tariff","-",$H72*$F72))</calculatedColumnFormula>
    </tableColumn>
    <tableColumn id="10" xr3:uid="{B910F356-02AB-AD44-AF92-23A8B46DDF90}" name="Remarks / Clarification" dataDxfId="225"/>
  </tableColumns>
  <tableStyleInfo name="Aloha-style 4" showFirstColumn="1" showLastColumn="1" showRowStripes="1" showColumnStripes="0"/>
</table>
</file>

<file path=xl/tables/table1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9" xr:uid="{54FA0752-C041-9F4A-9696-3A7607CDE4A2}" name="Table_6170310" displayName="Table_6170310" ref="A92:G106" tableBorderDxfId="224">
  <tableColumns count="7">
    <tableColumn id="1" xr3:uid="{5CFE113F-936E-AF40-965F-EFC58C97B8C5}" name="Item"/>
    <tableColumn id="2" xr3:uid="{4A435F7E-C87C-A247-8ABB-9CF3282EAD59}" name="Type (depreciation/maintenance)"/>
    <tableColumn id="3" xr3:uid="{125EDFA5-C6DB-B646-A162-ABEFDAE2D80E}" name="Purchase / Running costs"/>
    <tableColumn id="4" xr3:uid="{82B4D570-4C82-AB45-BAE6-54FA9D9C2818}" name="Depreciation period"/>
    <tableColumn id="5" xr3:uid="{1EF6A96B-6B19-2144-9DB7-397510E4078E}" name="Amount"/>
    <tableColumn id="6" xr3:uid="{B2456E32-E2BC-684D-AD64-AC000905492B}" name="Costs per year" dataDxfId="223">
      <calculatedColumnFormula>IF(Table_6170310[[#This Row],[Item]]="",0,Table_6170310[[#This Row],[Amount]]*Table_6170310[[#This Row],[Purchase / Running costs]]/Table_6170310[[#This Row],[Depreciation period]])</calculatedColumnFormula>
    </tableColumn>
    <tableColumn id="7" xr3:uid="{790767CF-D80F-874B-8220-A376C5041121}" name="Remarks / Clarification"/>
  </tableColumns>
  <tableStyleInfo name="Aloha-style 5" showFirstColumn="1" showLastColumn="1" showRowStripes="1" showColumnStripes="0"/>
</table>
</file>

<file path=xl/tables/table1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0" xr:uid="{44617997-3C01-4944-9A9B-0B0ED5957049}" name="Table_6170171311" displayName="Table_6170171311" ref="AD29:AF40" headerRowDxfId="222" dataDxfId="221" tableBorderDxfId="220">
  <tableColumns count="3">
    <tableColumn id="1" xr3:uid="{74D28CCE-00BB-E040-A83F-24684BB88E21}" name="Item" dataDxfId="219">
      <calculatedColumnFormula>IF($B$12="individual",Constants!F55,Constants!L55)</calculatedColumnFormula>
    </tableColumn>
    <tableColumn id="2" xr3:uid="{1C120675-D602-7F4E-BAD5-F38C638978DD}" name="Type (depreciation/maintenance)" dataDxfId="218">
      <calculatedColumnFormula>B7</calculatedColumnFormula>
    </tableColumn>
    <tableColumn id="3" xr3:uid="{DE61586B-74CD-2041-BE4B-1DFD6188A5B3}" name="Score" dataDxfId="217">
      <calculatedColumnFormula>IF(AE30&gt;301,5,IF(AE30&gt;176,4,IF(AE30&gt;101,3,IF(AE30&gt;51,2,1))))</calculatedColumnFormula>
    </tableColumn>
  </tableColumns>
  <tableStyleInfo name="Aloha-style 5" showFirstColumn="1" showLastColumn="1" showRowStripes="1" showColumnStripes="0"/>
</table>
</file>

<file path=xl/tables/table1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7" xr:uid="{29C71393-6EB0-4CC5-8440-6A15C40A18F4}" name="Table_2166318" displayName="Table_2166318" ref="A37:G42" tableBorderDxfId="213">
  <tableColumns count="7">
    <tableColumn id="1" xr3:uid="{9CCE2A0E-25C0-4125-B47D-53312C06C2C5}" name="Group"/>
    <tableColumn id="2" xr3:uid="{C304EF34-8EE3-41A9-8577-300E9B23B958}" name="Group size" dataDxfId="212"/>
    <tableColumn id="3" xr3:uid="{52E312F6-906D-4821-94F9-CD6C9853D187}" name="Trainings per week"/>
    <tableColumn id="4" xr3:uid="{8A43EA73-3C47-4418-BBCD-2F439A4783A1}" name="Weeks per year" dataDxfId="211"/>
    <tableColumn id="5" xr3:uid="{1C159EC5-ACC5-4449-92D7-8CA67F11FC44}" name="Type of trainer"/>
    <tableColumn id="6" xr3:uid="{9C091BF3-DE04-4F03-8C29-A237FA5877E3}" name="(Expected) Level"/>
    <tableColumn id="7" xr3:uid="{A6FC3207-5571-446D-89E2-25451DB1DF44}" name="Remarks/clarification"/>
  </tableColumns>
  <tableStyleInfo name="Aloha-style" showFirstColumn="1" showLastColumn="1" showRowStripes="1" showColumnStripes="0"/>
</table>
</file>

<file path=xl/tables/table1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8" xr:uid="{AE2F00BB-D7E4-4551-A681-460EFF107388}" name="Table_3167319" displayName="Table_3167319" ref="A45:H50" tableBorderDxfId="210">
  <tableColumns count="8">
    <tableColumn id="1" xr3:uid="{C7886823-EAE0-4B6F-BB5E-0CC0AE3BAA02}" name="Group"/>
    <tableColumn id="2" xr3:uid="{9E194253-B4C9-46B8-8464-7437A638F987}" name="Group size"/>
    <tableColumn id="3" xr3:uid="{E828B9CB-D0E6-40F7-B2AB-C59E7727CF3C}" name="Who"/>
    <tableColumn id="4" xr3:uid="{7A0BF6EC-4198-485A-BA40-00F3257B462D}" name="Type of Trainer"/>
    <tableColumn id="5" xr3:uid="{337B8472-FE06-480D-81B2-CCF60447259D}" name="Training per week"/>
    <tableColumn id="6" xr3:uid="{FF02B83F-C07B-4DB4-87CD-94A64AF57C23}" name="Hours per week"/>
    <tableColumn id="7" xr3:uid="{B4374DE1-9B55-4E50-B4A8-2031B58C21C1}" name="Coaching?"/>
    <tableColumn id="8" xr3:uid="{0CFE9AF5-9957-4823-848A-3CA37B0E695F}" name="Remarks/clarification"/>
  </tableColumns>
  <tableStyleInfo name="Aloha-style 2" showFirstColumn="1" showLastColumn="1" showRowStripes="1" showColumnStripes="0"/>
</table>
</file>

<file path=xl/tables/table1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9" xr:uid="{756E4234-D12B-4CBF-B27C-439D599CF284}" name="Table_4168320" displayName="Table_4168320" ref="A54:J67" tableBorderDxfId="209">
  <tableColumns count="10">
    <tableColumn id="1" xr3:uid="{57AF52A5-ED69-4270-9594-42DC4951A3A5}" name="Training group"/>
    <tableColumn id="2" xr3:uid="{617E9232-3C1B-4003-AFAB-D58EFF973DD4}" name="Type of training"/>
    <tableColumn id="3" xr3:uid="{1FD4B685-89C7-452B-9D90-101A2463C00D}" name="# Weeks"/>
    <tableColumn id="4" xr3:uid="{AB32DF33-7A0F-41B8-A2D5-093E82D8AB36}" name="# Times/week"/>
    <tableColumn id="5" xr3:uid="{ACE92897-C25D-48EE-861F-0760AC498D72}" name="Total hours/week"/>
    <tableColumn id="6" xr3:uid="{B87F1BF1-CC56-46C3-B2A0-940A5AE6EA7A}" name="Total hours" dataDxfId="208">
      <calculatedColumnFormula>Table_4168320[[#This Row],[Total hours/week]]*Table_4168320[[#This Row],['# Weeks]]</calculatedColumnFormula>
    </tableColumn>
    <tableColumn id="7" xr3:uid="{E4A16545-2F8E-43AD-8908-553ABE91F643}" name="Name of trainer"/>
    <tableColumn id="8" xr3:uid="{7938E28F-F1ED-4C8A-93F9-E48B42BC9937}" name="Type of trainer"/>
    <tableColumn id="9" xr3:uid="{0E472810-4968-4BDD-A2CC-32D5BA567FA7}" name="Hourly rate"/>
    <tableColumn id="10" xr3:uid="{27588F20-A955-4820-B424-50AFB293DED9}" name="Remarks/Clarification"/>
  </tableColumns>
  <tableStyleInfo name="Aloha-style 3" showFirstColumn="1" showLastColumn="1" showRowStripes="1" showColumnStripes="0"/>
</table>
</file>

<file path=xl/tables/table1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0" xr:uid="{86778624-5953-4A11-A747-D4D25F62DF05}" name="Table_5169321" displayName="Table_5169321" ref="A70:J87" tableBorderDxfId="207">
  <tableColumns count="10">
    <tableColumn id="1" xr3:uid="{7BA41EEB-BD18-477D-B2CE-B4D4AD92EC06}" name="Training group"/>
    <tableColumn id="2" xr3:uid="{6B3D21B9-589E-4539-B163-0A1E330A3CAE}" name="Location"/>
    <tableColumn id="3" xr3:uid="{5CC3D9A1-7DB2-44FC-8BD8-572540B56F6B}" name="Day"/>
    <tableColumn id="4" xr3:uid="{25ED0992-B9D2-49F1-B751-460A16BD7CFB}" name="Duration [hours]"/>
    <tableColumn id="5" xr3:uid="{898FFE5D-FD9C-48AA-8CB9-85AE7C7A6677}" name="Weeks"/>
    <tableColumn id="6" xr3:uid="{040B5450-3BE6-4336-93B3-EC6D29A0D81C}" name="Hours total">
      <calculatedColumnFormula>Stretchers!$D71*Stretchers!$E71</calculatedColumnFormula>
    </tableColumn>
    <tableColumn id="7" xr3:uid="{77204447-5E16-49B9-87F3-2B97356C3161}" name="Priority"/>
    <tableColumn id="8" xr3:uid="{637445F5-A0A6-49B2-9C02-4726D36F22BF}" name="Hourly rate - unscaled">
      <calculatedColumnFormula>IF($B71= "","-",IF($B71= "External","Specify location tariff", INDEX(Constants!$3:$3,MATCH($B71,Constants!$2:$2,0))))</calculatedColumnFormula>
    </tableColumn>
    <tableColumn id="9" xr3:uid="{00F060E5-8F0E-40D3-BC8F-AB0312C5C7BC}" name="Total cost - unscaled" dataDxfId="206">
      <calculatedColumnFormula>IF($H71="-","-",IF($H71="Specify location tariff","-",$H71*$F71))</calculatedColumnFormula>
    </tableColumn>
    <tableColumn id="10" xr3:uid="{7D4BCDE5-C04B-4CAD-90EA-3D0C95342695}" name="Remarks / Clarification" dataDxfId="205"/>
  </tableColumns>
  <tableStyleInfo name="Aloha-style 4" showFirstColumn="1" showLastColumn="1" showRowStripes="1" showColumnStripes="0"/>
</table>
</file>

<file path=xl/tables/table1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1" xr:uid="{662E718D-610E-4B20-BE51-4A5D71A08AC1}" name="Table_6170322" displayName="Table_6170322" ref="A91:G105" tableBorderDxfId="204">
  <tableColumns count="7">
    <tableColumn id="1" xr3:uid="{5FF5D154-6612-42FF-8726-943DD5B5BF55}" name="Item"/>
    <tableColumn id="2" xr3:uid="{54405CA1-165D-42B5-A747-99369645862C}" name="Type (depreciation/maintenance)"/>
    <tableColumn id="3" xr3:uid="{80D890CA-F7D7-45FE-9328-81EDBCBF5EAF}" name="Purchase / Running costs"/>
    <tableColumn id="4" xr3:uid="{E1F81462-363B-4E8C-9BC7-F5F1265365CF}" name="Depreciation period"/>
    <tableColumn id="5" xr3:uid="{665F8394-EDA2-4D42-BA53-425165AA0C11}" name="Amount"/>
    <tableColumn id="6" xr3:uid="{23084D19-58DC-486B-A1B7-773C2A64E2F0}" name="Costs per year" dataDxfId="203">
      <calculatedColumnFormula>IF(Table_6170322[[#This Row],[Item]]="",0,Table_6170322[[#This Row],[Amount]]*Table_6170322[[#This Row],[Purchase / Running costs]]/Table_6170322[[#This Row],[Depreciation period]])</calculatedColumnFormula>
    </tableColumn>
    <tableColumn id="7" xr3:uid="{A5447973-7851-441F-9A66-727FDFCA915D}" name="Remarks / Clarification"/>
  </tableColumns>
  <tableStyleInfo name="Aloha-style 5" showFirstColumn="1" showLastColumn="1" showRowStripes="1" showColumnStripes="0"/>
</table>
</file>

<file path=xl/tables/table1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2" xr:uid="{FB112EC2-C3C7-41E6-AF9D-3257A4050858}" name="Table_6170171323" displayName="Table_6170171323" ref="AD29:AF40" headerRowDxfId="202" dataDxfId="201" tableBorderDxfId="200">
  <tableColumns count="3">
    <tableColumn id="1" xr3:uid="{F3A5FD35-3999-4CAC-8FDA-13681CA4927A}" name="Item" dataDxfId="199">
      <calculatedColumnFormula>IF($B$12="individual",Constants!F55,Constants!L55)</calculatedColumnFormula>
    </tableColumn>
    <tableColumn id="2" xr3:uid="{41CCA60E-BA91-4526-A336-7A154DE690CC}" name="Type (depreciation/maintenance)" dataDxfId="198">
      <calculatedColumnFormula>B7</calculatedColumnFormula>
    </tableColumn>
    <tableColumn id="3" xr3:uid="{BE4721A8-F820-4D88-9EB9-FB325DDDD754}" name="Score" dataDxfId="197">
      <calculatedColumnFormula>IF(AE30&gt;301,5,IF(AE30&gt;176,4,IF(AE30&gt;101,3,IF(AE30&gt;51,2,1))))</calculatedColumnFormula>
    </tableColumn>
  </tableColumns>
  <tableStyleInfo name="Aloha-style 5" showFirstColumn="1" showLastColumn="1"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13C183D6-04D7-4F67-B70B-F2D1B1333153}" name="Table_5169213" displayName="Table_5169213" ref="A73:J91" tableBorderDxfId="791">
  <tableColumns count="10">
    <tableColumn id="1" xr3:uid="{5416FD87-F441-4729-9538-E0320D9E7816}" name="Training group" dataDxfId="790"/>
    <tableColumn id="2" xr3:uid="{15DBBA40-E75B-4D3E-80E7-27B2E9326C4C}" name="Location" dataDxfId="789"/>
    <tableColumn id="3" xr3:uid="{6F9F3CFF-37D4-4572-BB33-FA8AD71101A7}" name="Day" dataDxfId="788"/>
    <tableColumn id="4" xr3:uid="{A22F7256-A396-4B6D-82F7-05EFF24B3FCE}" name="Duration [hours]" dataDxfId="787"/>
    <tableColumn id="5" xr3:uid="{5A79F095-BC10-4D01-AB92-0EF7FEDE07F7}" name="Weeks" dataDxfId="786"/>
    <tableColumn id="6" xr3:uid="{F4523258-15E5-4C63-8074-8B76BB2BDC1D}" name="Hours total" dataDxfId="785">
      <calculatedColumnFormula>Arriba!$D74*Arriba!$E74</calculatedColumnFormula>
    </tableColumn>
    <tableColumn id="7" xr3:uid="{6A4A0C67-2C7C-4C29-8DD2-A426351AC271}" name="Priority" dataDxfId="784"/>
    <tableColumn id="8" xr3:uid="{A374ABB2-0580-4901-A654-13A0D0EBF438}" name="Hourly rate - unscaled" dataDxfId="783"/>
    <tableColumn id="9" xr3:uid="{CC703834-FEDC-4FF9-94E9-02DC1EF75C9F}" name="Total cost - unscaled" dataDxfId="782"/>
    <tableColumn id="10" xr3:uid="{A0159142-D994-455C-B029-76F11C035602}" name="Remarks / Clarification" dataDxfId="781"/>
  </tableColumns>
  <tableStyleInfo name="Aloha-style 4" showFirstColumn="1" showLastColumn="1" showRowStripes="1" showColumnStripes="0"/>
</table>
</file>

<file path=xl/tables/table1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EB8FE472-9337-4AEF-8CF4-BAC74D4F82E2}" name="Table_2166186" displayName="Table_2166186" ref="A37:G54" tableBorderDxfId="193">
  <tableColumns count="7">
    <tableColumn id="1" xr3:uid="{8FB1F028-561F-4E5C-B729-21D316B85E34}" name="Group"/>
    <tableColumn id="2" xr3:uid="{C03247F8-C479-4EAC-BED9-080D803B3E6B}" name="Group size" dataDxfId="192"/>
    <tableColumn id="3" xr3:uid="{957A7668-9067-4283-A361-6626AD604576}" name="Trainings per week"/>
    <tableColumn id="4" xr3:uid="{D5E31971-1AF1-4C54-84D4-2B16452B491F}" name="Weeks per year" dataDxfId="191"/>
    <tableColumn id="5" xr3:uid="{86A41752-E6E7-4898-A9E7-0C02C1AFB349}" name="Type of trainer"/>
    <tableColumn id="6" xr3:uid="{3B2453F6-8C8F-4647-8E65-8C5DEB5A779A}" name="(Expected) Level"/>
    <tableColumn id="7" xr3:uid="{A642FB57-9158-4797-B773-12746E99610D}" name="Remarks/clarification"/>
  </tableColumns>
  <tableStyleInfo name="Aloha-style" showFirstColumn="1" showLastColumn="1" showRowStripes="1" showColumnStripes="0"/>
</table>
</file>

<file path=xl/tables/table1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3CC2AF3F-91F7-4DAA-802B-CFF0E5199E1B}" name="Table_3167187" displayName="Table_3167187" ref="A57:H62" tableBorderDxfId="190">
  <tableColumns count="8">
    <tableColumn id="1" xr3:uid="{F8309626-2616-47A8-AE62-BC14F65F7C18}" name="Group"/>
    <tableColumn id="2" xr3:uid="{98E9C4AF-E5B6-439F-8653-290805A0F164}" name="Group size"/>
    <tableColumn id="3" xr3:uid="{D5826262-4294-44CE-A781-8D2B6543BD1B}" name="Who"/>
    <tableColumn id="4" xr3:uid="{FE7F5A2F-C61E-48B1-812F-971087541790}" name="Type of Trainer"/>
    <tableColumn id="5" xr3:uid="{209F5676-6106-429E-B3C2-FD722CFC3CA7}" name="Training per week"/>
    <tableColumn id="6" xr3:uid="{3588329B-77E5-4D7C-A99E-D38E4CD25F05}" name="Hours per week"/>
    <tableColumn id="7" xr3:uid="{5930E4CD-1A78-41AC-8188-88589205DE44}" name="Coaching?"/>
    <tableColumn id="8" xr3:uid="{0C85B0D2-DCF9-4641-B665-2D51116B077B}" name="Remarks/clarification"/>
  </tableColumns>
  <tableStyleInfo name="Aloha-style 2" showFirstColumn="1" showLastColumn="1" showRowStripes="1" showColumnStripes="0"/>
</table>
</file>

<file path=xl/tables/table1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C49F5E4D-BA03-4546-B78A-3E3DD371493E}" name="Table_4168188" displayName="Table_4168188" ref="A66:J79" tableBorderDxfId="189">
  <tableColumns count="10">
    <tableColumn id="1" xr3:uid="{ECF18BD7-F5C5-46BE-86AF-9A7E5DCD89DB}" name="Training group"/>
    <tableColumn id="2" xr3:uid="{00669700-95E3-44B7-9ECA-3B098649AE93}" name="Type of training"/>
    <tableColumn id="3" xr3:uid="{4C278DA5-31F6-4833-B23F-53B14F85FC36}" name="# Weeks"/>
    <tableColumn id="4" xr3:uid="{59E66083-6D05-43D4-9D64-74B7A6C60473}" name="# Times/week"/>
    <tableColumn id="5" xr3:uid="{53551629-E64F-4A9D-8D94-8D7269501AAB}" name="Total hours/week"/>
    <tableColumn id="6" xr3:uid="{57710D5F-1656-4077-9D07-DAA1B2C2EEF2}" name="Total hours"/>
    <tableColumn id="7" xr3:uid="{1B1B1F4E-6AAB-4EC7-A656-0B7D1F4EF60B}" name="Name of trainer"/>
    <tableColumn id="8" xr3:uid="{9A80BFB8-6C76-43D4-A491-F2BFDD9D641B}" name="Type of trainer"/>
    <tableColumn id="9" xr3:uid="{2A9C9469-ECF2-4181-842C-AB515186A766}" name="Hourly rate"/>
    <tableColumn id="10" xr3:uid="{AFE07600-A205-435F-93BA-BCAE168108FA}" name="Remarks/Clarification"/>
  </tableColumns>
  <tableStyleInfo name="Aloha-style 3" showFirstColumn="1" showLastColumn="1" showRowStripes="1" showColumnStripes="0"/>
</table>
</file>

<file path=xl/tables/table1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BAE508B3-9DBD-4CC5-BB53-3DB71BD0FAB8}" name="Table_5169189" displayName="Table_5169189" ref="A82:J99" tableBorderDxfId="188">
  <tableColumns count="10">
    <tableColumn id="1" xr3:uid="{1915AF7A-0AFE-4F5B-9FEC-AA26595C8B75}" name="Training group"/>
    <tableColumn id="2" xr3:uid="{BF79E8F1-5B4B-448D-AED3-4BAE926425C8}" name="Location"/>
    <tableColumn id="3" xr3:uid="{B241BFFA-7B81-49D0-925F-5244CFDABDEB}" name="Day"/>
    <tableColumn id="4" xr3:uid="{635F4234-D5C3-4760-938A-8359209EAE11}" name="Duration [hours]"/>
    <tableColumn id="5" xr3:uid="{882B3D72-04D7-4943-A519-D566C5A37DDD}" name="Weeks"/>
    <tableColumn id="6" xr3:uid="{76FF735C-550E-4FEF-BA13-6E7A82385F28}" name="Hours total">
      <calculatedColumnFormula>Tartaros!$D83*Tartaros!$E83</calculatedColumnFormula>
    </tableColumn>
    <tableColumn id="7" xr3:uid="{6F8F7063-1093-468C-AEE5-B9903CF883C9}" name="Priority"/>
    <tableColumn id="8" xr3:uid="{822580AF-F09E-4EDA-8339-75449D2471B3}" name="Hourly rate - unscaled">
      <calculatedColumnFormula>IF($B83= "","-",IF($B83= "External","Specify location tariff", INDEX(Constants!$3:$3,MATCH($B83,Constants!$2:$2,0))))</calculatedColumnFormula>
    </tableColumn>
    <tableColumn id="9" xr3:uid="{FAC3499E-B63B-493E-B3C0-3E9C48EB90C1}" name="Total cost - unscaled" dataDxfId="187">
      <calculatedColumnFormula>IF($H83="-","-",IF($H83="Specify location tariff","-",$H83*$F83))</calculatedColumnFormula>
    </tableColumn>
    <tableColumn id="10" xr3:uid="{0EC26EEC-1571-495C-9AA0-98E3DB88B3C6}" name="Remarks / Clarification" dataDxfId="186"/>
  </tableColumns>
  <tableStyleInfo name="Aloha-style 4" showFirstColumn="1" showLastColumn="1" showRowStripes="1" showColumnStripes="0"/>
</table>
</file>

<file path=xl/tables/table1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B189A524-16F4-477E-8EDE-28C6A1986E89}" name="Table_6170190" displayName="Table_6170190" ref="A103:G117" tableBorderDxfId="185">
  <tableColumns count="7">
    <tableColumn id="1" xr3:uid="{2B4A1918-38F1-495A-BAA1-B8EBF61A9DE6}" name="Item"/>
    <tableColumn id="2" xr3:uid="{33498D09-A374-47A7-9C3F-6B1F3DDDE836}" name="Type (depreciation/maintenance)"/>
    <tableColumn id="3" xr3:uid="{76948420-8203-4FBE-87D8-181A386866B0}" name="Purchase / Running costs"/>
    <tableColumn id="4" xr3:uid="{4A740E77-1423-40F8-98E0-DA4BA07E3A57}" name="Depreciation period"/>
    <tableColumn id="5" xr3:uid="{148A3604-5D69-4186-AF80-73328EA47D0E}" name="Amount"/>
    <tableColumn id="6" xr3:uid="{E9D4E4DC-995F-48D1-9890-7EC34F304DE3}" name="Costs per year"/>
    <tableColumn id="7" xr3:uid="{7F43AE92-CB1E-47D2-8D48-526A613DC3D1}" name="Remarks / Clarification"/>
  </tableColumns>
  <tableStyleInfo name="Aloha-style 5" showFirstColumn="1" showLastColumn="1" showRowStripes="1" showColumnStripes="0"/>
</table>
</file>

<file path=xl/tables/table1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9AEA3A2F-FEDF-42C0-A67E-0510F8E836FF}" name="Table_6170171191" displayName="Table_6170171191" ref="AD29:AF40" headerRowDxfId="184" dataDxfId="183" tableBorderDxfId="182">
  <tableColumns count="3">
    <tableColumn id="1" xr3:uid="{CBD2332C-0059-476A-905A-EF5769FA74B6}" name="Item" dataDxfId="181">
      <calculatedColumnFormula>IF($B$12="individual",Constants!F55,Constants!L55)</calculatedColumnFormula>
    </tableColumn>
    <tableColumn id="2" xr3:uid="{B16130EA-6DA9-4F10-A972-61DEB5D16566}" name="Type (depreciation/maintenance)" dataDxfId="180">
      <calculatedColumnFormula>B7</calculatedColumnFormula>
    </tableColumn>
    <tableColumn id="3" xr3:uid="{1DB1352C-5F39-4FDB-B8BA-E1AEB959F8DC}" name="Score" dataDxfId="179">
      <calculatedColumnFormula>IF(AE30&gt;301,5,IF(AE30&gt;176,4,IF(AE30&gt;101,3,IF(AE30&gt;51,2,1))))</calculatedColumnFormula>
    </tableColumn>
  </tableColumns>
  <tableStyleInfo name="Aloha-style 5" showFirstColumn="1" showLastColumn="1" showRowStripes="1" showColumnStripes="0"/>
</table>
</file>

<file path=xl/tables/table1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2CFEF4DB-0529-44C4-9D0F-0A40137C0605}" name="Table_216669" displayName="Table_216669" ref="A37:G42" tableBorderDxfId="175">
  <tableColumns count="7">
    <tableColumn id="1" xr3:uid="{5C7C7D7A-2AFB-4B6B-BE9C-68CF532C8ED8}" name="Group"/>
    <tableColumn id="2" xr3:uid="{E3ACA99F-92B6-4A09-A6EC-DD9985E2C082}" name="Group size" dataDxfId="174"/>
    <tableColumn id="3" xr3:uid="{AF90A147-0420-4BCA-A37D-6496F39DE023}" name="Trainings per week"/>
    <tableColumn id="4" xr3:uid="{E7741D99-0393-470B-B7D5-193CBA46FA85}" name="Weeks per year" dataDxfId="173"/>
    <tableColumn id="5" xr3:uid="{B68A76CE-C8C9-4704-B095-D38BF6BAD118}" name="Type of trainer"/>
    <tableColumn id="6" xr3:uid="{748F378B-39BE-4644-8D5B-C78510A06C9E}" name="(Expected) Level"/>
    <tableColumn id="7" xr3:uid="{8CF46DE3-874A-44B4-BC7F-AE69E8950DDF}" name="Remarks/clarification"/>
  </tableColumns>
  <tableStyleInfo name="Aloha-style" showFirstColumn="1" showLastColumn="1" showRowStripes="1" showColumnStripes="0"/>
</table>
</file>

<file path=xl/tables/table1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F069D4FD-A741-4393-ACD4-0616F0E46A73}" name="Table_316770" displayName="Table_316770" ref="A45:H50" tableBorderDxfId="172">
  <tableColumns count="8">
    <tableColumn id="1" xr3:uid="{47E0C713-8C87-4162-A0C0-95B1F5FEF1B4}" name="Group"/>
    <tableColumn id="2" xr3:uid="{1155E12E-52F8-4709-B141-E964508188B4}" name="Group size"/>
    <tableColumn id="3" xr3:uid="{C229A23E-A27F-473E-B3C9-087365BA50C1}" name="Who"/>
    <tableColumn id="4" xr3:uid="{5EC3F4F0-4C48-41D4-8437-8319F2E621D8}" name="Type of Trainer"/>
    <tableColumn id="5" xr3:uid="{A51F6283-1E2E-4910-B35F-A89121FDB9AA}" name="Training per week"/>
    <tableColumn id="6" xr3:uid="{5DF8B9CB-E15D-430B-BCFB-D3EE01F0BA82}" name="Hours per week"/>
    <tableColumn id="7" xr3:uid="{82F92CD3-E3AD-4598-B897-9497205D8247}" name="Coaching?"/>
    <tableColumn id="8" xr3:uid="{1C8870DE-FF6E-4146-8784-A790187C078D}" name="Remarks/clarification"/>
  </tableColumns>
  <tableStyleInfo name="Aloha-style 2" showFirstColumn="1" showLastColumn="1" showRowStripes="1" showColumnStripes="0"/>
</table>
</file>

<file path=xl/tables/table1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AE6BF4C2-9D4D-40C4-886B-FC7767C11D51}" name="Table_416871" displayName="Table_416871" ref="A54:J67" tableBorderDxfId="171">
  <tableColumns count="10">
    <tableColumn id="1" xr3:uid="{8C93AA3E-4167-4D2A-85F7-4A21850E919B}" name="Training group"/>
    <tableColumn id="2" xr3:uid="{E1A1F9CB-C8F6-4315-8AC6-240DA2AEF6EA}" name="Type of training"/>
    <tableColumn id="3" xr3:uid="{73EB6282-50ED-48DF-B537-7E4CF1C0401C}" name="# Weeks"/>
    <tableColumn id="4" xr3:uid="{B1E9B070-40D9-4C3A-BB3A-96C55659462F}" name="# Times/week"/>
    <tableColumn id="5" xr3:uid="{7B193601-E99A-4274-8826-3BC1DC827902}" name="Total hours/week"/>
    <tableColumn id="6" xr3:uid="{6A09898C-8E31-41AE-8C28-4DD0BCCA5512}" name="Total hours"/>
    <tableColumn id="7" xr3:uid="{672E1662-F4B9-4548-85F0-D642658645B2}" name="Name of trainer"/>
    <tableColumn id="8" xr3:uid="{36F4F2F1-DBEE-425B-84C4-A07C09ADED52}" name="Type of trainer"/>
    <tableColumn id="9" xr3:uid="{26134321-7F88-414F-93C4-08D78237A6BB}" name="Hourly rate"/>
    <tableColumn id="10" xr3:uid="{99F063AB-4CDB-4126-93C3-0C5A587F3684}" name="Remarks/Clarification"/>
  </tableColumns>
  <tableStyleInfo name="Aloha-style 3" showFirstColumn="1" showLastColumn="1" showRowStripes="1" showColumnStripes="0"/>
</table>
</file>

<file path=xl/tables/table1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C6E06ED2-F817-4CE7-84D2-DCB77F1CC413}" name="Table_516977" displayName="Table_516977" ref="A70:J87" tableBorderDxfId="170">
  <tableColumns count="10">
    <tableColumn id="1" xr3:uid="{51397D49-0A7B-4898-A4F4-645DC2C5029A}" name="Training group"/>
    <tableColumn id="2" xr3:uid="{5ED8B31D-3B59-452C-8C8A-E56269CEB1C0}" name="Location"/>
    <tableColumn id="3" xr3:uid="{C2D380AD-5279-4A81-BB2D-62D5E9F8E44F}" name="Day"/>
    <tableColumn id="4" xr3:uid="{C605761C-FC98-436A-89B7-7FB7DC37C56F}" name="Duration [hours]"/>
    <tableColumn id="5" xr3:uid="{C6CA1112-2669-4143-99C1-6A49C1165FAA}" name="Weeks"/>
    <tableColumn id="6" xr3:uid="{798B4F0B-D77B-4009-BADE-6F51A3C8446E}" name="Hours total">
      <calculatedColumnFormula>Thibats!$D71*Thibats!$E71</calculatedColumnFormula>
    </tableColumn>
    <tableColumn id="7" xr3:uid="{D7440734-6288-4B39-ABF2-F58D8295CDAD}" name="Priority"/>
    <tableColumn id="8" xr3:uid="{712A1A56-C798-4973-B089-566CD1526F5C}" name="Hourly rate - unscaled">
      <calculatedColumnFormula>IF($B71= "","-",IF($B71= "External","Specify location tariff", INDEX(Constants!$3:$3,MATCH($B71,Constants!$2:$2,0))))</calculatedColumnFormula>
    </tableColumn>
    <tableColumn id="9" xr3:uid="{9142B816-1107-41C9-983C-DA688C06814F}" name="Total cost - unscaled" dataDxfId="169">
      <calculatedColumnFormula>IF($H71="-","-",IF($H71="Specify location tariff","-",$H71*$F71))</calculatedColumnFormula>
    </tableColumn>
    <tableColumn id="10" xr3:uid="{3AD391CD-D498-4970-9F41-5DF5B49E2C2D}" name="Remarks / Clarification" dataDxfId="168"/>
  </tableColumns>
  <tableStyleInfo name="Aloha-style 4" showFirstColumn="1" showLastColumn="1"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A140FE3C-0E70-4664-86C2-30D5BA0F24B5}" name="Table_6170214" displayName="Table_6170214" ref="A94:G108" tableBorderDxfId="780">
  <tableColumns count="7">
    <tableColumn id="1" xr3:uid="{1F9B888F-C48F-47D7-9D5D-59A69AAEE0CA}" name="Item"/>
    <tableColumn id="2" xr3:uid="{3B4F0EA3-42B5-49BC-919E-2EF4019EAA32}" name="Type (depreciation/maintenance)"/>
    <tableColumn id="3" xr3:uid="{1D0AB0EA-93F3-4C3F-9492-C0CA0F962336}" name="Purchase / Running costs"/>
    <tableColumn id="4" xr3:uid="{70583F23-5835-442A-9497-B4BAC57F99F8}" name="Depreciation period"/>
    <tableColumn id="5" xr3:uid="{8087124B-0E4A-4844-AE03-E81023B0E501}" name="Amount"/>
    <tableColumn id="6" xr3:uid="{BCD5046B-69AE-4F1B-99A5-840BFA7B7278}" name="Costs per year"/>
    <tableColumn id="7" xr3:uid="{472FD582-B3F1-4F77-9BB0-45920692DB55}" name="Remarks / Clarification"/>
  </tableColumns>
  <tableStyleInfo name="Aloha-style 5" showFirstColumn="1" showLastColumn="1" showRowStripes="1" showColumnStripes="0"/>
</table>
</file>

<file path=xl/tables/table1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C07AA207-BBD1-4A09-91CF-31419EAFD3CE}" name="Table_617078" displayName="Table_617078" ref="A91:G105" tableBorderDxfId="167">
  <tableColumns count="7">
    <tableColumn id="1" xr3:uid="{27D1938F-66BA-4814-B105-9D4689E871F0}" name="Item"/>
    <tableColumn id="2" xr3:uid="{8D670E9C-7E09-4CD8-BAAD-1D59125CC13D}" name="Type (depreciation/maintenance)"/>
    <tableColumn id="3" xr3:uid="{22583092-6FDC-4743-99FB-1E89D133900F}" name="Purchase / Running costs"/>
    <tableColumn id="4" xr3:uid="{AD5EF637-0CFE-4935-9463-5A5C3EF6ED79}" name="Depreciation period"/>
    <tableColumn id="5" xr3:uid="{D0D813A5-F653-4F00-8C51-D292C1EDA57B}" name="Amount"/>
    <tableColumn id="6" xr3:uid="{E189ECEE-1259-4AF8-BA2E-03B2605DDBA8}" name="Costs per year" dataDxfId="166">
      <calculatedColumnFormula>IF(Table_617078[[#This Row],[Item]]="",0,Table_617078[[#This Row],[Amount]]*Table_617078[[#This Row],[Purchase / Running costs]]/Table_617078[[#This Row],[Depreciation period]])</calculatedColumnFormula>
    </tableColumn>
    <tableColumn id="7" xr3:uid="{7086B085-B190-4327-9791-A58E5EE1B985}" name="Remarks / Clarification"/>
  </tableColumns>
  <tableStyleInfo name="Aloha-style 5" showFirstColumn="1" showLastColumn="1" showRowStripes="1" showColumnStripes="0"/>
</table>
</file>

<file path=xl/tables/table1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D0F13D6E-C0DE-4B11-BA62-0AFE893C4A4F}" name="Table_617017179" displayName="Table_617017179" ref="AD29:AF40" headerRowDxfId="165" dataDxfId="164" tableBorderDxfId="163">
  <tableColumns count="3">
    <tableColumn id="1" xr3:uid="{472547F1-59F4-418A-BECE-4C3D9650192C}" name="Item" dataDxfId="162">
      <calculatedColumnFormula>IF($B$12="individual",Constants!F55,Constants!L55)</calculatedColumnFormula>
    </tableColumn>
    <tableColumn id="2" xr3:uid="{AC162EE4-F74F-4AC5-AA00-793116AB1629}" name="Type (depreciation/maintenance)" dataDxfId="161">
      <calculatedColumnFormula>B7</calculatedColumnFormula>
    </tableColumn>
    <tableColumn id="3" xr3:uid="{0DC6D02A-E415-4EA8-AD5D-6B58640FD08D}" name="Score" dataDxfId="160">
      <calculatedColumnFormula>IF(AE30&gt;301,5,IF(AE30&gt;176,4,IF(AE30&gt;101,3,IF(AE30&gt;51,2,1))))</calculatedColumnFormula>
    </tableColumn>
  </tableColumns>
  <tableStyleInfo name="Aloha-style 5" showFirstColumn="1" showLastColumn="1" showRowStripes="1" showColumnStripes="0"/>
</table>
</file>

<file path=xl/tables/table1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7" xr:uid="{6CEFD053-D435-4BB4-B49A-245987B30BB5}" name="Table_2166228" displayName="Table_2166228" ref="A37:G45" tableBorderDxfId="156">
  <tableColumns count="7">
    <tableColumn id="1" xr3:uid="{9773EE3A-64AF-4FA1-98BB-7504BD97943E}" name="Group" dataDxfId="155"/>
    <tableColumn id="2" xr3:uid="{DB91DF3C-BD6E-49C2-8F85-F89FA5D374AB}" name="Group size" dataDxfId="154"/>
    <tableColumn id="3" xr3:uid="{8EF103B9-03A4-4AA4-BFE6-939B48C2C1CC}" name="Trainings per week" dataDxfId="153"/>
    <tableColumn id="4" xr3:uid="{2844E48E-F184-40B8-9E0D-1068020CDCED}" name="Weeks per year" dataDxfId="152"/>
    <tableColumn id="5" xr3:uid="{1245DCEB-0089-4743-9135-923D4878E7D9}" name="Type of trainer" dataDxfId="151"/>
    <tableColumn id="6" xr3:uid="{CDDF70A9-9D2E-4B61-A5F8-7947A35CFA9C}" name="(Expected) Level" dataDxfId="150"/>
    <tableColumn id="7" xr3:uid="{0ABF7737-FB2C-4F23-8483-2BE36BC25D94}" name="Remarks/clarification" dataDxfId="149"/>
  </tableColumns>
  <tableStyleInfo name="Aloha-style" showFirstColumn="1" showLastColumn="1" showRowStripes="1" showColumnStripes="0"/>
</table>
</file>

<file path=xl/tables/table1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8" xr:uid="{B5C9AEBA-9F9C-4A6A-8581-2600D02D20CC}" name="Table_3167229" displayName="Table_3167229" ref="A48:H53" tableBorderDxfId="148">
  <tableColumns count="8">
    <tableColumn id="1" xr3:uid="{2F5DA697-9D1D-4D6C-B157-561DCFBF9775}" name="Group"/>
    <tableColumn id="2" xr3:uid="{EF5DD168-FB69-4A34-8E28-B86345F140D3}" name="Group size"/>
    <tableColumn id="3" xr3:uid="{54293E6F-F880-4FA5-82AB-7194C0C2242C}" name="Who"/>
    <tableColumn id="4" xr3:uid="{AA4F1EF6-028C-4A6D-89FE-6CBB62001287}" name="Type of Trainer"/>
    <tableColumn id="5" xr3:uid="{74626365-86FD-4E2B-B514-BF0F950E6BC3}" name="Training per week"/>
    <tableColumn id="6" xr3:uid="{66196D3F-31F9-4027-9D69-0D9C3D76CE92}" name="Hours per week"/>
    <tableColumn id="7" xr3:uid="{833A7AE0-D52C-4C97-ADA9-B3FB0463CB77}" name="Coaching?"/>
    <tableColumn id="8" xr3:uid="{D362D25F-98B0-42FF-99E6-BE9FE9DD265E}" name="Remarks/clarification"/>
  </tableColumns>
  <tableStyleInfo name="Aloha-style 2" showFirstColumn="1" showLastColumn="1" showRowStripes="1" showColumnStripes="0"/>
</table>
</file>

<file path=xl/tables/table1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9" xr:uid="{62413A37-B428-4526-A4F6-12F3CB280601}" name="Table_4168230" displayName="Table_4168230" ref="A57:J70" tableBorderDxfId="147">
  <tableColumns count="10">
    <tableColumn id="1" xr3:uid="{A43504C5-D7CD-4B9B-968B-1C97455E854A}" name="Training group"/>
    <tableColumn id="2" xr3:uid="{3682BBBF-47F6-4D61-B640-D246027EDF3C}" name="Type of training"/>
    <tableColumn id="3" xr3:uid="{183E2CC7-FB31-410F-A86C-A5B40F5A6F00}" name="# Weeks"/>
    <tableColumn id="4" xr3:uid="{B6375432-EAF7-4E1A-BAEF-3079841BE945}" name="# Times/week"/>
    <tableColumn id="5" xr3:uid="{9401F3A7-6E61-4AD8-AFEB-96D3E33AB7BD}" name="Total hours/week"/>
    <tableColumn id="6" xr3:uid="{C93480F2-412A-4ECF-B582-75BBAA88566A}" name="Total hours"/>
    <tableColumn id="7" xr3:uid="{D00674CE-38AA-4C2D-97DD-5EBC0D89D646}" name="Name of trainer"/>
    <tableColumn id="8" xr3:uid="{E1D1E5C1-316E-44B5-8CC0-0E42D553CCCB}" name="Type of trainer"/>
    <tableColumn id="9" xr3:uid="{8436461A-7B56-45D6-A094-1D1410D063F3}" name="Hourly rate"/>
    <tableColumn id="10" xr3:uid="{ECA600AC-2B5B-44F3-B980-AB6A73EC59D2}" name="Remarks/Clarification"/>
  </tableColumns>
  <tableStyleInfo name="Aloha-style 3" showFirstColumn="1" showLastColumn="1" showRowStripes="1" showColumnStripes="0"/>
</table>
</file>

<file path=xl/tables/table1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0" xr:uid="{99E09909-DBEC-4BAA-81FD-66A11019A6C7}" name="Table_5169231" displayName="Table_5169231" ref="A73:J90" tableBorderDxfId="146">
  <tableColumns count="10">
    <tableColumn id="1" xr3:uid="{36587086-F265-4C78-B395-9CB258665DBB}" name="Training group"/>
    <tableColumn id="2" xr3:uid="{C0155354-6CE0-4E6E-92BB-0E033C30DEAC}" name="Location"/>
    <tableColumn id="3" xr3:uid="{0AA2388D-4ECF-4C6C-A873-34440BA7B3DC}" name="Day"/>
    <tableColumn id="4" xr3:uid="{EDDD80D2-76E5-40E5-8BD4-A313878F7D53}" name="Duration [hours]"/>
    <tableColumn id="5" xr3:uid="{73DADCC9-1E08-4FE6-B1A6-9FE4312863FB}" name="Weeks"/>
    <tableColumn id="6" xr3:uid="{30EEB143-98BF-410A-9007-681CF97B7333}" name="Hours total">
      <calculatedColumnFormula>TSAC!$D74*TSAC!$E74</calculatedColumnFormula>
    </tableColumn>
    <tableColumn id="7" xr3:uid="{2A8BB4A3-757E-404C-9162-DE299B87F697}" name="Priority"/>
    <tableColumn id="8" xr3:uid="{1BE3C2C7-5A5A-461E-9D89-949236341D90}" name="Hourly rate - unscaled">
      <calculatedColumnFormula>IF($B74= "","-",IF($B74= "External","Specify location tariff", INDEX(Constants!$3:$3,MATCH($B74,Constants!$2:$2,0))))</calculatedColumnFormula>
    </tableColumn>
    <tableColumn id="9" xr3:uid="{5CC3CB48-3B97-451A-B1B9-7A24EC98A678}" name="Total cost - unscaled" dataDxfId="145">
      <calculatedColumnFormula>IF($H74="-","-",IF($H74="Specify location tariff","-",$H74*$F74))</calculatedColumnFormula>
    </tableColumn>
    <tableColumn id="10" xr3:uid="{7308AAF5-A201-43D3-B880-2CA654B6CFAB}" name="Remarks / Clarification" dataDxfId="144"/>
  </tableColumns>
  <tableStyleInfo name="Aloha-style 4" showFirstColumn="1" showLastColumn="1" showRowStripes="1" showColumnStripes="0"/>
</table>
</file>

<file path=xl/tables/table1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1" xr:uid="{59BF27BC-7A5F-4A77-82E9-65DA44DA439E}" name="Table_6170232" displayName="Table_6170232" ref="A94:G142" tableBorderDxfId="143">
  <tableColumns count="7">
    <tableColumn id="1" xr3:uid="{1CBC7850-7D93-4E84-B442-8489601B8900}" name="Item"/>
    <tableColumn id="2" xr3:uid="{84DCEE08-7E38-49FA-A78C-A71FC9D11B5F}" name="Type (depreciation/maintenance)"/>
    <tableColumn id="3" xr3:uid="{48490F9D-1014-436F-A67A-6A898580452E}" name="Purchase / Running costs"/>
    <tableColumn id="4" xr3:uid="{947CB0D8-0126-489C-9232-64A46D60112C}" name="Depreciation period"/>
    <tableColumn id="5" xr3:uid="{BE03BE2C-50E9-42F7-8C99-17856CE39381}" name="Amount"/>
    <tableColumn id="6" xr3:uid="{48701021-EBEF-4BA3-B04D-89F76EE52BA8}" name="Costs per year"/>
    <tableColumn id="7" xr3:uid="{56895218-FEBD-47BC-A6F7-F8A2A98AEA08}" name="Remarks / Clarification"/>
  </tableColumns>
  <tableStyleInfo name="Aloha-style 5" showFirstColumn="1" showLastColumn="1" showRowStripes="1" showColumnStripes="0"/>
</table>
</file>

<file path=xl/tables/table1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2" xr:uid="{AE942808-9E02-41F3-92AC-DA92842CF7E6}" name="Table_6170171233" displayName="Table_6170171233" ref="AD29:AF40" headerRowDxfId="142" dataDxfId="141" tableBorderDxfId="140">
  <tableColumns count="3">
    <tableColumn id="1" xr3:uid="{5D4D6735-4543-46DC-9842-16F203520C0D}" name="Item" dataDxfId="139">
      <calculatedColumnFormula>IF($B$12="individual",Constants!F55,Constants!L55)</calculatedColumnFormula>
    </tableColumn>
    <tableColumn id="2" xr3:uid="{B38FD17C-69EB-4E52-8062-24CAAE4F298B}" name="Type (depreciation/maintenance)" dataDxfId="138">
      <calculatedColumnFormula>B7</calculatedColumnFormula>
    </tableColumn>
    <tableColumn id="3" xr3:uid="{A22DE0A8-9F6D-403D-A575-C2452E36C4A1}" name="Score" dataDxfId="137">
      <calculatedColumnFormula>IF(AE30&gt;301,5,IF(AE30&gt;176,4,IF(AE30&gt;101,3,IF(AE30&gt;51,2,1))))</calculatedColumnFormula>
    </tableColumn>
  </tableColumns>
  <tableStyleInfo name="Aloha-style 5" showFirstColumn="1" showLastColumn="1" showRowStripes="1" showColumnStripes="0"/>
</table>
</file>

<file path=xl/tables/table1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9" xr:uid="{353ECE00-0866-324B-B35C-4153E12D88E8}" name="Table_2166270" displayName="Table_2166270" ref="A37:G42" tableBorderDxfId="133">
  <tableColumns count="7">
    <tableColumn id="1" xr3:uid="{1884AC47-C385-DA41-9BCA-0D6CCAB79E00}" name="Group"/>
    <tableColumn id="2" xr3:uid="{F2628411-A613-994B-8707-9948011C5531}" name="Group size" dataDxfId="132"/>
    <tableColumn id="3" xr3:uid="{9B77C221-84B5-8042-855F-9225F0087ECB}" name="Trainings per week"/>
    <tableColumn id="4" xr3:uid="{679C09D0-D176-F54B-BF9A-E0C02157F101}" name="Weeks per year" dataDxfId="131"/>
    <tableColumn id="5" xr3:uid="{93AA65BA-FE8D-5B4C-BC6F-2620E073313C}" name="Type of trainer"/>
    <tableColumn id="6" xr3:uid="{F2E6A4B9-FEC5-EF45-9A13-2F26B124F8ED}" name="(Expected) Level"/>
    <tableColumn id="7" xr3:uid="{5E832E5E-154C-4B4C-9A88-F189B16933A9}" name="Remarks/clarification"/>
  </tableColumns>
  <tableStyleInfo name="Aloha-style" showFirstColumn="1" showLastColumn="1" showRowStripes="1" showColumnStripes="0"/>
</table>
</file>

<file path=xl/tables/table1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0" xr:uid="{D8A7BCF4-02E9-8C42-847F-9DBE2C5D998A}" name="Table_3167271" displayName="Table_3167271" ref="A45:H50" tableBorderDxfId="130">
  <tableColumns count="8">
    <tableColumn id="1" xr3:uid="{E1BC2FE3-31D3-0B46-9174-F86882CF0FE4}" name="Group"/>
    <tableColumn id="2" xr3:uid="{BE450707-9F0F-654A-8DB7-2EEF6A1B1571}" name="Group size"/>
    <tableColumn id="3" xr3:uid="{CEB8B8B3-D06E-2F42-9314-0FC827311550}" name="Who"/>
    <tableColumn id="4" xr3:uid="{773A5214-41F2-0A41-A905-17935261FB3E}" name="Type of Trainer"/>
    <tableColumn id="5" xr3:uid="{8AA7BFB2-8405-F148-B982-FD03ABED0028}" name="Training per week"/>
    <tableColumn id="6" xr3:uid="{73454AA2-413E-274E-8E2D-188210B82807}" name="Hours per week"/>
    <tableColumn id="7" xr3:uid="{FEA57B53-8690-AC41-A7AF-0315924F5A21}" name="Coaching?"/>
    <tableColumn id="8" xr3:uid="{A0D483F0-8F2F-CC47-98A1-7BD90B14453B}" name="Remarks/clarification"/>
  </tableColumns>
  <tableStyleInfo name="Aloha-style 2" showFirstColumn="1" showLastColumn="1"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6CAC684F-22AF-4A9C-A83E-15A32AA98F2C}" name="Table_6170171215" displayName="Table_6170171215" ref="AD29:AF40" headerRowDxfId="779" dataDxfId="778" tableBorderDxfId="777">
  <tableColumns count="3">
    <tableColumn id="1" xr3:uid="{48F9CE66-183E-413F-A444-04325060EBDE}" name="Item" dataDxfId="776">
      <calculatedColumnFormula>IF($B$12="individual",Constants!F55,Constants!L55)</calculatedColumnFormula>
    </tableColumn>
    <tableColumn id="2" xr3:uid="{2770A345-9261-4189-8ABE-9514D71B1DCF}" name="Type (depreciation/maintenance)" dataDxfId="775">
      <calculatedColumnFormula>B7</calculatedColumnFormula>
    </tableColumn>
    <tableColumn id="3" xr3:uid="{E5490A35-56E4-418C-B5D1-390E7D559267}" name="Score" dataDxfId="774">
      <calculatedColumnFormula>IF(AE30&gt;301,5,IF(AE30&gt;176,4,IF(AE30&gt;101,3,IF(AE30&gt;51,2,1))))</calculatedColumnFormula>
    </tableColumn>
  </tableColumns>
  <tableStyleInfo name="Aloha-style 5" showFirstColumn="1" showLastColumn="1" showRowStripes="1" showColumnStripes="0"/>
</table>
</file>

<file path=xl/tables/table1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1" xr:uid="{0A4D74E7-E95A-0741-ACA6-8C14FDF5913D}" name="Table_4168272" displayName="Table_4168272" ref="A54:J67" tableBorderDxfId="129">
  <tableColumns count="10">
    <tableColumn id="1" xr3:uid="{E057E06D-1C30-1240-82D9-685605E43DDB}" name="Training group"/>
    <tableColumn id="2" xr3:uid="{71A51D5A-F36A-3544-8694-F8BA3F34E9C1}" name="Type of training"/>
    <tableColumn id="3" xr3:uid="{2E2659D0-A4A6-2F44-A027-9F2323D7CCB1}" name="# Weeks"/>
    <tableColumn id="4" xr3:uid="{3212E466-F7FC-CC40-AF21-EFCC8F758F10}" name="# Times/week"/>
    <tableColumn id="5" xr3:uid="{CF74D65A-1711-974B-8594-69136AF39C2E}" name="Total hours/week"/>
    <tableColumn id="6" xr3:uid="{AE7BA56A-E815-3848-A812-A7FF9A5B6C3E}" name="Total hours" dataDxfId="128">
      <calculatedColumnFormula>IF(Table_4168272[[#This Row],['# Weeks]]="","",Table_4168272[[#This Row],['# Weeks]]*Table_4168272[[#This Row],[Total hours/week]])</calculatedColumnFormula>
    </tableColumn>
    <tableColumn id="7" xr3:uid="{38B6A2FD-6629-3547-93DD-DE4199393E8A}" name="Name of trainer"/>
    <tableColumn id="8" xr3:uid="{B61287E3-A07A-DC4F-95CB-8F9D7CC95B02}" name="Type of trainer"/>
    <tableColumn id="9" xr3:uid="{85CE846A-C4A3-BB4E-8EF8-93F24E083989}" name="Hourly rate"/>
    <tableColumn id="10" xr3:uid="{8DF3FE2B-5ED4-3D4F-9E16-CDCFAD770101}" name="Remarks/Clarification"/>
  </tableColumns>
  <tableStyleInfo name="Aloha-style 3" showFirstColumn="1" showLastColumn="1" showRowStripes="1" showColumnStripes="0"/>
</table>
</file>

<file path=xl/tables/table1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AA947848-2F28-1648-A43E-19E0EEF6CF60}" name="Table_5169273" displayName="Table_5169273" ref="A70:J87" tableBorderDxfId="127">
  <tableColumns count="10">
    <tableColumn id="1" xr3:uid="{22914DEF-3AC0-5644-9C38-8B91E8AB5122}" name="Training group"/>
    <tableColumn id="2" xr3:uid="{26A0214F-DF80-464E-983A-57B362AC1E4F}" name="Location"/>
    <tableColumn id="3" xr3:uid="{5076F547-F7D9-554F-A4B2-323C9695A559}" name="Day"/>
    <tableColumn id="4" xr3:uid="{71BBE5FB-B018-7147-A579-BEB3F4F5369D}" name="Duration [hours]"/>
    <tableColumn id="5" xr3:uid="{F92536E6-1D2C-9B40-8BE5-F4F7D9DF3607}" name="Weeks"/>
    <tableColumn id="6" xr3:uid="{EA52652D-42D2-134E-B68C-C4FCA873228C}" name="Hours total">
      <calculatedColumnFormula>Vakgericht!$D71*Vakgericht!$E71</calculatedColumnFormula>
    </tableColumn>
    <tableColumn id="7" xr3:uid="{3CB49E6D-1E27-7840-AC79-1907D7156F5B}" name="Priority"/>
    <tableColumn id="8" xr3:uid="{4E93F764-E398-1F43-BA7F-5D54C89062F8}" name="Hourly rate - unscaled">
      <calculatedColumnFormula>IF($B71= "","-",IF($B71= "External","Specify location tariff", INDEX(Constants!$3:$3,MATCH($B71,Constants!$2:$2,0))))</calculatedColumnFormula>
    </tableColumn>
    <tableColumn id="9" xr3:uid="{95777AB6-AF73-D14B-A127-C2B0260DC556}" name="Total cost - unscaled" dataDxfId="126">
      <calculatedColumnFormula>IF($H71="-","-",IF($H71="Specify location tariff","-",$H71*$F71))</calculatedColumnFormula>
    </tableColumn>
    <tableColumn id="10" xr3:uid="{7F4459AD-54BB-524F-9EBB-2A0548DC05AC}" name="Remarks / Clarification" dataDxfId="125"/>
  </tableColumns>
  <tableStyleInfo name="Aloha-style 4" showFirstColumn="1" showLastColumn="1" showRowStripes="1" showColumnStripes="0"/>
</table>
</file>

<file path=xl/tables/table1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748590DD-6F54-1846-9E68-BD3D4289DB1E}" name="Table_6170274" displayName="Table_6170274" ref="A91:G105" tableBorderDxfId="124">
  <tableColumns count="7">
    <tableColumn id="1" xr3:uid="{E280D14D-FE83-0647-B76B-AC804C9E0FE6}" name="Item"/>
    <tableColumn id="2" xr3:uid="{A96D5A6F-D226-9844-B9D9-EFFB616B0622}" name="Type (depreciation/maintenance)"/>
    <tableColumn id="3" xr3:uid="{54FBB511-0047-B54E-A6A9-B3713987A363}" name="Purchase / Running costs"/>
    <tableColumn id="4" xr3:uid="{AB1D1823-2474-8D48-82D3-28056CBED6F0}" name="Depreciation period"/>
    <tableColumn id="5" xr3:uid="{1A1D0B48-EF4F-B14B-8239-C0978D7C0A74}" name="Amount"/>
    <tableColumn id="6" xr3:uid="{7FB8B9A5-0092-AA42-BEAD-9E912B0CF675}" name="Costs per year" dataDxfId="123">
      <calculatedColumnFormula>Table_6170274[[#This Row],[Purchase / Running costs]]/Table_6170274[[#This Row],[Depreciation period]]</calculatedColumnFormula>
    </tableColumn>
    <tableColumn id="7" xr3:uid="{BDF38646-4FDE-8545-B15E-D2E89000242E}" name="Remarks / Clarification"/>
  </tableColumns>
  <tableStyleInfo name="Aloha-style 5" showFirstColumn="1" showLastColumn="1" showRowStripes="1" showColumnStripes="0"/>
</table>
</file>

<file path=xl/tables/table1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4" xr:uid="{C290E990-122D-2240-94FD-3852D9AE66CE}" name="Table_6170171275" displayName="Table_6170171275" ref="AD29:AF40" headerRowDxfId="122" dataDxfId="121" tableBorderDxfId="120">
  <tableColumns count="3">
    <tableColumn id="1" xr3:uid="{438B837A-53A6-1B40-9DB4-2D883A74DB19}" name="Item" dataDxfId="119">
      <calculatedColumnFormula>IF($B$12="individual",Constants!F55,Constants!L55)</calculatedColumnFormula>
    </tableColumn>
    <tableColumn id="2" xr3:uid="{ADF2FFAF-5B3E-434A-AD3F-7752DDB29104}" name="Type (depreciation/maintenance)" dataDxfId="118">
      <calculatedColumnFormula>B7</calculatedColumnFormula>
    </tableColumn>
    <tableColumn id="3" xr3:uid="{50BF9D3B-ECE7-384B-BCEA-47B983221C7C}" name="Score" dataDxfId="117">
      <calculatedColumnFormula>IF(AE30&gt;301,5,IF(AE30&gt;176,4,IF(AE30&gt;101,3,IF(AE30&gt;51,2,1))))</calculatedColumnFormula>
    </tableColumn>
  </tableColumns>
  <tableStyleInfo name="Aloha-style 5" showFirstColumn="1" showLastColumn="1" showRowStripes="1" showColumnStripes="0"/>
</table>
</file>

<file path=xl/tables/table1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D0AC4C2-25EF-4169-BDC7-249BF3927CC9}" name="Table_2166198" displayName="Table_2166198" ref="A37:G52" tableBorderDxfId="113">
  <tableColumns count="7">
    <tableColumn id="1" xr3:uid="{5D10C85B-03D9-49BF-878F-51E70038F94E}" name="Group"/>
    <tableColumn id="2" xr3:uid="{022FAE0A-EAAE-4693-86FC-DB81824F2E5F}" name="Group size" dataDxfId="112"/>
    <tableColumn id="3" xr3:uid="{291ED8F2-E016-4C42-9557-EAFC43257832}" name="Trainings per week"/>
    <tableColumn id="4" xr3:uid="{23CE817F-D348-4445-8752-8CBB2B96B6F2}" name="Weeks per year" dataDxfId="111"/>
    <tableColumn id="5" xr3:uid="{48D5650C-72F5-4C45-8F04-DFB88AD7FC2D}" name="Type of trainer"/>
    <tableColumn id="6" xr3:uid="{9881D126-FF90-460F-9E82-CB1B2B31C951}" name="(Expected) Level"/>
    <tableColumn id="7" xr3:uid="{2583F61E-4DEA-4B0B-85E5-3F2AD445486B}" name="Remarks/clarification"/>
  </tableColumns>
  <tableStyleInfo name="Aloha-style" showFirstColumn="1" showLastColumn="1" showRowStripes="1" showColumnStripes="0"/>
</table>
</file>

<file path=xl/tables/table1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8B3A6874-EADC-4F15-9AB6-8798E85DED8E}" name="Table_3167199" displayName="Table_3167199" ref="A55:H61" tableBorderDxfId="110">
  <tableColumns count="8">
    <tableColumn id="1" xr3:uid="{F4727351-C616-4B01-B60A-40CC5D03475D}" name="Group"/>
    <tableColumn id="2" xr3:uid="{A08555E5-92D8-4699-90C0-F8853F57D727}" name="Group size"/>
    <tableColumn id="3" xr3:uid="{6F1F4542-65C1-449A-9C09-D501B9EB5A14}" name="Who"/>
    <tableColumn id="4" xr3:uid="{BD3258FD-9BF9-46B1-A2F3-C925C5186255}" name="Type of Trainer"/>
    <tableColumn id="5" xr3:uid="{FBD34E4F-9B9D-49E5-953F-C984CCB629CF}" name="Training per week"/>
    <tableColumn id="6" xr3:uid="{1CD138A4-3FBA-45B5-8630-7B58CC3C39F3}" name="Hours per week"/>
    <tableColumn id="7" xr3:uid="{F91823D0-AA45-4F75-8621-DD187BC11A19}" name="Coaching?"/>
    <tableColumn id="8" xr3:uid="{DBE769F9-6B69-464A-896C-2E3EAE20AC31}" name="Remarks/clarification"/>
  </tableColumns>
  <tableStyleInfo name="Aloha-style 2" showFirstColumn="1" showLastColumn="1" showRowStripes="1" showColumnStripes="0"/>
</table>
</file>

<file path=xl/tables/table1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A0E1E44C-CBEE-480F-B11A-714FF70B5441}" name="Table_4168200" displayName="Table_4168200" ref="A65:J98" tableBorderDxfId="109">
  <tableColumns count="10">
    <tableColumn id="1" xr3:uid="{D3072A5C-C9C6-4092-AA41-A1F810290B8C}" name="Training group"/>
    <tableColumn id="2" xr3:uid="{9FC1DCA4-7C94-438B-85DB-D16328819881}" name="Type of training"/>
    <tableColumn id="3" xr3:uid="{A8B063FF-AB65-41BA-BE8F-1237B7F58BCC}" name="# Weeks"/>
    <tableColumn id="4" xr3:uid="{42B0D2DB-1850-4210-B043-69AA9E0859E4}" name="# Times/week"/>
    <tableColumn id="5" xr3:uid="{3F80B84C-4AE1-460E-9C42-4E119D54F154}" name="Total hours/week"/>
    <tableColumn id="6" xr3:uid="{1BE64916-C43D-40A8-895F-3590CC2D44C6}" name="Total hours"/>
    <tableColumn id="7" xr3:uid="{4F35E501-AD74-4684-90FF-2E2BB08D343D}" name="Name of trainer"/>
    <tableColumn id="8" xr3:uid="{C46905CF-F799-4BAC-94BE-18FB247EE676}" name="Type of trainer"/>
    <tableColumn id="9" xr3:uid="{5D6FE47B-71DD-4949-9E33-4C0DC6707A18}" name="Hourly rate"/>
    <tableColumn id="10" xr3:uid="{ED28BD5D-E6DB-4B35-A1B9-9FA2364724A4}" name="Remarks/Clarification"/>
  </tableColumns>
  <tableStyleInfo name="Aloha-style 3" showFirstColumn="1" showLastColumn="1" showRowStripes="1" showColumnStripes="0"/>
</table>
</file>

<file path=xl/tables/table1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244F42E3-9726-4F13-8051-DA61C88ECD15}" name="Table_5169201" displayName="Table_5169201" ref="A101:J115" tableBorderDxfId="108">
  <tableColumns count="10">
    <tableColumn id="1" xr3:uid="{8260FFA1-960C-46BD-9310-E0383F4B7555}" name="Training group"/>
    <tableColumn id="2" xr3:uid="{26F7D58E-5100-4286-80A1-8D1309EB9A76}" name="Location"/>
    <tableColumn id="3" xr3:uid="{17825296-4AB4-4A8C-9560-AC052E40C194}" name="Day"/>
    <tableColumn id="4" xr3:uid="{F1DB2AB4-CE92-4CA9-881D-A934247C1FBC}" name="Duration [hours]"/>
    <tableColumn id="5" xr3:uid="{BC72ACAB-B4B8-47BF-81B2-84FE09C4CEC6}" name="Weeks"/>
    <tableColumn id="6" xr3:uid="{BAA20690-458F-4D9B-9C9A-0D0FF583FBDD}" name="Hours total" dataDxfId="107">
      <calculatedColumnFormula>D102*E102</calculatedColumnFormula>
    </tableColumn>
    <tableColumn id="7" xr3:uid="{A8D60C5D-545C-4D27-ACF3-66A9F2CC4C84}" name="Priority"/>
    <tableColumn id="8" xr3:uid="{22E2871A-ECCF-4A95-A635-809C9CCF1A0B}" name="Hourly rate - unscaled">
      <calculatedColumnFormula>IF($B102= "","-",IF($B102= "External","Specify location tariff", INDEX(Constants!$3:$3,MATCH($B102,Constants!$2:$2,0))))</calculatedColumnFormula>
    </tableColumn>
    <tableColumn id="9" xr3:uid="{61A5982D-4CB7-4424-AABF-CCC4BAA8CE01}" name="Total cost - unscaled" dataDxfId="106">
      <calculatedColumnFormula>IF($H102="-","-",IF($H102="Specify location tariff","-",$H102*$F102))</calculatedColumnFormula>
    </tableColumn>
    <tableColumn id="10" xr3:uid="{CACFFD81-D24C-448D-889E-4FD9FA959CB8}" name="Remarks / Clarification" dataDxfId="105"/>
  </tableColumns>
  <tableStyleInfo name="Aloha-style 4" showFirstColumn="1" showLastColumn="1" showRowStripes="1" showColumnStripes="0"/>
</table>
</file>

<file path=xl/tables/table1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AA7709C3-5737-43AF-A1AE-C527AE4D63B4}" name="Table_6170202" displayName="Table_6170202" ref="A119:G133" tableBorderDxfId="104">
  <tableColumns count="7">
    <tableColumn id="1" xr3:uid="{B946EE29-F307-44C1-986B-0204BCC84CCA}" name="Item"/>
    <tableColumn id="2" xr3:uid="{56D3344F-F1D2-49A4-9CB1-25F09472EF78}" name="Type (depreciation/maintenance)"/>
    <tableColumn id="3" xr3:uid="{7CEBEED1-C671-4932-B7BB-402E33C2C81A}" name="Purchase / Running costs"/>
    <tableColumn id="4" xr3:uid="{F7251903-5D0A-4DAE-934F-F53C009399C4}" name="Depreciation period"/>
    <tableColumn id="5" xr3:uid="{B847C842-5112-40F9-A373-050B46EBC821}" name="Amount"/>
    <tableColumn id="6" xr3:uid="{16987C91-A030-4C89-9E57-1472795A1FDE}" name="Costs per year"/>
    <tableColumn id="7" xr3:uid="{2B339AA6-5993-48C1-8465-C541D889A772}" name="Remarks / Clarification"/>
  </tableColumns>
  <tableStyleInfo name="Aloha-style 5" showFirstColumn="1" showLastColumn="1" showRowStripes="1" showColumnStripes="0"/>
</table>
</file>

<file path=xl/tables/table1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2F12A0-F510-45D5-B298-E2BEDA214086}" name="Table_6170171203" displayName="Table_6170171203" ref="AD29:AF40" headerRowDxfId="103" dataDxfId="102" tableBorderDxfId="101">
  <tableColumns count="3">
    <tableColumn id="1" xr3:uid="{DF51AACC-8239-4B79-AF65-2350B3F9F5BA}" name="Item" dataDxfId="100">
      <calculatedColumnFormula>IF($B$12="individual",Constants!F55,Constants!L55)</calculatedColumnFormula>
    </tableColumn>
    <tableColumn id="2" xr3:uid="{726224A6-6593-48A2-B7AF-DC6B8C7F8A7A}" name="Type (depreciation/maintenance)" dataDxfId="99">
      <calculatedColumnFormula>B7</calculatedColumnFormula>
    </tableColumn>
    <tableColumn id="3" xr3:uid="{BFCAAC56-CAD4-429C-92B4-91EEC167BFFB}" name="Score" dataDxfId="98">
      <calculatedColumnFormula>IF(AE30&gt;301,5,IF(AE30&gt;176,4,IF(AE30&gt;101,3,IF(AE30&gt;51,2,1))))</calculatedColumnFormula>
    </tableColumn>
  </tableColumns>
  <tableStyleInfo name="Aloha-style 5"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7" xr:uid="{2777B80F-F26F-5F4F-A00F-673ADD80622C}" name="Table_2166258" displayName="Table_2166258" ref="A37:G42" tableBorderDxfId="845">
  <tableColumns count="7">
    <tableColumn id="1" xr3:uid="{3F258368-9A84-A641-9362-7120155972D9}" name="Group"/>
    <tableColumn id="2" xr3:uid="{B8419C32-A0B1-C740-8004-80E1136A1D1B}" name="Group size" dataDxfId="844"/>
    <tableColumn id="3" xr3:uid="{05AEB957-B5DF-334D-841E-12A0160A101D}" name="Trainings per week"/>
    <tableColumn id="4" xr3:uid="{6C707376-DF76-C54B-9BC3-91393142DE82}" name="Weeks per year" dataDxfId="843"/>
    <tableColumn id="5" xr3:uid="{0DFE327C-079E-934E-B1AC-43FD1EFEE744}" name="Type of trainer"/>
    <tableColumn id="6" xr3:uid="{B0187EFE-7AED-C043-BC8A-798790ADA154}" name="(Expected) Level"/>
    <tableColumn id="7" xr3:uid="{20E1792C-933B-864C-B2B2-06E5844BF7A6}" name="Remarks/clarification"/>
  </tableColumns>
  <tableStyleInfo name="Aloha-style" showFirstColumn="1" showLastColumn="1"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37F0F785-72E3-4316-B724-5AEB6D26C66D}" name="Table_2166107" displayName="Table_2166107" ref="A37:G42" tableBorderDxfId="770">
  <tableColumns count="7">
    <tableColumn id="1" xr3:uid="{158BDB85-1D5A-412D-BBCE-18C8D2740B6B}" name="Group"/>
    <tableColumn id="2" xr3:uid="{41CED440-F819-4AD2-8575-380BDC0B07C5}" name="Group size" dataDxfId="769"/>
    <tableColumn id="3" xr3:uid="{ABB4A978-D838-4AD1-8712-90FCE16C8378}" name="Trainings per week"/>
    <tableColumn id="4" xr3:uid="{E23746EB-DC07-4873-AB67-38D8CA5D6908}" name="Weeks per year" dataDxfId="768"/>
    <tableColumn id="5" xr3:uid="{BC8CEB63-C6C5-4A8F-BF5E-E4BB6B51D1AB}" name="Type of trainer"/>
    <tableColumn id="6" xr3:uid="{84C582F1-BE8B-4210-9300-C529FB52407A}" name="(Expected) Level"/>
    <tableColumn id="7" xr3:uid="{10AE7A39-261F-441A-BAE2-61579FDDEE42}" name="Remarks/clarification"/>
  </tableColumns>
  <tableStyleInfo name="Aloha-style" showFirstColumn="1" showLastColumn="1" showRowStripes="1" showColumnStripes="0"/>
</table>
</file>

<file path=xl/tables/table2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1" xr:uid="{29966822-EB98-6D41-895F-A6D9F5272B38}" name="Table311" displayName="Table311" ref="A2:T39" totalsRowCount="1" headerRowDxfId="95">
  <autoFilter ref="A2:T38" xr:uid="{29966822-EB98-6D41-895F-A6D9F5272B38}"/>
  <sortState xmlns:xlrd2="http://schemas.microsoft.com/office/spreadsheetml/2017/richdata2" ref="A3:T38">
    <sortCondition descending="1" ref="P2:P38"/>
  </sortState>
  <tableColumns count="20">
    <tableColumn id="1" xr3:uid="{CE5A1FC9-814D-244F-8924-127C68EEAEE0}" name="Association" dataDxfId="93" totalsRowDxfId="94"/>
    <tableColumn id="2" xr3:uid="{48D4AE5A-45E8-4A4C-81F4-5497784FEF00}" name="Sector" dataDxfId="91" totalsRowDxfId="92"/>
    <tableColumn id="3" xr3:uid="{51FD1D24-E99A-8D4F-9B16-EB375472525E}" name="Members" dataDxfId="89" totalsRowDxfId="90">
      <calculatedColumnFormula array="1">INDIRECT("'"&amp;A3&amp;"'!B$7")</calculatedColumnFormula>
    </tableColumn>
    <tableColumn id="4" xr3:uid="{51E140E0-5B7C-1E40-8A3F-CA0B671363F7}" name="Type of sport" dataDxfId="87" totalsRowDxfId="88">
      <calculatedColumnFormula array="1">INDIRECT("'"&amp;A3&amp;"'!B$12")</calculatedColumnFormula>
    </tableColumn>
    <tableColumn id="19" xr3:uid="{61897F24-4358-4CF0-B0D0-846C799AFCCE}" name="Membercount" dataDxfId="85" totalsRowDxfId="86">
      <calculatedColumnFormula array="1">INDIRECT("'"&amp;A3&amp;"'!$AF$30")^2</calculatedColumnFormula>
    </tableColumn>
    <tableColumn id="18" xr3:uid="{5DCF973A-2BD9-4C82-AD36-3BB08B877932}" name="number of trainings per week" dataDxfId="83" totalsRowDxfId="84">
      <calculatedColumnFormula array="1">INDIRECT("'"&amp;A3&amp;"'!$AF$31")</calculatedColumnFormula>
    </tableColumn>
    <tableColumn id="17" xr3:uid="{42FBE642-1A4B-4EE1-8619-EF570C4DCBF8}" name="number of trainings weeks per year" dataDxfId="81" totalsRowDxfId="82">
      <calculatedColumnFormula array="1">INDIRECT("'"&amp;$A3&amp;"'!$AF$32")</calculatedColumnFormula>
    </tableColumn>
    <tableColumn id="16" xr3:uid="{C4E52CE6-D580-463E-BE88-C79502872C42}" name="number of training hours by RT / PT-V" dataDxfId="79" totalsRowDxfId="80">
      <calculatedColumnFormula array="1">INDIRECT("'"&amp;$A3&amp;"'!$AF$33")</calculatedColumnFormula>
    </tableColumn>
    <tableColumn id="15" xr3:uid="{346F3454-FFD5-4B3F-9836-B633526525AB}" name="number of training groups / teams" dataDxfId="77" totalsRowDxfId="78">
      <calculatedColumnFormula array="1">INDIRECT("'"&amp;$A3&amp;"'!$AF$34")</calculatedColumnFormula>
    </tableColumn>
    <tableColumn id="9" xr3:uid="{86DA1F10-D670-4875-8BF0-7008085D21C5}" name="number of competitions organised" dataDxfId="75" totalsRowDxfId="76">
      <calculatedColumnFormula array="1">INDIRECT("'"&amp;$A3&amp;"'!$AF$35")</calculatedColumnFormula>
    </tableColumn>
    <tableColumn id="20" xr3:uid="{FD2348F8-A852-4AB2-ACA0-799783C38C35}" name="number of social activities" dataDxfId="73" totalsRowDxfId="74">
      <calculatedColumnFormula array="1">INDIRECT("'"&amp;$A3&amp;"'!$AF$36")</calculatedColumnFormula>
    </tableColumn>
    <tableColumn id="21" xr3:uid="{ADF28CC9-4088-4C41-9E47-74168CCF8D6D}" name="number of bar days" dataDxfId="71" totalsRowDxfId="72">
      <calculatedColumnFormula array="1">INDIRECT("'"&amp;$A3&amp;"'!$AF$37")</calculatedColumnFormula>
    </tableColumn>
    <tableColumn id="22" xr3:uid="{993E032A-023D-439B-B1DC-665AF667D57D}" name="own bar / extra location" dataDxfId="69" totalsRowDxfId="70">
      <calculatedColumnFormula array="1">INDIRECT("'"&amp;$A3&amp;"'!$AF$38")</calculatedColumnFormula>
    </tableColumn>
    <tableColumn id="23" xr3:uid="{81898831-580E-4BD6-81DB-D89950FBCC11}" name="number of facilities used / number of competitions attended" dataDxfId="67" totalsRowDxfId="68">
      <calculatedColumnFormula array="1">INDIRECT("'"&amp;$A3&amp;"'!$AF$39")</calculatedColumnFormula>
    </tableColumn>
    <tableColumn id="24" xr3:uid="{F51B44FB-BF8C-4763-87E7-4E70568C286E}" name="ratio of competing teams / training teams / n\a" dataDxfId="65" totalsRowDxfId="66">
      <calculatedColumnFormula array="1">INDIRECT("'"&amp;$A3&amp;"'!$AF$40")</calculatedColumnFormula>
    </tableColumn>
    <tableColumn id="5" xr3:uid="{2AE67012-6C7B-0643-903C-CFF34BAA9775}" name="Total score" dataDxfId="63" totalsRowDxfId="64">
      <calculatedColumnFormula>SUM(Table311[[#This Row],[Membercount]:[ratio of competing teams / training teams / n\a]])</calculatedColumnFormula>
    </tableColumn>
    <tableColumn id="10" xr3:uid="{3BC7AB10-B3AB-4047-A868-0AC28456B566}" name="Group" dataDxfId="61" totalsRowDxfId="62">
      <calculatedColumnFormula>IF(Table311[[#This Row],[Total score]]&gt;=47,7,IF(Table311[[#This Row],[Total score]]&gt;=43,6,IF(Table311[[#This Row],[Total score]]&gt;=37,5,IF(Table311[[#This Row],[Total score]]&gt;=33,4,IF(Table311[[#This Row],[Total score]]&gt;=27,3,IF(Table311[[#This Row],[Total score]]&gt;=23,2,1))))))</calculatedColumnFormula>
    </tableColumn>
    <tableColumn id="11" xr3:uid="{20770ACE-A13A-D64D-AE29-80B193801226}" name="2024" dataDxfId="59" totalsRowDxfId="60"/>
    <tableColumn id="12" xr3:uid="{2C3EDF20-1709-49FA-91D2-74D2A3DAAD9E}" name="Grants" dataDxfId="58">
      <calculatedColumnFormula>IF(Table311[[#This Row],[Group]]=7,27,IF(Table311[[#This Row],[Group]]=6,22,IF(Table311[[#This Row],[Group]]=5,18,IF(Table311[[#This Row],[Group]]=4,11,IF(Table311[[#This Row],[Group]]=3,7,IF(Table311[[#This Row],[Group]]=2,5,IF(Table311[[#This Row],[Notes]]="no FAM",1,2)))))))</calculatedColumnFormula>
    </tableColumn>
    <tableColumn id="13" xr3:uid="{8F35DF67-317B-4DDA-B3B4-F92CC3B71389}" name="Notes" dataDxfId="56" totalsRowDxfId="57"/>
  </tableColumns>
  <tableStyleInfo name="TableStyleLight2" showFirstColumn="0" showLastColumn="0" showRowStripes="1" showColumnStripes="0"/>
</table>
</file>

<file path=xl/tables/table2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3" xr:uid="{0F7BDF47-A2ED-4119-A488-180481875402}" name="Table_2166324" displayName="Table_2166324" ref="A37:G42">
  <tableColumns count="7">
    <tableColumn id="1" xr3:uid="{EAC0E28C-DEA6-4CD5-9D48-70E361A824F4}" name="Group"/>
    <tableColumn id="2" xr3:uid="{0F140634-F789-4C4C-9740-31F7B27BB5DF}" name="Group size" dataDxfId="52"/>
    <tableColumn id="3" xr3:uid="{781D5962-92F0-4AC2-9076-B81F9CD32289}" name="Trainings per week"/>
    <tableColumn id="4" xr3:uid="{361727D5-3249-437D-8F22-451FF04917BB}" name="Weeks per year" dataDxfId="51"/>
    <tableColumn id="5" xr3:uid="{15AD047C-2B7C-4F96-B1A7-20AA43755565}" name="Type of trainer"/>
    <tableColumn id="6" xr3:uid="{D9408636-D65D-4D6C-9A0F-4A075F6D6F32}" name="(Expected) Level"/>
    <tableColumn id="7" xr3:uid="{7EC7967E-2A29-4719-8992-15B9CD27B60B}" name="Remarks/clarification"/>
  </tableColumns>
  <tableStyleInfo name="Aloha-style" showFirstColumn="1" showLastColumn="1" showRowStripes="1" showColumnStripes="0"/>
</table>
</file>

<file path=xl/tables/table2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4" xr:uid="{89E7B574-14CC-45B2-ADB4-CCECE708C05C}" name="Table_3167325" displayName="Table_3167325" ref="A45:H50">
  <tableColumns count="8">
    <tableColumn id="1" xr3:uid="{0069CEFE-709E-4074-BD69-5B242EFA559D}" name="Group"/>
    <tableColumn id="2" xr3:uid="{9D792DF1-8D1C-4293-8E58-12775FB36A6A}" name="Group size"/>
    <tableColumn id="3" xr3:uid="{72D501EE-7B70-4D49-8D5E-25243B11F909}" name="Who"/>
    <tableColumn id="4" xr3:uid="{48370836-A937-4D6B-A65F-32C63654C753}" name="Type of Trainer"/>
    <tableColumn id="5" xr3:uid="{7FE351D7-0446-49A3-ACBF-D94589CB321D}" name="Training per week"/>
    <tableColumn id="6" xr3:uid="{97355765-CA2E-4C74-8379-3BCE681F4EB5}" name="Hours per week"/>
    <tableColumn id="7" xr3:uid="{1037C0C7-B603-4B89-94C9-46BE3BCE9945}" name="Coaching?"/>
    <tableColumn id="8" xr3:uid="{FE19EC06-A77F-47E2-8744-685086F7BA7C}" name="Remarks/clarification"/>
  </tableColumns>
  <tableStyleInfo name="Aloha-style 2" showFirstColumn="1" showLastColumn="1" showRowStripes="1" showColumnStripes="0"/>
</table>
</file>

<file path=xl/tables/table2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5" xr:uid="{DA805C7C-179E-40AE-A1E3-1A726508B7A3}" name="Table_4168326" displayName="Table_4168326" ref="A54:J67">
  <tableColumns count="10">
    <tableColumn id="1" xr3:uid="{32B8397D-98F0-445C-842E-A81FB3398A62}" name="Training group"/>
    <tableColumn id="2" xr3:uid="{6C5F78FE-DC79-47AE-8BE4-27561DC98DFA}" name="Type of training"/>
    <tableColumn id="3" xr3:uid="{C7C1048E-D11F-478B-84F8-CCF065495C01}" name="# Weeks"/>
    <tableColumn id="4" xr3:uid="{28FB864B-69BB-4C27-90A6-46B43E2C4C0D}" name="# Times/week"/>
    <tableColumn id="5" xr3:uid="{3BB45E6A-FF7C-41D1-B0EE-2C1EFE7A7935}" name="Total hours/week"/>
    <tableColumn id="6" xr3:uid="{DD56723F-FC5D-4F62-AC42-7BAD4D2525D8}" name="Total hours"/>
    <tableColumn id="7" xr3:uid="{D934C15E-84F9-4638-AAFF-542C5FF2F06F}" name="Name of trainer"/>
    <tableColumn id="8" xr3:uid="{EB742CCC-A159-405A-9914-AD0EDE1D19FD}" name="Type of trainer"/>
    <tableColumn id="9" xr3:uid="{04CDBC32-49BF-4CA1-950E-9AF007ED8A7C}" name="Hourly rate"/>
    <tableColumn id="10" xr3:uid="{9C139A1A-F0BD-4919-871D-6CB9BAA34442}" name="Remarks/Clarification"/>
  </tableColumns>
  <tableStyleInfo name="Aloha-style 3" showFirstColumn="1" showLastColumn="1" showRowStripes="1" showColumnStripes="0"/>
</table>
</file>

<file path=xl/tables/table2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6" xr:uid="{5C83962F-1A0F-4745-A76E-62C98FF1BAEC}" name="Table_5169327" displayName="Table_5169327" ref="A70:J87">
  <tableColumns count="10">
    <tableColumn id="1" xr3:uid="{DE32753C-A037-465D-9FBE-742CA526E874}" name="Training group"/>
    <tableColumn id="2" xr3:uid="{68F21949-1D65-4E37-A338-80271B177AF5}" name="Location"/>
    <tableColumn id="3" xr3:uid="{C19B40BC-BF4D-4595-AC43-DB5DF5EB2389}" name="Day"/>
    <tableColumn id="4" xr3:uid="{CDF65073-065B-4D3B-B2E5-63DE9B2FE782}" name="Duration [hours]"/>
    <tableColumn id="5" xr3:uid="{D4886B58-2F13-4A55-BFA1-C7306518302A}" name="Weeks"/>
    <tableColumn id="6" xr3:uid="{D47EA369-A4FE-4311-825C-40385F802AC0}" name="Hours total">
      <calculatedColumnFormula>Blueshell!$D71*Blueshell!$E71</calculatedColumnFormula>
    </tableColumn>
    <tableColumn id="7" xr3:uid="{4E231761-DA47-4425-9F97-0B396002D0F0}" name="Priority"/>
    <tableColumn id="8" xr3:uid="{C954EF02-9483-4797-BF1B-4BF2999DBCCA}" name="Hourly rate - unscaled">
      <calculatedColumnFormula>IF($B71= "","-",IF($B71= "External","Specify location tariff", INDEX(Constants!$3:$3,MATCH($B71,Constants!$2:$2,0))))</calculatedColumnFormula>
    </tableColumn>
    <tableColumn id="9" xr3:uid="{7E89BC06-6E14-4F60-8531-0018D3F685FC}" name="Total cost - unscaled" dataDxfId="50">
      <calculatedColumnFormula>IF($H71="-","-",IF($H71="Specify location tariff","-",$H71*$F71))</calculatedColumnFormula>
    </tableColumn>
    <tableColumn id="10" xr3:uid="{5F207851-6B26-47A2-8B1D-5B9922A4E5C7}" name="Remarks / Clarification" dataDxfId="49"/>
  </tableColumns>
  <tableStyleInfo name="Aloha-style 4" showFirstColumn="1" showLastColumn="1" showRowStripes="1" showColumnStripes="0"/>
</table>
</file>

<file path=xl/tables/table2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7" xr:uid="{11DF169B-A5F8-4499-ADC2-80CFE69AA664}" name="Table_6170328" displayName="Table_6170328" ref="A91:G105">
  <tableColumns count="7">
    <tableColumn id="1" xr3:uid="{497A3E6A-B29A-445F-B521-7478BBA6F93D}" name="Item"/>
    <tableColumn id="2" xr3:uid="{C32EE7D4-9636-4F80-A02C-78CFCADFB930}" name="Type (depreciation/maintenance)"/>
    <tableColumn id="3" xr3:uid="{A2817AB4-1D8D-4133-B9FC-6ECF3D5047F0}" name="Purchase / Running costs"/>
    <tableColumn id="4" xr3:uid="{6F07DE15-F48F-4DA5-BAD6-58D29539B7EB}" name="Depreciation period"/>
    <tableColumn id="5" xr3:uid="{CB4B7E3A-B8C6-405E-BF1C-6F745C31A4B6}" name="Amount"/>
    <tableColumn id="6" xr3:uid="{1DA22C9E-CA1D-4592-89EF-9D9FB0BF4692}" name="Costs per year" dataDxfId="48">
      <calculatedColumnFormula>IF(Table_6170328[[#This Row],[Item]]="",0,Table_6170328[[#This Row],[Amount]]*Table_6170328[[#This Row],[Purchase / Running costs]]/Table_6170328[[#This Row],[Depreciation period]])</calculatedColumnFormula>
    </tableColumn>
    <tableColumn id="7" xr3:uid="{FE1C7997-26BA-4A47-BF6C-F3EFDCC30D21}" name="Remarks / Clarification"/>
  </tableColumns>
  <tableStyleInfo name="Aloha-style 5" showFirstColumn="1" showLastColumn="1" showRowStripes="1" showColumnStripes="0"/>
</table>
</file>

<file path=xl/tables/table2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4" xr:uid="{347E1708-27C6-4752-9FD8-1BAEAF9CB4B9}" name="Table_6170171335" displayName="Table_6170171335" ref="AD29:AF40" headerRowDxfId="47" dataDxfId="46" tableBorderDxfId="45">
  <tableColumns count="3">
    <tableColumn id="1" xr3:uid="{19A95C63-8A55-40F9-8DBD-C20A31A2B762}" name="Item" dataDxfId="44">
      <calculatedColumnFormula>IF($B$12="individual",Constants!F55,Constants!L55)</calculatedColumnFormula>
    </tableColumn>
    <tableColumn id="2" xr3:uid="{29D48ABF-B263-4B50-85CB-F13AF124E214}" name="Type (depreciation/maintenance)" dataDxfId="43">
      <calculatedColumnFormula>B7</calculatedColumnFormula>
    </tableColumn>
    <tableColumn id="3" xr3:uid="{19FECA78-D004-48D6-8DF4-0FFEE943380B}" name="Score" dataDxfId="42">
      <calculatedColumnFormula>IF(AE30&gt;301,5,IF(AE30&gt;176,4,IF(AE30&gt;101,3,IF(AE30&gt;51,2,1))))</calculatedColumnFormula>
    </tableColumn>
  </tableColumns>
  <tableStyleInfo name="Aloha-style 5" showFirstColumn="1" showLastColumn="1" showRowStripes="1" showColumnStripes="0"/>
</table>
</file>

<file path=xl/tables/table2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5" xr:uid="{FD2A97C0-CCC6-4782-8106-1B61ACFDCF02}" name="Table_2166336" displayName="Table_2166336" ref="A37:G42">
  <tableColumns count="7">
    <tableColumn id="1" xr3:uid="{F1D9CE53-9456-4310-B004-7B54F9F6117C}" name="Group"/>
    <tableColumn id="2" xr3:uid="{2701BC1C-FCE1-4E7C-9E04-F63212363313}" name="Group size" dataDxfId="38"/>
    <tableColumn id="3" xr3:uid="{977F80CC-C5F1-4E91-ACAE-008D5A75FCEE}" name="Trainings per week"/>
    <tableColumn id="4" xr3:uid="{1600EC11-7A02-425C-B99C-4C4B58F7F064}" name="Weeks per year" dataDxfId="37"/>
    <tableColumn id="5" xr3:uid="{B05C43EA-97D6-44A0-BE3C-AD4DB33A83CF}" name="Type of trainer"/>
    <tableColumn id="6" xr3:uid="{3C518D22-64F7-4260-9976-756577513193}" name="(Expected) Level"/>
    <tableColumn id="7" xr3:uid="{D1A1FAF7-1E38-4AA3-8899-040B666A1C40}" name="Remarks/clarification"/>
  </tableColumns>
  <tableStyleInfo name="Aloha-style" showFirstColumn="1" showLastColumn="1" showRowStripes="1" showColumnStripes="0"/>
</table>
</file>

<file path=xl/tables/table2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6" xr:uid="{15DB75DF-20D6-489C-8A70-5C17412E3C31}" name="Table_3167337" displayName="Table_3167337" ref="A45:H50">
  <tableColumns count="8">
    <tableColumn id="1" xr3:uid="{C23ED5A9-5DB0-4B4E-BC75-B2AE999C10EB}" name="Group"/>
    <tableColumn id="2" xr3:uid="{A3B2DE13-4CB9-43AF-A04D-80D6A540BF8A}" name="Group size"/>
    <tableColumn id="3" xr3:uid="{451A0BBD-D97F-433C-9971-461853F5D7D8}" name="Who"/>
    <tableColumn id="4" xr3:uid="{4A1F1791-B0EB-4679-8570-A6CF2C5DC79A}" name="Type of Trainer"/>
    <tableColumn id="5" xr3:uid="{DC349E71-BEA8-4970-BE91-9B775FF2CD9D}" name="Training per week"/>
    <tableColumn id="6" xr3:uid="{E2349483-35B9-45A3-8B45-A81CF4E4E91F}" name="Hours per week"/>
    <tableColumn id="7" xr3:uid="{FC7A34C0-48BD-4343-B279-55C9E47BD84A}" name="Coaching?"/>
    <tableColumn id="8" xr3:uid="{BEFAE475-95E8-403A-B406-4985CB2179A4}" name="Remarks/clarification"/>
  </tableColumns>
  <tableStyleInfo name="Aloha-style 2" showFirstColumn="1" showLastColumn="1" showRowStripes="1" showColumnStripes="0"/>
</table>
</file>

<file path=xl/tables/table2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7" xr:uid="{B3DB329B-06D8-4443-929A-FB6B9915EF24}" name="Table_4168338" displayName="Table_4168338" ref="A54:J67">
  <tableColumns count="10">
    <tableColumn id="1" xr3:uid="{AA95CF9A-27C5-4242-B0F0-3ACB05B38D80}" name="Training group"/>
    <tableColumn id="2" xr3:uid="{8A97AE2B-1259-423A-AFEF-05B63AF4C18C}" name="Type of training"/>
    <tableColumn id="3" xr3:uid="{FEDAB6A1-0EC2-4696-8EE3-5511C3616557}" name="# Weeks"/>
    <tableColumn id="4" xr3:uid="{7B8F0C42-18FE-42E5-B018-8AE6B19353A5}" name="# Times/week"/>
    <tableColumn id="5" xr3:uid="{35A9532D-BAEC-482E-89AF-FA55C74CBEA1}" name="Total hours/week"/>
    <tableColumn id="6" xr3:uid="{D775CC22-47D5-4572-A8B3-B8E292FF6A1B}" name="Total hours"/>
    <tableColumn id="7" xr3:uid="{88492F2E-404F-42DC-A664-7C06A03540B4}" name="Name of trainer"/>
    <tableColumn id="8" xr3:uid="{E3A94155-7DA4-4A53-92C7-4EE1CC60338D}" name="Type of trainer"/>
    <tableColumn id="9" xr3:uid="{90617AA4-003F-45AE-974B-BEC8DEA25117}" name="Hourly rate"/>
    <tableColumn id="10" xr3:uid="{600A5E25-598C-48A6-8F3B-94ADF3A53848}" name="Remarks/Clarification"/>
  </tableColumns>
  <tableStyleInfo name="Aloha-style 3" showFirstColumn="1" showLastColumn="1"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FB5ABBB4-A008-42E8-8919-61A7A6D86905}" name="Table_3167108" displayName="Table_3167108" ref="A45:H50" tableBorderDxfId="767">
  <tableColumns count="8">
    <tableColumn id="1" xr3:uid="{2B005AD0-BB4B-431B-8614-FB1CD8B06E5C}" name="Group"/>
    <tableColumn id="2" xr3:uid="{26648528-0885-4ED5-AC7C-2632FFE5BFBA}" name="Group size"/>
    <tableColumn id="3" xr3:uid="{24E279D0-0151-4503-A113-5269932DDE1B}" name="Who"/>
    <tableColumn id="4" xr3:uid="{C7E453E3-E782-47F0-A2E4-7A7CE7B25062}" name="Type of Trainer"/>
    <tableColumn id="5" xr3:uid="{22539AE0-1FFA-4E8A-99B5-8A8BE3127EAD}" name="Training per week"/>
    <tableColumn id="6" xr3:uid="{B1E4DE82-0BF4-432E-A97D-3B0FC48B7760}" name="Hours per week"/>
    <tableColumn id="7" xr3:uid="{F98865DF-1C32-487A-BF34-726786241DAA}" name="Coaching?"/>
    <tableColumn id="8" xr3:uid="{1208FFD4-5A51-4C0C-845E-65DD6394C6CD}" name="Remarks/clarification"/>
  </tableColumns>
  <tableStyleInfo name="Aloha-style 2" showFirstColumn="1" showLastColumn="1" showRowStripes="1" showColumnStripes="0"/>
</table>
</file>

<file path=xl/tables/table2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8" xr:uid="{BF5A00BD-CD4E-46F0-8EB2-766292D5E446}" name="Table_5169339" displayName="Table_5169339" ref="A70:J87">
  <tableColumns count="10">
    <tableColumn id="1" xr3:uid="{88F546C7-8D56-4F02-8905-DDA200F0F64A}" name="Training group"/>
    <tableColumn id="2" xr3:uid="{74B5DE01-302B-47B2-9963-10478F90ACAD}" name="Location"/>
    <tableColumn id="3" xr3:uid="{506EB172-02FF-474F-A116-951201024B5B}" name="Day"/>
    <tableColumn id="4" xr3:uid="{5CCF1A1E-EBC2-4D01-89C3-3916EC97B32E}" name="Duration [hours]"/>
    <tableColumn id="5" xr3:uid="{2C954BD3-8058-46A5-A57D-14D5391AE7C2}" name="Weeks"/>
    <tableColumn id="6" xr3:uid="{0E66AB2B-479D-46AF-B39F-371AA34D488F}" name="Hours total">
      <calculatedColumnFormula>Klokus!$D71*Klokus!$E71</calculatedColumnFormula>
    </tableColumn>
    <tableColumn id="7" xr3:uid="{D3D8D9A3-E679-4329-9792-C711859B8628}" name="Priority"/>
    <tableColumn id="8" xr3:uid="{24147BA3-F37A-4663-9F8F-86B35BD01A41}" name="Hourly rate - unscaled">
      <calculatedColumnFormula>IF($B71= "","-",IF($B71= "External","Specify location tariff", INDEX(Constants!$3:$3,MATCH($B71,Constants!$2:$2,0))))</calculatedColumnFormula>
    </tableColumn>
    <tableColumn id="9" xr3:uid="{ADC23737-0E8E-4EEB-85FD-9D12AFE5B219}" name="Total cost - unscaled" dataDxfId="36">
      <calculatedColumnFormula>IF($H71="-","-",IF($H71="Specify location tariff","-",$H71*$F71))</calculatedColumnFormula>
    </tableColumn>
    <tableColumn id="10" xr3:uid="{633E2B96-5839-46F0-904D-E5B1DBF728C2}" name="Remarks / Clarification" dataDxfId="35"/>
  </tableColumns>
  <tableStyleInfo name="Aloha-style 4" showFirstColumn="1" showLastColumn="1" showRowStripes="1" showColumnStripes="0"/>
</table>
</file>

<file path=xl/tables/table2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9" xr:uid="{713C1905-F5EA-4B94-B2EE-D0DCACF35768}" name="Table_6170340" displayName="Table_6170340" ref="A91:G105">
  <tableColumns count="7">
    <tableColumn id="1" xr3:uid="{05CF1317-306F-415B-93C2-431B1E2B6C30}" name="Item"/>
    <tableColumn id="2" xr3:uid="{8066A2DD-EB7F-416F-8DEF-0FD37B63559D}" name="Type (depreciation/maintenance)"/>
    <tableColumn id="3" xr3:uid="{F91F5502-7FC0-499D-B998-91FCD316C94C}" name="Purchase / Running costs"/>
    <tableColumn id="4" xr3:uid="{7ABC95D3-5046-43C1-A78D-43E49505BA4B}" name="Depreciation period"/>
    <tableColumn id="5" xr3:uid="{7ED34E21-A418-493E-B070-2D4F2452456B}" name="Amount"/>
    <tableColumn id="6" xr3:uid="{5F9746D1-FDF7-4FAD-8469-30C2D667C030}" name="Costs per year" dataDxfId="34">
      <calculatedColumnFormula>IF(Table_6170340[[#This Row],[Item]]="",0,Table_6170340[[#This Row],[Amount]]*Table_6170340[[#This Row],[Purchase / Running costs]]/Table_6170340[[#This Row],[Depreciation period]])</calculatedColumnFormula>
    </tableColumn>
    <tableColumn id="7" xr3:uid="{B071EBF9-15E3-4CAF-8832-9B0DFFB175A6}" name="Remarks / Clarification"/>
  </tableColumns>
  <tableStyleInfo name="Aloha-style 5" showFirstColumn="1" showLastColumn="1" showRowStripes="1" showColumnStripes="0"/>
</table>
</file>

<file path=xl/tables/table2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0" xr:uid="{0B4E5F74-6EB5-4A03-85E8-1475DE6679A2}" name="Table_6170171341" displayName="Table_6170171341" ref="AD29:AF40" headerRowDxfId="33" dataDxfId="32" tableBorderDxfId="31">
  <tableColumns count="3">
    <tableColumn id="1" xr3:uid="{7E6E4824-6B17-445B-9373-41C37E118A2A}" name="Item" dataDxfId="30">
      <calculatedColumnFormula>IF($B$12="individual",Constants!F55,Constants!L55)</calculatedColumnFormula>
    </tableColumn>
    <tableColumn id="2" xr3:uid="{03D0B6DF-FB7C-4944-BB97-DB041D3F34DF}" name="Type (depreciation/maintenance)" dataDxfId="29">
      <calculatedColumnFormula>B7</calculatedColumnFormula>
    </tableColumn>
    <tableColumn id="3" xr3:uid="{09FC60A8-0626-4753-83D1-03CAB8C45344}" name="Score" dataDxfId="28">
      <calculatedColumnFormula>IF(AE30&gt;301,5,IF(AE30&gt;176,4,IF(AE30&gt;101,3,IF(AE30&gt;51,2,1))))</calculatedColumnFormula>
    </tableColumn>
  </tableColumns>
  <tableStyleInfo name="Aloha-style 5" showFirstColumn="1" showLastColumn="1" showRowStripes="1" showColumnStripes="0"/>
</table>
</file>

<file path=xl/tables/table2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6445C474-330D-41C5-9AC6-2AE7728854EA}" name="Table_21663248" displayName="Table_21663248" ref="A37:G42">
  <tableColumns count="7">
    <tableColumn id="1" xr3:uid="{594F088D-93C1-4A4D-8B85-EC97A0BAC7BE}" name="Group"/>
    <tableColumn id="2" xr3:uid="{498C2E0A-F2B4-4B32-BDA8-35F595B551B6}" name="Group size" dataDxfId="24"/>
    <tableColumn id="3" xr3:uid="{F9C457F7-3C8B-4D2C-AFA9-C4671AB59B56}" name="Trainings per week"/>
    <tableColumn id="4" xr3:uid="{2B929B02-AAD3-448F-87F9-0A8B695C6710}" name="Weeks per year" dataDxfId="23"/>
    <tableColumn id="5" xr3:uid="{7200810B-AFF7-4B6B-BB50-A974288B94DA}" name="Type of trainer"/>
    <tableColumn id="6" xr3:uid="{C808CBC3-9DCD-4EC6-B8DF-461440B20AC8}" name="(Expected) Level"/>
    <tableColumn id="7" xr3:uid="{DAFF66CA-999A-4C8C-BCCE-7147F2476E45}" name="Remarks/clarification"/>
  </tableColumns>
  <tableStyleInfo name="Aloha-style" showFirstColumn="1" showLastColumn="1" showRowStripes="1" showColumnStripes="0"/>
</table>
</file>

<file path=xl/tables/table2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65D14C09-DF90-43ED-9ABB-3B17ACB10529}" name="Table_31673259" displayName="Table_31673259" ref="A45:H50">
  <tableColumns count="8">
    <tableColumn id="1" xr3:uid="{F7E173FA-5C7E-4BDC-B6DE-75FDAB86BB29}" name="Group"/>
    <tableColumn id="2" xr3:uid="{05898912-F900-44A7-8B1B-D376EA00F98A}" name="Group size"/>
    <tableColumn id="3" xr3:uid="{488F3DAC-ED3C-438E-A96F-931C66220BB7}" name="Who"/>
    <tableColumn id="4" xr3:uid="{EC2D98B1-8B2F-462A-88F6-993EF4A392B4}" name="Type of Trainer"/>
    <tableColumn id="5" xr3:uid="{8CBD7A43-DB05-47CC-BA6D-3DA54FE594BB}" name="Training per week"/>
    <tableColumn id="6" xr3:uid="{0431D78D-9124-43B6-83D8-59A267A6ABAA}" name="Hours per week"/>
    <tableColumn id="7" xr3:uid="{CBBEE382-3EEB-4E4A-BD91-CB6A45814913}" name="Coaching?"/>
    <tableColumn id="8" xr3:uid="{797B57B0-1D0C-4F80-AD66-2110E5E4687D}" name="Remarks/clarification"/>
  </tableColumns>
  <tableStyleInfo name="Aloha-style 2" showFirstColumn="1" showLastColumn="1" showRowStripes="1" showColumnStripes="0"/>
</table>
</file>

<file path=xl/tables/table2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50B9D0E6-A7F4-4929-B455-54F1C2D87AAF}" name="Table_416832610" displayName="Table_416832610" ref="A54:J67">
  <tableColumns count="10">
    <tableColumn id="1" xr3:uid="{DD577226-BC49-4407-9F8B-1CB40679DD41}" name="Training group"/>
    <tableColumn id="2" xr3:uid="{58EDBC2B-5BF3-4135-AF00-FAB1CFF11109}" name="Type of training"/>
    <tableColumn id="3" xr3:uid="{FAAF36F2-D060-44D9-A616-79360E85895A}" name="# Weeks"/>
    <tableColumn id="4" xr3:uid="{2D6A8618-25F1-4153-A78C-A7D616851792}" name="# Times/week"/>
    <tableColumn id="5" xr3:uid="{3E54B7C6-9301-4F07-AB33-90409E5E0963}" name="Total hours/week"/>
    <tableColumn id="6" xr3:uid="{F6AF8F85-99AB-4E09-9FF7-75697BC09F86}" name="Total hours"/>
    <tableColumn id="7" xr3:uid="{A3F0FC91-0F08-4761-9A19-C80B8F8F74DA}" name="Name of trainer"/>
    <tableColumn id="8" xr3:uid="{DA662EBD-C704-4EEC-B975-D35AC309831F}" name="Type of trainer"/>
    <tableColumn id="9" xr3:uid="{0F8BC448-4865-4AB7-BA6F-55C6F09F4385}" name="Hourly rate"/>
    <tableColumn id="10" xr3:uid="{A342F1E7-EFCC-4535-80CB-0184CCCA5A79}" name="Remarks/Clarification"/>
  </tableColumns>
  <tableStyleInfo name="Aloha-style 3" showFirstColumn="1" showLastColumn="1" showRowStripes="1" showColumnStripes="0"/>
</table>
</file>

<file path=xl/tables/table2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B6EA84B-B5C1-4B9D-B0ED-C926295A3DBF}" name="Table_516932711" displayName="Table_516932711" ref="A70:J87">
  <tableColumns count="10">
    <tableColumn id="1" xr3:uid="{07A787BA-2382-4330-9F0A-16FF9FF451CB}" name="Training group"/>
    <tableColumn id="2" xr3:uid="{53A78B6F-C060-4935-B627-79AD6B28F026}" name="Location"/>
    <tableColumn id="3" xr3:uid="{57D09ED9-429A-4686-87C2-60FA11159F06}" name="Day"/>
    <tableColumn id="4" xr3:uid="{7271B16A-5670-4A1B-862C-519221D4CC45}" name="Duration [hours]"/>
    <tableColumn id="5" xr3:uid="{D018686E-FB26-4ABC-BFA0-B087D93AEE3C}" name="Weeks"/>
    <tableColumn id="6" xr3:uid="{D02600E0-3E2C-4D07-8A92-CEE2E7C20661}" name="Hours total">
      <calculatedColumnFormula>Leap!$D71*Leap!$E71</calculatedColumnFormula>
    </tableColumn>
    <tableColumn id="7" xr3:uid="{9E49D15B-65B5-46BF-BEE9-F295B3A70DC1}" name="Priority"/>
    <tableColumn id="8" xr3:uid="{8E3420E8-A148-4126-A88A-E48721FC3C6D}" name="Hourly rate - unscaled">
      <calculatedColumnFormula>IF($B71= "","-",IF($B71= "External","Specify location tariff", INDEX(Constants!$3:$3,MATCH($B71,Constants!$2:$2,0))))</calculatedColumnFormula>
    </tableColumn>
    <tableColumn id="9" xr3:uid="{71A0037B-84BA-4BDB-8E5C-DAB12D977FBD}" name="Total cost - unscaled" dataDxfId="22">
      <calculatedColumnFormula>IF($H71="-","-",IF($H71="Specify location tariff","-",$H71*$F71))</calculatedColumnFormula>
    </tableColumn>
    <tableColumn id="10" xr3:uid="{61D9FABF-C27A-4D93-938D-BCD716AB95C0}" name="Remarks / Clarification" dataDxfId="21"/>
  </tableColumns>
  <tableStyleInfo name="Aloha-style 4" showFirstColumn="1" showLastColumn="1" showRowStripes="1" showColumnStripes="0"/>
</table>
</file>

<file path=xl/tables/table2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A3A96E34-ED31-40AB-AF28-88D4EDCBB48E}" name="Table_617032812" displayName="Table_617032812" ref="A91:G105">
  <tableColumns count="7">
    <tableColumn id="1" xr3:uid="{CC142788-CA7E-4228-8F38-63E4579EEFC4}" name="Item"/>
    <tableColumn id="2" xr3:uid="{C705E448-1220-4268-ABE0-D5CE2ECD8E4A}" name="Type (depreciation/maintenance)"/>
    <tableColumn id="3" xr3:uid="{53CFA932-5410-4AC8-9545-9EF5956F3F94}" name="Purchase / Running costs"/>
    <tableColumn id="4" xr3:uid="{DDE3680B-E2C8-4441-9444-43050E0F9EC5}" name="Depreciation period"/>
    <tableColumn id="5" xr3:uid="{B6E472E2-B789-4561-AEEF-F4AD1C982F76}" name="Amount"/>
    <tableColumn id="6" xr3:uid="{7FFBEA56-048B-41C1-9C38-EBA849798C8B}" name="Costs per year" dataDxfId="20">
      <calculatedColumnFormula>IF(Table_617032812[[#This Row],[Item]]="",0,Table_617032812[[#This Row],[Amount]]*Table_617032812[[#This Row],[Purchase / Running costs]]/Table_617032812[[#This Row],[Depreciation period]])</calculatedColumnFormula>
    </tableColumn>
    <tableColumn id="7" xr3:uid="{EBA0F5BF-2789-4C59-8468-F8ABEAE6ABDE}" name="Remarks / Clarification"/>
  </tableColumns>
  <tableStyleInfo name="Aloha-style 5" showFirstColumn="1" showLastColumn="1" showRowStripes="1" showColumnStripes="0"/>
</table>
</file>

<file path=xl/tables/table2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596BAD6A-4043-4C00-9186-FF98A9527CBB}" name="Table_617017133513" displayName="Table_617017133513" ref="AD29:AF40" headerRowDxfId="19" dataDxfId="18" tableBorderDxfId="17">
  <tableColumns count="3">
    <tableColumn id="1" xr3:uid="{87E6D853-7573-4ECB-B362-D90D11268E39}" name="Item" dataDxfId="16">
      <calculatedColumnFormula>IF($B$12="individual",Constants!F55,Constants!L55)</calculatedColumnFormula>
    </tableColumn>
    <tableColumn id="2" xr3:uid="{E13E466E-C931-448E-8364-0BC23BF8ECA3}" name="Type (depreciation/maintenance)" dataDxfId="15">
      <calculatedColumnFormula>B7</calculatedColumnFormula>
    </tableColumn>
    <tableColumn id="3" xr3:uid="{7F7B9565-E0F3-4FFC-AEEB-63D3B8F5411C}" name="Score" dataDxfId="14">
      <calculatedColumnFormula>IF(AE30&gt;301,5,IF(AE30&gt;176,4,IF(AE30&gt;101,3,IF(AE30&gt;51,2,1))))</calculatedColumnFormula>
    </tableColumn>
  </tableColumns>
  <tableStyleInfo name="Aloha-style 5" showFirstColumn="1" showLastColumn="1" showRowStripes="1" showColumnStripes="0"/>
</table>
</file>

<file path=xl/tables/table2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1" xr:uid="{FA3AADF7-C588-41F6-9154-84718554C909}" name="Table_2166342" displayName="Table_2166342" ref="A37:G42">
  <tableColumns count="7">
    <tableColumn id="1" xr3:uid="{1EB7DD35-FA88-432F-88F6-269844F77F22}" name="Group"/>
    <tableColumn id="2" xr3:uid="{424AA424-6118-4695-B649-9AD9CEA8AD02}" name="Group size" dataDxfId="10"/>
    <tableColumn id="3" xr3:uid="{7A86EFBB-4D78-40CE-9FAD-D074A1F24ED5}" name="Trainings per week"/>
    <tableColumn id="4" xr3:uid="{C04B7797-A3D4-476B-BD21-5D21D2B98CC0}" name="Weeks per year" dataDxfId="9"/>
    <tableColumn id="5" xr3:uid="{38B81974-9026-4DB3-9B63-6996DFD6E030}" name="Type of trainer"/>
    <tableColumn id="6" xr3:uid="{74F07A6E-4CD7-4A23-A7E2-505E0678FB41}" name="(Expected) Level"/>
    <tableColumn id="7" xr3:uid="{0F1D16D6-82AA-40F5-BCA8-ABFB5FEAB7DC}" name="Remarks/clarification"/>
  </tableColumns>
  <tableStyleInfo name="Aloha-style" showFirstColumn="1" showLastColumn="1"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79700A0B-876D-4A4F-88A1-29848E9EB9B3}" name="Table_4168109" displayName="Table_4168109" ref="A54:J67" tableBorderDxfId="766">
  <tableColumns count="10">
    <tableColumn id="1" xr3:uid="{A72ECC74-BA96-44FA-92CE-B4C665BAE240}" name="Training group"/>
    <tableColumn id="2" xr3:uid="{FCD94E7F-9E35-45D2-ABF9-E6E2757F2317}" name="Type of training"/>
    <tableColumn id="3" xr3:uid="{2E775055-5EFB-42A8-ACBC-E9FA0EFA18D8}" name="# Weeks"/>
    <tableColumn id="4" xr3:uid="{F30464DF-381E-41EE-81D3-49EB3197427B}" name="# Times/week"/>
    <tableColumn id="5" xr3:uid="{F9D9B23B-CD08-4C5A-82B4-BB3E1D5507B7}" name="Total hours/week"/>
    <tableColumn id="6" xr3:uid="{4CBE09F0-F6AD-4BB8-AC49-F1697553339B}" name="Total hours"/>
    <tableColumn id="7" xr3:uid="{8708BB6C-FFC3-4A9D-9B7F-CE0AAE4F3B7D}" name="Name of trainer"/>
    <tableColumn id="8" xr3:uid="{18982661-4116-4F4F-AF6A-20C291BDE4FC}" name="Type of trainer"/>
    <tableColumn id="9" xr3:uid="{2A03C3B9-90BD-4ABE-B7E4-2F7D8EDF52B0}" name="Hourly rate"/>
    <tableColumn id="10" xr3:uid="{765CF5B9-0C7F-4B66-BEA9-905642086FFB}" name="Remarks/Clarification"/>
  </tableColumns>
  <tableStyleInfo name="Aloha-style 3" showFirstColumn="1" showLastColumn="1" showRowStripes="1" showColumnStripes="0"/>
</table>
</file>

<file path=xl/tables/table2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2" xr:uid="{3792906B-4ED4-43EC-8680-A5976CF8F97C}" name="Table_3167343" displayName="Table_3167343" ref="A45:H50">
  <tableColumns count="8">
    <tableColumn id="1" xr3:uid="{A4D6F3CB-2B3B-4EB0-8240-CF0CD0C9ABD7}" name="Group"/>
    <tableColumn id="2" xr3:uid="{973C9971-1C58-4A32-BAFD-56285069C201}" name="Group size"/>
    <tableColumn id="3" xr3:uid="{AB8FF8CD-303F-4628-B557-5629625575F6}" name="Who"/>
    <tableColumn id="4" xr3:uid="{1A22CBE3-F1E9-436F-8850-C58244FBC894}" name="Type of Trainer"/>
    <tableColumn id="5" xr3:uid="{BEDC35F9-642B-4681-8EAB-20F94AF39331}" name="Training per week"/>
    <tableColumn id="6" xr3:uid="{8B5470BD-6F4C-4381-A94B-3DCBC157AD2F}" name="Hours per week"/>
    <tableColumn id="7" xr3:uid="{F346DF27-184A-43F7-B0BF-7744C9332BCB}" name="Coaching?"/>
    <tableColumn id="8" xr3:uid="{580D579F-2ABE-40B1-BAB2-BD34B13A6175}" name="Remarks/clarification"/>
  </tableColumns>
  <tableStyleInfo name="Aloha-style 2" showFirstColumn="1" showLastColumn="1" showRowStripes="1" showColumnStripes="0"/>
</table>
</file>

<file path=xl/tables/table2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3" xr:uid="{F341F101-2C53-4AFB-81AB-2C5E9254EB70}" name="Table_4168344" displayName="Table_4168344" ref="A54:J67">
  <tableColumns count="10">
    <tableColumn id="1" xr3:uid="{91E9C710-A0D3-437C-8A8E-219ACD2A55B7}" name="Training group"/>
    <tableColumn id="2" xr3:uid="{E8087E60-9A5D-47B1-8C9E-8A0C56129698}" name="Type of training"/>
    <tableColumn id="3" xr3:uid="{F9D34970-1374-4938-A3DF-C5A962ACD180}" name="# Weeks"/>
    <tableColumn id="4" xr3:uid="{2AB11D8B-572B-4F62-BA23-2BB018A85FA8}" name="# Times/week"/>
    <tableColumn id="5" xr3:uid="{E4A1A4D9-3895-4AA3-9333-B5AE0E0AB515}" name="Total hours/week"/>
    <tableColumn id="6" xr3:uid="{18FD9C78-C03E-4869-A75D-7075A7CB41ED}" name="Total hours"/>
    <tableColumn id="7" xr3:uid="{01051D43-1B4D-447E-B85B-B6A3BAE3E96F}" name="Name of trainer"/>
    <tableColumn id="8" xr3:uid="{42B89AC6-0945-43C6-B15C-C939FCDDC83B}" name="Type of trainer"/>
    <tableColumn id="9" xr3:uid="{A7628C73-DADB-41EE-832E-8FC100D9934A}" name="Hourly rate"/>
    <tableColumn id="10" xr3:uid="{9B3A59E2-2EE4-4D4F-8218-4DA0B770F2BC}" name="Remarks/Clarification"/>
  </tableColumns>
  <tableStyleInfo name="Aloha-style 3" showFirstColumn="1" showLastColumn="1" showRowStripes="1" showColumnStripes="0"/>
</table>
</file>

<file path=xl/tables/table2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4" xr:uid="{F128C097-2B8C-4040-A1E4-007ABCE8B1BA}" name="Table_5169345" displayName="Table_5169345" ref="A70:J87">
  <tableColumns count="10">
    <tableColumn id="1" xr3:uid="{542FDBD9-CBE2-44A2-A32C-2A97DEB4271A}" name="Training group"/>
    <tableColumn id="2" xr3:uid="{A5791FE4-834B-420D-B23F-C36344720205}" name="Location"/>
    <tableColumn id="3" xr3:uid="{1ADDC3C1-6614-4929-A473-D18E4B49B438}" name="Day"/>
    <tableColumn id="4" xr3:uid="{B888BC7D-038B-4F65-B674-87869059A922}" name="Duration [hours]"/>
    <tableColumn id="5" xr3:uid="{FA1F50D6-E6B8-45E5-9BDE-4F4295178848}" name="Weeks"/>
    <tableColumn id="6" xr3:uid="{81916B13-4E71-4B7A-BBAD-D820F30DDAFE}" name="Hours total">
      <calculatedColumnFormula>TheStrals!$D71*TheStrals!$E71</calculatedColumnFormula>
    </tableColumn>
    <tableColumn id="7" xr3:uid="{99FC0374-46C0-4C4B-B67E-1B1DB2EC9FB1}" name="Priority"/>
    <tableColumn id="8" xr3:uid="{EAD02E78-799D-4E4B-B33E-3C40C4C96C4A}" name="Hourly rate - unscaled">
      <calculatedColumnFormula>IF($B71= "","-",IF($B71= "External","Specify location tariff", INDEX(Constants!$3:$3,MATCH($B71,Constants!$2:$2,0))))</calculatedColumnFormula>
    </tableColumn>
    <tableColumn id="9" xr3:uid="{55A39211-B184-4AD7-AAB3-1AA66F445D26}" name="Total cost - unscaled" dataDxfId="8">
      <calculatedColumnFormula>IF($H71="-","-",IF($H71="Specify location tariff","-",$H71*$F71))</calculatedColumnFormula>
    </tableColumn>
    <tableColumn id="10" xr3:uid="{40B08E26-C328-43FF-9E82-A4A62C909271}" name="Remarks / Clarification" dataDxfId="7"/>
  </tableColumns>
  <tableStyleInfo name="Aloha-style 4" showFirstColumn="1" showLastColumn="1" showRowStripes="1" showColumnStripes="0"/>
</table>
</file>

<file path=xl/tables/table2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5" xr:uid="{39AA9D0A-3004-4E95-A8A2-3D0A008641F6}" name="Table_6170346" displayName="Table_6170346" ref="A91:G105">
  <tableColumns count="7">
    <tableColumn id="1" xr3:uid="{A3FD6347-CFA4-4131-A40A-D343C5C6EBA3}" name="Item"/>
    <tableColumn id="2" xr3:uid="{61DBDDDB-14DA-4F8A-A8D0-EC42B8C29006}" name="Type (depreciation/maintenance)"/>
    <tableColumn id="3" xr3:uid="{DFA41EEA-BF7A-4906-B126-0F2B2405BF8F}" name="Purchase / Running costs"/>
    <tableColumn id="4" xr3:uid="{CA77D523-AF1C-474D-9F19-84EA39EAD15D}" name="Depreciation period"/>
    <tableColumn id="5" xr3:uid="{B98F4293-F4CF-460A-B300-4E932D8FDA91}" name="Amount"/>
    <tableColumn id="6" xr3:uid="{6E4E4DC6-ABF6-4F80-9AD4-17EEDE960033}" name="Costs per year" dataDxfId="6">
      <calculatedColumnFormula>IF(Table_6170346[[#This Row],[Item]]="",0,Table_6170346[[#This Row],[Amount]]*Table_6170346[[#This Row],[Purchase / Running costs]]/Table_6170346[[#This Row],[Depreciation period]])</calculatedColumnFormula>
    </tableColumn>
    <tableColumn id="7" xr3:uid="{A3C52A56-BD7E-4A91-8A92-39632F0B9E89}" name="Remarks / Clarification"/>
  </tableColumns>
  <tableStyleInfo name="Aloha-style 5" showFirstColumn="1" showLastColumn="1" showRowStripes="1" showColumnStripes="0"/>
</table>
</file>

<file path=xl/tables/table2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6" xr:uid="{04611EC6-D978-4341-A4AA-41CA9774009B}" name="Table_6170171347" displayName="Table_6170171347" ref="AD29:AF40" headerRowDxfId="5" dataDxfId="4" tableBorderDxfId="3">
  <tableColumns count="3">
    <tableColumn id="1" xr3:uid="{2B2D245A-45E5-4C0A-B1DD-6EA331554368}" name="Item" dataDxfId="2">
      <calculatedColumnFormula>IF($B$12="individual",Constants!F55,Constants!L55)</calculatedColumnFormula>
    </tableColumn>
    <tableColumn id="2" xr3:uid="{DB43E06C-0A1A-425F-99AE-83F9E22F31D5}" name="Type (depreciation/maintenance)" dataDxfId="1">
      <calculatedColumnFormula>B7</calculatedColumnFormula>
    </tableColumn>
    <tableColumn id="3" xr3:uid="{FF5FEA14-CEAE-4F4E-9F6C-2C28121E6687}" name="Score" dataDxfId="0">
      <calculatedColumnFormula>IF(AE30&gt;301,5,IF(AE30&gt;176,4,IF(AE30&gt;101,3,IF(AE30&gt;51,2,1))))</calculatedColumnFormula>
    </tableColumn>
  </tableColumns>
  <tableStyleInfo name="Aloha-style 5" showFirstColumn="1" showLastColumn="1"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2CA44AC4-9D70-4878-A06C-F1728E692D88}" name="Table_5169110" displayName="Table_5169110" ref="A70:J87" tableBorderDxfId="765">
  <tableColumns count="10">
    <tableColumn id="1" xr3:uid="{62C549FB-43EC-4D2B-8D9F-27EA73651E3B}" name="Training group"/>
    <tableColumn id="2" xr3:uid="{3AD47835-CBCE-4F0B-B857-402010FAC910}" name="Location"/>
    <tableColumn id="3" xr3:uid="{337893AF-DB01-46B7-8085-768CA86A2197}" name="Day"/>
    <tableColumn id="4" xr3:uid="{646AA34A-7920-47D7-AF41-E954AF95B230}" name="Duration [hours]"/>
    <tableColumn id="5" xr3:uid="{1E9ED5B8-E87D-4C12-9BF6-4638F88C2F9E}" name="Weeks"/>
    <tableColumn id="6" xr3:uid="{B15E043F-36A3-40A5-86D5-731D24FD2A4E}" name="Hours total">
      <calculatedColumnFormula>Buitenwesten!$D71*Buitenwesten!$E71</calculatedColumnFormula>
    </tableColumn>
    <tableColumn id="7" xr3:uid="{0F2E0FC0-29D2-41D9-A2CB-B9CFA464AE50}" name="Priority"/>
    <tableColumn id="8" xr3:uid="{1A4716AD-957F-44DB-89BA-3E2684A3EEB7}" name="Hourly rate - unscaled">
      <calculatedColumnFormula>IF($B71= "","-",IF($B71= "External","Specify location tariff", INDEX(Constants!$3:$3,MATCH($B71,Constants!$2:$2,0))))</calculatedColumnFormula>
    </tableColumn>
    <tableColumn id="9" xr3:uid="{9C5CC83B-0329-40F0-8158-F603A4EDC446}" name="Total cost - unscaled" dataDxfId="764">
      <calculatedColumnFormula>IF($H71="-","-",IF($H71="Specify location tariff","-",$H71*$F71))</calculatedColumnFormula>
    </tableColumn>
    <tableColumn id="10" xr3:uid="{65EF2945-E97E-414A-ACD8-9DD5D5514BB2}" name="Remarks / Clarification" dataDxfId="763"/>
  </tableColumns>
  <tableStyleInfo name="Aloha-style 4" showFirstColumn="1" showLastColumn="1"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5F66EA7D-65B1-44D4-A3C4-24A0542D0139}" name="Table_6170111" displayName="Table_6170111" ref="A91:G105" tableBorderDxfId="762">
  <tableColumns count="7">
    <tableColumn id="1" xr3:uid="{3D463D45-FCA5-45A0-BA23-33685426F06A}" name="Item"/>
    <tableColumn id="2" xr3:uid="{8F143438-A6CB-4315-B4BF-93974AF8917D}" name="Type (depreciation/maintenance)"/>
    <tableColumn id="3" xr3:uid="{F997B811-B302-456A-9DFE-9573956BA478}" name="Purchase / Running costs"/>
    <tableColumn id="4" xr3:uid="{90EC4C32-6D35-4A4D-B81C-1AFB07BBA35F}" name="Depreciation period" dataDxfId="761" dataCellStyle="Comma"/>
    <tableColumn id="5" xr3:uid="{872045B7-78DF-45FA-961A-DF5D43838492}" name="Amount"/>
    <tableColumn id="6" xr3:uid="{3B817F1E-F3AE-4652-B58F-CCCD72C2ABEB}" name="Costs per year" dataDxfId="760">
      <calculatedColumnFormula>IF(Table_6170111[[#This Row],[Item]]="",0,Table_6170111[[#This Row],[Amount]]*Table_6170111[[#This Row],[Purchase / Running costs]]/Table_6170111[[#This Row],[Depreciation period]])</calculatedColumnFormula>
    </tableColumn>
    <tableColumn id="7" xr3:uid="{33A03DD7-8C1E-40B6-AA20-7BBF235371CA}" name="Remarks / Clarification"/>
  </tableColumns>
  <tableStyleInfo name="Aloha-style 5" showFirstColumn="1" showLastColumn="1"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96BB9252-000C-430F-829C-96C0B5C0E22A}" name="Table_6170171127" displayName="Table_6170171127" ref="AD29:AF40" headerRowDxfId="759" dataDxfId="758" tableBorderDxfId="757">
  <tableColumns count="3">
    <tableColumn id="1" xr3:uid="{355FB2B8-EF57-412E-B30F-CA55DCA7335B}" name="Item" dataDxfId="756">
      <calculatedColumnFormula>IF($B$12="individual",Constants!F55,Constants!L55)</calculatedColumnFormula>
    </tableColumn>
    <tableColumn id="2" xr3:uid="{58908408-6AF6-4314-A4A6-6D923DCDB80D}" name="Type (depreciation/maintenance)" dataDxfId="755">
      <calculatedColumnFormula>B7</calculatedColumnFormula>
    </tableColumn>
    <tableColumn id="3" xr3:uid="{42E8E5F8-FF87-41E9-A519-44D3C369FB70}" name="Score" dataDxfId="754">
      <calculatedColumnFormula>IF(AE30&gt;301,5,IF(AE30&gt;176,4,IF(AE30&gt;101,3,IF(AE30&gt;51,2,1))))</calculatedColumnFormula>
    </tableColumn>
  </tableColumns>
  <tableStyleInfo name="Aloha-style 5" showFirstColumn="1" showLastColumn="1"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E4BD1D6F-5A29-4361-A4EE-7C8057107DBC}" name="Table_2166240" displayName="Table_2166240" ref="A37:G42" tableBorderDxfId="750">
  <tableColumns count="7">
    <tableColumn id="1" xr3:uid="{F096774B-5E34-4CBD-8F8B-212281AE8211}" name="Group" dataDxfId="749"/>
    <tableColumn id="2" xr3:uid="{CAF0243A-0385-4109-B074-9D9828386906}" name="Group size" dataDxfId="748"/>
    <tableColumn id="3" xr3:uid="{5FC156C8-76CC-45AB-8D87-650509FB7028}" name="Trainings per week"/>
    <tableColumn id="4" xr3:uid="{F6874639-DAF4-4CB0-96F0-9AB25E4028B9}" name="Weeks per year" dataDxfId="747"/>
    <tableColumn id="5" xr3:uid="{F7CB7064-6A44-4E59-B8EF-08223A96BDE0}" name="Type of trainer" dataDxfId="746"/>
    <tableColumn id="6" xr3:uid="{DEF76411-3EFB-47E0-9190-94AB9058A02A}" name="(Expected) Level" dataDxfId="745"/>
    <tableColumn id="7" xr3:uid="{2F074095-A31C-41F9-86DF-A27A66FC3DD0}" name="Remarks/clarification" dataDxfId="744"/>
  </tableColumns>
  <tableStyleInfo name="Aloha-style" showFirstColumn="1" showLastColumn="1"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823EAB81-089B-435E-A806-6590973ACC97}" name="Table_3167241" displayName="Table_3167241" ref="A45:H50" tableBorderDxfId="743">
  <tableColumns count="8">
    <tableColumn id="1" xr3:uid="{7EE80BC7-5E53-46E7-ABE5-51DD9A9AACCD}" name="Group"/>
    <tableColumn id="2" xr3:uid="{79EBA8A5-58F3-462A-9EF6-C00C3E65FCAA}" name="Group size"/>
    <tableColumn id="3" xr3:uid="{2919D0B7-92CC-4575-AB1B-2E647494DB5B}" name="Who"/>
    <tableColumn id="4" xr3:uid="{6AF20A3D-B75D-49F9-B62F-0DCB8F4087BF}" name="Type of Trainer"/>
    <tableColumn id="5" xr3:uid="{99582CD1-7781-47A5-A227-8F67D3A11169}" name="Training per week"/>
    <tableColumn id="6" xr3:uid="{BCEB3BBD-C121-42E8-A982-283A50FA6A68}" name="Hours per week"/>
    <tableColumn id="7" xr3:uid="{4FD73DE1-251D-4554-B140-DE20EB5BA729}" name="Coaching?"/>
    <tableColumn id="8" xr3:uid="{2BF3E0B7-40E7-4AA1-8E78-E645EF466786}" name="Remarks/clarification"/>
  </tableColumns>
  <tableStyleInfo name="Aloha-style 2" showFirstColumn="1" showLastColumn="1"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17056AD1-8AF4-4C95-8486-ACA214912CD5}" name="Table_4168242" displayName="Table_4168242" ref="A54:J67" tableBorderDxfId="742">
  <tableColumns count="10">
    <tableColumn id="1" xr3:uid="{448FFD34-4CD6-4619-A2F5-6E7FB8D56B8A}" name="Training group"/>
    <tableColumn id="2" xr3:uid="{9019596E-4D58-476C-AC38-23D48F29B2A1}" name="Type of training"/>
    <tableColumn id="3" xr3:uid="{84B32CF9-08CA-4506-BAB1-2A9C053AE317}" name="# Weeks"/>
    <tableColumn id="4" xr3:uid="{27EDE690-FC92-48E1-BBC8-77D01A2732C7}" name="# Times/week"/>
    <tableColumn id="5" xr3:uid="{B53B6505-1116-4AD2-AFF9-0D4E55911D5B}" name="Total hours/week"/>
    <tableColumn id="6" xr3:uid="{4B0466A2-8E08-42C3-819F-463A743097B8}" name="Total hours" dataDxfId="741">
      <calculatedColumnFormula>E55*C55</calculatedColumnFormula>
    </tableColumn>
    <tableColumn id="7" xr3:uid="{4C99B7C6-EEF4-4C9F-836B-7722252B8157}" name="Name of trainer"/>
    <tableColumn id="8" xr3:uid="{B71FD788-2F2C-49BA-A7FA-D0D3E3D9026B}" name="Type of trainer"/>
    <tableColumn id="9" xr3:uid="{D8E29A24-D85E-4AF0-8E90-CDCF1B7932AD}" name="Hourly rate"/>
    <tableColumn id="10" xr3:uid="{FFBACE37-B82D-47E2-89D4-AC6B275F2DDD}" name="Remarks/Clarification"/>
  </tableColumns>
  <tableStyleInfo name="Aloha-style 3" showFirstColumn="1" showLastColumn="1"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6C045A29-FA5F-4A41-911C-7630952919AA}" name="Table_5169243" displayName="Table_5169243" ref="A70:J82" tableBorderDxfId="740">
  <tableColumns count="10">
    <tableColumn id="1" xr3:uid="{D16EEE20-E67B-4AAD-B88E-FE6677B1D8CE}" name="Training group"/>
    <tableColumn id="2" xr3:uid="{AD6D7E21-9D3E-49E2-98E5-865546D6517F}" name="Location"/>
    <tableColumn id="3" xr3:uid="{9B82670E-DEB6-46CD-B094-BC0B37ABA914}" name="Day"/>
    <tableColumn id="4" xr3:uid="{A0BE49E4-D4C0-40D7-996E-0045933DBA3A}" name="Duration [hours]"/>
    <tableColumn id="5" xr3:uid="{587822ED-0C4C-4D10-9E95-7DAE7E5D3A0F}" name="Weeks"/>
    <tableColumn id="6" xr3:uid="{F6FFBDAD-ABD3-4F1F-AE84-739B01B065F8}" name="Hours total" dataDxfId="739">
      <calculatedColumnFormula>#REF!*#REF!</calculatedColumnFormula>
    </tableColumn>
    <tableColumn id="7" xr3:uid="{A966EEF1-E824-4D35-BA85-CFDD1E77D4BF}" name="Priority"/>
    <tableColumn id="8" xr3:uid="{7F7D1D6B-6E43-4B7E-ACE0-0336C59CF0C7}" name="Hourly rate - unscaled" dataDxfId="738">
      <calculatedColumnFormula>IF(#REF!= "","-",IF(#REF!= "External","Specify location tariff", "Campus buy-off"))</calculatedColumnFormula>
    </tableColumn>
    <tableColumn id="9" xr3:uid="{9D061A8B-D0DA-41C2-8261-0D84895A1581}" name="Total cost - unscaled" dataDxfId="737">
      <calculatedColumnFormula>IF($H71="-","-",IF($H71="Specify location tariff","-",$H71*$F71))</calculatedColumnFormula>
    </tableColumn>
    <tableColumn id="10" xr3:uid="{268AC7C8-42F2-454B-90FA-0C8D4DF1B183}" name="Remarks / Clarification" dataDxfId="736"/>
  </tableColumns>
  <tableStyleInfo name="Aloha-style 4" showFirstColumn="1" showLastColumn="1"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8" xr:uid="{1F4F71A9-643A-F84A-B7B0-06A24D9C1AFA}" name="Table_3167259" displayName="Table_3167259" ref="A45:H50" tableBorderDxfId="842">
  <tableColumns count="8">
    <tableColumn id="1" xr3:uid="{53DBB1B1-37A9-0E4D-9DA3-A9032C1F8EE4}" name="Group"/>
    <tableColumn id="2" xr3:uid="{49579FDD-8997-9B4C-B10E-71E3758516A7}" name="Group size"/>
    <tableColumn id="3" xr3:uid="{BB573BF1-5941-5A40-8452-8E8E2BB0502C}" name="Who"/>
    <tableColumn id="4" xr3:uid="{C431AFBA-5A66-B54C-8F76-2B2EDFA444E1}" name="Type of Trainer"/>
    <tableColumn id="5" xr3:uid="{62264278-2B96-E44D-A0DC-E7A0E39A2AA1}" name="Training per week"/>
    <tableColumn id="6" xr3:uid="{25AFCD25-9C95-4D42-8F77-67992E241A07}" name="Hours per week"/>
    <tableColumn id="7" xr3:uid="{CD588E22-5D66-FE4B-887A-FE2DFA77A23C}" name="Coaching?"/>
    <tableColumn id="8" xr3:uid="{8B784AFE-C1D1-574A-B194-D654C37F4413}" name="Remarks/clarification"/>
  </tableColumns>
  <tableStyleInfo name="Aloha-style 2" showFirstColumn="1" showLastColumn="1"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3D53F242-2BB0-473D-AB4F-15152A764560}" name="Table_6170244" displayName="Table_6170244" ref="A86:G100" tableBorderDxfId="735">
  <tableColumns count="7">
    <tableColumn id="1" xr3:uid="{E6691681-F877-42CC-8702-54A8A6ACED52}" name="Item"/>
    <tableColumn id="2" xr3:uid="{7450B76B-0F1C-4F4C-A4E3-74D9C4F271DA}" name="Type (depreciation/maintenance)"/>
    <tableColumn id="3" xr3:uid="{FAD89630-575D-4D31-B627-B1082516CE62}" name="Purchase / Running costs"/>
    <tableColumn id="4" xr3:uid="{BFDB5475-8896-4296-A8EF-65A13B1AC6A1}" name="Depreciation period"/>
    <tableColumn id="5" xr3:uid="{1F44CBA2-75D4-4DDD-825E-91651BE7C5F0}" name="Amount"/>
    <tableColumn id="6" xr3:uid="{6BCA43A1-9247-4DAB-A221-D9623E0567C8}" name="Costs per year"/>
    <tableColumn id="7" xr3:uid="{B3EDE17F-CD30-4E9C-BA00-E833B0ED9BE4}" name="Remarks / Clarification"/>
  </tableColumns>
  <tableStyleInfo name="Aloha-style 5" showFirstColumn="1" showLastColumn="1"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5A826776-E1C6-4930-B69D-E6CFD61EE50E}" name="Table_6170171245" displayName="Table_6170171245" ref="AD29:AF40" headerRowDxfId="734" dataDxfId="733" tableBorderDxfId="732">
  <tableColumns count="3">
    <tableColumn id="1" xr3:uid="{8CD3B153-C61E-4E80-9F86-6F4E7E718488}" name="Item" dataDxfId="731">
      <calculatedColumnFormula>IF($B$12="individual",Constants!F55,Constants!L55)</calculatedColumnFormula>
    </tableColumn>
    <tableColumn id="2" xr3:uid="{CA77BF70-7ADF-4114-A8CE-D77EC72A54BD}" name="Type (depreciation/maintenance)" dataDxfId="730">
      <calculatedColumnFormula>B7</calculatedColumnFormula>
    </tableColumn>
    <tableColumn id="3" xr3:uid="{49476B4B-5ED5-4D84-AC5F-D998DF16CA15}" name="Score" dataDxfId="729">
      <calculatedColumnFormula>IF(AE30&gt;301,5,IF(AE30&gt;176,4,IF(AE30&gt;101,3,IF(AE30&gt;51,2,1))))</calculatedColumnFormula>
    </tableColumn>
  </tableColumns>
  <tableStyleInfo name="Aloha-style 5" showFirstColumn="1" showLastColumn="1"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3" xr:uid="{F68C60A2-F11C-C740-981C-CEDB90D872E8}" name="Table_2166264" displayName="Table_2166264" ref="A37:G54" tableBorderDxfId="725">
  <tableColumns count="7">
    <tableColumn id="1" xr3:uid="{40E7F76C-14FE-B744-91F8-B3C5F41E9A3A}" name="Group"/>
    <tableColumn id="2" xr3:uid="{CAF578FD-454D-1D4F-8500-7ACB3BAE382F}" name="Group size" dataDxfId="724"/>
    <tableColumn id="3" xr3:uid="{9D28FC25-CE26-C043-980E-F2BEF468CF02}" name="Trainings per week"/>
    <tableColumn id="4" xr3:uid="{36DE93E0-E03F-B342-8467-8A38D1055398}" name="Weeks per year" dataDxfId="723"/>
    <tableColumn id="5" xr3:uid="{AC677660-234F-074B-8CE3-281CA6DC288B}" name="Type of trainer"/>
    <tableColumn id="6" xr3:uid="{E657C42E-FACF-594C-BF56-40A1130FA367}" name="(Expected) Level"/>
    <tableColumn id="7" xr3:uid="{F11C9761-269B-FE45-A0A1-6469593CD700}" name="Remarks/clarification"/>
  </tableColumns>
  <tableStyleInfo name="Aloha-style" showFirstColumn="1" showLastColumn="1"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4" xr:uid="{89AFBD0E-41F8-AE48-A34B-0417C14C31A7}" name="Table_3167265" displayName="Table_3167265" ref="A57:H62" tableBorderDxfId="722">
  <tableColumns count="8">
    <tableColumn id="1" xr3:uid="{340ACBBB-DD50-844C-938C-F7397452B495}" name="Group"/>
    <tableColumn id="2" xr3:uid="{75D3400A-3A68-7F4C-A566-360206D433DA}" name="Group size"/>
    <tableColumn id="3" xr3:uid="{F3E62F1B-55D6-A144-B8BE-6D4E37C63DFB}" name="Who"/>
    <tableColumn id="4" xr3:uid="{C15B534D-46D6-C94B-9A3A-03B651C1310F}" name="Type of Trainer"/>
    <tableColumn id="5" xr3:uid="{03FF7DF2-D0B5-5A4F-B2DD-46C7EECFF604}" name="Training per week"/>
    <tableColumn id="6" xr3:uid="{8F43289C-22D5-5B48-854C-70DB5FD09856}" name="Hours per week"/>
    <tableColumn id="7" xr3:uid="{57FB9242-BDDE-F74E-B334-EC3297CED9A5}" name="Coaching?"/>
    <tableColumn id="8" xr3:uid="{A92B5207-9770-4A4D-B7B3-4E1EB1FF2511}" name="Remarks/clarification"/>
  </tableColumns>
  <tableStyleInfo name="Aloha-style 2" showFirstColumn="1" showLastColumn="1"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5" xr:uid="{B40676C7-EA23-EE40-8975-E2FDDEF62693}" name="Table_4168266" displayName="Table_4168266" ref="A66:J95" tableBorderDxfId="721">
  <tableColumns count="10">
    <tableColumn id="1" xr3:uid="{4AED8F71-B762-FE44-8786-AB8D18667EF8}" name="Training group"/>
    <tableColumn id="2" xr3:uid="{6CD38EE0-C09F-044A-8090-DC0B0530BB96}" name="Type of training"/>
    <tableColumn id="3" xr3:uid="{461472B7-9E65-4F43-A72C-6A8EDF84AC51}" name="# Weeks"/>
    <tableColumn id="4" xr3:uid="{45370B75-F149-1846-AF8D-9FC30160DE72}" name="# Times/week"/>
    <tableColumn id="5" xr3:uid="{F2E8A577-58C7-7E40-A2D4-112B3F8A269C}" name="Total hours/week"/>
    <tableColumn id="6" xr3:uid="{64264CF8-9A78-A046-9E0F-D2A3FDE35FA7}" name="Total hours" dataDxfId="720">
      <calculatedColumnFormula>DHC!$E67*DHC!$C67</calculatedColumnFormula>
    </tableColumn>
    <tableColumn id="7" xr3:uid="{35F3C61F-5908-0F40-B850-BE9399451C7E}" name="Name of trainer"/>
    <tableColumn id="8" xr3:uid="{80179C48-09B7-7142-B8C7-FE74DD061151}" name="Type of trainer"/>
    <tableColumn id="9" xr3:uid="{662B72A6-F1C5-A24B-8435-E9F76C5CEF0D}" name="Hourly rate"/>
    <tableColumn id="10" xr3:uid="{9A185411-FDF4-9449-9244-3662DECFC54F}" name="Remarks/Clarification"/>
  </tableColumns>
  <tableStyleInfo name="Aloha-style 3" showFirstColumn="1" showLastColumn="1"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6" xr:uid="{FD04F212-6047-A34E-8C5F-DB929A03973A}" name="Table_5169267" displayName="Table_5169267" ref="A98:J119" tableBorderDxfId="719">
  <tableColumns count="10">
    <tableColumn id="1" xr3:uid="{ACBEC104-F33D-EF4A-87F0-00F430315AF1}" name="Training group"/>
    <tableColumn id="2" xr3:uid="{6C4733A1-53BA-A740-96E2-EB77FB029E7A}" name="Location"/>
    <tableColumn id="3" xr3:uid="{8DFCCC61-0B0F-1E4E-9655-94C562824606}" name="Day"/>
    <tableColumn id="4" xr3:uid="{C70CBA02-8AB2-7F4E-A4C1-55458DCB63F8}" name="Duration [hours]"/>
    <tableColumn id="5" xr3:uid="{B60C821D-3AAC-1243-89B4-AA0BD725BDA3}" name="Weeks"/>
    <tableColumn id="6" xr3:uid="{D0566B06-5786-AE4B-B3C9-79F84BC28F72}" name="Hours total">
      <calculatedColumnFormula>DHC!$D99*DHC!$E99</calculatedColumnFormula>
    </tableColumn>
    <tableColumn id="7" xr3:uid="{9C8A03B6-2DD2-3144-BA08-CE3B66858BE4}" name="Priority"/>
    <tableColumn id="8" xr3:uid="{CA0BC5E0-E608-D74E-9AAD-A978011B08B7}" name="Hourly rate - unscaled">
      <calculatedColumnFormula>IF($B99= "","-",IF($B99= "External","Specify location tariff", INDEX(Constants!$3:$3,MATCH($B99,Constants!$2:$2,0))))</calculatedColumnFormula>
    </tableColumn>
    <tableColumn id="9" xr3:uid="{CFD40629-F438-3C44-9726-182AA2C76D88}" name="Total cost - unscaled" dataDxfId="718">
      <calculatedColumnFormula>IF($H99="-","-",IF($H99="Specify location tariff","-",$H99*$F99))</calculatedColumnFormula>
    </tableColumn>
    <tableColumn id="10" xr3:uid="{77E38985-7CA7-904A-8528-345C2D89DD86}" name="Remarks / Clarification" dataDxfId="717"/>
  </tableColumns>
  <tableStyleInfo name="Aloha-style 4" showFirstColumn="1" showLastColumn="1"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7" xr:uid="{36E89F35-70DE-D243-9258-38C5C94BC4C9}" name="Table_6170268" displayName="Table_6170268" ref="A123:G158" tableBorderDxfId="716">
  <tableColumns count="7">
    <tableColumn id="1" xr3:uid="{20E81031-9B95-484B-955C-98417A574FC4}" name="Item"/>
    <tableColumn id="2" xr3:uid="{A319AA1D-8324-E04A-9F4F-1F126F1E6CBD}" name="Type (depreciation/maintenance)"/>
    <tableColumn id="3" xr3:uid="{BD3E286F-225D-5D46-948A-BCEF00926F57}" name="Purchase / Running costs"/>
    <tableColumn id="4" xr3:uid="{595B27F5-1533-2744-804F-DA442EC80DF0}" name="Depreciation period"/>
    <tableColumn id="5" xr3:uid="{2EAA56D3-AA9C-9D4A-BCB9-9215E5E5402C}" name="Amount"/>
    <tableColumn id="6" xr3:uid="{CF9E70B4-B0AA-4143-A6DB-F7A8A0A9A8AC}" name="Costs per year"/>
    <tableColumn id="7" xr3:uid="{F50A7D1F-5D59-254C-8487-CD1DEFCE8976}" name="Remarks / Clarification"/>
  </tableColumns>
  <tableStyleInfo name="Aloha-style 5" showFirstColumn="1" showLastColumn="1"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8" xr:uid="{7714B1EB-71B3-D24D-B550-71E25A2C7BDB}" name="Table_6170171269" displayName="Table_6170171269" ref="AD29:AF40" headerRowDxfId="715" dataDxfId="714" tableBorderDxfId="713">
  <tableColumns count="3">
    <tableColumn id="1" xr3:uid="{F2908ABB-76B7-EB46-AF54-B91FFAC90145}" name="Item" dataDxfId="712">
      <calculatedColumnFormula>IF($B$12="individual",Constants!F55,Constants!L55)</calculatedColumnFormula>
    </tableColumn>
    <tableColumn id="2" xr3:uid="{B88F00B3-3BB3-D044-9C09-533292C968F7}" name="Type (depreciation/maintenance)" dataDxfId="711">
      <calculatedColumnFormula>B7</calculatedColumnFormula>
    </tableColumn>
    <tableColumn id="3" xr3:uid="{A8450C10-3829-7D43-AE75-879FE36C13D1}" name="Score" dataDxfId="710">
      <calculatedColumnFormula>IF(AE30&gt;301,5,IF(AE30&gt;176,4,IF(AE30&gt;101,3,IF(AE30&gt;51,2,1))))</calculatedColumnFormula>
    </tableColumn>
  </tableColumns>
  <tableStyleInfo name="Aloha-style 5" showFirstColumn="1" showLastColumn="1"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2" xr:uid="{15491558-0BAA-4E54-9E82-3CCABA94D4B8}" name="Table_2166173" displayName="Table_2166173" ref="A37:G46" tableBorderDxfId="706">
  <tableColumns count="7">
    <tableColumn id="1" xr3:uid="{A042009C-33DA-4502-BCF0-49221A615A0C}" name="Group"/>
    <tableColumn id="2" xr3:uid="{767DCD4B-9466-4A64-8CDB-AD34D48CD766}" name="Group size" dataDxfId="705"/>
    <tableColumn id="3" xr3:uid="{7D0E0735-A408-4000-BAE7-3F619AB43763}" name="Trainings per week"/>
    <tableColumn id="4" xr3:uid="{9DEA86FE-2330-40CB-A1AA-C5E646A16F64}" name="Weeks per year" dataDxfId="704"/>
    <tableColumn id="5" xr3:uid="{FCBB044D-4A07-47F1-9915-1B3A48502613}" name="Type of trainer"/>
    <tableColumn id="6" xr3:uid="{89E43532-ED0B-4A29-925B-D834B3D34974}" name="(Expected) Level"/>
    <tableColumn id="7" xr3:uid="{36B69098-44A9-498B-8EE7-897DD75D1329}" name="Remarks/clarification"/>
  </tableColumns>
  <tableStyleInfo name="Aloha-style" showFirstColumn="1" showLastColumn="1"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3" xr:uid="{AADDE3C3-0855-44F1-9D6D-F8AD7A5B4642}" name="Table_3167174" displayName="Table_3167174" ref="A49:H54" tableBorderDxfId="703">
  <tableColumns count="8">
    <tableColumn id="1" xr3:uid="{3C8FEB62-7333-4B6C-82A1-FD4CBAA4A608}" name="Group"/>
    <tableColumn id="2" xr3:uid="{81768763-B14A-4D56-A884-2EFBD84D4090}" name="Group size"/>
    <tableColumn id="3" xr3:uid="{87977E88-82DC-4673-82D2-20993560A20F}" name="Who"/>
    <tableColumn id="4" xr3:uid="{DD295282-27D2-4966-A105-1B69E94638EB}" name="Type of Trainer"/>
    <tableColumn id="5" xr3:uid="{26C7A395-28EB-4DFB-B781-E3540AEEAE3F}" name="Training per week"/>
    <tableColumn id="6" xr3:uid="{D338114E-0807-4F8B-B2B9-42107BCB0A64}" name="Hours per week"/>
    <tableColumn id="7" xr3:uid="{CFDF081D-6298-49CB-9478-8A0BC8B48B3A}" name="Coaching?"/>
    <tableColumn id="8" xr3:uid="{2CB29E32-71AA-4313-B361-8DA5E1491EE2}" name="Remarks/clarification"/>
  </tableColumns>
  <tableStyleInfo name="Aloha-style 2" showFirstColumn="1" showLastColumn="1"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9" xr:uid="{0E804CA7-A130-6148-8ADD-E9AAAE172512}" name="Table_4168260" displayName="Table_4168260" ref="A54:J67" tableBorderDxfId="841">
  <tableColumns count="10">
    <tableColumn id="1" xr3:uid="{D6166CC1-5822-004C-A66A-1EB95ACCB6AE}" name="Training group"/>
    <tableColumn id="2" xr3:uid="{F8859A40-D99E-5A45-BC69-7EB6191905D2}" name="Type of training"/>
    <tableColumn id="3" xr3:uid="{263CE53F-CF7B-084A-9A20-84D499D160B1}" name="# Weeks"/>
    <tableColumn id="4" xr3:uid="{47BD7A74-2EB6-D84D-8330-642370651EB3}" name="# Times/week"/>
    <tableColumn id="5" xr3:uid="{59148408-FB2A-854A-8516-EE9019484D3D}" name="Total hours/week"/>
    <tableColumn id="6" xr3:uid="{CC7EEF0E-C220-3046-A3AD-A41ABA4D40CB}" name="Total hours" dataDxfId="840">
      <calculatedColumnFormula>Table_4168260[[#This Row],['# Weeks]]*Table_4168260[[#This Row],['# Times/week]]*Table_4168260[[#This Row],[Total hours/week]]</calculatedColumnFormula>
    </tableColumn>
    <tableColumn id="7" xr3:uid="{0E104262-1E6E-0E47-B519-4D929ABE4ED7}" name="Name of trainer"/>
    <tableColumn id="8" xr3:uid="{647BD6DA-C282-FA45-96D8-67AC2A380BCF}" name="Type of trainer"/>
    <tableColumn id="9" xr3:uid="{6B325A2D-C2F5-9A42-9CF5-0835D73432FC}" name="Hourly rate"/>
    <tableColumn id="10" xr3:uid="{76F8E9C9-3566-C042-AF46-1A23E069C356}" name="Remarks/Clarification"/>
  </tableColumns>
  <tableStyleInfo name="Aloha-style 3" showFirstColumn="1" showLastColumn="1"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4" xr:uid="{B51B064D-F717-456B-840D-7CCE8884D103}" name="Table_4168175" displayName="Table_4168175" ref="A58:J71" tableBorderDxfId="702">
  <tableColumns count="10">
    <tableColumn id="1" xr3:uid="{C4BA245A-F767-4A9E-AF9A-BAFD6005B409}" name="Training group"/>
    <tableColumn id="2" xr3:uid="{01B5D5C1-2596-41C8-AE59-6793E11A4A2D}" name="Type of training"/>
    <tableColumn id="3" xr3:uid="{5A7E44BF-589C-487E-ABA3-4F9E3ACB62F7}" name="# Weeks"/>
    <tableColumn id="4" xr3:uid="{D27F65D5-C19B-4DF6-8F4A-67D08450F2B8}" name="# Times/week"/>
    <tableColumn id="5" xr3:uid="{29E36222-C44D-43E8-BBD4-B86E8069EC7A}" name="Total hours/week"/>
    <tableColumn id="6" xr3:uid="{B8F5FD5B-1F4E-40C1-842E-0C959FF48E9E}" name="Total hours" dataDxfId="701">
      <calculatedColumnFormula>Table_4168175[[#This Row],['# Weeks]]*Table_4168175[[#This Row],['# Times/week]]*Table_4168175[[#This Row],[Total hours/week]]</calculatedColumnFormula>
    </tableColumn>
    <tableColumn id="7" xr3:uid="{6B66E9AF-F451-47A3-BCED-CA4D5AB7ED2E}" name="Name of trainer"/>
    <tableColumn id="8" xr3:uid="{AD01430C-1AA4-4A34-B8E9-A3F6570BFE43}" name="Type of trainer"/>
    <tableColumn id="9" xr3:uid="{51BB66B1-D2C7-45CD-89B8-2D97567B2D62}" name="Hourly rate"/>
    <tableColumn id="10" xr3:uid="{371947C9-2CFD-46A3-BCA5-399DFC37AD44}" name="Remarks/Clarification"/>
  </tableColumns>
  <tableStyleInfo name="Aloha-style 3" showFirstColumn="1" showLastColumn="1"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5" xr:uid="{F2284954-47D0-44D6-81D0-9CFDBF4C4CE9}" name="Table_5169176" displayName="Table_5169176" ref="A75:J92" tableBorderDxfId="700">
  <tableColumns count="10">
    <tableColumn id="1" xr3:uid="{2AF2F6FE-5324-4D28-8E19-8E70D57CFF9F}" name="Training group"/>
    <tableColumn id="2" xr3:uid="{3B53447A-F07A-417E-B860-BCC90D17A3C5}" name="Location"/>
    <tableColumn id="3" xr3:uid="{DAD3A4A8-158B-4A32-B55F-880F3FF0FBFA}" name="Day"/>
    <tableColumn id="4" xr3:uid="{FDF2373C-1E4D-426B-AB3E-D048520147F5}" name="Duration [hours]"/>
    <tableColumn id="5" xr3:uid="{0AA45123-C0F1-49A9-9A8B-E7D36C222102}" name="Weeks"/>
    <tableColumn id="6" xr3:uid="{7B16F10E-8CE4-4D79-B3EA-504113D9835B}" name="Hours total">
      <calculatedColumnFormula>'DKV Euros'!$D76*'DKV Euros'!$E76</calculatedColumnFormula>
    </tableColumn>
    <tableColumn id="7" xr3:uid="{22B7970D-9A38-46D1-93DD-BD669F1EFD51}" name="Priority"/>
    <tableColumn id="8" xr3:uid="{02F4BB65-C168-47FD-9BE7-82F957049BC1}" name="Hourly rate - unscaled">
      <calculatedColumnFormula>IF($B76= "","-",IF($B76= "External","Specify location tariff", INDEX(Constants!$3:$3,MATCH($B76,Constants!$2:$2,0))))</calculatedColumnFormula>
    </tableColumn>
    <tableColumn id="9" xr3:uid="{16EE2CBB-BDB4-4BD8-9E65-595E7FF08D87}" name="Total cost - unscaled" dataDxfId="699">
      <calculatedColumnFormula>IF($H76="-","-",IF($H76="Specify location tariff","-",$H76*$F76))</calculatedColumnFormula>
    </tableColumn>
    <tableColumn id="10" xr3:uid="{F476A582-72A9-4CFA-9260-A6A9DF290032}" name="Remarks / Clarification" dataDxfId="698"/>
  </tableColumns>
  <tableStyleInfo name="Aloha-style 4" showFirstColumn="1" showLastColumn="1"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9C2503F8-2D62-4AE6-B23D-042CEEC239D5}" name="Table_6170177" displayName="Table_6170177" ref="A96:G130" dataDxfId="697" tableBorderDxfId="696">
  <tableColumns count="7">
    <tableColumn id="1" xr3:uid="{CA5B4AD0-0DD2-4BB8-BD33-0B49FB00348F}" name="Item" dataDxfId="695"/>
    <tableColumn id="2" xr3:uid="{45748E0B-2AE9-4CC4-A00B-AC441C88F76D}" name="Type (depreciation/maintenance)" dataDxfId="694"/>
    <tableColumn id="3" xr3:uid="{9E95AF15-E43B-44F8-AC7C-468322173450}" name="Purchase / Running costs" dataDxfId="693"/>
    <tableColumn id="4" xr3:uid="{06F1E39F-0743-4658-AA5C-506E9C158E07}" name="Depreciation period" dataDxfId="692"/>
    <tableColumn id="5" xr3:uid="{3F901DD6-0F37-4AFE-AE1F-7911793C082D}" name="Amount" dataDxfId="691"/>
    <tableColumn id="6" xr3:uid="{7CED80C9-01C6-4F15-A8FD-E98E635E2FA3}" name="Costs per year" dataDxfId="690"/>
    <tableColumn id="7" xr3:uid="{9C55E92B-5C31-4A33-999B-D73F85EC04FE}" name="Remarks / Clarification" dataDxfId="689"/>
  </tableColumns>
  <tableStyleInfo name="Aloha-style 5" showFirstColumn="1" showLastColumn="1"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38A70CDA-30D2-4EBC-A1E4-89E8FC37EC97}" name="Table_6170171185" displayName="Table_6170171185" ref="AD29:AF40" headerRowDxfId="688" dataDxfId="687" tableBorderDxfId="686">
  <tableColumns count="3">
    <tableColumn id="1" xr3:uid="{46EBB847-F60E-4843-BE6F-97869E66CFC6}" name="Item" dataDxfId="685">
      <calculatedColumnFormula>IF($B$12="individual",Constants!F55,Constants!L55)</calculatedColumnFormula>
    </tableColumn>
    <tableColumn id="2" xr3:uid="{69A47348-A1FE-4457-A131-4D3CB5202604}" name="Type (depreciation/maintenance)" dataDxfId="684">
      <calculatedColumnFormula>B7</calculatedColumnFormula>
    </tableColumn>
    <tableColumn id="3" xr3:uid="{551D7195-A013-40D3-8D9B-2B2B779BE6EA}" name="Score" dataDxfId="683"/>
  </tableColumns>
  <tableStyleInfo name="Aloha-style 5" showFirstColumn="1" showLastColumn="1"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8" xr:uid="{85BCC827-CDBD-4148-B9D5-9FF485266B7A}" name="Table_2166329" displayName="Table_2166329" ref="A37:G42" tableBorderDxfId="679">
  <tableColumns count="7">
    <tableColumn id="1" xr3:uid="{A60BE21A-E22E-1148-9E44-5C0A0E7E2F5C}" name="Group" dataDxfId="678"/>
    <tableColumn id="2" xr3:uid="{57995BDB-AE6D-B348-85A0-ECB48FB63A45}" name="Group size" dataDxfId="677"/>
    <tableColumn id="3" xr3:uid="{566ADBEE-BDE6-A045-8623-6B5C15875DA1}" name="Trainings per week" dataDxfId="676"/>
    <tableColumn id="4" xr3:uid="{CC4A900B-5158-D744-B717-11D4BF773933}" name="Weeks per year" dataDxfId="675"/>
    <tableColumn id="5" xr3:uid="{80016D9E-E14F-F54F-8A2A-7143818D2F1F}" name="Type of trainer" dataDxfId="674"/>
    <tableColumn id="6" xr3:uid="{BE2FEB05-50FD-8641-9F67-997DDC21F1CE}" name="(Expected) Level" dataDxfId="673"/>
    <tableColumn id="7" xr3:uid="{3EC27BC3-C842-1D4A-8486-CB9097FEF523}" name="Remarks/clarification" dataDxfId="672"/>
  </tableColumns>
  <tableStyleInfo name="Aloha-style" showFirstColumn="1" showLastColumn="1"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9" xr:uid="{125C00D1-B319-8C40-8668-ED11D006E72E}" name="Table_3167330" displayName="Table_3167330" ref="A45:H50" tableBorderDxfId="671">
  <tableColumns count="8">
    <tableColumn id="1" xr3:uid="{5F62A7A9-9EB6-954D-A423-2362E51A8859}" name="Group"/>
    <tableColumn id="2" xr3:uid="{43791BD9-6F09-3E4D-B0C9-A544BE286A4D}" name="Group size"/>
    <tableColumn id="3" xr3:uid="{AA082081-B470-2C4F-9E84-5EF1B859924A}" name="Who"/>
    <tableColumn id="4" xr3:uid="{E5CE1D0A-9462-184E-95A8-068758B34FA9}" name="Type of Trainer"/>
    <tableColumn id="5" xr3:uid="{22981629-3A50-5D49-913A-291B151E205F}" name="Training per week"/>
    <tableColumn id="6" xr3:uid="{FC9D1C27-C53D-E049-94FA-7120AF109584}" name="Hours per week"/>
    <tableColumn id="7" xr3:uid="{42A298C2-E229-9944-9D26-0B88680B14AD}" name="Coaching?"/>
    <tableColumn id="8" xr3:uid="{339570C1-08B4-7D4D-9E07-72F359A73EFA}" name="Remarks/clarification"/>
  </tableColumns>
  <tableStyleInfo name="Aloha-style 2" showFirstColumn="1" showLastColumn="1"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0" xr:uid="{588D8D3E-7534-7F43-8AE0-2BB820DEDD67}" name="Table_4168331" displayName="Table_4168331" ref="A54:J67" tableBorderDxfId="670">
  <tableColumns count="10">
    <tableColumn id="1" xr3:uid="{D53D1984-0E25-5D41-B71F-8450FD28E3C0}" name="Training group"/>
    <tableColumn id="2" xr3:uid="{CCED1F82-55E2-5F41-8253-8D1C14F2C6D9}" name="Type of training"/>
    <tableColumn id="3" xr3:uid="{D30E102B-7C94-E64E-972B-42C72B685DDD}" name="# Weeks"/>
    <tableColumn id="4" xr3:uid="{2F8BA89F-24E0-D64C-B645-1869DD785EAD}" name="# Times/week"/>
    <tableColumn id="5" xr3:uid="{368C61CF-C34B-9F4B-A396-E5B75D7EA448}" name="Total hours/week"/>
    <tableColumn id="6" xr3:uid="{F04EAC46-F7E7-6F48-80F4-1EDF05DD1F09}" name="Total hours" dataDxfId="669">
      <calculatedColumnFormula>Table_4168331[[#This Row],['# Weeks]]*Table_4168331[[#This Row],[Total hours/week]]</calculatedColumnFormula>
    </tableColumn>
    <tableColumn id="7" xr3:uid="{2CB4BAF3-3C7B-6146-9626-4FA1162616B4}" name="Name of trainer"/>
    <tableColumn id="8" xr3:uid="{ADB2DAB1-359E-C945-9F7C-CF4DBE7A1ED2}" name="Type of trainer"/>
    <tableColumn id="9" xr3:uid="{1AED683A-0429-5E4A-9DAA-96308BF9CB4A}" name="Hourly rate"/>
    <tableColumn id="10" xr3:uid="{67FD31DA-0AFE-7341-8413-09604673D996}" name="Remarks/Clarification"/>
  </tableColumns>
  <tableStyleInfo name="Aloha-style 3" showFirstColumn="1" showLastColumn="1"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1" xr:uid="{A19CB61F-F3A9-D644-8EF4-B0EEAA26B301}" name="Table_5169332" displayName="Table_5169332" ref="A70:J87" tableBorderDxfId="668">
  <tableColumns count="10">
    <tableColumn id="1" xr3:uid="{07296E8E-3637-F249-A229-F474F883DEF1}" name="Training group"/>
    <tableColumn id="2" xr3:uid="{C5B33FD5-402F-5D42-8138-71CCE728E2F0}" name="Location"/>
    <tableColumn id="3" xr3:uid="{B9F3F19D-33C4-734A-8A2D-8F28370C4FC6}" name="Day"/>
    <tableColumn id="4" xr3:uid="{9008009A-3387-C541-ACF2-F61D94F9F138}" name="Duration [hours]"/>
    <tableColumn id="5" xr3:uid="{6B3B182B-6BEE-EB4A-A751-C38E1F71753B}" name="Weeks"/>
    <tableColumn id="6" xr3:uid="{B78642C2-218D-1044-A09C-8DBD9236DA20}" name="Hours total">
      <calculatedColumnFormula>DIOK!$D71*DIOK!$E71</calculatedColumnFormula>
    </tableColumn>
    <tableColumn id="7" xr3:uid="{2DA16EB3-DA96-A34F-BDEC-8E4D8DA9FED3}" name="Priority"/>
    <tableColumn id="8" xr3:uid="{467DC3F2-4BCD-0F4A-B116-EC0F1E73EA0A}" name="Hourly rate - unscaled">
      <calculatedColumnFormula>IF($B71= "","-",IF($B71= "External","Specify location tariff", INDEX(Constants!$3:$3,MATCH($B71,Constants!$2:$2,0))))</calculatedColumnFormula>
    </tableColumn>
    <tableColumn id="9" xr3:uid="{8C1BA05D-8FB7-6743-92B1-054C704B8300}" name="Total cost - unscaled" dataDxfId="667">
      <calculatedColumnFormula>IF($H71="-","-",IF($H71="Specify location tariff","-",$H71*$F71))</calculatedColumnFormula>
    </tableColumn>
    <tableColumn id="10" xr3:uid="{D8A95B2C-ED69-FA4B-A394-EF5FFF4B846C}" name="Remarks / Clarification" dataDxfId="666"/>
  </tableColumns>
  <tableStyleInfo name="Aloha-style 4" showFirstColumn="1" showLastColumn="1"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2" xr:uid="{5ABF90DB-2BA1-5A4B-8AA6-1931A3E8DCCD}" name="Table_6170333" displayName="Table_6170333" ref="A91:G105" tableBorderDxfId="665">
  <tableColumns count="7">
    <tableColumn id="1" xr3:uid="{206D68C1-59F9-DB48-9E36-405AE4BA72A9}" name="Item"/>
    <tableColumn id="2" xr3:uid="{6226D5A2-80D5-1845-BAB4-D633B528CF57}" name="Type (depreciation/maintenance)"/>
    <tableColumn id="3" xr3:uid="{81450132-D438-3E43-B694-F4FFFE949A5F}" name="Purchase / Running costs"/>
    <tableColumn id="4" xr3:uid="{12356290-13A9-2347-ABA4-B36853E48F4D}" name="Depreciation period"/>
    <tableColumn id="5" xr3:uid="{FA32C15A-A682-AC4F-963D-7E2E8ED64749}" name="Amount"/>
    <tableColumn id="6" xr3:uid="{6CDEBC78-3EE3-104E-96FC-EEF3D1FDA358}" name="Costs per year" dataDxfId="664">
      <calculatedColumnFormula>IF(Table_6170333[[#This Row],[Item]]="",0,Table_6170333[[#This Row],[Amount]]*Table_6170333[[#This Row],[Purchase / Running costs]]/Table_6170333[[#This Row],[Depreciation period]])</calculatedColumnFormula>
    </tableColumn>
    <tableColumn id="7" xr3:uid="{294938A0-108D-8141-8BE8-9534C2B931CB}" name="Remarks / Clarification"/>
  </tableColumns>
  <tableStyleInfo name="Aloha-style 5" showFirstColumn="1" showLastColumn="1"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3" xr:uid="{5CDF63DA-77DA-8D4B-BBBD-910A3FED5BF2}" name="Table_6170171334" displayName="Table_6170171334" ref="AD29:AF40" headerRowDxfId="663" dataDxfId="662" tableBorderDxfId="661">
  <tableColumns count="3">
    <tableColumn id="1" xr3:uid="{63628139-268D-7546-BDB4-433C0E814283}" name="Item" dataDxfId="660">
      <calculatedColumnFormula>IF($B$12="individual",Constants!F55,Constants!L55)</calculatedColumnFormula>
    </tableColumn>
    <tableColumn id="2" xr3:uid="{972FD306-70A7-3D45-B0AD-6601FCC81089}" name="Type (depreciation/maintenance)" dataDxfId="659">
      <calculatedColumnFormula>B7</calculatedColumnFormula>
    </tableColumn>
    <tableColumn id="3" xr3:uid="{914C1B74-38FB-944D-AEBA-E5515819DE3F}" name="Score" dataDxfId="658">
      <calculatedColumnFormula>IF(AE30&gt;301,5,IF(AE30&gt;176,4,IF(AE30&gt;101,3,IF(AE30&gt;51,2,1))))</calculatedColumnFormula>
    </tableColumn>
  </tableColumns>
  <tableStyleInfo name="Aloha-style 5" showFirstColumn="1" showLastColumn="1"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03CA6C45-911D-B049-97D9-BC89353292E0}" name="Table_5169261" displayName="Table_5169261" ref="A70:J87" tableBorderDxfId="839">
  <tableColumns count="10">
    <tableColumn id="1" xr3:uid="{A228E63E-13E2-6148-B89D-5494307BFDD8}" name="Training group"/>
    <tableColumn id="2" xr3:uid="{6D1B6D75-5BD7-EF44-992D-3F3AAA2CE0D8}" name="Location"/>
    <tableColumn id="3" xr3:uid="{A3D67AA9-2F3E-A946-89F1-58BCE004B5DE}" name="Day"/>
    <tableColumn id="4" xr3:uid="{F0860F06-12D9-D44B-9628-6B1C3E222359}" name="Duration [hours]"/>
    <tableColumn id="5" xr3:uid="{D48A9B5A-94F8-3C49-9362-CD2B038DEDC4}" name="Weeks"/>
    <tableColumn id="6" xr3:uid="{038E46D7-1271-B34B-9495-02DB5423C444}" name="Hours total">
      <calculatedColumnFormula>Aloha!$D71*Aloha!$E71</calculatedColumnFormula>
    </tableColumn>
    <tableColumn id="7" xr3:uid="{4D7C1E32-B9A4-694D-AC88-7B1338F73DBA}" name="Priority"/>
    <tableColumn id="8" xr3:uid="{38D242FF-F71F-DD46-BBB0-DAD1591516DA}" name="Hourly rate - unscaled">
      <calculatedColumnFormula>IF($B71= "","-",IF($B71= "External","Specify location tariff", INDEX(Constants!$3:$3,MATCH($B71,Constants!$2:$2,0))))</calculatedColumnFormula>
    </tableColumn>
    <tableColumn id="9" xr3:uid="{CB9C1D0B-CA25-F94C-950D-E3CD7253E055}" name="Total cost - unscaled" dataDxfId="838">
      <calculatedColumnFormula>IF($H71="-","-",IF($H71="Specify location tariff","-",$H71*$F71))</calculatedColumnFormula>
    </tableColumn>
    <tableColumn id="10" xr3:uid="{C6500077-2D5B-5843-A9EA-3B65090D3776}" name="Remarks / Clarification" dataDxfId="837"/>
  </tableColumns>
  <tableStyleInfo name="Aloha-style 4" showFirstColumn="1" showLastColumn="1"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3" xr:uid="{E715204D-48E6-4978-AE78-D5676D91837B}" name="Table_2166234" displayName="Table_2166234" ref="A37:G47" tableBorderDxfId="651">
  <tableColumns count="7">
    <tableColumn id="1" xr3:uid="{B25A8ABF-1F8D-40D2-A42A-3E506D830078}" name="Group"/>
    <tableColumn id="2" xr3:uid="{D6680276-0F3F-4751-9688-AE7E1B6C27C1}" name="Group size" dataDxfId="650"/>
    <tableColumn id="3" xr3:uid="{CA7EEC54-F593-4FEC-93BE-50A1059FEDD5}" name="Trainings per week"/>
    <tableColumn id="4" xr3:uid="{74898D7D-DFF3-4A1C-B60B-0C832963B1DF}" name="Weeks per year" dataDxfId="649"/>
    <tableColumn id="5" xr3:uid="{1041B7A6-5523-4DEC-B0F5-7EB111C6C493}" name="Type of trainer"/>
    <tableColumn id="6" xr3:uid="{482E6B5B-3B24-47D0-871A-52F5B685CA6E}" name="(Expected) Level"/>
    <tableColumn id="7" xr3:uid="{0FDA913E-29D3-414E-90E8-E89C3FAFE7A9}" name="Remarks/clarification"/>
  </tableColumns>
  <tableStyleInfo name="Aloha-style" showFirstColumn="1" showLastColumn="1"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4" xr:uid="{288A62E9-F4C9-4675-957B-2E42FD30A122}" name="Table_3167235" displayName="Table_3167235" ref="A50:H75" tableBorderDxfId="648">
  <tableColumns count="8">
    <tableColumn id="1" xr3:uid="{8AB5E43D-BF42-4E2B-BB35-1ABA965557BC}" name="Group" dataDxfId="647"/>
    <tableColumn id="2" xr3:uid="{FB057D8D-43D9-475C-BDC4-F3483FE6E584}" name="Group size" dataDxfId="646"/>
    <tableColumn id="3" xr3:uid="{67CE1F15-C803-4E3A-9F11-BA9EEFD12A0D}" name="Who" dataDxfId="645"/>
    <tableColumn id="4" xr3:uid="{4CF49F2F-1C0A-4350-AB46-4976F9388D39}" name="Type of Trainer" dataDxfId="644"/>
    <tableColumn id="5" xr3:uid="{088A49BC-2F1A-4821-B3B4-0178EEFE5095}" name="Training per week" dataDxfId="643"/>
    <tableColumn id="6" xr3:uid="{8F2A39DE-088D-4DB9-94D0-605B7CB49157}" name="Hours per week" dataDxfId="642"/>
    <tableColumn id="7" xr3:uid="{65008743-FBC9-44E4-B94F-064E7187AFF6}" name="Coaching?" dataDxfId="641"/>
    <tableColumn id="8" xr3:uid="{7325FBF4-96C0-45F2-87D9-F8EE164DD324}" name="Remarks/clarification" dataDxfId="640"/>
  </tableColumns>
  <tableStyleInfo name="Aloha-style 2" showFirstColumn="1" showLastColumn="1"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5" xr:uid="{C944A5C1-1012-4AC8-BC6C-27BF6B8A586D}" name="Table_4168236" displayName="Table_4168236" ref="A78:J95" tableBorderDxfId="639">
  <tableColumns count="10">
    <tableColumn id="1" xr3:uid="{0CBB0622-CB40-4D8C-9FFA-F2D4AAAF7801}" name="Training group"/>
    <tableColumn id="2" xr3:uid="{2CAEDC37-CA70-45E0-8720-18FD81FD1529}" name="Type of training"/>
    <tableColumn id="3" xr3:uid="{2A6DF0D7-22F5-40BE-9AA4-A4F0FD2706F9}" name="# Weeks"/>
    <tableColumn id="4" xr3:uid="{A4CB6A0C-3BE3-4E51-A75D-ED25A164D898}" name="# Times/week"/>
    <tableColumn id="5" xr3:uid="{68C38814-6A81-4964-8269-DB7DE3072F6E}" name="Total hours/week"/>
    <tableColumn id="6" xr3:uid="{6E8DE99A-C46E-4B62-B638-4FB7BEA6E8A3}" name="Total hours"/>
    <tableColumn id="7" xr3:uid="{44820370-EDE1-4FA3-8570-EAA1E8576EA4}" name="Name of trainer"/>
    <tableColumn id="8" xr3:uid="{1C5E2FE9-5A76-4932-A13F-32B29BDD4241}" name="Type of trainer"/>
    <tableColumn id="9" xr3:uid="{964A093D-102C-44D9-9A90-36F8454727A9}" name="Hourly rate"/>
    <tableColumn id="10" xr3:uid="{F7BA03F5-D83A-4E89-9BC2-218262CC3037}" name="Remarks/clarification"/>
  </tableColumns>
  <tableStyleInfo name="Aloha-style 3" showFirstColumn="1" showLastColumn="1"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6" xr:uid="{4657B625-AD8D-4E7D-9DCE-CC9D6E7FA6B3}" name="Table_5169237" displayName="Table_5169237" ref="A99:J116" tableBorderDxfId="638">
  <tableColumns count="10">
    <tableColumn id="1" xr3:uid="{743F1E22-FCB9-490E-A072-5233B1DE376B}" name="Training group"/>
    <tableColumn id="2" xr3:uid="{943F6F76-3EEC-4083-ADB4-9BB04D6D3CB5}" name="Location"/>
    <tableColumn id="3" xr3:uid="{2B78234F-C88E-4BE5-9BB8-5D5CF3E398D6}" name="Day"/>
    <tableColumn id="4" xr3:uid="{640C9662-8E3F-4896-9B9A-7955C3AA5258}" name="Duration [hours]"/>
    <tableColumn id="5" xr3:uid="{7DEB8488-3295-4F64-9121-FC2B00B42D7C}" name="Weeks"/>
    <tableColumn id="6" xr3:uid="{622C8F42-74D4-4491-968B-36DDD06611BC}" name="Hours total">
      <calculatedColumnFormula>'DRV Euros'!$D100*'DRV Euros'!$E100</calculatedColumnFormula>
    </tableColumn>
    <tableColumn id="7" xr3:uid="{485F279B-827D-411B-A327-667706637C4F}" name="Priority"/>
    <tableColumn id="8" xr3:uid="{EDBED399-869E-4AA4-839F-DCAC67543FEF}" name="Hourly rate - unscaled">
      <calculatedColumnFormula>IF($B100= "","-",IF($B100= "External","Specify location tariff", INDEX(Constants!$3:$3,MATCH($B100,Constants!$2:$2,0))))</calculatedColumnFormula>
    </tableColumn>
    <tableColumn id="9" xr3:uid="{1D0934F9-7510-4E44-BFAB-0297766A6B9C}" name="Total cost - unscaled" dataDxfId="637">
      <calculatedColumnFormula>IF($H100="-","-",IF($H100="Specify location tariff","-",$H100*$F100))</calculatedColumnFormula>
    </tableColumn>
    <tableColumn id="10" xr3:uid="{C09697F2-9075-4510-8EEF-2434F63E3C92}" name="Remarks / Clarification" dataDxfId="636"/>
  </tableColumns>
  <tableStyleInfo name="Aloha-style 4" showFirstColumn="1" showLastColumn="1"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8C3796D9-2D8A-4066-9233-4A2C31AE6D8B}" name="Table_6170238" displayName="Table_6170238" ref="A120:G145" tableBorderDxfId="635">
  <tableColumns count="7">
    <tableColumn id="1" xr3:uid="{C1318FBB-8F7F-485A-89A2-DA9555DF4153}" name="Item"/>
    <tableColumn id="2" xr3:uid="{E7D330BC-AE3C-4B3E-8C2D-9B4B16EE09C5}" name="Type (depreciation/maintenance)"/>
    <tableColumn id="3" xr3:uid="{0E056046-472A-4D67-8B49-90B681C97CD3}" name="Purchase / Running costs"/>
    <tableColumn id="4" xr3:uid="{D924AC54-FBD4-4256-B944-2B1D50E7D384}" name="Depreciation period"/>
    <tableColumn id="5" xr3:uid="{149F1C90-2610-417F-9F16-5E523973B98B}" name="Amount"/>
    <tableColumn id="6" xr3:uid="{8100CA2C-ADF4-48EA-AB3B-48768A27FEF9}" name="Costs per year"/>
    <tableColumn id="7" xr3:uid="{24DBFC72-F61C-4961-9232-D6C68D610CF6}" name="Remarks / Clarification"/>
  </tableColumns>
  <tableStyleInfo name="Aloha-style 5" showFirstColumn="1" showLastColumn="1"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B7168E67-F6A5-462F-AC27-A85C3A6B5C03}" name="Table_6170171239" displayName="Table_6170171239" ref="AD29:AF40" headerRowDxfId="634" dataDxfId="633" tableBorderDxfId="632">
  <tableColumns count="3">
    <tableColumn id="1" xr3:uid="{13CEA106-2A2B-48C7-9529-2D92F3FA8637}" name="Item" dataDxfId="631">
      <calculatedColumnFormula>IF($B$12="individual",Constants!F55,Constants!L55)</calculatedColumnFormula>
    </tableColumn>
    <tableColumn id="2" xr3:uid="{603CFDC4-1AAB-4EA2-8D37-0BCF724BE71D}" name="Type (depreciation/maintenance)" dataDxfId="630">
      <calculatedColumnFormula>B7</calculatedColumnFormula>
    </tableColumn>
    <tableColumn id="3" xr3:uid="{9259A89B-B865-4BB2-8982-132772FF3140}" name="Score" dataDxfId="629">
      <calculatedColumnFormula>IF(AE30&gt;301,5,IF(AE30&gt;176,4,IF(AE30&gt;101,3,IF(AE30&gt;51,2,1))))</calculatedColumnFormula>
    </tableColumn>
  </tableColumns>
  <tableStyleInfo name="Aloha-style 5" showFirstColumn="1" showLastColumn="1"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F4FC569A-A8B2-40DE-8DBA-898B5574C1E5}" name="Table_216686" displayName="Table_216686" ref="A37:G42" tableBorderDxfId="625">
  <tableColumns count="7">
    <tableColumn id="1" xr3:uid="{E1DF1FD2-7041-4D0D-89BD-5606C018E844}" name="Group" dataDxfId="624"/>
    <tableColumn id="2" xr3:uid="{D9A4A12F-A40B-4A7B-B392-A74860E10C3D}" name="Group size" dataDxfId="623"/>
    <tableColumn id="3" xr3:uid="{B02762F5-E023-4417-99D6-AC9C73F6A6D2}" name="Trainings per week" dataDxfId="622"/>
    <tableColumn id="4" xr3:uid="{84BD3F85-2DD1-432A-B9DC-BFCA88730087}" name="Weeks per year" dataDxfId="621"/>
    <tableColumn id="5" xr3:uid="{EC7AECEF-BEED-4C3C-8737-CB117D485059}" name="Type of trainer" dataDxfId="620"/>
    <tableColumn id="6" xr3:uid="{E0531FFF-EB85-4D9E-A6A7-4C8883159EAF}" name="(Expected) Level" dataDxfId="619"/>
    <tableColumn id="7" xr3:uid="{47C69E8E-00C6-421C-A73D-7B939B828C88}" name="Remarks/clarification" dataDxfId="618"/>
  </tableColumns>
  <tableStyleInfo name="Aloha-style" showFirstColumn="1" showLastColumn="1"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CB324EC9-EE52-45D0-9C6C-D9ACD2987B5D}" name="Table_316792" displayName="Table_316792" ref="A45:H50" tableBorderDxfId="617">
  <tableColumns count="8">
    <tableColumn id="1" xr3:uid="{43706126-C733-40CB-BCA5-70DE85419E7C}" name="Group"/>
    <tableColumn id="2" xr3:uid="{161148B6-E83F-47D9-B1C1-96D5B02E23B1}" name="Group size"/>
    <tableColumn id="3" xr3:uid="{B8C9E1D0-730D-461B-935C-C0AC40C48E22}" name="Who"/>
    <tableColumn id="4" xr3:uid="{22B63560-B8D1-4835-9132-9426289C6938}" name="Type of Trainer"/>
    <tableColumn id="5" xr3:uid="{347A53A1-F36C-4531-935A-5D7D273E750A}" name="Training per week"/>
    <tableColumn id="6" xr3:uid="{7C7EB886-64CF-454C-A629-37CDC6D2FB10}" name="Hours per week"/>
    <tableColumn id="7" xr3:uid="{0A1CFEFA-2CEC-4F43-8A1B-466E298431B4}" name="Coaching?"/>
    <tableColumn id="8" xr3:uid="{44AC112C-8F21-46DE-A49B-905DFEC24642}" name="Remarks/clarification"/>
  </tableColumns>
  <tableStyleInfo name="Aloha-style 2" showFirstColumn="1" showLastColumn="1"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831C1730-4474-4D98-9EAF-AF40279CDB12}" name="Table_416893" displayName="Table_416893" ref="A54:J67" tableBorderDxfId="616">
  <tableColumns count="10">
    <tableColumn id="1" xr3:uid="{787923EE-9062-4C52-BBAF-9FBA9D542034}" name="Training group"/>
    <tableColumn id="2" xr3:uid="{48042180-41C2-4C5C-804B-0FBDE1B30319}" name="Type of training"/>
    <tableColumn id="3" xr3:uid="{E6741AB6-7BB7-434D-A7F4-1B3B120E8D57}" name="# Weeks"/>
    <tableColumn id="4" xr3:uid="{23CECBB2-A459-4197-8A65-7E72B4016037}" name="# Times/week"/>
    <tableColumn id="5" xr3:uid="{7E06F2C2-EEDC-435A-BAE3-3B6368A90EA6}" name="Total hours/week"/>
    <tableColumn id="6" xr3:uid="{AB7A3914-7896-4153-A591-E176E1AC3703}" name="Total hours"/>
    <tableColumn id="7" xr3:uid="{59A5741F-282C-4806-8BD6-A88D9A871976}" name="Name of trainer"/>
    <tableColumn id="8" xr3:uid="{C853A514-1067-490A-A7DA-A963C4ECF9A0}" name="Type of trainer"/>
    <tableColumn id="9" xr3:uid="{2D35F1D5-BFC3-4E53-894C-7D53A5935CF3}" name="Hourly rate"/>
    <tableColumn id="10" xr3:uid="{EF1D95AB-842F-4A3E-8027-BA8C04F9003A}" name="Remarks/Clarification"/>
  </tableColumns>
  <tableStyleInfo name="Aloha-style 3" showFirstColumn="1" showLastColumn="1"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2DBF7629-84A7-4880-BB33-E3B5600C8F05}" name="Table_516994" displayName="Table_516994" ref="A70:J87" tableBorderDxfId="615">
  <tableColumns count="10">
    <tableColumn id="1" xr3:uid="{D74E631C-A25E-4056-B961-B411C970B112}" name="Training group"/>
    <tableColumn id="2" xr3:uid="{6BF9CB05-1D3D-4B66-AE2E-82EDF3E76597}" name="Location"/>
    <tableColumn id="3" xr3:uid="{139D7377-1994-4E69-AC02-AAA32127FB59}" name="Day"/>
    <tableColumn id="4" xr3:uid="{BFCA077F-FFE0-4014-A506-797BF352083D}" name="Duration [hours]"/>
    <tableColumn id="5" xr3:uid="{F74D13DF-ACB7-4A56-BB0E-652C38E93298}" name="Weeks"/>
    <tableColumn id="6" xr3:uid="{70D2AE5B-0C6A-4254-949F-073B98B743E1}" name="Hours total">
      <calculatedColumnFormula>'DZ Euros'!$D71*'DZ Euros'!$E71</calculatedColumnFormula>
    </tableColumn>
    <tableColumn id="7" xr3:uid="{459B5318-9B87-4390-A2C5-C9FEF7545907}" name="Priority"/>
    <tableColumn id="8" xr3:uid="{48B57FC0-E87C-4F8A-BEDE-7E7C3387DC8C}" name="Hourly rate - unscaled">
      <calculatedColumnFormula>IF($B71= "","-",IF($B71= "External","Specify location tariff", INDEX(Constants!$3:$3,MATCH($B71,Constants!$2:$2,0))))</calculatedColumnFormula>
    </tableColumn>
    <tableColumn id="9" xr3:uid="{B1691035-28CA-46A3-9CC9-178D668D07A4}" name="Total cost - unscaled" dataDxfId="614">
      <calculatedColumnFormula>IF($H71="-","-",IF($H71="Specify location tariff","-",$H71*$F71))</calculatedColumnFormula>
    </tableColumn>
    <tableColumn id="10" xr3:uid="{0E0D9756-BA1A-4749-B06D-D98F0AD497B1}" name="Remarks / Clarification" dataDxfId="613"/>
  </tableColumns>
  <tableStyleInfo name="Aloha-style 4" showFirstColumn="1" showLastColumn="1"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1" xr:uid="{45DB4C65-702E-F04F-ADF9-70731048933A}" name="Table_6170262" displayName="Table_6170262" ref="A91:G105" tableBorderDxfId="836">
  <tableColumns count="7">
    <tableColumn id="1" xr3:uid="{3FEEDC83-98B3-0D41-A45E-703966D2EDAC}" name="Item"/>
    <tableColumn id="2" xr3:uid="{78CE5010-199A-B74A-AFAE-5A1A540B64C1}" name="Type (depreciation/maintenance)"/>
    <tableColumn id="3" xr3:uid="{768AE28A-839C-A44C-B63D-7391146E3F61}" name="Purchase / Running costs"/>
    <tableColumn id="4" xr3:uid="{8209898C-51AD-E848-9A88-E1CDC967A6A3}" name="Depreciation period"/>
    <tableColumn id="5" xr3:uid="{74F05A2C-E8AB-F84D-B95E-45D719B0CF0F}" name="Amount"/>
    <tableColumn id="6" xr3:uid="{C7C374D3-8B7A-664A-8E17-8246A62C691D}" name="Costs per year"/>
    <tableColumn id="7" xr3:uid="{4F2AA5BB-D5DA-3346-A903-DD8D1F2E66D3}" name="Remarks / Clarification"/>
  </tableColumns>
  <tableStyleInfo name="Aloha-style 5" showFirstColumn="1" showLastColumn="1"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6FD7D96B-55A2-4D35-B34C-8D4ADE50DD79}" name="Table_617095" displayName="Table_617095" ref="A91:G119" tableBorderDxfId="612">
  <tableColumns count="7">
    <tableColumn id="1" xr3:uid="{5BF6321A-0AC8-420C-A04B-115AAF438EE3}" name="Item"/>
    <tableColumn id="2" xr3:uid="{E3D04B56-18D2-4A2D-A2E6-0D7CE00B0F1D}" name="Type (depreciation/maintenance)"/>
    <tableColumn id="3" xr3:uid="{047E615A-05F5-4B51-B1DB-3442D38B563A}" name="Purchase / Running costs"/>
    <tableColumn id="4" xr3:uid="{7175C0F8-06D9-4AA2-BDDF-7E8E4CBAB12D}" name="Depreciation period"/>
    <tableColumn id="5" xr3:uid="{9A95AFBF-58AC-4E9D-81A0-484CDB715871}" name="Amount"/>
    <tableColumn id="6" xr3:uid="{5A848D23-E2E2-4C95-9235-266C94F3DAA0}" name="Costs per year" dataDxfId="611">
      <calculatedColumnFormula>IF(Table_617095[[#This Row],[Item]]="",0,Table_617095[[#This Row],[Amount]]*Table_617095[[#This Row],[Purchase / Running costs]]/Table_617095[[#This Row],[Depreciation period]])</calculatedColumnFormula>
    </tableColumn>
    <tableColumn id="7" xr3:uid="{6EAD969E-E58B-47D1-B20B-4C2C6E0120C9}" name="Remarks / Clarification"/>
  </tableColumns>
  <tableStyleInfo name="Aloha-style 5" showFirstColumn="1" showLastColumn="1"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97578891-45FF-43D6-B1F1-0B4AE1BA6AC3}" name="Table_617017196" displayName="Table_617017196" ref="AD29:AF40" headerRowDxfId="610" dataDxfId="609" tableBorderDxfId="608">
  <tableColumns count="3">
    <tableColumn id="1" xr3:uid="{9F95A19E-3A08-4C40-AAF4-A75BCF9D403A}" name="Item" dataDxfId="607">
      <calculatedColumnFormula>IF($B$12="individual",Constants!F55,Constants!L55)</calculatedColumnFormula>
    </tableColumn>
    <tableColumn id="2" xr3:uid="{D4E61ED2-4156-47F2-8433-A8E45ABFBDB7}" name="Type (depreciation/maintenance)" dataDxfId="606">
      <calculatedColumnFormula>B7</calculatedColumnFormula>
    </tableColumn>
    <tableColumn id="3" xr3:uid="{F532C193-FD38-4AF6-9DBC-47FAF2C97666}" name="Score" dataDxfId="605">
      <calculatedColumnFormula>IF(AE30&gt;301,5,IF(AE30&gt;176,4,IF(AE30&gt;101,3,IF(AE30&gt;51,2,1))))</calculatedColumnFormula>
    </tableColumn>
  </tableColumns>
  <tableStyleInfo name="Aloha-style 5" showFirstColumn="1" showLastColumn="1"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873B1C80-49D6-4CD9-B765-68821F9F7C45}" name="Table_2166204" displayName="Table_2166204" ref="A37:G87" tableBorderDxfId="601">
  <tableColumns count="7">
    <tableColumn id="1" xr3:uid="{F9ACB79B-4718-44F3-BA81-2D7BA34A65AC}" name="Group" dataDxfId="600"/>
    <tableColumn id="2" xr3:uid="{F5371D00-88DC-4C33-B00E-2DEF41A66E4B}" name="Group size" dataDxfId="599"/>
    <tableColumn id="3" xr3:uid="{C2504F9F-2260-442A-A6FE-1A9512C65648}" name="Trainings per week" dataDxfId="598"/>
    <tableColumn id="4" xr3:uid="{AC476620-E1A8-4988-8375-7FD87AFB2E56}" name="Weeks per year" dataDxfId="597"/>
    <tableColumn id="5" xr3:uid="{85AF0F49-F3A9-48C3-995F-DF7068018547}" name="Type of trainer" dataDxfId="596"/>
    <tableColumn id="6" xr3:uid="{AE798477-CFFA-4C2E-95EE-1857C50FBD0F}" name="(Expected) Level" dataDxfId="595"/>
    <tableColumn id="7" xr3:uid="{665A5395-B7CD-4479-A5E2-231392AB569F}" name="Remarks/clarification" dataDxfId="594"/>
  </tableColumns>
  <tableStyleInfo name="Aloha-style" showFirstColumn="1" showLastColumn="1"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A3F23449-BF1D-4CFD-ADB2-32032858014C}" name="Table_3167205" displayName="Table_3167205" ref="A90:H95" tableBorderDxfId="593">
  <tableColumns count="8">
    <tableColumn id="1" xr3:uid="{B0349B78-54E3-468D-A819-FE665B310D69}" name="Group" dataDxfId="592"/>
    <tableColumn id="2" xr3:uid="{EDC5A0FE-9848-4630-8173-6F0B1CF37317}" name="Group size" dataDxfId="591"/>
    <tableColumn id="3" xr3:uid="{F41E13EE-8482-4AB9-B68D-975F16EA2B84}" name="Who" dataDxfId="590"/>
    <tableColumn id="4" xr3:uid="{1EB1D35B-12C3-4F1C-84CE-82533B694469}" name="Type of Trainer" dataDxfId="589"/>
    <tableColumn id="5" xr3:uid="{E425ED41-3602-47CB-85B6-351D9E5CC324}" name="Training per week" dataDxfId="588"/>
    <tableColumn id="6" xr3:uid="{C732D76E-51C1-46C7-B2F1-AC8D026AE5D5}" name="Hours per week" dataDxfId="587"/>
    <tableColumn id="7" xr3:uid="{1D36908B-64BB-4DD6-AADE-CF4F2E070938}" name="Coaching?" dataDxfId="586"/>
    <tableColumn id="8" xr3:uid="{AB1B1FC4-FB84-46D5-B87D-643E7521204B}" name="Remarks/clarification"/>
  </tableColumns>
  <tableStyleInfo name="Aloha-style 2" showFirstColumn="1" showLastColumn="1"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6348F1FE-09B7-4DE8-AA08-159872DE945D}" name="Table_4168206" displayName="Table_4168206" ref="A100:J142" tableBorderDxfId="585">
  <tableColumns count="10">
    <tableColumn id="1" xr3:uid="{94A31A16-BE24-4C74-8BD9-AB0F0E5C0B01}" name="Training group"/>
    <tableColumn id="2" xr3:uid="{BBC10805-78AB-4EC9-B4B6-C3321A118E4E}" name="Type of training"/>
    <tableColumn id="3" xr3:uid="{39F991A7-3A6D-4707-BE7E-DBEA7A3F99A4}" name="# Weeks"/>
    <tableColumn id="4" xr3:uid="{F49FBB23-DA71-434B-A5FF-31C260B07698}" name="# Times/week"/>
    <tableColumn id="5" xr3:uid="{60F7C25E-3A9D-4A86-9EA0-B3496EE64DE0}" name="Total hours/week"/>
    <tableColumn id="6" xr3:uid="{1BC56CA3-3597-4F77-81EB-E540DD420A36}" name="Total hours" dataDxfId="584">
      <calculatedColumnFormula>E101*C101</calculatedColumnFormula>
    </tableColumn>
    <tableColumn id="7" xr3:uid="{820DAD8F-0DE3-43CB-B521-F0347790E1AD}" name="Name of trainer"/>
    <tableColumn id="8" xr3:uid="{88326E47-0979-4765-886B-470886225B2C}" name="Type of trainer"/>
    <tableColumn id="9" xr3:uid="{532E98D9-6997-462B-BF0C-73863E328E42}" name="Hourly rate"/>
    <tableColumn id="10" xr3:uid="{042EF74B-680C-4F73-BD90-3A574F786237}" name="Remarks/Clarification"/>
  </tableColumns>
  <tableStyleInfo name="Aloha-style 3" showFirstColumn="1" showLastColumn="1"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7D87997F-DD26-439B-A210-3E8CDF0CD5C5}" name="Table_5169207" displayName="Table_5169207" ref="A145:J173" tableBorderDxfId="583">
  <tableColumns count="10">
    <tableColumn id="1" xr3:uid="{63715F38-C4ED-4EA1-9325-727B38587D1C}" name="Training group"/>
    <tableColumn id="2" xr3:uid="{FF8C085F-68DF-41DE-8480-A02238C369A4}" name="Location"/>
    <tableColumn id="3" xr3:uid="{966DE2FD-37D3-4DAA-87C7-1A92A3E40683}" name="Day"/>
    <tableColumn id="4" xr3:uid="{B0308D21-32DB-46B3-A909-5C85BF16FF5E}" name="Duration [hours]"/>
    <tableColumn id="5" xr3:uid="{EA3D835A-268F-4C2A-BA52-395C50497A87}" name="Weeks"/>
    <tableColumn id="6" xr3:uid="{C89CC79A-F6C2-408C-AB51-97EBB4E9D159}" name="Hours total" dataDxfId="582">
      <calculatedColumnFormula>D146*E146</calculatedColumnFormula>
    </tableColumn>
    <tableColumn id="7" xr3:uid="{E8C80946-5091-4FB1-B48C-AEE295C7EDE7}" name="Priority"/>
    <tableColumn id="8" xr3:uid="{83ECB733-BDD7-4811-A82B-5368F2C9D0F4}" name="Hourly rate - unscaled">
      <calculatedColumnFormula>IF($B146= "","-",IF($B146= "External","Specify location tariff", INDEX(Constants!$3:$3,MATCH($B146,Constants!$2:$2,0))))</calculatedColumnFormula>
    </tableColumn>
    <tableColumn id="9" xr3:uid="{DA80ED20-89B7-4071-98D4-6ECAFBB93905}" name="Total cost - unscaled" dataDxfId="581">
      <calculatedColumnFormula>IF($H146="-","-",IF($H146="Specify location tariff","-",$H146*$F146))</calculatedColumnFormula>
    </tableColumn>
    <tableColumn id="10" xr3:uid="{0F8F84B5-94C7-4673-AFE8-273A26285B0F}" name="Remarks / Clarification" dataDxfId="580"/>
  </tableColumns>
  <tableStyleInfo name="Aloha-style 4" showFirstColumn="1" showLastColumn="1"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C3B13610-440A-48E3-B232-2BB2516D0788}" name="Table_6170208" displayName="Table_6170208" ref="A177:G191" tableBorderDxfId="579">
  <tableColumns count="7">
    <tableColumn id="1" xr3:uid="{E28D6E19-7B64-40D9-9D2B-7BDEF50DD02D}" name="Item"/>
    <tableColumn id="2" xr3:uid="{8B35B948-A02B-4195-A6BC-1169D18E38C7}" name="Type (depreciation/maintenance)"/>
    <tableColumn id="3" xr3:uid="{8C1C3479-7594-4562-80AD-D6AE8BFF7066}" name="Purchase / Running costs"/>
    <tableColumn id="4" xr3:uid="{254ECD21-97F5-40ED-A5B0-E4C1F1949658}" name="Depreciation period"/>
    <tableColumn id="5" xr3:uid="{1F36DCCC-F798-4B2A-91FA-4AA80C497781}" name="Amount"/>
    <tableColumn id="6" xr3:uid="{69F79E13-25E3-4CDF-92DE-06A064124DC5}" name="Costs per year"/>
    <tableColumn id="7" xr3:uid="{A2A61763-530D-445F-9D3E-696DB462CB8C}" name="Remarks / Clarification"/>
  </tableColumns>
  <tableStyleInfo name="Aloha-style 5" showFirstColumn="1" showLastColumn="1"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DD93E5E2-4B75-444A-8FF4-A89528512278}" name="Table_6170171209" displayName="Table_6170171209" ref="AD29:AF40" headerRowDxfId="578" dataDxfId="577" tableBorderDxfId="576">
  <tableColumns count="3">
    <tableColumn id="1" xr3:uid="{9A399030-070F-4520-93D6-81F1EA3446D1}" name="Item" dataDxfId="575">
      <calculatedColumnFormula>IF($B$12="individual",Constants!F55,Constants!L55)</calculatedColumnFormula>
    </tableColumn>
    <tableColumn id="2" xr3:uid="{27CA8E63-BEEA-4B20-AADE-8C1A8D0F692C}" name="Type (depreciation/maintenance)" dataDxfId="574">
      <calculatedColumnFormula>B7</calculatedColumnFormula>
    </tableColumn>
    <tableColumn id="3" xr3:uid="{62A3B920-2B71-4351-A8F6-0E9A9C7EE154}" name="Score" dataDxfId="573">
      <calculatedColumnFormula>IF(AE30&gt;301,5,IF(AE30&gt;176,4,IF(AE30&gt;101,3,IF(AE30&gt;51,2,1))))</calculatedColumnFormula>
    </tableColumn>
  </tableColumns>
  <tableStyleInfo name="Aloha-style 5" showFirstColumn="1" showLastColumn="1"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648DE951-4B1B-40FD-B0C2-ECA88FC285AA}" name="Table_216672" displayName="Table_216672" ref="A37:G42" tableBorderDxfId="569">
  <tableColumns count="7">
    <tableColumn id="1" xr3:uid="{9C9E6BD4-4DFD-4F56-9173-B89A327BB16A}" name="Group"/>
    <tableColumn id="2" xr3:uid="{EE42E567-7CB9-459E-9A00-453AC546357F}" name="Group size" dataDxfId="568"/>
    <tableColumn id="3" xr3:uid="{B73CA967-92D9-460D-AD6A-77B153FD2A08}" name="Trainings per week"/>
    <tableColumn id="4" xr3:uid="{0701516F-EC54-42EA-880B-A61F3B609913}" name="Weeks per year" dataDxfId="567"/>
    <tableColumn id="5" xr3:uid="{AF1E48F5-381B-4DA0-807D-629F168D661B}" name="Type of trainer"/>
    <tableColumn id="6" xr3:uid="{3CB695B1-465B-4CE3-8F24-5EC65334EB78}" name="(Expected) Level"/>
    <tableColumn id="7" xr3:uid="{45BB06FB-6547-48D1-8317-F88F0A371015}" name="Remarks/clarification"/>
  </tableColumns>
  <tableStyleInfo name="Aloha-style" showFirstColumn="1" showLastColumn="1"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26AA7742-9C0D-4C55-81D6-7A853CCA948B}" name="Table_316773" displayName="Table_316773" ref="A45:H50" tableBorderDxfId="566">
  <tableColumns count="8">
    <tableColumn id="1" xr3:uid="{4FE02072-72BE-41FC-AAA2-CF185BD64D43}" name="Group"/>
    <tableColumn id="2" xr3:uid="{03A522DF-A8C7-499D-BB6B-71EE70C22379}" name="Group size"/>
    <tableColumn id="3" xr3:uid="{0A4DCE57-E955-41D6-9507-03B2DA4E2C26}" name="Who"/>
    <tableColumn id="4" xr3:uid="{D9F18368-BC7F-4D63-92DB-E0A8483CF2A4}" name="Type of Trainer"/>
    <tableColumn id="5" xr3:uid="{A29C51BB-3906-4300-ADB7-CE4E9BFDFC3B}" name="Training per week"/>
    <tableColumn id="6" xr3:uid="{AF0B913A-F4A9-4252-8E95-014A74A88312}" name="Hours per week"/>
    <tableColumn id="7" xr3:uid="{D3F87548-6E46-4C9C-9344-4C5FC7E4F1AD}" name="Coaching?"/>
    <tableColumn id="8" xr3:uid="{660482CB-A153-47CB-BB2A-8F0E30609B99}" name="Remarks/clarification"/>
  </tableColumns>
  <tableStyleInfo name="Aloha-style 2" showFirstColumn="1" showLastColumn="1"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2" xr:uid="{72DE6302-27AC-6D46-9F09-056D9E05B80A}" name="Table_6170171263" displayName="Table_6170171263" ref="AD29:AF40" headerRowDxfId="835" dataDxfId="834" tableBorderDxfId="833">
  <tableColumns count="3">
    <tableColumn id="1" xr3:uid="{ED258610-786F-3B41-BD26-ABADE1EC7919}" name="Item" dataDxfId="832">
      <calculatedColumnFormula>IF($B$12="individual",Constants!F55,Constants!L55)</calculatedColumnFormula>
    </tableColumn>
    <tableColumn id="2" xr3:uid="{DD205FAD-8DA1-E547-B716-1D51E89A1368}" name="Type (depreciation/maintenance)" dataDxfId="831">
      <calculatedColumnFormula>B7</calculatedColumnFormula>
    </tableColumn>
    <tableColumn id="3" xr3:uid="{9BD3EA31-6626-3741-B19B-1240465508F4}" name="Score" dataDxfId="830">
      <calculatedColumnFormula>IF(AE30&gt;301,5,IF(AE30&gt;176,4,IF(AE30&gt;101,3,IF(AE30&gt;51,2,1))))</calculatedColumnFormula>
    </tableColumn>
  </tableColumns>
  <tableStyleInfo name="Aloha-style 5" showFirstColumn="1" showLastColumn="1"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94636623-BCBC-4D8E-A396-926FBD1CBC38}" name="Table_416874" displayName="Table_416874" ref="A54:J67" tableBorderDxfId="565">
  <tableColumns count="10">
    <tableColumn id="1" xr3:uid="{7847AAA3-ACEA-4C1C-B70C-6B917DD4B772}" name="Training group"/>
    <tableColumn id="2" xr3:uid="{DCC54053-96B4-49C7-9AE8-6CE135D8B5F3}" name="Type of training"/>
    <tableColumn id="3" xr3:uid="{53C643DF-E283-44C6-BA85-4CE28154983E}" name="# Weeks"/>
    <tableColumn id="4" xr3:uid="{2EF325F8-6712-4439-85D0-1CC19F5705ED}" name="# Times/week"/>
    <tableColumn id="5" xr3:uid="{72C84F70-3CBF-4974-AC83-E5E981A70505}" name="Total hours/week"/>
    <tableColumn id="6" xr3:uid="{25CB9AED-E159-4997-BDE9-61A00557CDFC}" name="Total hours" dataDxfId="564">
      <calculatedColumnFormula>Table_416874[[#This Row],['# Weeks]]*Table_416874[[#This Row],[Total hours/week]]</calculatedColumnFormula>
    </tableColumn>
    <tableColumn id="7" xr3:uid="{08252763-9E4E-4002-B6D1-4C47813FDBBB}" name="Name of trainer"/>
    <tableColumn id="8" xr3:uid="{62C53E22-3103-4012-82A3-3B73E0665508}" name="Type of trainer"/>
    <tableColumn id="9" xr3:uid="{5F0CDDC1-D60E-4F4E-9141-18CBFA2F25BA}" name="Hourly rate"/>
    <tableColumn id="10" xr3:uid="{A830B8E1-9EB8-41CE-97F0-2AEC3ED34F7D}" name="Remarks/Clarification"/>
  </tableColumns>
  <tableStyleInfo name="Aloha-style 3" showFirstColumn="1" showLastColumn="1"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D90BF6CD-CB58-44D8-97FF-DE4E742447BD}" name="Table_516975" displayName="Table_516975" ref="A70:J87" tableBorderDxfId="563">
  <tableColumns count="10">
    <tableColumn id="1" xr3:uid="{48427326-3BC3-436E-8327-3F9858AD8B5F}" name="Training group"/>
    <tableColumn id="2" xr3:uid="{8A534D2F-720D-475A-86C8-6D52C5F11882}" name="Location"/>
    <tableColumn id="3" xr3:uid="{44A9CA81-D131-4B91-81EA-7072356B9EC0}" name="Day"/>
    <tableColumn id="4" xr3:uid="{915B29DA-F3C4-4484-A201-D4359943EC87}" name="Duration [hours]"/>
    <tableColumn id="5" xr3:uid="{D147D188-9E35-40CB-8008-AAC00E8AC22E}" name="Weeks"/>
    <tableColumn id="6" xr3:uid="{0A4D86BA-A3E5-4295-9384-BF7342CC8684}" name="Hours total">
      <calculatedColumnFormula>Hardboard!$D71*Hardboard!$E71</calculatedColumnFormula>
    </tableColumn>
    <tableColumn id="7" xr3:uid="{1E364093-6DA7-478E-8D65-84C6BE15837C}" name="Priority"/>
    <tableColumn id="8" xr3:uid="{CEDB046C-8581-42E0-BA65-9F9C194EFB9A}" name="Hourly rate - unscaled">
      <calculatedColumnFormula>IF($B71= "","-",IF($B71= "External","Specify location tariff", INDEX(Constants!$3:$3,MATCH($B71,Constants!$2:$2,0))))</calculatedColumnFormula>
    </tableColumn>
    <tableColumn id="9" xr3:uid="{5B60AE4C-CCED-456D-B313-1BDC13EA0C9E}" name="Total cost - unscaled" dataDxfId="562">
      <calculatedColumnFormula>IF($H71="-","-",IF($H71="Specify location tariff","-",$H71*$F71))</calculatedColumnFormula>
    </tableColumn>
    <tableColumn id="10" xr3:uid="{E5162D09-DD0F-4005-9D33-BBC11633C3B3}" name="Remarks / Clarification" dataDxfId="561"/>
  </tableColumns>
  <tableStyleInfo name="Aloha-style 4" showFirstColumn="1" showLastColumn="1"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9CA20407-1433-434C-BD93-9B623EB96588}" name="Table_617076" displayName="Table_617076" ref="A91:G133" tableBorderDxfId="560">
  <tableColumns count="7">
    <tableColumn id="1" xr3:uid="{FA45DF2B-8BAB-42F1-92F6-E7774B1D288E}" name="Item"/>
    <tableColumn id="2" xr3:uid="{0D0E1135-7FF9-433F-A65C-856CF668BFE2}" name="Type (depreciation/maintenance)"/>
    <tableColumn id="3" xr3:uid="{EB778A10-7657-4BFF-8EE1-1524A263D591}" name="Purchase / Running costs"/>
    <tableColumn id="4" xr3:uid="{645E789D-9984-4AD2-A7F5-9502EF49E661}" name="Depreciation period"/>
    <tableColumn id="5" xr3:uid="{F2E292FB-7061-441A-ABDE-66617C8B62AF}" name="Amount"/>
    <tableColumn id="6" xr3:uid="{7A3207DB-3ECE-4B33-ADCF-9F123CACB1E6}" name="Costs per year"/>
    <tableColumn id="7" xr3:uid="{BD9A2DBB-8F19-49E1-AE4C-37B1257A398A}" name="Remarks / Clarification"/>
  </tableColumns>
  <tableStyleInfo name="Aloha-style 5" showFirstColumn="1" showLastColumn="1"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1" xr:uid="{D4EF4571-7A3F-41E3-99CF-C07F49D16680}" name="Table_6170171172" displayName="Table_6170171172" ref="AD29:AF41" headerRowDxfId="559" dataDxfId="558" tableBorderDxfId="557">
  <tableColumns count="3">
    <tableColumn id="1" xr3:uid="{D7239C11-47C2-4DE7-9B3A-B1B696C47350}" name="Item" dataDxfId="556">
      <calculatedColumnFormula>IF($B$12="individual",Constants!F55,Constants!L55)</calculatedColumnFormula>
    </tableColumn>
    <tableColumn id="2" xr3:uid="{2181981E-070E-4F3A-8F27-0F46ADC5C6BD}" name="Type (depreciation/maintenance)" dataDxfId="555">
      <calculatedColumnFormula>B7</calculatedColumnFormula>
    </tableColumn>
    <tableColumn id="3" xr3:uid="{5919D782-F3A4-4E63-A554-22C0ABAF4603}" name="Score" dataDxfId="554"/>
  </tableColumns>
  <tableStyleInfo name="Aloha-style 5" showFirstColumn="1" showLastColumn="1"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56C4092F-0BDE-492E-AFB9-D5102786034E}" name="Table_2166128" displayName="Table_2166128" ref="A37:G42" tableBorderDxfId="550">
  <tableColumns count="7">
    <tableColumn id="1" xr3:uid="{90621EF5-1074-4795-96A2-26386EFF4A41}" name="Group" dataDxfId="549"/>
    <tableColumn id="2" xr3:uid="{488F79C5-39E3-431E-A7DA-30935CA96E6D}" name="Group size" dataDxfId="548"/>
    <tableColumn id="3" xr3:uid="{347179E8-6439-489A-8D1D-8557C329526F}" name="Trainings per week" dataDxfId="547"/>
    <tableColumn id="4" xr3:uid="{D774E7A6-8E3B-4873-AB95-AEF68BE48E1E}" name="Weeks per year" dataDxfId="546"/>
    <tableColumn id="5" xr3:uid="{009C9035-D221-4FD7-8976-BFEA4CD0348D}" name="Type of trainer" dataDxfId="545"/>
    <tableColumn id="6" xr3:uid="{E007A27F-5D18-4DDA-9270-A3AB472C70D9}" name="(Expected) Level" dataDxfId="544"/>
    <tableColumn id="7" xr3:uid="{F4D194E7-E337-4F6A-8956-BA2C2A9A8777}" name="Remarks/clarification"/>
  </tableColumns>
  <tableStyleInfo name="Aloha-style" showFirstColumn="1" showLastColumn="1"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ED83009C-5C91-433A-8A8A-33BCC17BCC9D}" name="Table_3167129" displayName="Table_3167129" ref="A45:H50">
  <tableColumns count="8">
    <tableColumn id="1" xr3:uid="{52D0C31D-CEA3-4926-81E2-B36BFCE0589F}" name="Group"/>
    <tableColumn id="2" xr3:uid="{266CF58A-C2E4-4E49-9BF5-92154945FF4F}" name="Group size"/>
    <tableColumn id="3" xr3:uid="{FCEA6BF9-CD70-4692-B385-A54CA261A0A1}" name="Who"/>
    <tableColumn id="4" xr3:uid="{994B6727-6261-4516-943B-7ADE0447BD6E}" name="Type of Trainer"/>
    <tableColumn id="5" xr3:uid="{B734D5FA-49DD-4F8A-AAFC-0D3B3FE824F3}" name="Training per week"/>
    <tableColumn id="6" xr3:uid="{BC00356F-BB97-4717-A267-D5363BBC22E3}" name="Hours per week"/>
    <tableColumn id="7" xr3:uid="{412EA990-674C-48A9-84C7-9CF93410F22C}" name="Coaching?"/>
    <tableColumn id="8" xr3:uid="{8BD1E3E6-27F7-4EF0-A430-2952FBB7C6FB}" name="Remarks/clarification"/>
  </tableColumns>
  <tableStyleInfo name="Aloha-style 2" showFirstColumn="1" showLastColumn="1"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EDBC634D-6AE8-4647-974A-3C7379C1912A}" name="Table_4168130" displayName="Table_4168130" ref="A54:J67" tableBorderDxfId="543">
  <tableColumns count="10">
    <tableColumn id="1" xr3:uid="{FDA36F6E-49F8-499D-A00E-438FA7F6DDC7}" name="Training group"/>
    <tableColumn id="2" xr3:uid="{1865D771-7D6A-4949-B071-D70BF1CA2987}" name="Type of training"/>
    <tableColumn id="3" xr3:uid="{B5B32C51-CDEE-4ACF-82DB-F4384F332C47}" name="# Weeks"/>
    <tableColumn id="4" xr3:uid="{18B8222C-D2B9-4AD6-A3FA-A734E0E9795E}" name="# Times/week"/>
    <tableColumn id="5" xr3:uid="{C71B9C79-9DFB-4735-B8FC-32144AE4BA4A}" name="Total hours/week"/>
    <tableColumn id="6" xr3:uid="{E9599E2A-6BFD-41AD-956C-19BD5E4C7AB4}" name="Total hours"/>
    <tableColumn id="7" xr3:uid="{6B36C935-CDAE-4E04-AD16-DF7F471752EB}" name="Name of trainer"/>
    <tableColumn id="8" xr3:uid="{25DC3EEA-34B5-453A-8781-F4399E7FF97C}" name="Type of trainer"/>
    <tableColumn id="9" xr3:uid="{F07B6A97-C21C-4EA8-88AB-0A8266EC23B3}" name="Hourly rate"/>
    <tableColumn id="10" xr3:uid="{990A0411-B8E6-40F4-AF25-16F2B69F0D21}" name="Remarks/Clarification"/>
  </tableColumns>
  <tableStyleInfo name="Aloha-style 3" showFirstColumn="1" showLastColumn="1"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3F8C593F-40F8-4263-AB8A-9403C81F3210}" name="Table_5169131" displayName="Table_5169131" ref="A70:J87" tableBorderDxfId="542">
  <tableColumns count="10">
    <tableColumn id="1" xr3:uid="{D05C7C13-0C2D-4B97-9D09-37B5422C7B32}" name="Training group"/>
    <tableColumn id="2" xr3:uid="{6A2C42BE-2181-4872-837F-2E161AC3F73A}" name="Location"/>
    <tableColumn id="3" xr3:uid="{A1DA168B-4D79-44BD-B311-15A8A24D0985}" name="Day"/>
    <tableColumn id="4" xr3:uid="{1521673A-4F0E-4169-8856-8738DF9AE52B}" name="Duration [hours]"/>
    <tableColumn id="5" xr3:uid="{2C54F0AA-D255-4C3D-8520-48F73417C294}" name="Weeks"/>
    <tableColumn id="6" xr3:uid="{817424E6-A969-420A-BC1F-47FF3285DA41}" name="Hours total">
      <calculatedColumnFormula>Hippocampus!$D71*Hippocampus!$E71</calculatedColumnFormula>
    </tableColumn>
    <tableColumn id="7" xr3:uid="{D94D506F-6D75-4311-A27F-761588F98A94}" name="Priority"/>
    <tableColumn id="8" xr3:uid="{CB8D4FCF-5157-4D4F-BAA7-ABF3DDB98239}" name="Hourly rate - unscaled">
      <calculatedColumnFormula>IF($B71= "","-",IF($B71= "External","Specify location tariff", INDEX(Constants!$3:$3,MATCH($B71,Constants!$2:$2,0))))</calculatedColumnFormula>
    </tableColumn>
    <tableColumn id="9" xr3:uid="{6246EEC6-99A0-4969-AFFB-3CA72040C08C}" name="Total cost - unscaled" dataDxfId="541">
      <calculatedColumnFormula>IF($H71="-","-",IF($H71="Specify location tariff","-",$H71*$F71))</calculatedColumnFormula>
    </tableColumn>
    <tableColumn id="10" xr3:uid="{E022E7A6-F8C6-4E81-B602-E66233E7D1F4}" name="Remarks / Clarification" dataDxfId="540"/>
  </tableColumns>
  <tableStyleInfo name="Aloha-style 4" showFirstColumn="1" showLastColumn="1"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B55F0A62-1922-40D3-B37B-14CF4E6EA855}" name="Table_6170132" displayName="Table_6170132" ref="A91:G105" tableBorderDxfId="539">
  <tableColumns count="7">
    <tableColumn id="1" xr3:uid="{798DB75B-3530-4290-920F-94D5E4D083DC}" name="Item"/>
    <tableColumn id="2" xr3:uid="{B6168687-CD2B-4C57-A2C9-E9CDCC56D218}" name="Type (depreciation/maintenance)"/>
    <tableColumn id="3" xr3:uid="{7C911E6F-C63B-4D6F-8FE8-A508286D17C0}" name="Purchase / Running costs"/>
    <tableColumn id="4" xr3:uid="{95F874FD-4E66-470A-B5BF-6D2E62931E94}" name="Depreciation period"/>
    <tableColumn id="5" xr3:uid="{412A8063-9013-4C39-822F-0C5666FD65A1}" name="Amount"/>
    <tableColumn id="6" xr3:uid="{00EB0932-AAC5-4D52-857A-DC9EF9D44E95}" name="Costs per year" dataDxfId="538">
      <calculatedColumnFormula>IF(Table_6170132[[#This Row],[Item]]="",0,Table_6170132[[#This Row],[Amount]]*Table_6170132[[#This Row],[Purchase / Running costs]]/Table_6170132[[#This Row],[Depreciation period]])</calculatedColumnFormula>
    </tableColumn>
    <tableColumn id="7" xr3:uid="{14C5639C-FB69-43BB-8469-A3EC4B490D68}" name="Remarks / Clarification"/>
  </tableColumns>
  <tableStyleInfo name="Aloha-style 5" showFirstColumn="1" showLastColumn="1"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1D074EFA-717F-4C3C-82A2-14BA214428E2}" name="Table_6170171133" displayName="Table_6170171133" ref="AD29:AF40" headerRowDxfId="537" dataDxfId="536" tableBorderDxfId="535">
  <tableColumns count="3">
    <tableColumn id="1" xr3:uid="{66B97B10-84DD-49EA-A1C6-B48EDC30F392}" name="Item" dataDxfId="534">
      <calculatedColumnFormula>IF($B$12="individual",Constants!F55,Constants!L55)</calculatedColumnFormula>
    </tableColumn>
    <tableColumn id="2" xr3:uid="{0A793FB9-57A4-4A9B-A51D-36A33EED1BBB}" name="Type (depreciation/maintenance)" dataDxfId="533">
      <calculatedColumnFormula>B7</calculatedColumnFormula>
    </tableColumn>
    <tableColumn id="3" xr3:uid="{7B814477-3162-4CA8-95D9-5A8428B67D46}" name="Score" dataDxfId="532">
      <calculatedColumnFormula>IF(AE30&gt;301,5,IF(AE30&gt;176,4,IF(AE30&gt;101,3,IF(AE30&gt;51,2,1))))</calculatedColumnFormula>
    </tableColumn>
  </tableColumns>
  <tableStyleInfo name="Aloha-style 5" showFirstColumn="1" showLastColumn="1"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4A804B0A-9A32-40DF-9094-C777DBBB8947}" name="Table_216680" displayName="Table_216680" ref="A37:G43" tableBorderDxfId="826">
  <tableColumns count="7">
    <tableColumn id="1" xr3:uid="{DA996564-7E7E-48A4-80C7-1A1834B19E10}" name="Group" dataDxfId="825"/>
    <tableColumn id="2" xr3:uid="{E2864906-E915-4296-A044-11E2CD2A9C1C}" name="Group size" dataDxfId="824"/>
    <tableColumn id="3" xr3:uid="{7712EB9F-A146-4252-B3DA-DC320F6F5135}" name="Trainings per week"/>
    <tableColumn id="4" xr3:uid="{98E075E9-8BCF-4135-9A3C-5498894B35FD}" name="Weeks per year" dataDxfId="823"/>
    <tableColumn id="5" xr3:uid="{0E5CC165-19FF-4FA7-8F2D-F8CECC71C10B}" name="Type of trainer"/>
    <tableColumn id="6" xr3:uid="{6D9A3633-F552-4BB7-90BE-0F05B1186EEE}" name="(Expected) Level"/>
    <tableColumn id="7" xr3:uid="{7D872A36-2C9F-4305-A40D-F3F981D1EBB5}" name="Remarks/clarification"/>
  </tableColumns>
  <tableStyleInfo name="Aloha-style" showFirstColumn="1" showLastColumn="1"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9" xr:uid="{DD54E960-F511-4A04-AC1D-0033E8D66225}" name="Table_2166160" displayName="Table_2166160" ref="A37:G42" tableBorderDxfId="528">
  <tableColumns count="7">
    <tableColumn id="1" xr3:uid="{568D2858-9538-4220-B234-1AABF5AFD4B7}" name="Group"/>
    <tableColumn id="2" xr3:uid="{0BA46E33-F464-47F6-B9D5-EED2E766D1AB}" name="Group size" dataDxfId="527"/>
    <tableColumn id="3" xr3:uid="{E4D39394-53C9-4950-ACAC-DF61688323BA}" name="Trainings per week"/>
    <tableColumn id="4" xr3:uid="{DAE449B3-6522-4A48-9C30-AC1837A70C84}" name="Weeks per year" dataDxfId="526"/>
    <tableColumn id="5" xr3:uid="{FE535066-E7AF-4B9E-9C53-FED5129F2BD1}" name="Type of trainer"/>
    <tableColumn id="6" xr3:uid="{5A677AE8-A277-4B85-ABEC-BEE841A22E0D}" name="(Expected) Level"/>
    <tableColumn id="7" xr3:uid="{C942F2D5-8C2C-4C80-8423-2ABF8165D20D}" name="Remarks/clarification"/>
  </tableColumns>
  <tableStyleInfo name="Aloha-style" showFirstColumn="1" showLastColumn="1"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2" xr:uid="{5BE8A2F8-7E7E-454C-B3F2-9348BC27C425}" name="Table_3167313" displayName="Table_3167313" ref="A45:H50" tableBorderDxfId="525">
  <tableColumns count="8">
    <tableColumn id="1" xr3:uid="{CCBF0817-D4B7-47DA-AF95-72BF373324DB}" name="Group"/>
    <tableColumn id="2" xr3:uid="{49D54FE4-6125-4929-8387-E0678D95D5D2}" name="Group size"/>
    <tableColumn id="3" xr3:uid="{1F580BB9-0C30-4024-95D8-83DCD0715485}" name="Who"/>
    <tableColumn id="4" xr3:uid="{EE25574C-9622-433B-9267-864F33D5F6DD}" name="Type of Trainer"/>
    <tableColumn id="5" xr3:uid="{7E989604-14E5-41A9-9603-11E1E542D9E4}" name="Training per week"/>
    <tableColumn id="6" xr3:uid="{424302A8-ADEC-4B03-A5F8-EABC1A13859D}" name="Hours per week"/>
    <tableColumn id="7" xr3:uid="{3FFB52F6-D6A0-4B21-9214-CD27DE613779}" name="Coaching?"/>
    <tableColumn id="8" xr3:uid="{26C44F6E-5678-4B88-8FEB-5131183A88A6}" name="Remarks/clarification"/>
  </tableColumns>
  <tableStyleInfo name="Aloha-style 2" showFirstColumn="1" showLastColumn="1"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3" xr:uid="{9F9C0D55-6EAF-4933-820F-52DD8C15F837}" name="Table_4168314" displayName="Table_4168314" ref="A54:J67" tableBorderDxfId="524">
  <tableColumns count="10">
    <tableColumn id="1" xr3:uid="{58F04A87-EC63-4A75-8640-715D23963726}" name="Training group"/>
    <tableColumn id="2" xr3:uid="{6BC9D2FC-E6D0-4003-9B61-341F68D4122A}" name="Type of training"/>
    <tableColumn id="3" xr3:uid="{44D77861-44E9-48A6-8B40-61971C2F4B9E}" name="# Weeks"/>
    <tableColumn id="4" xr3:uid="{C56F0599-180F-4AD9-BC8F-39C43016DE90}" name="# Times/week"/>
    <tableColumn id="5" xr3:uid="{58DE80AC-A726-47FF-BF4F-E9B23DC00430}" name="Total hours/week"/>
    <tableColumn id="6" xr3:uid="{DA90C276-579E-4D58-80CD-F5BA9452F796}" name="Total hours"/>
    <tableColumn id="7" xr3:uid="{340724E5-EE36-4020-BA54-FB141348123A}" name="Name of trainer"/>
    <tableColumn id="8" xr3:uid="{4264D411-FD5B-41B0-822A-BF82C45EC8E0}" name="Type of trainer"/>
    <tableColumn id="9" xr3:uid="{8CD3DE9C-4443-445C-9BC4-D80E21769B00}" name="Hourly rate"/>
    <tableColumn id="10" xr3:uid="{070DC314-7645-44AA-A703-7C0F2C81CD7C}" name="Remarks/Clarification"/>
  </tableColumns>
  <tableStyleInfo name="Aloha-style 3" showFirstColumn="1" showLastColumn="1"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4" xr:uid="{01407A24-1107-49DE-99A7-A509768E5E95}" name="Table_5169315" displayName="Table_5169315" ref="A70:J87" tableBorderDxfId="523">
  <tableColumns count="10">
    <tableColumn id="1" xr3:uid="{7C4EDAF5-D1E1-4849-9DCD-348ED8B80E6F}" name="Training group"/>
    <tableColumn id="2" xr3:uid="{CA0E738B-C493-4407-BFB0-1EBD8EEC3841}" name="Location"/>
    <tableColumn id="3" xr3:uid="{BFD5CB05-94B6-46EB-99A4-69029BB01380}" name="Day"/>
    <tableColumn id="4" xr3:uid="{3C5F20A3-FF25-4FFE-ABF3-A22CBB5D0B84}" name="Duration [hours]"/>
    <tableColumn id="5" xr3:uid="{8B1B32BD-182B-415E-9176-F57F0129D051}" name="Weeks"/>
    <tableColumn id="6" xr3:uid="{10702B91-9A1D-4B9F-9760-B1CA38460C76}" name="Hours total">
      <calculatedColumnFormula>Hercules!$D71*Hercules!$E71</calculatedColumnFormula>
    </tableColumn>
    <tableColumn id="7" xr3:uid="{6B2BD65C-5A0F-466B-965E-E6B50A88549A}" name="Priority"/>
    <tableColumn id="8" xr3:uid="{15858386-43FF-4F20-A531-B6C0A7845A37}" name="Hourly rate - unscaled">
      <calculatedColumnFormula>IF($B71= "","-",IF($B71= "External","Specify location tariff", INDEX(Constants!$3:$3,MATCH($B71,Constants!$2:$2,0))))</calculatedColumnFormula>
    </tableColumn>
    <tableColumn id="9" xr3:uid="{1BC98B6B-7157-4ED0-BBB0-56CF6CC0A7EB}" name="Total cost - unscaled" dataDxfId="522">
      <calculatedColumnFormula>IF($H71="-","-",IF($H71="Specify location tariff","-",$H71*$F71))</calculatedColumnFormula>
    </tableColumn>
    <tableColumn id="10" xr3:uid="{4F309CFF-273E-41CA-BE76-17446B06CF49}" name="Remarks / Clarification" dataDxfId="521"/>
  </tableColumns>
  <tableStyleInfo name="Aloha-style 4" showFirstColumn="1" showLastColumn="1"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5" xr:uid="{9E625C10-CD12-4954-9DC3-C7E7885E7A43}" name="Table_6170316" displayName="Table_6170316" ref="A91:G105" tableBorderDxfId="520">
  <tableColumns count="7">
    <tableColumn id="1" xr3:uid="{EE67DBE9-D135-49AA-BD88-33E820D96993}" name="Item"/>
    <tableColumn id="2" xr3:uid="{199E96E3-4F07-4DD7-B2BA-AEC19F36D982}" name="Type (depreciation/maintenance)"/>
    <tableColumn id="3" xr3:uid="{44798286-4154-4FAA-B25C-8B4E57AE9C18}" name="Purchase / Running costs"/>
    <tableColumn id="4" xr3:uid="{8150B9AB-E910-4490-A3B1-E11ADA11CAC8}" name="Depreciation period"/>
    <tableColumn id="5" xr3:uid="{C337201E-FF5D-4DCE-96A5-870B1BBE2202}" name="Amount"/>
    <tableColumn id="6" xr3:uid="{CF3E4B7B-9E9D-4234-B5FF-9D12AF22DD44}" name="Costs per year" dataDxfId="519">
      <calculatedColumnFormula>IF(Table_6170316[[#This Row],[Item]]="",0,Table_6170316[[#This Row],[Amount]]*Table_6170316[[#This Row],[Purchase / Running costs]]/Table_6170316[[#This Row],[Depreciation period]])</calculatedColumnFormula>
    </tableColumn>
    <tableColumn id="7" xr3:uid="{4F66CFD4-A4D6-4483-9931-1D2A67CF04C0}" name="Remarks / Clarification"/>
  </tableColumns>
  <tableStyleInfo name="Aloha-style 5" showFirstColumn="1" showLastColumn="1"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6" xr:uid="{9B96609C-EB1A-4EF7-A177-2B810E77FA36}" name="Table_6170171317" displayName="Table_6170171317" ref="AD29:AF40" headerRowDxfId="518" dataDxfId="517" tableBorderDxfId="516">
  <tableColumns count="3">
    <tableColumn id="1" xr3:uid="{DBAC0B90-CC89-4086-81F7-BF25D8B87701}" name="Item" dataDxfId="515">
      <calculatedColumnFormula>IF($B$12="individual",Constants!F55,Constants!L55)</calculatedColumnFormula>
    </tableColumn>
    <tableColumn id="2" xr3:uid="{1C382A50-062D-4296-B426-14E7D0D4AF8D}" name="Type (depreciation/maintenance)" dataDxfId="514">
      <calculatedColumnFormula>B7</calculatedColumnFormula>
    </tableColumn>
    <tableColumn id="3" xr3:uid="{7CE6AF0F-2ED3-431A-BFAF-98B7118872D0}" name="Score" dataDxfId="513">
      <calculatedColumnFormula>IF(AE30&gt;301,5,IF(AE30&gt;176,4,IF(AE30&gt;101,3,IF(AE30&gt;51,2,1))))</calculatedColumnFormula>
    </tableColumn>
  </tableColumns>
  <tableStyleInfo name="Aloha-style 5" showFirstColumn="1" showLastColumn="1"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3" xr:uid="{6587A08E-4947-1142-A32C-CC9440729ACA}" name="Table_2166294" displayName="Table_2166294" ref="A37:G42" tableBorderDxfId="509">
  <tableColumns count="7">
    <tableColumn id="1" xr3:uid="{F26433C3-1436-1243-BA71-1FC4F7F5B8FB}" name="Group"/>
    <tableColumn id="2" xr3:uid="{45B63275-B20F-4E4E-A108-B2DF5C19145F}" name="Group size" dataDxfId="508"/>
    <tableColumn id="3" xr3:uid="{21AEA30D-D661-BC44-9A38-3F90CE139293}" name="Trainings per week"/>
    <tableColumn id="4" xr3:uid="{91735810-96B3-E64D-8D63-3D1E7E855EE8}" name="Weeks per year" dataDxfId="507"/>
    <tableColumn id="5" xr3:uid="{D21D3635-6780-524A-A82C-BCE7F67F460D}" name="Type of trainer"/>
    <tableColumn id="6" xr3:uid="{FA632933-0B6F-5741-9D99-D3F988705D2D}" name="(Expected) Level"/>
    <tableColumn id="7" xr3:uid="{B1F60ADB-B6D8-794A-81A4-06701B1D6F1D}" name="Remarks/clarification"/>
  </tableColumns>
  <tableStyleInfo name="Aloha-style" showFirstColumn="1" showLastColumn="1"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4" xr:uid="{69FBC6A0-1DD1-B54D-9278-24FF2DA676CE}" name="Table_3167295" displayName="Table_3167295" ref="A45:H50" tableBorderDxfId="506">
  <tableColumns count="8">
    <tableColumn id="1" xr3:uid="{246115EB-694F-BC40-B92F-9F0C18D435FD}" name="Group"/>
    <tableColumn id="2" xr3:uid="{C2102632-3C29-C94F-B682-FF9BE5B6DBCC}" name="Group size"/>
    <tableColumn id="3" xr3:uid="{6D20FF3C-8BA0-8144-8381-1ADA5F7B7AAE}" name="Who"/>
    <tableColumn id="4" xr3:uid="{A7942195-0D09-D544-A705-8346F8B874DB}" name="Type of Trainer"/>
    <tableColumn id="5" xr3:uid="{70DA110D-80F0-874E-8D1A-BCDC7B7F17DD}" name="Training per week"/>
    <tableColumn id="6" xr3:uid="{C9260ACF-CCF2-6147-B979-A5DA30AA0F00}" name="Hours per week"/>
    <tableColumn id="7" xr3:uid="{065563CC-1312-964A-A48E-AABAA08DD989}" name="Coaching?"/>
    <tableColumn id="8" xr3:uid="{41B329CA-D373-304C-BA63-BDEDAEEC2799}" name="Remarks/clarification"/>
  </tableColumns>
  <tableStyleInfo name="Aloha-style 2" showFirstColumn="1" showLastColumn="1"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5" xr:uid="{E4F0D61F-3336-0542-8701-FDF4A9FA4642}" name="Table_4168296" displayName="Table_4168296" ref="A54:J67" tableBorderDxfId="505">
  <tableColumns count="10">
    <tableColumn id="1" xr3:uid="{027F9B3C-21EA-604A-9CD0-55A9736BDBC8}" name="Training group"/>
    <tableColumn id="2" xr3:uid="{B2880A2C-EB64-BE48-B7E9-5A82D0B976E5}" name="Type of training"/>
    <tableColumn id="3" xr3:uid="{9AFA9583-F91D-8248-8345-33E835334AE5}" name="# Weeks"/>
    <tableColumn id="4" xr3:uid="{2C55C231-64CB-D449-8DF4-7FA7B94D391E}" name="# Times/week"/>
    <tableColumn id="5" xr3:uid="{881D0087-AC02-6F4D-92A2-C8921E53A5C4}" name="Total hours/week"/>
    <tableColumn id="6" xr3:uid="{D5F14479-C069-BE4C-B829-EC167FECE2A9}" name="Total hours" dataDxfId="504">
      <calculatedColumnFormula>Table_4168296[[#This Row],['# Weeks]]*Table_4168296[[#This Row],[Total hours/week]]</calculatedColumnFormula>
    </tableColumn>
    <tableColumn id="7" xr3:uid="{93DED428-0A50-B341-ADB8-9D5B1D15DFCE}" name="Name of trainer"/>
    <tableColumn id="8" xr3:uid="{4BF9E0D4-6018-044C-85BA-394AD2A0BDD1}" name="Type of trainer"/>
    <tableColumn id="9" xr3:uid="{9E02C228-DF53-2B4C-9F30-046114A01F72}" name="Hourly rate" dataDxfId="503">
      <calculatedColumnFormula>IF(H55 = "PT-V","n/a",IF(H55 = "PT","n/a",IF(H55 = "RT","n/a",IF(OR(H55 = "Extern",H55 = "PT-ZZP"), "Please fill in", 0))))</calculatedColumnFormula>
    </tableColumn>
    <tableColumn id="10" xr3:uid="{6C20E1B8-ABAF-A64A-B69D-B28B74D692DB}" name="Remarks/Clarification"/>
  </tableColumns>
  <tableStyleInfo name="Aloha-style 3" showFirstColumn="1" showLastColumn="1"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6" xr:uid="{A51B3C14-3809-2947-B9B2-DA7FF5DAD71E}" name="Table_5169297" displayName="Table_5169297" ref="A70:J87" tableBorderDxfId="502">
  <tableColumns count="10">
    <tableColumn id="1" xr3:uid="{F2F8E3DB-47CE-1F46-8BAC-B28FEBA17BB7}" name="Training group"/>
    <tableColumn id="2" xr3:uid="{4820F212-4EA4-DF48-8054-519D177C06D1}" name="Location"/>
    <tableColumn id="3" xr3:uid="{CC2F482D-120F-F843-8D53-9740C6E70DD4}" name="Day"/>
    <tableColumn id="4" xr3:uid="{6D6134C2-4E4D-FA4C-8F84-1EBB10509D7B}" name="Duration [hours]"/>
    <tableColumn id="5" xr3:uid="{8066460D-5591-3E40-BC45-F6A5DC8156E9}" name="Weeks"/>
    <tableColumn id="6" xr3:uid="{4FDEDD1F-EB58-8D48-8058-C6E9A354207E}" name="Hours total">
      <calculatedColumnFormula>'High-Tech Hitters'!$D71*'High-Tech Hitters'!$E71</calculatedColumnFormula>
    </tableColumn>
    <tableColumn id="7" xr3:uid="{786922EF-15A7-514D-BB9F-69400F014618}" name="Priority"/>
    <tableColumn id="8" xr3:uid="{8626DAC5-BE4B-EB4F-8645-D8477B274C9D}" name="Hourly rate - unscaled">
      <calculatedColumnFormula>IF($B71= "","-",IF($B71= "External","Specify location tariff", INDEX(Constants!$3:$3,MATCH($B71,Constants!$2:$2,0))))</calculatedColumnFormula>
    </tableColumn>
    <tableColumn id="9" xr3:uid="{147B5973-F499-AE40-AACB-705618AA25D4}" name="Total cost - unscaled" dataDxfId="501">
      <calculatedColumnFormula>IF($H71="-","-",IF($H71="Specify location tariff","-",$H71*$F71))</calculatedColumnFormula>
    </tableColumn>
    <tableColumn id="10" xr3:uid="{AD58DC28-5BE0-C147-901F-2375940A15E2}" name="Remarks / Clarification" dataDxfId="500"/>
  </tableColumns>
  <tableStyleInfo name="Aloha-style 4" showFirstColumn="1" showLastColumn="1"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CED4A1BF-4F2A-4160-92DE-76D4CDD978BD}" name="Table_316781" displayName="Table_316781" ref="A46:H51" tableBorderDxfId="822">
  <tableColumns count="8">
    <tableColumn id="1" xr3:uid="{1842F715-34D1-4E03-B74B-6AC6BF07B139}" name="Group" dataDxfId="821"/>
    <tableColumn id="2" xr3:uid="{6B3E2D9E-3F13-44CD-BEDB-8699B927A2F7}" name="Group size"/>
    <tableColumn id="3" xr3:uid="{DCA3766B-EAAF-456E-B83D-2A0964F1A0A1}" name="Who"/>
    <tableColumn id="4" xr3:uid="{F436D743-F5EC-4B8F-BFEA-FDF8B0C35EC4}" name="Type of Trainer" dataDxfId="820"/>
    <tableColumn id="5" xr3:uid="{5F833BC4-89C7-4BFF-AFC7-E0D0C01174FD}" name="Training per week"/>
    <tableColumn id="6" xr3:uid="{EACC8E4E-E82D-4118-BED6-B9C015F58D42}" name="Hours per week" dataDxfId="819"/>
    <tableColumn id="7" xr3:uid="{98620197-9A1A-4B89-BA5F-E92076FAA4B6}" name="Coaching?" dataDxfId="818"/>
    <tableColumn id="8" xr3:uid="{B1716E20-1042-4629-BE74-83F4DA375FEA}" name="Remarks/clarification" dataDxfId="817"/>
  </tableColumns>
  <tableStyleInfo name="Aloha-style 2" showFirstColumn="1" showLastColumn="1"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7" xr:uid="{A71613E9-8BC4-F640-8993-523E09B7FC80}" name="Table_6170298" displayName="Table_6170298" ref="A91:G105" tableBorderDxfId="499">
  <tableColumns count="7">
    <tableColumn id="1" xr3:uid="{EBA3B2E2-FEBB-024A-B91D-0FBEC69B8705}" name="Item"/>
    <tableColumn id="2" xr3:uid="{30FEA381-2F11-3443-801B-45A43F286FE3}" name="Type (depreciation/maintenance)"/>
    <tableColumn id="3" xr3:uid="{D80CD66A-3F4B-2642-9E92-FDB5ABFE9287}" name="Purchase / Running costs"/>
    <tableColumn id="4" xr3:uid="{1AE29BF0-6729-8F47-8581-A80C64B29B60}" name="Depreciation period"/>
    <tableColumn id="5" xr3:uid="{B82B589A-19A6-9D4E-A312-7822A60DF260}" name="Amount"/>
    <tableColumn id="6" xr3:uid="{E61BC97A-DA33-BC44-A978-E51BDFBD2C81}" name="Costs per year" dataDxfId="498">
      <calculatedColumnFormula>IF(Table_6170298[[#This Row],[Item]]="",0,Table_6170298[[#This Row],[Purchase / Running costs]]/Table_6170298[[#This Row],[Depreciation period]])</calculatedColumnFormula>
    </tableColumn>
    <tableColumn id="7" xr3:uid="{230C74D0-E95D-3C40-B031-91927D6BBF7E}" name="Remarks / Clarification"/>
  </tableColumns>
  <tableStyleInfo name="Aloha-style 5" showFirstColumn="1" showLastColumn="1"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8" xr:uid="{960861B0-B260-3141-96FF-B93EB1B9D20C}" name="Table_6170171299" displayName="Table_6170171299" ref="AD29:AF40" headerRowDxfId="497" dataDxfId="496" tableBorderDxfId="495">
  <tableColumns count="3">
    <tableColumn id="1" xr3:uid="{7A7C8433-6D4B-D340-AED0-D21C80CEC832}" name="Item" dataDxfId="494">
      <calculatedColumnFormula>IF($B$12="individual",Constants!F55,Constants!L55)</calculatedColumnFormula>
    </tableColumn>
    <tableColumn id="2" xr3:uid="{C3C77EF4-4944-8248-99C3-408A5B701C45}" name="Type (depreciation/maintenance)" dataDxfId="493">
      <calculatedColumnFormula>B7</calculatedColumnFormula>
    </tableColumn>
    <tableColumn id="3" xr3:uid="{B2FC1480-49A8-D14E-8299-177DF9CA9DD6}" name="Score" dataDxfId="492">
      <calculatedColumnFormula>IF(AE30&gt;301,5,IF(AE30&gt;176,4,IF(AE30&gt;101,3,IF(AE30&gt;51,2,1))))</calculatedColumnFormula>
    </tableColumn>
  </tableColumns>
  <tableStyleInfo name="Aloha-style 5" showFirstColumn="1" showLastColumn="1"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9" xr:uid="{F81B4996-DC9A-FA4C-BB59-CFF2327EFCC0}" name="Table_2166300" displayName="Table_2166300" ref="A37:G42" tableBorderDxfId="488">
  <tableColumns count="7">
    <tableColumn id="1" xr3:uid="{112C7471-3C53-854E-A324-E9BD2BFE4FBD}" name="Group"/>
    <tableColumn id="2" xr3:uid="{1C0360A0-2349-3841-B1C5-364ED0AB8D9D}" name="Group size" dataDxfId="487"/>
    <tableColumn id="3" xr3:uid="{1A1ED881-1099-D541-81C9-4CA73303B471}" name="Trainings per week"/>
    <tableColumn id="4" xr3:uid="{6A20A614-95D5-1542-8D5F-1FAFAE78208B}" name="Weeks per year" dataDxfId="486"/>
    <tableColumn id="5" xr3:uid="{6B8E3E77-DC33-AB48-8450-F83049329BC5}" name="Type of trainer"/>
    <tableColumn id="6" xr3:uid="{AF56511A-AEDE-8846-B359-CB2970BBEB7F}" name="(Expected) Level"/>
    <tableColumn id="7" xr3:uid="{39635AA4-633E-5B49-AF96-F36886060FDF}" name="Remarks/clarification"/>
  </tableColumns>
  <tableStyleInfo name="Aloha-style" showFirstColumn="1" showLastColumn="1"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0" xr:uid="{56C50A99-536A-2C49-B5CB-390F004D8409}" name="Table_3167301" displayName="Table_3167301" ref="A45:H50" tableBorderDxfId="485">
  <tableColumns count="8">
    <tableColumn id="1" xr3:uid="{22E41FDC-DC09-3F4A-8093-2D2C6D8FE679}" name="Group"/>
    <tableColumn id="2" xr3:uid="{BD0188A4-D00C-7C40-83F9-29B159910D9C}" name="Group size"/>
    <tableColumn id="3" xr3:uid="{A6D1910F-0FAD-F748-B352-9E4ABCB3239C}" name="Who"/>
    <tableColumn id="4" xr3:uid="{2FF1C67B-E8C6-9D4E-A703-68A31CE6E70A}" name="Type of Trainer"/>
    <tableColumn id="5" xr3:uid="{640E6386-2337-1748-BEFB-6E54DD91580D}" name="Training per week"/>
    <tableColumn id="6" xr3:uid="{4747FD0E-5E76-B747-83E5-9C2D144DAC36}" name="Hours per week"/>
    <tableColumn id="7" xr3:uid="{2639989B-9EF9-1B4F-A853-1126E0F73948}" name="Coaching?"/>
    <tableColumn id="8" xr3:uid="{F040B321-7288-274D-8416-5739B028B6BD}" name="Remarks/clarification"/>
  </tableColumns>
  <tableStyleInfo name="Aloha-style 2" showFirstColumn="1" showLastColumn="1"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1" xr:uid="{62446D83-136B-454D-B47F-C02A0D73A7A8}" name="Table_4168302" displayName="Table_4168302" ref="A54:J67" tableBorderDxfId="484">
  <tableColumns count="10">
    <tableColumn id="1" xr3:uid="{275FCDF1-A34C-F44A-89B7-ACE83F32F4A7}" name="Training group"/>
    <tableColumn id="2" xr3:uid="{75BEE551-F892-BF44-9FD2-D5141C241B8B}" name="Type of training"/>
    <tableColumn id="3" xr3:uid="{4FC8F17E-FBE2-4445-8373-9080348C185F}" name="# Weeks"/>
    <tableColumn id="4" xr3:uid="{C718D79F-03EA-1643-BC27-8A1E60EF6BE9}" name="# Times/week"/>
    <tableColumn id="5" xr3:uid="{A38A60F6-10EC-2C41-BE79-4A3C887772BD}" name="Total hours/week"/>
    <tableColumn id="6" xr3:uid="{6D8EAF20-D5F2-BB40-ADAD-B68B2F9BF1B0}" name="Total hours" dataDxfId="483">
      <calculatedColumnFormula>Table_4168302[[#This Row],['# Weeks]]*Table_4168302[[#This Row],[Total hours/week]]</calculatedColumnFormula>
    </tableColumn>
    <tableColumn id="7" xr3:uid="{DF9A01F4-D7D3-2347-B002-41F0ED53F563}" name="Name of trainer"/>
    <tableColumn id="8" xr3:uid="{83A36EA2-5A92-AE41-B76F-157DF1FF065B}" name="Type of trainer"/>
    <tableColumn id="9" xr3:uid="{24B55B3D-146C-A34A-ABCF-20FB70D60F13}" name="Hourly rate"/>
    <tableColumn id="10" xr3:uid="{6519F3AA-C855-F542-83CB-0458FD776D6E}" name="Remarks/Clarification"/>
  </tableColumns>
  <tableStyleInfo name="Aloha-style 3" showFirstColumn="1" showLastColumn="1"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2" xr:uid="{C5435D2A-7528-1C4D-AEA7-0DAE77B61DE9}" name="Table_5169303" displayName="Table_5169303" ref="A70:J87">
  <tableColumns count="10">
    <tableColumn id="1" xr3:uid="{C8F884BD-2617-0E41-9B86-4CD3144B4945}" name="Training group"/>
    <tableColumn id="2" xr3:uid="{635F2E51-DF7E-FB41-8DC7-AE44AF19B976}" name="Location" dataDxfId="482"/>
    <tableColumn id="3" xr3:uid="{08F00AAA-AABA-3D4E-816E-75989170E56C}" name="Day"/>
    <tableColumn id="4" xr3:uid="{3FB93301-32CB-BE4B-A207-7EC3CE35A17C}" name="Duration [hours]"/>
    <tableColumn id="5" xr3:uid="{54971105-4910-4B4D-A87E-48A162718863}" name="Weeks"/>
    <tableColumn id="6" xr3:uid="{A2119AC0-7006-0A43-BF03-D6F30C68E24E}" name="Hours total">
      <calculatedColumnFormula>'Klein Verzet'!$D71*'Klein Verzet'!$E71</calculatedColumnFormula>
    </tableColumn>
    <tableColumn id="7" xr3:uid="{B2E5148E-83E6-9B4C-B971-A461A4E2BFF7}" name="Priority"/>
    <tableColumn id="8" xr3:uid="{F1B32413-1E3A-D84D-9D55-3C8B32C8871F}" name="Hourly rate - unscaled">
      <calculatedColumnFormula>IF($B71= "","-",IF($B71= "External","Specify location tariff", INDEX(Constants!$3:$3,MATCH($B71,Constants!$2:$2,0))))</calculatedColumnFormula>
    </tableColumn>
    <tableColumn id="9" xr3:uid="{81B3EEF2-3A6F-0640-8ABF-CF821335D89E}" name="Total cost - unscaled" dataDxfId="481">
      <calculatedColumnFormula>IF($H71="-","-",IF($H71="Specify location tariff","-",$H71*$F71))</calculatedColumnFormula>
    </tableColumn>
    <tableColumn id="10" xr3:uid="{CC65646F-16DE-7C4A-B88D-831CD89FF860}" name="Remarks / Clarification" dataDxfId="480"/>
  </tableColumns>
  <tableStyleInfo name="Aloha-style 4" showFirstColumn="1" showLastColumn="1"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3" xr:uid="{A7BA8ABF-0D5D-5E4E-BA5D-2FB781D65D6C}" name="Table_6170304" displayName="Table_6170304" ref="A91:G105" tableBorderDxfId="479">
  <tableColumns count="7">
    <tableColumn id="1" xr3:uid="{2D40BA2A-1075-8D45-B65F-FEF9968CC504}" name="Item"/>
    <tableColumn id="2" xr3:uid="{DFE2993E-4783-9B4F-82D3-421C5C99BC41}" name="Type (depreciation/maintenance)"/>
    <tableColumn id="3" xr3:uid="{AB5B80A5-49DA-4A46-8AB6-27E910D267B5}" name="Purchase / Running costs"/>
    <tableColumn id="4" xr3:uid="{23983BD7-7E52-DA4F-898E-3BBD22F5844F}" name="Depreciation period"/>
    <tableColumn id="5" xr3:uid="{D094B26B-B2F6-8942-9E81-2E45874F0334}" name="Amount"/>
    <tableColumn id="6" xr3:uid="{A92A6EF8-30ED-0B47-8D47-0F33F293C6A4}" name="Costs per year" dataDxfId="478">
      <calculatedColumnFormula>IF(Table_6170304[[#This Row],[Item]]="",0,Table_6170304[[#This Row],[Amount]]*Table_6170304[[#This Row],[Purchase / Running costs]]/Table_6170304[[#This Row],[Depreciation period]])</calculatedColumnFormula>
    </tableColumn>
    <tableColumn id="7" xr3:uid="{F92F7D58-F144-1244-BF66-CFD778A8EB1D}" name="Remarks / Clarification"/>
  </tableColumns>
  <tableStyleInfo name="Aloha-style 5" showFirstColumn="1" showLastColumn="1"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4" xr:uid="{EBDB1AEA-D5BD-1241-B360-AA3CC03F2798}" name="Table_6170171305" displayName="Table_6170171305" ref="AD29:AF40" headerRowDxfId="477" dataDxfId="476" tableBorderDxfId="475">
  <tableColumns count="3">
    <tableColumn id="1" xr3:uid="{8970A694-BAF4-0E4D-A200-42179DF8DC5F}" name="Item" dataDxfId="474">
      <calculatedColumnFormula>IF($B$12="individual",Constants!F55,Constants!L55)</calculatedColumnFormula>
    </tableColumn>
    <tableColumn id="2" xr3:uid="{7BF68790-8036-6348-A8C1-FE1F02981D4F}" name="Type (depreciation/maintenance)" dataDxfId="473">
      <calculatedColumnFormula>B7</calculatedColumnFormula>
    </tableColumn>
    <tableColumn id="3" xr3:uid="{33CB277C-0D68-B047-8F23-8C80C07DCE8E}" name="Score" dataDxfId="472">
      <calculatedColumnFormula>IF(AE30&gt;301,5,IF(AE30&gt;176,4,IF(AE30&gt;101,3,IF(AE30&gt;51,2,1))))</calculatedColumnFormula>
    </tableColumn>
  </tableColumns>
  <tableStyleInfo name="Aloha-style 5" showFirstColumn="1" showLastColumn="1"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83C08BD9-3ACF-914D-AEC6-F817EE5FEDC3}" name="Table_2166252" displayName="Table_2166252" ref="A37:G44" tableBorderDxfId="468">
  <tableColumns count="7">
    <tableColumn id="1" xr3:uid="{9C3058B5-C632-CF47-A986-1C599076DE4F}" name="Group"/>
    <tableColumn id="2" xr3:uid="{6393E6C4-9CE4-A649-B829-7CD4D5A5C8DD}" name="Group size" dataDxfId="467"/>
    <tableColumn id="3" xr3:uid="{C2C2CAE0-19DB-0F42-8004-7B58DD436D86}" name="Trainings per week"/>
    <tableColumn id="4" xr3:uid="{7AF65829-F845-D04B-ACF4-FDAA10782275}" name="Weeks per year" dataDxfId="466"/>
    <tableColumn id="5" xr3:uid="{EE7920D8-2156-D240-813A-F4D7DE7408A1}" name="Type of trainer" dataDxfId="465"/>
    <tableColumn id="6" xr3:uid="{81E922ED-FDE3-BB41-A434-FCFFA8FDC9AC}" name="(Expected) Level" dataDxfId="464"/>
    <tableColumn id="7" xr3:uid="{7FF750F0-6C45-1543-9905-04E88E360B1E}" name="Remarks/clarification"/>
  </tableColumns>
  <tableStyleInfo name="Aloha-style" showFirstColumn="1" showLastColumn="1"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BEA26495-DE49-5449-A205-A135832D3BD4}" name="Table_3167253" displayName="Table_3167253" ref="A47:H53" tableBorderDxfId="463">
  <tableColumns count="8">
    <tableColumn id="1" xr3:uid="{50EE5A24-BB88-4740-9A99-DD38E5A4386D}" name="Group"/>
    <tableColumn id="2" xr3:uid="{F369AE91-2375-C146-9DA7-180FF28CBAE0}" name="Group size" dataDxfId="462"/>
    <tableColumn id="3" xr3:uid="{C9B4B57F-9780-C642-BE08-54C50B39D77B}" name="Who" dataDxfId="461"/>
    <tableColumn id="4" xr3:uid="{75230217-E43A-3540-9D70-D69BF5E96C71}" name="Type of Trainer" dataDxfId="460"/>
    <tableColumn id="5" xr3:uid="{D615A713-9D18-3346-A18D-726BE66155EE}" name="Training per week" dataDxfId="459"/>
    <tableColumn id="6" xr3:uid="{F06C5385-6336-974C-9B7A-34C802CA2EFB}" name="Hours per week" dataDxfId="458"/>
    <tableColumn id="7" xr3:uid="{AA189B3D-2C5B-424B-B1ED-DC0AE019C00D}" name="Coaching?"/>
    <tableColumn id="8" xr3:uid="{BB3BC936-3BF7-954B-80B2-20AE35280948}" name="Remarks/clarification"/>
  </tableColumns>
  <tableStyleInfo name="Aloha-style 2"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M15" dT="2025-04-22T14:11:37.36" personId="{DC95346D-D8D2-4A67-88B6-5F0DE9DD3BCA}" id="{7CE9518E-EEBB-1E46-A778-F66B4FC7AAE9}">
    <text xml:space="preserve">why tf do we charge same rate per year for PT, ZZP and extern?
</text>
  </threadedComment>
</ThreadedComments>
</file>

<file path=xl/threadedComments/threadedComment10.xml><?xml version="1.0" encoding="utf-8"?>
<ThreadedComments xmlns="http://schemas.microsoft.com/office/spreadsheetml/2018/threadedcomments" xmlns:x="http://schemas.openxmlformats.org/spreadsheetml/2006/main">
  <threadedComment ref="M15" dT="2025-04-22T14:11:37.36" personId="{DC95346D-D8D2-4A67-88B6-5F0DE9DD3BCA}" id="{0AD2D1E9-010A-4013-88B5-72216E2E57DB}">
    <text xml:space="preserve">why tf do we charge same rate per year for PT, ZZP and extern?
</text>
  </threadedComment>
</ThreadedComments>
</file>

<file path=xl/threadedComments/threadedComment11.xml><?xml version="1.0" encoding="utf-8"?>
<ThreadedComments xmlns="http://schemas.microsoft.com/office/spreadsheetml/2018/threadedcomments" xmlns:x="http://schemas.openxmlformats.org/spreadsheetml/2006/main">
  <threadedComment ref="M15" dT="2025-04-22T14:11:37.36" personId="{DC95346D-D8D2-4A67-88B6-5F0DE9DD3BCA}" id="{AF6E6A82-DB45-427B-A3F5-49150204033E}">
    <text xml:space="preserve">why tf do we charge same rate per year for PT, ZZP and extern?
</text>
  </threadedComment>
</ThreadedComments>
</file>

<file path=xl/threadedComments/threadedComment12.xml><?xml version="1.0" encoding="utf-8"?>
<ThreadedComments xmlns="http://schemas.microsoft.com/office/spreadsheetml/2018/threadedcomments" xmlns:x="http://schemas.openxmlformats.org/spreadsheetml/2006/main">
  <threadedComment ref="M15" dT="2025-04-22T14:11:37.36" personId="{DC95346D-D8D2-4A67-88B6-5F0DE9DD3BCA}" id="{EA27C28B-F690-4639-9A8C-F1B9661AFCF1}">
    <text xml:space="preserve">why tf do we charge same rate per year for PT, ZZP and extern?
</text>
  </threadedComment>
</ThreadedComments>
</file>

<file path=xl/threadedComments/threadedComment13.xml><?xml version="1.0" encoding="utf-8"?>
<ThreadedComments xmlns="http://schemas.microsoft.com/office/spreadsheetml/2018/threadedcomments" xmlns:x="http://schemas.openxmlformats.org/spreadsheetml/2006/main">
  <threadedComment ref="M15" dT="2025-04-22T14:11:37.36" personId="{DC95346D-D8D2-4A67-88B6-5F0DE9DD3BCA}" id="{56B32E71-2951-4E32-B9AC-59E40BADC581}">
    <text xml:space="preserve">why tf do we charge same rate per year for PT, ZZP and extern?
</text>
  </threadedComment>
</ThreadedComments>
</file>

<file path=xl/threadedComments/threadedComment14.xml><?xml version="1.0" encoding="utf-8"?>
<ThreadedComments xmlns="http://schemas.microsoft.com/office/spreadsheetml/2018/threadedcomments" xmlns:x="http://schemas.openxmlformats.org/spreadsheetml/2006/main">
  <threadedComment ref="M15" dT="2025-04-22T14:11:37.36" personId="{DC95346D-D8D2-4A67-88B6-5F0DE9DD3BCA}" id="{619C52F8-90D8-4694-ACCB-49EFECD18023}">
    <text xml:space="preserve">why tf do we charge same rate per year for PT, ZZP and extern?
</text>
  </threadedComment>
</ThreadedComments>
</file>

<file path=xl/threadedComments/threadedComment15.xml><?xml version="1.0" encoding="utf-8"?>
<ThreadedComments xmlns="http://schemas.microsoft.com/office/spreadsheetml/2018/threadedcomments" xmlns:x="http://schemas.openxmlformats.org/spreadsheetml/2006/main">
  <threadedComment ref="M15" dT="2025-04-22T14:11:37.36" personId="{DC95346D-D8D2-4A67-88B6-5F0DE9DD3BCA}" id="{883DDA38-1A23-5144-95E0-4DE2D41B5227}">
    <text xml:space="preserve">why tf do we charge same rate per year for PT, ZZP and extern?
</text>
  </threadedComment>
  <threadedComment ref="E74" dT="2025-05-08T13:07:37.44" personId="{DC95346D-D8D2-4A67-88B6-5F0DE9DD3BCA}" id="{6D7D6C93-FFE0-2F40-BC1A-AC3A28D44605}">
    <text>Update after contract is updated</text>
  </threadedComment>
</ThreadedComments>
</file>

<file path=xl/threadedComments/threadedComment16.xml><?xml version="1.0" encoding="utf-8"?>
<ThreadedComments xmlns="http://schemas.microsoft.com/office/spreadsheetml/2018/threadedcomments" xmlns:x="http://schemas.openxmlformats.org/spreadsheetml/2006/main">
  <threadedComment ref="M15" dT="2025-04-22T14:11:37.36" personId="{DC95346D-D8D2-4A67-88B6-5F0DE9DD3BCA}" id="{C4ABB75B-843A-4A45-8601-4881B90F26E1}">
    <text xml:space="preserve">why tf do we charge same rate per year for PT, ZZP and extern?
</text>
  </threadedComment>
</ThreadedComments>
</file>

<file path=xl/threadedComments/threadedComment17.xml><?xml version="1.0" encoding="utf-8"?>
<ThreadedComments xmlns="http://schemas.microsoft.com/office/spreadsheetml/2018/threadedcomments" xmlns:x="http://schemas.openxmlformats.org/spreadsheetml/2006/main">
  <threadedComment ref="M15" dT="2025-04-22T14:11:37.36" personId="{DC95346D-D8D2-4A67-88B6-5F0DE9DD3BCA}" id="{556DE1F4-1C79-423F-8284-3D92066435B7}">
    <text xml:space="preserve">why tf do we charge same rate per year for PT, ZZP and extern?
</text>
  </threadedComment>
  <threadedComment ref="AE36" dT="2025-05-15T12:21:48.98" personId="{E38FDA05-D0EE-458B-A049-453F2A836882}" id="{EF3F4322-25EC-428C-85BA-45FA8F47631F}">
    <text>Waarvan 1 een weekend weg is</text>
  </threadedComment>
</ThreadedComments>
</file>

<file path=xl/threadedComments/threadedComment18.xml><?xml version="1.0" encoding="utf-8"?>
<ThreadedComments xmlns="http://schemas.microsoft.com/office/spreadsheetml/2018/threadedcomments" xmlns:x="http://schemas.openxmlformats.org/spreadsheetml/2006/main">
  <threadedComment ref="M15" dT="2025-04-22T14:11:37.36" personId="{DC95346D-D8D2-4A67-88B6-5F0DE9DD3BCA}" id="{7AF34BD8-0ED4-524E-895A-A9166B154821}">
    <text xml:space="preserve">why tf do we charge same rate per year for PT, ZZP and extern?
</text>
  </threadedComment>
</ThreadedComments>
</file>

<file path=xl/threadedComments/threadedComment19.xml><?xml version="1.0" encoding="utf-8"?>
<ThreadedComments xmlns="http://schemas.microsoft.com/office/spreadsheetml/2018/threadedcomments" xmlns:x="http://schemas.openxmlformats.org/spreadsheetml/2006/main">
  <threadedComment ref="M15" dT="2025-04-22T14:11:37.36" personId="{DC95346D-D8D2-4A67-88B6-5F0DE9DD3BCA}" id="{A893F1FF-329D-447D-A75B-9BFED9764876}">
    <text xml:space="preserve">why tf do we charge same rate per year for PT, ZZP and extern?
</text>
  </threadedComment>
</ThreadedComments>
</file>

<file path=xl/threadedComments/threadedComment2.xml><?xml version="1.0" encoding="utf-8"?>
<ThreadedComments xmlns="http://schemas.microsoft.com/office/spreadsheetml/2018/threadedcomments" xmlns:x="http://schemas.openxmlformats.org/spreadsheetml/2006/main">
  <threadedComment ref="M15" dT="2025-04-22T14:11:37.36" personId="{DC95346D-D8D2-4A67-88B6-5F0DE9DD3BCA}" id="{472F7ABC-74B2-40DA-AF99-D7661293C89B}">
    <text xml:space="preserve">why tf do we charge same rate per year for PT, ZZP and extern?
</text>
  </threadedComment>
</ThreadedComments>
</file>

<file path=xl/threadedComments/threadedComment20.xml><?xml version="1.0" encoding="utf-8"?>
<ThreadedComments xmlns="http://schemas.microsoft.com/office/spreadsheetml/2018/threadedcomments" xmlns:x="http://schemas.openxmlformats.org/spreadsheetml/2006/main">
  <threadedComment ref="M15" dT="2025-04-22T14:11:37.36" personId="{DC95346D-D8D2-4A67-88B6-5F0DE9DD3BCA}" id="{62FAC356-4D4A-44C9-9964-717B005C506B}">
    <text xml:space="preserve">why tf do we charge same rate per year for PT, ZZP and extern?
</text>
  </threadedComment>
</ThreadedComments>
</file>

<file path=xl/threadedComments/threadedComment21.xml><?xml version="1.0" encoding="utf-8"?>
<ThreadedComments xmlns="http://schemas.microsoft.com/office/spreadsheetml/2018/threadedcomments" xmlns:x="http://schemas.openxmlformats.org/spreadsheetml/2006/main">
  <threadedComment ref="M15" dT="2025-04-22T14:11:37.36" personId="{DC95346D-D8D2-4A67-88B6-5F0DE9DD3BCA}" id="{58C3F51D-6A6C-E941-BCB4-8FA35BCE3B8C}">
    <text xml:space="preserve">why tf do we charge same rate per year for PT, ZZP and extern?
</text>
  </threadedComment>
</ThreadedComments>
</file>

<file path=xl/threadedComments/threadedComment22.xml><?xml version="1.0" encoding="utf-8"?>
<ThreadedComments xmlns="http://schemas.microsoft.com/office/spreadsheetml/2018/threadedcomments" xmlns:x="http://schemas.openxmlformats.org/spreadsheetml/2006/main">
  <threadedComment ref="M15" dT="2025-04-22T14:11:37.36" personId="{DC95346D-D8D2-4A67-88B6-5F0DE9DD3BCA}" id="{B0D495F6-28D1-4965-AF2D-373297492357}">
    <text xml:space="preserve">why tf do we charge same rate per year for PT, ZZP and extern?
</text>
  </threadedComment>
</ThreadedComments>
</file>

<file path=xl/threadedComments/threadedComment23.xml><?xml version="1.0" encoding="utf-8"?>
<ThreadedComments xmlns="http://schemas.microsoft.com/office/spreadsheetml/2018/threadedcomments" xmlns:x="http://schemas.openxmlformats.org/spreadsheetml/2006/main">
  <threadedComment ref="M15" dT="2025-04-22T14:11:37.36" personId="{DC95346D-D8D2-4A67-88B6-5F0DE9DD3BCA}" id="{C6AF24E2-23BC-439B-9730-248DCE5E9BAE}">
    <text xml:space="preserve">why tf do we charge same rate per year for PT, ZZP and extern?
</text>
  </threadedComment>
</ThreadedComments>
</file>

<file path=xl/threadedComments/threadedComment24.xml><?xml version="1.0" encoding="utf-8"?>
<ThreadedComments xmlns="http://schemas.microsoft.com/office/spreadsheetml/2018/threadedcomments" xmlns:x="http://schemas.openxmlformats.org/spreadsheetml/2006/main">
  <threadedComment ref="M15" dT="2025-04-22T14:11:37.36" personId="{DC95346D-D8D2-4A67-88B6-5F0DE9DD3BCA}" id="{EE3E2891-B685-4CBE-92E5-D89A6A71A02B}">
    <text xml:space="preserve">why tf do we charge same rate per year for PT, ZZP and extern?
</text>
  </threadedComment>
</ThreadedComments>
</file>

<file path=xl/threadedComments/threadedComment25.xml><?xml version="1.0" encoding="utf-8"?>
<ThreadedComments xmlns="http://schemas.microsoft.com/office/spreadsheetml/2018/threadedcomments" xmlns:x="http://schemas.openxmlformats.org/spreadsheetml/2006/main">
  <threadedComment ref="M15" dT="2025-04-22T14:11:37.36" personId="{DC95346D-D8D2-4A67-88B6-5F0DE9DD3BCA}" id="{163E6439-8D2D-DC48-971C-29695CE5E69E}">
    <text xml:space="preserve">why tf do we charge same rate per year for PT, ZZP and extern?
</text>
  </threadedComment>
</ThreadedComments>
</file>

<file path=xl/threadedComments/threadedComment26.xml><?xml version="1.0" encoding="utf-8"?>
<ThreadedComments xmlns="http://schemas.microsoft.com/office/spreadsheetml/2018/threadedcomments" xmlns:x="http://schemas.openxmlformats.org/spreadsheetml/2006/main">
  <threadedComment ref="M15" dT="2025-04-22T14:11:37.36" personId="{DC95346D-D8D2-4A67-88B6-5F0DE9DD3BCA}" id="{ACA26F90-EC31-4E4E-ACAC-963C74CE8BD8}">
    <text xml:space="preserve">why tf do we charge same rate per year for PT, ZZP and extern?
</text>
  </threadedComment>
</ThreadedComments>
</file>

<file path=xl/threadedComments/threadedComment27.xml><?xml version="1.0" encoding="utf-8"?>
<ThreadedComments xmlns="http://schemas.microsoft.com/office/spreadsheetml/2018/threadedcomments" xmlns:x="http://schemas.openxmlformats.org/spreadsheetml/2006/main">
  <threadedComment ref="M15" dT="2025-04-22T14:11:37.36" personId="{DC95346D-D8D2-4A67-88B6-5F0DE9DD3BCA}" id="{082AC571-9226-4438-989B-D24F2FF2BE04}">
    <text xml:space="preserve">why tf do we charge same rate per year for PT, ZZP and extern?
</text>
  </threadedComment>
  <threadedComment ref="AE39" dT="2025-05-20T11:09:28.67" personId="{E38FDA05-D0EE-458B-A049-453F2A836882}" id="{B9877F73-3471-4C18-8A34-1FD8D5CD2C4D}">
    <text>2 used regularly and 2 used from time to time.</text>
  </threadedComment>
</ThreadedComments>
</file>

<file path=xl/threadedComments/threadedComment28.xml><?xml version="1.0" encoding="utf-8"?>
<ThreadedComments xmlns="http://schemas.microsoft.com/office/spreadsheetml/2018/threadedcomments" xmlns:x="http://schemas.openxmlformats.org/spreadsheetml/2006/main">
  <threadedComment ref="M15" dT="2025-04-22T14:11:37.36" personId="{DC95346D-D8D2-4A67-88B6-5F0DE9DD3BCA}" id="{87FC0A6B-0A8A-468B-A479-3EE8BF4A5EBE}">
    <text xml:space="preserve">why tf do we charge same rate per year for PT, ZZP and extern?
</text>
  </threadedComment>
</ThreadedComments>
</file>

<file path=xl/threadedComments/threadedComment29.xml><?xml version="1.0" encoding="utf-8"?>
<ThreadedComments xmlns="http://schemas.microsoft.com/office/spreadsheetml/2018/threadedcomments" xmlns:x="http://schemas.openxmlformats.org/spreadsheetml/2006/main">
  <threadedComment ref="M15" dT="2025-04-22T14:11:37.36" personId="{DC95346D-D8D2-4A67-88B6-5F0DE9DD3BCA}" id="{D08C9648-425A-4666-B609-AD61209045DD}">
    <text xml:space="preserve">why tf do we charge same rate per year for PT, ZZP and extern?
</text>
  </threadedComment>
</ThreadedComments>
</file>

<file path=xl/threadedComments/threadedComment3.xml><?xml version="1.0" encoding="utf-8"?>
<ThreadedComments xmlns="http://schemas.microsoft.com/office/spreadsheetml/2018/threadedcomments" xmlns:x="http://schemas.openxmlformats.org/spreadsheetml/2006/main">
  <threadedComment ref="M15" dT="2025-04-22T14:11:37.36" personId="{DC95346D-D8D2-4A67-88B6-5F0DE9DD3BCA}" id="{F2814D13-8446-45DD-B913-1536DB255D9B}">
    <text xml:space="preserve">why tf do we charge same rate per year for PT, ZZP and extern?
</text>
  </threadedComment>
</ThreadedComments>
</file>

<file path=xl/threadedComments/threadedComment30.xml><?xml version="1.0" encoding="utf-8"?>
<ThreadedComments xmlns="http://schemas.microsoft.com/office/spreadsheetml/2018/threadedcomments" xmlns:x="http://schemas.openxmlformats.org/spreadsheetml/2006/main">
  <threadedComment ref="M15" dT="2025-04-22T14:11:37.36" personId="{DC95346D-D8D2-4A67-88B6-5F0DE9DD3BCA}" id="{B0938E93-B5D1-C748-BEDC-71B4E39FB4C1}">
    <text xml:space="preserve">why tf do we charge same rate per year for PT, ZZP and extern?
</text>
  </threadedComment>
</ThreadedComments>
</file>

<file path=xl/threadedComments/threadedComment31.xml><?xml version="1.0" encoding="utf-8"?>
<ThreadedComments xmlns="http://schemas.microsoft.com/office/spreadsheetml/2018/threadedcomments" xmlns:x="http://schemas.openxmlformats.org/spreadsheetml/2006/main">
  <threadedComment ref="M15" dT="2025-04-22T14:11:37.36" personId="{DC95346D-D8D2-4A67-88B6-5F0DE9DD3BCA}" id="{8885E886-1D5B-4ED4-AE5E-42E59605580F}">
    <text xml:space="preserve">why tf do we charge same rate per year for PT, ZZP and extern?
</text>
  </threadedComment>
</ThreadedComments>
</file>

<file path=xl/threadedComments/threadedComment32.xml><?xml version="1.0" encoding="utf-8"?>
<ThreadedComments xmlns="http://schemas.microsoft.com/office/spreadsheetml/2018/threadedcomments" xmlns:x="http://schemas.openxmlformats.org/spreadsheetml/2006/main">
  <threadedComment ref="M15" dT="2025-04-22T14:11:37.36" personId="{DC95346D-D8D2-4A67-88B6-5F0DE9DD3BCA}" id="{DF1C5D8E-A56E-4569-ACE7-BB4F34ACBCD6}">
    <text xml:space="preserve">why tf do we charge same rate per year for PT, ZZP and extern?
</text>
  </threadedComment>
</ThreadedComments>
</file>

<file path=xl/threadedComments/threadedComment33.xml><?xml version="1.0" encoding="utf-8"?>
<ThreadedComments xmlns="http://schemas.microsoft.com/office/spreadsheetml/2018/threadedcomments" xmlns:x="http://schemas.openxmlformats.org/spreadsheetml/2006/main">
  <threadedComment ref="M15" dT="2025-04-22T14:11:37.36" personId="{DC95346D-D8D2-4A67-88B6-5F0DE9DD3BCA}" id="{13D1EDA7-DDC8-4DFE-A840-FE6BB6E37CEC}">
    <text xml:space="preserve">why tf do we charge same rate per year for PT, ZZP and extern?
</text>
  </threadedComment>
</ThreadedComments>
</file>

<file path=xl/threadedComments/threadedComment34.xml><?xml version="1.0" encoding="utf-8"?>
<ThreadedComments xmlns="http://schemas.microsoft.com/office/spreadsheetml/2018/threadedcomments" xmlns:x="http://schemas.openxmlformats.org/spreadsheetml/2006/main">
  <threadedComment ref="M15" dT="2025-04-22T14:11:37.36" personId="{DC95346D-D8D2-4A67-88B6-5F0DE9DD3BCA}" id="{CE89751A-5247-4FED-A75C-0CBBD01A154C}">
    <text xml:space="preserve">why tf do we charge same rate per year for PT, ZZP and extern?
</text>
  </threadedComment>
</ThreadedComments>
</file>

<file path=xl/threadedComments/threadedComment35.xml><?xml version="1.0" encoding="utf-8"?>
<ThreadedComments xmlns="http://schemas.microsoft.com/office/spreadsheetml/2018/threadedcomments" xmlns:x="http://schemas.openxmlformats.org/spreadsheetml/2006/main">
  <threadedComment ref="M15" dT="2025-04-22T14:11:37.36" personId="{DC95346D-D8D2-4A67-88B6-5F0DE9DD3BCA}" id="{41898872-9357-4A85-8A89-FA7017247AAB}">
    <text xml:space="preserve">why tf do we charge same rate per year for PT, ZZP and extern?
</text>
  </threadedComment>
</ThreadedComments>
</file>

<file path=xl/threadedComments/threadedComment4.xml><?xml version="1.0" encoding="utf-8"?>
<ThreadedComments xmlns="http://schemas.microsoft.com/office/spreadsheetml/2018/threadedcomments" xmlns:x="http://schemas.openxmlformats.org/spreadsheetml/2006/main">
  <threadedComment ref="M15" dT="2025-04-22T14:11:37.36" personId="{DC95346D-D8D2-4A67-88B6-5F0DE9DD3BCA}" id="{CC64BD72-ACFB-4212-B66F-FC0AD02F93A5}">
    <text xml:space="preserve">why tf do we charge same rate per year for PT, ZZP and extern?
</text>
  </threadedComment>
</ThreadedComments>
</file>

<file path=xl/threadedComments/threadedComment5.xml><?xml version="1.0" encoding="utf-8"?>
<ThreadedComments xmlns="http://schemas.microsoft.com/office/spreadsheetml/2018/threadedcomments" xmlns:x="http://schemas.openxmlformats.org/spreadsheetml/2006/main">
  <threadedComment ref="M15" dT="2025-04-22T14:11:37.36" personId="{DC95346D-D8D2-4A67-88B6-5F0DE9DD3BCA}" id="{17F890DF-278D-4583-9432-981A1DBE56CD}">
    <text xml:space="preserve">why tf do we charge same rate per year for PT, ZZP and extern?
</text>
  </threadedComment>
</ThreadedComments>
</file>

<file path=xl/threadedComments/threadedComment6.xml><?xml version="1.0" encoding="utf-8"?>
<ThreadedComments xmlns="http://schemas.microsoft.com/office/spreadsheetml/2018/threadedcomments" xmlns:x="http://schemas.openxmlformats.org/spreadsheetml/2006/main">
  <threadedComment ref="M15" dT="2025-04-22T14:11:37.36" personId="{DC95346D-D8D2-4A67-88B6-5F0DE9DD3BCA}" id="{D686AD6F-1322-EA4D-9E63-575024829E35}">
    <text xml:space="preserve">why tf do we charge same rate per year for PT, ZZP and extern?
</text>
  </threadedComment>
  <threadedComment ref="G46" dT="2025-05-08T12:07:36.98" personId="{DC95346D-D8D2-4A67-88B6-5F0DE9DD3BCA}" id="{60672345-D073-D44E-87B6-D4E468218D3F}">
    <text>Check with SC</text>
  </threadedComment>
</ThreadedComments>
</file>

<file path=xl/threadedComments/threadedComment7.xml><?xml version="1.0" encoding="utf-8"?>
<ThreadedComments xmlns="http://schemas.microsoft.com/office/spreadsheetml/2018/threadedcomments" xmlns:x="http://schemas.openxmlformats.org/spreadsheetml/2006/main">
  <threadedComment ref="M15" dT="2025-04-22T14:11:37.36" personId="{DC95346D-D8D2-4A67-88B6-5F0DE9DD3BCA}" id="{5B5F2FAF-9967-4ED2-8E3F-D4209ED5AB94}">
    <text xml:space="preserve">why tf do we charge same rate per year for PT, ZZP and extern?
</text>
  </threadedComment>
</ThreadedComments>
</file>

<file path=xl/threadedComments/threadedComment8.xml><?xml version="1.0" encoding="utf-8"?>
<ThreadedComments xmlns="http://schemas.microsoft.com/office/spreadsheetml/2018/threadedcomments" xmlns:x="http://schemas.openxmlformats.org/spreadsheetml/2006/main">
  <threadedComment ref="M15" dT="2025-04-22T14:11:37.36" personId="{DC95346D-D8D2-4A67-88B6-5F0DE9DD3BCA}" id="{584D2087-EDA2-CC4C-AF89-917102815E17}">
    <text xml:space="preserve">why tf do we charge same rate per year for PT, ZZP and extern?
</text>
  </threadedComment>
</ThreadedComments>
</file>

<file path=xl/threadedComments/threadedComment9.xml><?xml version="1.0" encoding="utf-8"?>
<ThreadedComments xmlns="http://schemas.microsoft.com/office/spreadsheetml/2018/threadedcomments" xmlns:x="http://schemas.openxmlformats.org/spreadsheetml/2006/main">
  <threadedComment ref="M15" dT="2025-04-22T14:11:37.36" personId="{DC95346D-D8D2-4A67-88B6-5F0DE9DD3BCA}" id="{8B84F61B-2161-48AE-AC7E-FE29972FC525}">
    <text xml:space="preserve">why tf do we charge same rate per year for PT, ZZP and extern?
</text>
  </threadedComment>
  <threadedComment ref="A38" dT="2025-04-30T12:27:38.46" personId="{33602AF2-2954-45B4-AEB7-E4EF4B3E7248}" id="{8FE606EB-46D9-4148-B701-8EF072524494}">
    <text xml:space="preserve">For StOF these teams do comps, same with the club teams
</text>
  </threadedComment>
  <threadedComment ref="A39" dT="2025-04-30T12:27:38.46" personId="{33602AF2-2954-45B4-AEB7-E4EF4B3E7248}" id="{2CCAFD60-7591-470B-AF2B-823786D61962}">
    <text xml:space="preserve">For StOF these teams do comps, same with the club teams
</text>
  </threadedComment>
  <threadedComment ref="A40" dT="2025-04-30T12:27:38.46" personId="{33602AF2-2954-45B4-AEB7-E4EF4B3E7248}" id="{239088BF-D4ED-467F-B9EE-0F343F21E29A}">
    <text xml:space="preserve">For StOF these teams do comps, same with the club teams
</text>
  </threadedComment>
  <threadedComment ref="A41" dT="2025-04-30T12:27:38.46" personId="{33602AF2-2954-45B4-AEB7-E4EF4B3E7248}" id="{7F46551C-F700-44AA-BD2B-DCDD0F03C03B}">
    <text xml:space="preserve">For StOF these teams do comps, same with the club teams
</text>
  </threadedComment>
  <threadedComment ref="A42" dT="2025-04-30T12:27:38.46" personId="{33602AF2-2954-45B4-AEB7-E4EF4B3E7248}" id="{428720FB-2B6F-46D7-8C01-142E38CFD2B9}">
    <text xml:space="preserve">For StOF these teams do comps, same with the club teams
</text>
  </threadedComment>
  <threadedComment ref="A43" dT="2025-04-30T12:27:38.46" personId="{33602AF2-2954-45B4-AEB7-E4EF4B3E7248}" id="{BBE7599D-6D0D-4A65-9E11-D27939AA1BE7}">
    <text xml:space="preserve">For StOF these teams do comps, same with the club teams
</text>
  </threadedComment>
  <threadedComment ref="A44" dT="2025-04-30T12:27:38.46" personId="{33602AF2-2954-45B4-AEB7-E4EF4B3E7248}" id="{B00B0E38-2A4C-47FE-B402-69663A7C24C0}">
    <text xml:space="preserve">For StOF these teams do comps, same with the club teams
</text>
  </threadedComment>
  <threadedComment ref="A45" dT="2025-04-30T12:27:38.46" personId="{33602AF2-2954-45B4-AEB7-E4EF4B3E7248}" id="{15EB3893-DDF5-4EB1-B214-DBC6B76A7A1B}">
    <text xml:space="preserve">For StOF these teams do comps, same with the club teams
</text>
  </threadedComment>
  <threadedComment ref="A46" dT="2025-04-30T12:27:38.46" personId="{33602AF2-2954-45B4-AEB7-E4EF4B3E7248}" id="{BAE43AEA-D646-494B-BEE1-97A8B9A4988F}">
    <text xml:space="preserve">For StOF these teams do comps, same with the club teams
</text>
  </threadedComment>
</ThreadedComments>
</file>

<file path=xl/worksheets/_rels/sheet10.xml.rels><?xml version="1.0" encoding="UTF-8" standalone="yes"?>
<Relationships xmlns="http://schemas.openxmlformats.org/package/2006/relationships"><Relationship Id="rId8" Type="http://schemas.openxmlformats.org/officeDocument/2006/relationships/table" Target="../tables/table31.xml"/><Relationship Id="rId3" Type="http://schemas.openxmlformats.org/officeDocument/2006/relationships/table" Target="../tables/table26.xml"/><Relationship Id="rId7" Type="http://schemas.openxmlformats.org/officeDocument/2006/relationships/table" Target="../tables/table30.xml"/><Relationship Id="rId2" Type="http://schemas.openxmlformats.org/officeDocument/2006/relationships/vmlDrawing" Target="../drawings/vmlDrawing5.vml"/><Relationship Id="rId1" Type="http://schemas.openxmlformats.org/officeDocument/2006/relationships/drawing" Target="../drawings/drawing5.xml"/><Relationship Id="rId6" Type="http://schemas.openxmlformats.org/officeDocument/2006/relationships/table" Target="../tables/table29.xml"/><Relationship Id="rId5" Type="http://schemas.openxmlformats.org/officeDocument/2006/relationships/table" Target="../tables/table28.xml"/><Relationship Id="rId10" Type="http://schemas.microsoft.com/office/2017/10/relationships/threadedComment" Target="../threadedComments/threadedComment5.xml"/><Relationship Id="rId4" Type="http://schemas.openxmlformats.org/officeDocument/2006/relationships/table" Target="../tables/table27.xml"/><Relationship Id="rId9"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8" Type="http://schemas.openxmlformats.org/officeDocument/2006/relationships/table" Target="../tables/table37.xml"/><Relationship Id="rId3" Type="http://schemas.openxmlformats.org/officeDocument/2006/relationships/table" Target="../tables/table32.xml"/><Relationship Id="rId7" Type="http://schemas.openxmlformats.org/officeDocument/2006/relationships/table" Target="../tables/table36.xml"/><Relationship Id="rId2" Type="http://schemas.openxmlformats.org/officeDocument/2006/relationships/vmlDrawing" Target="../drawings/vmlDrawing6.vml"/><Relationship Id="rId1" Type="http://schemas.openxmlformats.org/officeDocument/2006/relationships/drawing" Target="../drawings/drawing6.xml"/><Relationship Id="rId6" Type="http://schemas.openxmlformats.org/officeDocument/2006/relationships/table" Target="../tables/table35.xml"/><Relationship Id="rId5" Type="http://schemas.openxmlformats.org/officeDocument/2006/relationships/table" Target="../tables/table34.xml"/><Relationship Id="rId10" Type="http://schemas.microsoft.com/office/2017/10/relationships/threadedComment" Target="../threadedComments/threadedComment6.xml"/><Relationship Id="rId4" Type="http://schemas.openxmlformats.org/officeDocument/2006/relationships/table" Target="../tables/table33.xml"/><Relationship Id="rId9"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8" Type="http://schemas.openxmlformats.org/officeDocument/2006/relationships/table" Target="../tables/table43.xml"/><Relationship Id="rId3" Type="http://schemas.openxmlformats.org/officeDocument/2006/relationships/table" Target="../tables/table38.xml"/><Relationship Id="rId7" Type="http://schemas.openxmlformats.org/officeDocument/2006/relationships/table" Target="../tables/table42.xml"/><Relationship Id="rId2" Type="http://schemas.openxmlformats.org/officeDocument/2006/relationships/vmlDrawing" Target="../drawings/vmlDrawing7.vml"/><Relationship Id="rId1" Type="http://schemas.openxmlformats.org/officeDocument/2006/relationships/drawing" Target="../drawings/drawing7.xml"/><Relationship Id="rId6" Type="http://schemas.openxmlformats.org/officeDocument/2006/relationships/table" Target="../tables/table41.xml"/><Relationship Id="rId5" Type="http://schemas.openxmlformats.org/officeDocument/2006/relationships/table" Target="../tables/table40.xml"/><Relationship Id="rId10" Type="http://schemas.microsoft.com/office/2017/10/relationships/threadedComment" Target="../threadedComments/threadedComment7.xml"/><Relationship Id="rId4" Type="http://schemas.openxmlformats.org/officeDocument/2006/relationships/table" Target="../tables/table39.xml"/><Relationship Id="rId9"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8" Type="http://schemas.openxmlformats.org/officeDocument/2006/relationships/table" Target="../tables/table49.xml"/><Relationship Id="rId3" Type="http://schemas.openxmlformats.org/officeDocument/2006/relationships/table" Target="../tables/table44.xml"/><Relationship Id="rId7" Type="http://schemas.openxmlformats.org/officeDocument/2006/relationships/table" Target="../tables/table48.xml"/><Relationship Id="rId2" Type="http://schemas.openxmlformats.org/officeDocument/2006/relationships/vmlDrawing" Target="../drawings/vmlDrawing8.vml"/><Relationship Id="rId1" Type="http://schemas.openxmlformats.org/officeDocument/2006/relationships/drawing" Target="../drawings/drawing8.xml"/><Relationship Id="rId6" Type="http://schemas.openxmlformats.org/officeDocument/2006/relationships/table" Target="../tables/table47.xml"/><Relationship Id="rId5" Type="http://schemas.openxmlformats.org/officeDocument/2006/relationships/table" Target="../tables/table46.xml"/><Relationship Id="rId10" Type="http://schemas.microsoft.com/office/2017/10/relationships/threadedComment" Target="../threadedComments/threadedComment8.xml"/><Relationship Id="rId4" Type="http://schemas.openxmlformats.org/officeDocument/2006/relationships/table" Target="../tables/table45.xml"/><Relationship Id="rId9" Type="http://schemas.openxmlformats.org/officeDocument/2006/relationships/comments" Target="../comments8.xml"/></Relationships>
</file>

<file path=xl/worksheets/_rels/sheet14.xml.rels><?xml version="1.0" encoding="UTF-8" standalone="yes"?>
<Relationships xmlns="http://schemas.openxmlformats.org/package/2006/relationships"><Relationship Id="rId8" Type="http://schemas.openxmlformats.org/officeDocument/2006/relationships/table" Target="../tables/table55.xml"/><Relationship Id="rId3" Type="http://schemas.openxmlformats.org/officeDocument/2006/relationships/table" Target="../tables/table50.xml"/><Relationship Id="rId7" Type="http://schemas.openxmlformats.org/officeDocument/2006/relationships/table" Target="../tables/table54.xml"/><Relationship Id="rId2" Type="http://schemas.openxmlformats.org/officeDocument/2006/relationships/vmlDrawing" Target="../drawings/vmlDrawing9.vml"/><Relationship Id="rId1" Type="http://schemas.openxmlformats.org/officeDocument/2006/relationships/drawing" Target="../drawings/drawing9.xml"/><Relationship Id="rId6" Type="http://schemas.openxmlformats.org/officeDocument/2006/relationships/table" Target="../tables/table53.xml"/><Relationship Id="rId5" Type="http://schemas.openxmlformats.org/officeDocument/2006/relationships/table" Target="../tables/table52.xml"/><Relationship Id="rId10" Type="http://schemas.microsoft.com/office/2017/10/relationships/threadedComment" Target="../threadedComments/threadedComment9.xml"/><Relationship Id="rId4" Type="http://schemas.openxmlformats.org/officeDocument/2006/relationships/table" Target="../tables/table51.xml"/><Relationship Id="rId9" Type="http://schemas.openxmlformats.org/officeDocument/2006/relationships/comments" Target="../comments9.xml"/></Relationships>
</file>

<file path=xl/worksheets/_rels/sheet15.xml.rels><?xml version="1.0" encoding="UTF-8" standalone="yes"?>
<Relationships xmlns="http://schemas.openxmlformats.org/package/2006/relationships"><Relationship Id="rId8" Type="http://schemas.openxmlformats.org/officeDocument/2006/relationships/table" Target="../tables/table61.xml"/><Relationship Id="rId3" Type="http://schemas.openxmlformats.org/officeDocument/2006/relationships/table" Target="../tables/table56.xml"/><Relationship Id="rId7" Type="http://schemas.openxmlformats.org/officeDocument/2006/relationships/table" Target="../tables/table60.xml"/><Relationship Id="rId2" Type="http://schemas.openxmlformats.org/officeDocument/2006/relationships/vmlDrawing" Target="../drawings/vmlDrawing10.vml"/><Relationship Id="rId1" Type="http://schemas.openxmlformats.org/officeDocument/2006/relationships/drawing" Target="../drawings/drawing10.xml"/><Relationship Id="rId6" Type="http://schemas.openxmlformats.org/officeDocument/2006/relationships/table" Target="../tables/table59.xml"/><Relationship Id="rId5" Type="http://schemas.openxmlformats.org/officeDocument/2006/relationships/table" Target="../tables/table58.xml"/><Relationship Id="rId10" Type="http://schemas.microsoft.com/office/2017/10/relationships/threadedComment" Target="../threadedComments/threadedComment10.xml"/><Relationship Id="rId4" Type="http://schemas.openxmlformats.org/officeDocument/2006/relationships/table" Target="../tables/table57.xml"/><Relationship Id="rId9" Type="http://schemas.openxmlformats.org/officeDocument/2006/relationships/comments" Target="../comments10.xml"/></Relationships>
</file>

<file path=xl/worksheets/_rels/sheet16.xml.rels><?xml version="1.0" encoding="UTF-8" standalone="yes"?>
<Relationships xmlns="http://schemas.openxmlformats.org/package/2006/relationships"><Relationship Id="rId8" Type="http://schemas.openxmlformats.org/officeDocument/2006/relationships/table" Target="../tables/table67.xml"/><Relationship Id="rId3" Type="http://schemas.openxmlformats.org/officeDocument/2006/relationships/table" Target="../tables/table62.xml"/><Relationship Id="rId7" Type="http://schemas.openxmlformats.org/officeDocument/2006/relationships/table" Target="../tables/table66.xml"/><Relationship Id="rId2" Type="http://schemas.openxmlformats.org/officeDocument/2006/relationships/vmlDrawing" Target="../drawings/vmlDrawing11.vml"/><Relationship Id="rId1" Type="http://schemas.openxmlformats.org/officeDocument/2006/relationships/drawing" Target="../drawings/drawing11.xml"/><Relationship Id="rId6" Type="http://schemas.openxmlformats.org/officeDocument/2006/relationships/table" Target="../tables/table65.xml"/><Relationship Id="rId5" Type="http://schemas.openxmlformats.org/officeDocument/2006/relationships/table" Target="../tables/table64.xml"/><Relationship Id="rId10" Type="http://schemas.microsoft.com/office/2017/10/relationships/threadedComment" Target="../threadedComments/threadedComment11.xml"/><Relationship Id="rId4" Type="http://schemas.openxmlformats.org/officeDocument/2006/relationships/table" Target="../tables/table63.xml"/><Relationship Id="rId9" Type="http://schemas.openxmlformats.org/officeDocument/2006/relationships/comments" Target="../comments11.xml"/></Relationships>
</file>

<file path=xl/worksheets/_rels/sheet17.xml.rels><?xml version="1.0" encoding="UTF-8" standalone="yes"?>
<Relationships xmlns="http://schemas.openxmlformats.org/package/2006/relationships"><Relationship Id="rId8" Type="http://schemas.openxmlformats.org/officeDocument/2006/relationships/table" Target="../tables/table73.xml"/><Relationship Id="rId3" Type="http://schemas.openxmlformats.org/officeDocument/2006/relationships/table" Target="../tables/table68.xml"/><Relationship Id="rId7" Type="http://schemas.openxmlformats.org/officeDocument/2006/relationships/table" Target="../tables/table72.xml"/><Relationship Id="rId2" Type="http://schemas.openxmlformats.org/officeDocument/2006/relationships/vmlDrawing" Target="../drawings/vmlDrawing12.vml"/><Relationship Id="rId1" Type="http://schemas.openxmlformats.org/officeDocument/2006/relationships/drawing" Target="../drawings/drawing12.xml"/><Relationship Id="rId6" Type="http://schemas.openxmlformats.org/officeDocument/2006/relationships/table" Target="../tables/table71.xml"/><Relationship Id="rId5" Type="http://schemas.openxmlformats.org/officeDocument/2006/relationships/table" Target="../tables/table70.xml"/><Relationship Id="rId10" Type="http://schemas.microsoft.com/office/2017/10/relationships/threadedComment" Target="../threadedComments/threadedComment12.xml"/><Relationship Id="rId4" Type="http://schemas.openxmlformats.org/officeDocument/2006/relationships/table" Target="../tables/table69.xml"/><Relationship Id="rId9" Type="http://schemas.openxmlformats.org/officeDocument/2006/relationships/comments" Target="../comments12.xml"/></Relationships>
</file>

<file path=xl/worksheets/_rels/sheet18.xml.rels><?xml version="1.0" encoding="UTF-8" standalone="yes"?>
<Relationships xmlns="http://schemas.openxmlformats.org/package/2006/relationships"><Relationship Id="rId8" Type="http://schemas.openxmlformats.org/officeDocument/2006/relationships/table" Target="../tables/table79.xml"/><Relationship Id="rId3" Type="http://schemas.openxmlformats.org/officeDocument/2006/relationships/table" Target="../tables/table74.xml"/><Relationship Id="rId7" Type="http://schemas.openxmlformats.org/officeDocument/2006/relationships/table" Target="../tables/table78.xml"/><Relationship Id="rId2" Type="http://schemas.openxmlformats.org/officeDocument/2006/relationships/vmlDrawing" Target="../drawings/vmlDrawing13.vml"/><Relationship Id="rId1" Type="http://schemas.openxmlformats.org/officeDocument/2006/relationships/drawing" Target="../drawings/drawing13.xml"/><Relationship Id="rId6" Type="http://schemas.openxmlformats.org/officeDocument/2006/relationships/table" Target="../tables/table77.xml"/><Relationship Id="rId5" Type="http://schemas.openxmlformats.org/officeDocument/2006/relationships/table" Target="../tables/table76.xml"/><Relationship Id="rId10" Type="http://schemas.microsoft.com/office/2017/10/relationships/threadedComment" Target="../threadedComments/threadedComment13.xml"/><Relationship Id="rId4" Type="http://schemas.openxmlformats.org/officeDocument/2006/relationships/table" Target="../tables/table75.xml"/><Relationship Id="rId9" Type="http://schemas.openxmlformats.org/officeDocument/2006/relationships/comments" Target="../comments13.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85.xml"/><Relationship Id="rId3" Type="http://schemas.openxmlformats.org/officeDocument/2006/relationships/table" Target="../tables/table80.xml"/><Relationship Id="rId7" Type="http://schemas.openxmlformats.org/officeDocument/2006/relationships/table" Target="../tables/table84.xml"/><Relationship Id="rId2" Type="http://schemas.openxmlformats.org/officeDocument/2006/relationships/vmlDrawing" Target="../drawings/vmlDrawing14.vml"/><Relationship Id="rId1" Type="http://schemas.openxmlformats.org/officeDocument/2006/relationships/drawing" Target="../drawings/drawing14.xml"/><Relationship Id="rId6" Type="http://schemas.openxmlformats.org/officeDocument/2006/relationships/table" Target="../tables/table83.xml"/><Relationship Id="rId5" Type="http://schemas.openxmlformats.org/officeDocument/2006/relationships/table" Target="../tables/table82.xml"/><Relationship Id="rId10" Type="http://schemas.microsoft.com/office/2017/10/relationships/threadedComment" Target="../threadedComments/threadedComment14.xml"/><Relationship Id="rId4" Type="http://schemas.openxmlformats.org/officeDocument/2006/relationships/table" Target="../tables/table81.xml"/><Relationship Id="rId9" Type="http://schemas.openxmlformats.org/officeDocument/2006/relationships/comments" Target="../comments14.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91.xml"/><Relationship Id="rId3" Type="http://schemas.openxmlformats.org/officeDocument/2006/relationships/table" Target="../tables/table86.xml"/><Relationship Id="rId7" Type="http://schemas.openxmlformats.org/officeDocument/2006/relationships/table" Target="../tables/table90.xml"/><Relationship Id="rId2" Type="http://schemas.openxmlformats.org/officeDocument/2006/relationships/vmlDrawing" Target="../drawings/vmlDrawing15.vml"/><Relationship Id="rId1" Type="http://schemas.openxmlformats.org/officeDocument/2006/relationships/drawing" Target="../drawings/drawing15.xml"/><Relationship Id="rId6" Type="http://schemas.openxmlformats.org/officeDocument/2006/relationships/table" Target="../tables/table89.xml"/><Relationship Id="rId5" Type="http://schemas.openxmlformats.org/officeDocument/2006/relationships/table" Target="../tables/table88.xml"/><Relationship Id="rId10" Type="http://schemas.microsoft.com/office/2017/10/relationships/threadedComment" Target="../threadedComments/threadedComment15.xml"/><Relationship Id="rId4" Type="http://schemas.openxmlformats.org/officeDocument/2006/relationships/table" Target="../tables/table87.xml"/><Relationship Id="rId9" Type="http://schemas.openxmlformats.org/officeDocument/2006/relationships/comments" Target="../comments15.xml"/></Relationships>
</file>

<file path=xl/worksheets/_rels/sheet21.xml.rels><?xml version="1.0" encoding="UTF-8" standalone="yes"?>
<Relationships xmlns="http://schemas.openxmlformats.org/package/2006/relationships"><Relationship Id="rId8" Type="http://schemas.openxmlformats.org/officeDocument/2006/relationships/table" Target="../tables/table97.xml"/><Relationship Id="rId3" Type="http://schemas.openxmlformats.org/officeDocument/2006/relationships/table" Target="../tables/table92.xml"/><Relationship Id="rId7" Type="http://schemas.openxmlformats.org/officeDocument/2006/relationships/table" Target="../tables/table96.xml"/><Relationship Id="rId2" Type="http://schemas.openxmlformats.org/officeDocument/2006/relationships/vmlDrawing" Target="../drawings/vmlDrawing16.vml"/><Relationship Id="rId1" Type="http://schemas.openxmlformats.org/officeDocument/2006/relationships/drawing" Target="../drawings/drawing16.xml"/><Relationship Id="rId6" Type="http://schemas.openxmlformats.org/officeDocument/2006/relationships/table" Target="../tables/table95.xml"/><Relationship Id="rId5" Type="http://schemas.openxmlformats.org/officeDocument/2006/relationships/table" Target="../tables/table94.xml"/><Relationship Id="rId10" Type="http://schemas.microsoft.com/office/2017/10/relationships/threadedComment" Target="../threadedComments/threadedComment16.xml"/><Relationship Id="rId4" Type="http://schemas.openxmlformats.org/officeDocument/2006/relationships/table" Target="../tables/table93.xml"/><Relationship Id="rId9" Type="http://schemas.openxmlformats.org/officeDocument/2006/relationships/comments" Target="../comments16.xml"/></Relationships>
</file>

<file path=xl/worksheets/_rels/sheet22.xml.rels><?xml version="1.0" encoding="UTF-8" standalone="yes"?>
<Relationships xmlns="http://schemas.openxmlformats.org/package/2006/relationships"><Relationship Id="rId3" Type="http://schemas.openxmlformats.org/officeDocument/2006/relationships/table" Target="../tables/table99.xml"/><Relationship Id="rId7" Type="http://schemas.openxmlformats.org/officeDocument/2006/relationships/table" Target="../tables/table103.xml"/><Relationship Id="rId2" Type="http://schemas.openxmlformats.org/officeDocument/2006/relationships/table" Target="../tables/table98.xml"/><Relationship Id="rId1" Type="http://schemas.openxmlformats.org/officeDocument/2006/relationships/drawing" Target="../drawings/drawing17.xml"/><Relationship Id="rId6" Type="http://schemas.openxmlformats.org/officeDocument/2006/relationships/table" Target="../tables/table102.xml"/><Relationship Id="rId5" Type="http://schemas.openxmlformats.org/officeDocument/2006/relationships/table" Target="../tables/table101.xml"/><Relationship Id="rId4" Type="http://schemas.openxmlformats.org/officeDocument/2006/relationships/table" Target="../tables/table100.xml"/></Relationships>
</file>

<file path=xl/worksheets/_rels/sheet23.xml.rels><?xml version="1.0" encoding="UTF-8" standalone="yes"?>
<Relationships xmlns="http://schemas.openxmlformats.org/package/2006/relationships"><Relationship Id="rId8" Type="http://schemas.openxmlformats.org/officeDocument/2006/relationships/table" Target="../tables/table109.xml"/><Relationship Id="rId3" Type="http://schemas.openxmlformats.org/officeDocument/2006/relationships/table" Target="../tables/table104.xml"/><Relationship Id="rId7" Type="http://schemas.openxmlformats.org/officeDocument/2006/relationships/table" Target="../tables/table108.xml"/><Relationship Id="rId2" Type="http://schemas.openxmlformats.org/officeDocument/2006/relationships/vmlDrawing" Target="../drawings/vmlDrawing17.vml"/><Relationship Id="rId1" Type="http://schemas.openxmlformats.org/officeDocument/2006/relationships/drawing" Target="../drawings/drawing18.xml"/><Relationship Id="rId6" Type="http://schemas.openxmlformats.org/officeDocument/2006/relationships/table" Target="../tables/table107.xml"/><Relationship Id="rId5" Type="http://schemas.openxmlformats.org/officeDocument/2006/relationships/table" Target="../tables/table106.xml"/><Relationship Id="rId10" Type="http://schemas.microsoft.com/office/2017/10/relationships/threadedComment" Target="../threadedComments/threadedComment17.xml"/><Relationship Id="rId4" Type="http://schemas.openxmlformats.org/officeDocument/2006/relationships/table" Target="../tables/table105.xml"/><Relationship Id="rId9" Type="http://schemas.openxmlformats.org/officeDocument/2006/relationships/comments" Target="../comments17.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115.xml"/><Relationship Id="rId3" Type="http://schemas.openxmlformats.org/officeDocument/2006/relationships/table" Target="../tables/table110.xml"/><Relationship Id="rId7" Type="http://schemas.openxmlformats.org/officeDocument/2006/relationships/table" Target="../tables/table114.xml"/><Relationship Id="rId2" Type="http://schemas.openxmlformats.org/officeDocument/2006/relationships/vmlDrawing" Target="../drawings/vmlDrawing18.vml"/><Relationship Id="rId1" Type="http://schemas.openxmlformats.org/officeDocument/2006/relationships/drawing" Target="../drawings/drawing19.xml"/><Relationship Id="rId6" Type="http://schemas.openxmlformats.org/officeDocument/2006/relationships/table" Target="../tables/table113.xml"/><Relationship Id="rId5" Type="http://schemas.openxmlformats.org/officeDocument/2006/relationships/table" Target="../tables/table112.xml"/><Relationship Id="rId10" Type="http://schemas.microsoft.com/office/2017/10/relationships/threadedComment" Target="../threadedComments/threadedComment18.xml"/><Relationship Id="rId4" Type="http://schemas.openxmlformats.org/officeDocument/2006/relationships/table" Target="../tables/table111.xml"/><Relationship Id="rId9" Type="http://schemas.openxmlformats.org/officeDocument/2006/relationships/comments" Target="../comments1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121.xml"/><Relationship Id="rId3" Type="http://schemas.openxmlformats.org/officeDocument/2006/relationships/table" Target="../tables/table116.xml"/><Relationship Id="rId7" Type="http://schemas.openxmlformats.org/officeDocument/2006/relationships/table" Target="../tables/table120.xml"/><Relationship Id="rId2" Type="http://schemas.openxmlformats.org/officeDocument/2006/relationships/vmlDrawing" Target="../drawings/vmlDrawing19.vml"/><Relationship Id="rId1" Type="http://schemas.openxmlformats.org/officeDocument/2006/relationships/drawing" Target="../drawings/drawing20.xml"/><Relationship Id="rId6" Type="http://schemas.openxmlformats.org/officeDocument/2006/relationships/table" Target="../tables/table119.xml"/><Relationship Id="rId5" Type="http://schemas.openxmlformats.org/officeDocument/2006/relationships/table" Target="../tables/table118.xml"/><Relationship Id="rId10" Type="http://schemas.microsoft.com/office/2017/10/relationships/threadedComment" Target="../threadedComments/threadedComment19.xml"/><Relationship Id="rId4" Type="http://schemas.openxmlformats.org/officeDocument/2006/relationships/table" Target="../tables/table117.xml"/><Relationship Id="rId9" Type="http://schemas.openxmlformats.org/officeDocument/2006/relationships/comments" Target="../comments19.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127.xml"/><Relationship Id="rId3" Type="http://schemas.openxmlformats.org/officeDocument/2006/relationships/table" Target="../tables/table122.xml"/><Relationship Id="rId7" Type="http://schemas.openxmlformats.org/officeDocument/2006/relationships/table" Target="../tables/table126.xml"/><Relationship Id="rId2" Type="http://schemas.openxmlformats.org/officeDocument/2006/relationships/vmlDrawing" Target="../drawings/vmlDrawing20.vml"/><Relationship Id="rId1" Type="http://schemas.openxmlformats.org/officeDocument/2006/relationships/drawing" Target="../drawings/drawing21.xml"/><Relationship Id="rId6" Type="http://schemas.openxmlformats.org/officeDocument/2006/relationships/table" Target="../tables/table125.xml"/><Relationship Id="rId5" Type="http://schemas.openxmlformats.org/officeDocument/2006/relationships/table" Target="../tables/table124.xml"/><Relationship Id="rId10" Type="http://schemas.microsoft.com/office/2017/10/relationships/threadedComment" Target="../threadedComments/threadedComment20.xml"/><Relationship Id="rId4" Type="http://schemas.openxmlformats.org/officeDocument/2006/relationships/table" Target="../tables/table123.xml"/><Relationship Id="rId9" Type="http://schemas.openxmlformats.org/officeDocument/2006/relationships/comments" Target="../comments20.xml"/></Relationships>
</file>

<file path=xl/worksheets/_rels/sheet27.xml.rels><?xml version="1.0" encoding="UTF-8" standalone="yes"?>
<Relationships xmlns="http://schemas.openxmlformats.org/package/2006/relationships"><Relationship Id="rId8" Type="http://schemas.openxmlformats.org/officeDocument/2006/relationships/table" Target="../tables/table133.xml"/><Relationship Id="rId3" Type="http://schemas.openxmlformats.org/officeDocument/2006/relationships/table" Target="../tables/table128.xml"/><Relationship Id="rId7" Type="http://schemas.openxmlformats.org/officeDocument/2006/relationships/table" Target="../tables/table132.xml"/><Relationship Id="rId2" Type="http://schemas.openxmlformats.org/officeDocument/2006/relationships/vmlDrawing" Target="../drawings/vmlDrawing21.vml"/><Relationship Id="rId1" Type="http://schemas.openxmlformats.org/officeDocument/2006/relationships/drawing" Target="../drawings/drawing22.xml"/><Relationship Id="rId6" Type="http://schemas.openxmlformats.org/officeDocument/2006/relationships/table" Target="../tables/table131.xml"/><Relationship Id="rId5" Type="http://schemas.openxmlformats.org/officeDocument/2006/relationships/table" Target="../tables/table130.xml"/><Relationship Id="rId10" Type="http://schemas.microsoft.com/office/2017/10/relationships/threadedComment" Target="../threadedComments/threadedComment21.xml"/><Relationship Id="rId4" Type="http://schemas.openxmlformats.org/officeDocument/2006/relationships/table" Target="../tables/table129.xml"/><Relationship Id="rId9" Type="http://schemas.openxmlformats.org/officeDocument/2006/relationships/comments" Target="../comments21.xml"/></Relationships>
</file>

<file path=xl/worksheets/_rels/sheet28.xml.rels><?xml version="1.0" encoding="UTF-8" standalone="yes"?>
<Relationships xmlns="http://schemas.openxmlformats.org/package/2006/relationships"><Relationship Id="rId8" Type="http://schemas.openxmlformats.org/officeDocument/2006/relationships/table" Target="../tables/table139.xml"/><Relationship Id="rId3" Type="http://schemas.openxmlformats.org/officeDocument/2006/relationships/table" Target="../tables/table134.xml"/><Relationship Id="rId7" Type="http://schemas.openxmlformats.org/officeDocument/2006/relationships/table" Target="../tables/table138.xml"/><Relationship Id="rId2" Type="http://schemas.openxmlformats.org/officeDocument/2006/relationships/vmlDrawing" Target="../drawings/vmlDrawing22.vml"/><Relationship Id="rId1" Type="http://schemas.openxmlformats.org/officeDocument/2006/relationships/drawing" Target="../drawings/drawing23.xml"/><Relationship Id="rId6" Type="http://schemas.openxmlformats.org/officeDocument/2006/relationships/table" Target="../tables/table137.xml"/><Relationship Id="rId5" Type="http://schemas.openxmlformats.org/officeDocument/2006/relationships/table" Target="../tables/table136.xml"/><Relationship Id="rId10" Type="http://schemas.microsoft.com/office/2017/10/relationships/threadedComment" Target="../threadedComments/threadedComment22.xml"/><Relationship Id="rId4" Type="http://schemas.openxmlformats.org/officeDocument/2006/relationships/table" Target="../tables/table135.xml"/><Relationship Id="rId9" Type="http://schemas.openxmlformats.org/officeDocument/2006/relationships/comments" Target="../comments22.xml"/></Relationships>
</file>

<file path=xl/worksheets/_rels/sheet29.xml.rels><?xml version="1.0" encoding="UTF-8" standalone="yes"?>
<Relationships xmlns="http://schemas.openxmlformats.org/package/2006/relationships"><Relationship Id="rId8" Type="http://schemas.openxmlformats.org/officeDocument/2006/relationships/table" Target="../tables/table145.xml"/><Relationship Id="rId3" Type="http://schemas.openxmlformats.org/officeDocument/2006/relationships/table" Target="../tables/table140.xml"/><Relationship Id="rId7" Type="http://schemas.openxmlformats.org/officeDocument/2006/relationships/table" Target="../tables/table144.xml"/><Relationship Id="rId2" Type="http://schemas.openxmlformats.org/officeDocument/2006/relationships/vmlDrawing" Target="../drawings/vmlDrawing23.vml"/><Relationship Id="rId1" Type="http://schemas.openxmlformats.org/officeDocument/2006/relationships/drawing" Target="../drawings/drawing24.xml"/><Relationship Id="rId6" Type="http://schemas.openxmlformats.org/officeDocument/2006/relationships/table" Target="../tables/table143.xml"/><Relationship Id="rId5" Type="http://schemas.openxmlformats.org/officeDocument/2006/relationships/table" Target="../tables/table142.xml"/><Relationship Id="rId10" Type="http://schemas.microsoft.com/office/2017/10/relationships/threadedComment" Target="../threadedComments/threadedComment23.xml"/><Relationship Id="rId4" Type="http://schemas.openxmlformats.org/officeDocument/2006/relationships/table" Target="../tables/table141.xml"/><Relationship Id="rId9" Type="http://schemas.openxmlformats.org/officeDocument/2006/relationships/comments" Target="../comments23.xml"/></Relationships>
</file>

<file path=xl/worksheets/_rels/sheet30.xml.rels><?xml version="1.0" encoding="UTF-8" standalone="yes"?>
<Relationships xmlns="http://schemas.openxmlformats.org/package/2006/relationships"><Relationship Id="rId8" Type="http://schemas.openxmlformats.org/officeDocument/2006/relationships/table" Target="../tables/table151.xml"/><Relationship Id="rId3" Type="http://schemas.openxmlformats.org/officeDocument/2006/relationships/table" Target="../tables/table146.xml"/><Relationship Id="rId7" Type="http://schemas.openxmlformats.org/officeDocument/2006/relationships/table" Target="../tables/table150.xml"/><Relationship Id="rId2" Type="http://schemas.openxmlformats.org/officeDocument/2006/relationships/vmlDrawing" Target="../drawings/vmlDrawing24.vml"/><Relationship Id="rId1" Type="http://schemas.openxmlformats.org/officeDocument/2006/relationships/drawing" Target="../drawings/drawing25.xml"/><Relationship Id="rId6" Type="http://schemas.openxmlformats.org/officeDocument/2006/relationships/table" Target="../tables/table149.xml"/><Relationship Id="rId5" Type="http://schemas.openxmlformats.org/officeDocument/2006/relationships/table" Target="../tables/table148.xml"/><Relationship Id="rId10" Type="http://schemas.microsoft.com/office/2017/10/relationships/threadedComment" Target="../threadedComments/threadedComment24.xml"/><Relationship Id="rId4" Type="http://schemas.openxmlformats.org/officeDocument/2006/relationships/table" Target="../tables/table147.xml"/><Relationship Id="rId9" Type="http://schemas.openxmlformats.org/officeDocument/2006/relationships/comments" Target="../comments24.xml"/></Relationships>
</file>

<file path=xl/worksheets/_rels/sheet31.xml.rels><?xml version="1.0" encoding="UTF-8" standalone="yes"?>
<Relationships xmlns="http://schemas.openxmlformats.org/package/2006/relationships"><Relationship Id="rId8" Type="http://schemas.openxmlformats.org/officeDocument/2006/relationships/table" Target="../tables/table157.xml"/><Relationship Id="rId3" Type="http://schemas.openxmlformats.org/officeDocument/2006/relationships/table" Target="../tables/table152.xml"/><Relationship Id="rId7" Type="http://schemas.openxmlformats.org/officeDocument/2006/relationships/table" Target="../tables/table156.xml"/><Relationship Id="rId2" Type="http://schemas.openxmlformats.org/officeDocument/2006/relationships/vmlDrawing" Target="../drawings/vmlDrawing25.vml"/><Relationship Id="rId1" Type="http://schemas.openxmlformats.org/officeDocument/2006/relationships/drawing" Target="../drawings/drawing26.xml"/><Relationship Id="rId6" Type="http://schemas.openxmlformats.org/officeDocument/2006/relationships/table" Target="../tables/table155.xml"/><Relationship Id="rId5" Type="http://schemas.openxmlformats.org/officeDocument/2006/relationships/table" Target="../tables/table154.xml"/><Relationship Id="rId10" Type="http://schemas.microsoft.com/office/2017/10/relationships/threadedComment" Target="../threadedComments/threadedComment25.xml"/><Relationship Id="rId4" Type="http://schemas.openxmlformats.org/officeDocument/2006/relationships/table" Target="../tables/table153.xml"/><Relationship Id="rId9" Type="http://schemas.openxmlformats.org/officeDocument/2006/relationships/comments" Target="../comments25.xml"/></Relationships>
</file>

<file path=xl/worksheets/_rels/sheet32.xml.rels><?xml version="1.0" encoding="UTF-8" standalone="yes"?>
<Relationships xmlns="http://schemas.openxmlformats.org/package/2006/relationships"><Relationship Id="rId8" Type="http://schemas.openxmlformats.org/officeDocument/2006/relationships/table" Target="../tables/table163.xml"/><Relationship Id="rId3" Type="http://schemas.openxmlformats.org/officeDocument/2006/relationships/table" Target="../tables/table158.xml"/><Relationship Id="rId7" Type="http://schemas.openxmlformats.org/officeDocument/2006/relationships/table" Target="../tables/table162.xml"/><Relationship Id="rId2" Type="http://schemas.openxmlformats.org/officeDocument/2006/relationships/vmlDrawing" Target="../drawings/vmlDrawing26.vml"/><Relationship Id="rId1" Type="http://schemas.openxmlformats.org/officeDocument/2006/relationships/drawing" Target="../drawings/drawing27.xml"/><Relationship Id="rId6" Type="http://schemas.openxmlformats.org/officeDocument/2006/relationships/table" Target="../tables/table161.xml"/><Relationship Id="rId5" Type="http://schemas.openxmlformats.org/officeDocument/2006/relationships/table" Target="../tables/table160.xml"/><Relationship Id="rId10" Type="http://schemas.microsoft.com/office/2017/10/relationships/threadedComment" Target="../threadedComments/threadedComment26.xml"/><Relationship Id="rId4" Type="http://schemas.openxmlformats.org/officeDocument/2006/relationships/table" Target="../tables/table159.xml"/><Relationship Id="rId9" Type="http://schemas.openxmlformats.org/officeDocument/2006/relationships/comments" Target="../comments26.xml"/></Relationships>
</file>

<file path=xl/worksheets/_rels/sheet33.xml.rels><?xml version="1.0" encoding="UTF-8" standalone="yes"?>
<Relationships xmlns="http://schemas.openxmlformats.org/package/2006/relationships"><Relationship Id="rId8" Type="http://schemas.openxmlformats.org/officeDocument/2006/relationships/table" Target="../tables/table169.xml"/><Relationship Id="rId3" Type="http://schemas.openxmlformats.org/officeDocument/2006/relationships/table" Target="../tables/table164.xml"/><Relationship Id="rId7" Type="http://schemas.openxmlformats.org/officeDocument/2006/relationships/table" Target="../tables/table168.xml"/><Relationship Id="rId2" Type="http://schemas.openxmlformats.org/officeDocument/2006/relationships/vmlDrawing" Target="../drawings/vmlDrawing27.vml"/><Relationship Id="rId1" Type="http://schemas.openxmlformats.org/officeDocument/2006/relationships/drawing" Target="../drawings/drawing28.xml"/><Relationship Id="rId6" Type="http://schemas.openxmlformats.org/officeDocument/2006/relationships/table" Target="../tables/table167.xml"/><Relationship Id="rId5" Type="http://schemas.openxmlformats.org/officeDocument/2006/relationships/table" Target="../tables/table166.xml"/><Relationship Id="rId10" Type="http://schemas.microsoft.com/office/2017/10/relationships/threadedComment" Target="../threadedComments/threadedComment27.xml"/><Relationship Id="rId4" Type="http://schemas.openxmlformats.org/officeDocument/2006/relationships/table" Target="../tables/table165.xml"/><Relationship Id="rId9" Type="http://schemas.openxmlformats.org/officeDocument/2006/relationships/comments" Target="../comments27.xml"/></Relationships>
</file>

<file path=xl/worksheets/_rels/sheet34.xml.rels><?xml version="1.0" encoding="UTF-8" standalone="yes"?>
<Relationships xmlns="http://schemas.openxmlformats.org/package/2006/relationships"><Relationship Id="rId8" Type="http://schemas.openxmlformats.org/officeDocument/2006/relationships/table" Target="../tables/table175.xml"/><Relationship Id="rId3" Type="http://schemas.openxmlformats.org/officeDocument/2006/relationships/table" Target="../tables/table170.xml"/><Relationship Id="rId7" Type="http://schemas.openxmlformats.org/officeDocument/2006/relationships/table" Target="../tables/table174.xml"/><Relationship Id="rId2" Type="http://schemas.openxmlformats.org/officeDocument/2006/relationships/vmlDrawing" Target="../drawings/vmlDrawing28.vml"/><Relationship Id="rId1" Type="http://schemas.openxmlformats.org/officeDocument/2006/relationships/drawing" Target="../drawings/drawing29.xml"/><Relationship Id="rId6" Type="http://schemas.openxmlformats.org/officeDocument/2006/relationships/table" Target="../tables/table173.xml"/><Relationship Id="rId5" Type="http://schemas.openxmlformats.org/officeDocument/2006/relationships/table" Target="../tables/table172.xml"/><Relationship Id="rId10" Type="http://schemas.microsoft.com/office/2017/10/relationships/threadedComment" Target="../threadedComments/threadedComment28.xml"/><Relationship Id="rId4" Type="http://schemas.openxmlformats.org/officeDocument/2006/relationships/table" Target="../tables/table171.xml"/><Relationship Id="rId9" Type="http://schemas.openxmlformats.org/officeDocument/2006/relationships/comments" Target="../comments28.xml"/></Relationships>
</file>

<file path=xl/worksheets/_rels/sheet35.xml.rels><?xml version="1.0" encoding="UTF-8" standalone="yes"?>
<Relationships xmlns="http://schemas.openxmlformats.org/package/2006/relationships"><Relationship Id="rId3" Type="http://schemas.openxmlformats.org/officeDocument/2006/relationships/table" Target="../tables/table177.xml"/><Relationship Id="rId7" Type="http://schemas.openxmlformats.org/officeDocument/2006/relationships/table" Target="../tables/table181.xml"/><Relationship Id="rId2" Type="http://schemas.openxmlformats.org/officeDocument/2006/relationships/table" Target="../tables/table176.xml"/><Relationship Id="rId1" Type="http://schemas.openxmlformats.org/officeDocument/2006/relationships/drawing" Target="../drawings/drawing30.xml"/><Relationship Id="rId6" Type="http://schemas.openxmlformats.org/officeDocument/2006/relationships/table" Target="../tables/table180.xml"/><Relationship Id="rId5" Type="http://schemas.openxmlformats.org/officeDocument/2006/relationships/table" Target="../tables/table179.xml"/><Relationship Id="rId4" Type="http://schemas.openxmlformats.org/officeDocument/2006/relationships/table" Target="../tables/table178.xml"/></Relationships>
</file>

<file path=xl/worksheets/_rels/sheet36.xml.rels><?xml version="1.0" encoding="UTF-8" standalone="yes"?>
<Relationships xmlns="http://schemas.openxmlformats.org/package/2006/relationships"><Relationship Id="rId8" Type="http://schemas.openxmlformats.org/officeDocument/2006/relationships/table" Target="../tables/table187.xml"/><Relationship Id="rId3" Type="http://schemas.openxmlformats.org/officeDocument/2006/relationships/table" Target="../tables/table182.xml"/><Relationship Id="rId7" Type="http://schemas.openxmlformats.org/officeDocument/2006/relationships/table" Target="../tables/table186.xml"/><Relationship Id="rId2" Type="http://schemas.openxmlformats.org/officeDocument/2006/relationships/vmlDrawing" Target="../drawings/vmlDrawing29.vml"/><Relationship Id="rId1" Type="http://schemas.openxmlformats.org/officeDocument/2006/relationships/drawing" Target="../drawings/drawing31.xml"/><Relationship Id="rId6" Type="http://schemas.openxmlformats.org/officeDocument/2006/relationships/table" Target="../tables/table185.xml"/><Relationship Id="rId5" Type="http://schemas.openxmlformats.org/officeDocument/2006/relationships/table" Target="../tables/table184.xml"/><Relationship Id="rId10" Type="http://schemas.microsoft.com/office/2017/10/relationships/threadedComment" Target="../threadedComments/threadedComment29.xml"/><Relationship Id="rId4" Type="http://schemas.openxmlformats.org/officeDocument/2006/relationships/table" Target="../tables/table183.xml"/><Relationship Id="rId9" Type="http://schemas.openxmlformats.org/officeDocument/2006/relationships/comments" Target="../comments29.xml"/></Relationships>
</file>

<file path=xl/worksheets/_rels/sheet37.xml.rels><?xml version="1.0" encoding="UTF-8" standalone="yes"?>
<Relationships xmlns="http://schemas.openxmlformats.org/package/2006/relationships"><Relationship Id="rId8" Type="http://schemas.openxmlformats.org/officeDocument/2006/relationships/table" Target="../tables/table193.xml"/><Relationship Id="rId3" Type="http://schemas.openxmlformats.org/officeDocument/2006/relationships/table" Target="../tables/table188.xml"/><Relationship Id="rId7" Type="http://schemas.openxmlformats.org/officeDocument/2006/relationships/table" Target="../tables/table192.xml"/><Relationship Id="rId2" Type="http://schemas.openxmlformats.org/officeDocument/2006/relationships/vmlDrawing" Target="../drawings/vmlDrawing30.vml"/><Relationship Id="rId1" Type="http://schemas.openxmlformats.org/officeDocument/2006/relationships/drawing" Target="../drawings/drawing32.xml"/><Relationship Id="rId6" Type="http://schemas.openxmlformats.org/officeDocument/2006/relationships/table" Target="../tables/table191.xml"/><Relationship Id="rId5" Type="http://schemas.openxmlformats.org/officeDocument/2006/relationships/table" Target="../tables/table190.xml"/><Relationship Id="rId10" Type="http://schemas.microsoft.com/office/2017/10/relationships/threadedComment" Target="../threadedComments/threadedComment30.xml"/><Relationship Id="rId4" Type="http://schemas.openxmlformats.org/officeDocument/2006/relationships/table" Target="../tables/table189.xml"/><Relationship Id="rId9" Type="http://schemas.openxmlformats.org/officeDocument/2006/relationships/comments" Target="../comments30.xml"/></Relationships>
</file>

<file path=xl/worksheets/_rels/sheet38.xml.rels><?xml version="1.0" encoding="UTF-8" standalone="yes"?>
<Relationships xmlns="http://schemas.openxmlformats.org/package/2006/relationships"><Relationship Id="rId8" Type="http://schemas.openxmlformats.org/officeDocument/2006/relationships/table" Target="../tables/table199.xml"/><Relationship Id="rId3" Type="http://schemas.openxmlformats.org/officeDocument/2006/relationships/table" Target="../tables/table194.xml"/><Relationship Id="rId7" Type="http://schemas.openxmlformats.org/officeDocument/2006/relationships/table" Target="../tables/table198.xml"/><Relationship Id="rId2" Type="http://schemas.openxmlformats.org/officeDocument/2006/relationships/vmlDrawing" Target="../drawings/vmlDrawing31.vml"/><Relationship Id="rId1" Type="http://schemas.openxmlformats.org/officeDocument/2006/relationships/drawing" Target="../drawings/drawing33.xml"/><Relationship Id="rId6" Type="http://schemas.openxmlformats.org/officeDocument/2006/relationships/table" Target="../tables/table197.xml"/><Relationship Id="rId5" Type="http://schemas.openxmlformats.org/officeDocument/2006/relationships/table" Target="../tables/table196.xml"/><Relationship Id="rId10" Type="http://schemas.microsoft.com/office/2017/10/relationships/threadedComment" Target="../threadedComments/threadedComment31.xml"/><Relationship Id="rId4" Type="http://schemas.openxmlformats.org/officeDocument/2006/relationships/table" Target="../tables/table195.xml"/><Relationship Id="rId9" Type="http://schemas.openxmlformats.org/officeDocument/2006/relationships/comments" Target="../comments31.xml"/></Relationships>
</file>

<file path=xl/worksheets/_rels/sheet39.xml.rels><?xml version="1.0" encoding="UTF-8" standalone="yes"?>
<Relationships xmlns="http://schemas.openxmlformats.org/package/2006/relationships"><Relationship Id="rId1" Type="http://schemas.openxmlformats.org/officeDocument/2006/relationships/table" Target="../tables/table200.xml"/></Relationships>
</file>

<file path=xl/worksheets/_rels/sheet40.xml.rels><?xml version="1.0" encoding="UTF-8" standalone="yes"?>
<Relationships xmlns="http://schemas.openxmlformats.org/package/2006/relationships"><Relationship Id="rId8" Type="http://schemas.openxmlformats.org/officeDocument/2006/relationships/table" Target="../tables/table206.xml"/><Relationship Id="rId3" Type="http://schemas.openxmlformats.org/officeDocument/2006/relationships/table" Target="../tables/table201.xml"/><Relationship Id="rId7" Type="http://schemas.openxmlformats.org/officeDocument/2006/relationships/table" Target="../tables/table205.xml"/><Relationship Id="rId2" Type="http://schemas.openxmlformats.org/officeDocument/2006/relationships/vmlDrawing" Target="../drawings/vmlDrawing32.vml"/><Relationship Id="rId1" Type="http://schemas.openxmlformats.org/officeDocument/2006/relationships/drawing" Target="../drawings/drawing34.xml"/><Relationship Id="rId6" Type="http://schemas.openxmlformats.org/officeDocument/2006/relationships/table" Target="../tables/table204.xml"/><Relationship Id="rId5" Type="http://schemas.openxmlformats.org/officeDocument/2006/relationships/table" Target="../tables/table203.xml"/><Relationship Id="rId10" Type="http://schemas.microsoft.com/office/2017/10/relationships/threadedComment" Target="../threadedComments/threadedComment32.xml"/><Relationship Id="rId4" Type="http://schemas.openxmlformats.org/officeDocument/2006/relationships/table" Target="../tables/table202.xml"/><Relationship Id="rId9" Type="http://schemas.openxmlformats.org/officeDocument/2006/relationships/comments" Target="../comments32.xml"/></Relationships>
</file>

<file path=xl/worksheets/_rels/sheet41.xml.rels><?xml version="1.0" encoding="UTF-8" standalone="yes"?>
<Relationships xmlns="http://schemas.openxmlformats.org/package/2006/relationships"><Relationship Id="rId8" Type="http://schemas.openxmlformats.org/officeDocument/2006/relationships/table" Target="../tables/table212.xml"/><Relationship Id="rId3" Type="http://schemas.openxmlformats.org/officeDocument/2006/relationships/table" Target="../tables/table207.xml"/><Relationship Id="rId7" Type="http://schemas.openxmlformats.org/officeDocument/2006/relationships/table" Target="../tables/table211.xml"/><Relationship Id="rId2" Type="http://schemas.openxmlformats.org/officeDocument/2006/relationships/vmlDrawing" Target="../drawings/vmlDrawing33.vml"/><Relationship Id="rId1" Type="http://schemas.openxmlformats.org/officeDocument/2006/relationships/drawing" Target="../drawings/drawing35.xml"/><Relationship Id="rId6" Type="http://schemas.openxmlformats.org/officeDocument/2006/relationships/table" Target="../tables/table210.xml"/><Relationship Id="rId5" Type="http://schemas.openxmlformats.org/officeDocument/2006/relationships/table" Target="../tables/table209.xml"/><Relationship Id="rId10" Type="http://schemas.microsoft.com/office/2017/10/relationships/threadedComment" Target="../threadedComments/threadedComment33.xml"/><Relationship Id="rId4" Type="http://schemas.openxmlformats.org/officeDocument/2006/relationships/table" Target="../tables/table208.xml"/><Relationship Id="rId9" Type="http://schemas.openxmlformats.org/officeDocument/2006/relationships/comments" Target="../comments33.xml"/></Relationships>
</file>

<file path=xl/worksheets/_rels/sheet42.xml.rels><?xml version="1.0" encoding="UTF-8" standalone="yes"?>
<Relationships xmlns="http://schemas.openxmlformats.org/package/2006/relationships"><Relationship Id="rId8" Type="http://schemas.openxmlformats.org/officeDocument/2006/relationships/table" Target="../tables/table218.xml"/><Relationship Id="rId3" Type="http://schemas.openxmlformats.org/officeDocument/2006/relationships/table" Target="../tables/table213.xml"/><Relationship Id="rId7" Type="http://schemas.openxmlformats.org/officeDocument/2006/relationships/table" Target="../tables/table217.xml"/><Relationship Id="rId2" Type="http://schemas.openxmlformats.org/officeDocument/2006/relationships/vmlDrawing" Target="../drawings/vmlDrawing34.vml"/><Relationship Id="rId1" Type="http://schemas.openxmlformats.org/officeDocument/2006/relationships/drawing" Target="../drawings/drawing36.xml"/><Relationship Id="rId6" Type="http://schemas.openxmlformats.org/officeDocument/2006/relationships/table" Target="../tables/table216.xml"/><Relationship Id="rId5" Type="http://schemas.openxmlformats.org/officeDocument/2006/relationships/table" Target="../tables/table215.xml"/><Relationship Id="rId10" Type="http://schemas.microsoft.com/office/2017/10/relationships/threadedComment" Target="../threadedComments/threadedComment34.xml"/><Relationship Id="rId4" Type="http://schemas.openxmlformats.org/officeDocument/2006/relationships/table" Target="../tables/table214.xml"/><Relationship Id="rId9" Type="http://schemas.openxmlformats.org/officeDocument/2006/relationships/comments" Target="../comments34.xml"/></Relationships>
</file>

<file path=xl/worksheets/_rels/sheet43.xml.rels><?xml version="1.0" encoding="UTF-8" standalone="yes"?>
<Relationships xmlns="http://schemas.openxmlformats.org/package/2006/relationships"><Relationship Id="rId8" Type="http://schemas.openxmlformats.org/officeDocument/2006/relationships/table" Target="../tables/table224.xml"/><Relationship Id="rId3" Type="http://schemas.openxmlformats.org/officeDocument/2006/relationships/table" Target="../tables/table219.xml"/><Relationship Id="rId7" Type="http://schemas.openxmlformats.org/officeDocument/2006/relationships/table" Target="../tables/table223.xml"/><Relationship Id="rId2" Type="http://schemas.openxmlformats.org/officeDocument/2006/relationships/vmlDrawing" Target="../drawings/vmlDrawing35.vml"/><Relationship Id="rId1" Type="http://schemas.openxmlformats.org/officeDocument/2006/relationships/drawing" Target="../drawings/drawing37.xml"/><Relationship Id="rId6" Type="http://schemas.openxmlformats.org/officeDocument/2006/relationships/table" Target="../tables/table222.xml"/><Relationship Id="rId5" Type="http://schemas.openxmlformats.org/officeDocument/2006/relationships/table" Target="../tables/table221.xml"/><Relationship Id="rId10" Type="http://schemas.microsoft.com/office/2017/10/relationships/threadedComment" Target="../threadedComments/threadedComment35.xml"/><Relationship Id="rId4" Type="http://schemas.openxmlformats.org/officeDocument/2006/relationships/table" Target="../tables/table220.xml"/><Relationship Id="rId9" Type="http://schemas.openxmlformats.org/officeDocument/2006/relationships/comments" Target="../comments35.xml"/></Relationships>
</file>

<file path=xl/worksheets/_rels/sheet6.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2" Type="http://schemas.openxmlformats.org/officeDocument/2006/relationships/vmlDrawing" Target="../drawings/vmlDrawing1.vml"/><Relationship Id="rId1" Type="http://schemas.openxmlformats.org/officeDocument/2006/relationships/drawing" Target="../drawings/drawing1.xml"/><Relationship Id="rId6" Type="http://schemas.openxmlformats.org/officeDocument/2006/relationships/table" Target="../tables/table5.xml"/><Relationship Id="rId5" Type="http://schemas.openxmlformats.org/officeDocument/2006/relationships/table" Target="../tables/table4.xml"/><Relationship Id="rId10" Type="http://schemas.microsoft.com/office/2017/10/relationships/threadedComment" Target="../threadedComments/threadedComment1.xml"/><Relationship Id="rId4" Type="http://schemas.openxmlformats.org/officeDocument/2006/relationships/table" Target="../tables/table3.xml"/><Relationship Id="rId9" Type="http://schemas.openxmlformats.org/officeDocument/2006/relationships/comments" Target="../comments1.xml"/></Relationships>
</file>

<file path=xl/worksheets/_rels/sheet7.xml.rels><?xml version="1.0" encoding="UTF-8" standalone="yes"?>
<Relationships xmlns="http://schemas.openxmlformats.org/package/2006/relationships"><Relationship Id="rId8" Type="http://schemas.openxmlformats.org/officeDocument/2006/relationships/table" Target="../tables/table13.xml"/><Relationship Id="rId3" Type="http://schemas.openxmlformats.org/officeDocument/2006/relationships/table" Target="../tables/table8.xml"/><Relationship Id="rId7" Type="http://schemas.openxmlformats.org/officeDocument/2006/relationships/table" Target="../tables/table12.xml"/><Relationship Id="rId2" Type="http://schemas.openxmlformats.org/officeDocument/2006/relationships/vmlDrawing" Target="../drawings/vmlDrawing2.vml"/><Relationship Id="rId1" Type="http://schemas.openxmlformats.org/officeDocument/2006/relationships/drawing" Target="../drawings/drawing2.xml"/><Relationship Id="rId6" Type="http://schemas.openxmlformats.org/officeDocument/2006/relationships/table" Target="../tables/table11.xml"/><Relationship Id="rId5" Type="http://schemas.openxmlformats.org/officeDocument/2006/relationships/table" Target="../tables/table10.xml"/><Relationship Id="rId10" Type="http://schemas.microsoft.com/office/2017/10/relationships/threadedComment" Target="../threadedComments/threadedComment2.xml"/><Relationship Id="rId4" Type="http://schemas.openxmlformats.org/officeDocument/2006/relationships/table" Target="../tables/table9.xml"/><Relationship Id="rId9" Type="http://schemas.openxmlformats.org/officeDocument/2006/relationships/comments" Target="../comments2.xml"/></Relationships>
</file>

<file path=xl/worksheets/_rels/sheet8.xml.rels><?xml version="1.0" encoding="UTF-8" standalone="yes"?>
<Relationships xmlns="http://schemas.openxmlformats.org/package/2006/relationships"><Relationship Id="rId8" Type="http://schemas.openxmlformats.org/officeDocument/2006/relationships/table" Target="../tables/table19.xml"/><Relationship Id="rId3" Type="http://schemas.openxmlformats.org/officeDocument/2006/relationships/table" Target="../tables/table14.xml"/><Relationship Id="rId7" Type="http://schemas.openxmlformats.org/officeDocument/2006/relationships/table" Target="../tables/table18.xml"/><Relationship Id="rId2" Type="http://schemas.openxmlformats.org/officeDocument/2006/relationships/vmlDrawing" Target="../drawings/vmlDrawing3.vml"/><Relationship Id="rId1" Type="http://schemas.openxmlformats.org/officeDocument/2006/relationships/drawing" Target="../drawings/drawing3.xml"/><Relationship Id="rId6" Type="http://schemas.openxmlformats.org/officeDocument/2006/relationships/table" Target="../tables/table17.xml"/><Relationship Id="rId5" Type="http://schemas.openxmlformats.org/officeDocument/2006/relationships/table" Target="../tables/table16.xml"/><Relationship Id="rId10" Type="http://schemas.microsoft.com/office/2017/10/relationships/threadedComment" Target="../threadedComments/threadedComment3.xml"/><Relationship Id="rId4" Type="http://schemas.openxmlformats.org/officeDocument/2006/relationships/table" Target="../tables/table15.xml"/><Relationship Id="rId9" Type="http://schemas.openxmlformats.org/officeDocument/2006/relationships/comments" Target="../comments3.xml"/></Relationships>
</file>

<file path=xl/worksheets/_rels/sheet9.xml.rels><?xml version="1.0" encoding="UTF-8" standalone="yes"?>
<Relationships xmlns="http://schemas.openxmlformats.org/package/2006/relationships"><Relationship Id="rId8" Type="http://schemas.openxmlformats.org/officeDocument/2006/relationships/table" Target="../tables/table25.xml"/><Relationship Id="rId3" Type="http://schemas.openxmlformats.org/officeDocument/2006/relationships/table" Target="../tables/table20.xml"/><Relationship Id="rId7" Type="http://schemas.openxmlformats.org/officeDocument/2006/relationships/table" Target="../tables/table24.xml"/><Relationship Id="rId2" Type="http://schemas.openxmlformats.org/officeDocument/2006/relationships/vmlDrawing" Target="../drawings/vmlDrawing4.vml"/><Relationship Id="rId1" Type="http://schemas.openxmlformats.org/officeDocument/2006/relationships/drawing" Target="../drawings/drawing4.xml"/><Relationship Id="rId6" Type="http://schemas.openxmlformats.org/officeDocument/2006/relationships/table" Target="../tables/table23.xml"/><Relationship Id="rId5" Type="http://schemas.openxmlformats.org/officeDocument/2006/relationships/table" Target="../tables/table22.xml"/><Relationship Id="rId10" Type="http://schemas.microsoft.com/office/2017/10/relationships/threadedComment" Target="../threadedComments/threadedComment4.xml"/><Relationship Id="rId4" Type="http://schemas.openxmlformats.org/officeDocument/2006/relationships/table" Target="../tables/table21.xml"/><Relationship Id="rId9"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Y998"/>
  <sheetViews>
    <sheetView tabSelected="1" zoomScale="160" zoomScaleNormal="160" workbookViewId="0">
      <selection activeCell="D12" sqref="D12"/>
    </sheetView>
  </sheetViews>
  <sheetFormatPr defaultColWidth="12.625" defaultRowHeight="15" customHeight="1"/>
  <cols>
    <col min="1" max="1" width="35.375" customWidth="1"/>
    <col min="2" max="3" width="4.875" customWidth="1"/>
    <col min="4" max="4" width="13.125" customWidth="1"/>
    <col min="5" max="5" width="11.5" customWidth="1"/>
    <col min="6" max="6" width="12.625" customWidth="1"/>
    <col min="7" max="7" width="13.625" customWidth="1"/>
    <col min="8" max="8" width="11.125" customWidth="1"/>
    <col min="9" max="9" width="24.625" customWidth="1"/>
    <col min="10" max="10" width="8.125" customWidth="1"/>
    <col min="11" max="11" width="23" customWidth="1"/>
    <col min="12" max="12" width="10" customWidth="1"/>
    <col min="13" max="13" width="17.5" customWidth="1"/>
    <col min="14" max="14" width="11.125" customWidth="1"/>
    <col min="15" max="16" width="8.125" customWidth="1"/>
    <col min="17" max="17" width="15.125" customWidth="1"/>
    <col min="18" max="19" width="12.875" customWidth="1"/>
    <col min="20" max="20" width="11.125" customWidth="1"/>
    <col min="21" max="25" width="8.125" customWidth="1"/>
  </cols>
  <sheetData>
    <row r="1" spans="1:25" ht="12.75" customHeight="1">
      <c r="A1" s="1" t="s">
        <v>0</v>
      </c>
      <c r="B1" s="1"/>
      <c r="C1" s="1"/>
      <c r="D1" s="2">
        <v>2026</v>
      </c>
      <c r="E1" s="2">
        <v>2027</v>
      </c>
      <c r="F1" s="2">
        <v>2028</v>
      </c>
      <c r="G1" s="3"/>
      <c r="H1" s="3"/>
      <c r="I1" s="3"/>
      <c r="J1" s="3"/>
      <c r="K1" s="3"/>
      <c r="L1" s="3"/>
      <c r="M1" s="3"/>
      <c r="N1" s="3"/>
      <c r="O1" s="3"/>
      <c r="P1" s="3"/>
      <c r="Q1" s="3"/>
      <c r="R1" s="3"/>
      <c r="S1" s="3"/>
      <c r="T1" s="3"/>
      <c r="U1" s="3"/>
      <c r="V1" s="3"/>
      <c r="W1" s="3"/>
      <c r="X1" s="3"/>
      <c r="Y1" s="3"/>
    </row>
    <row r="2" spans="1:25" ht="12.75" customHeight="1">
      <c r="A2" s="1" t="s">
        <v>1</v>
      </c>
      <c r="B2" s="1"/>
      <c r="C2" s="1"/>
      <c r="D2" s="2" t="s">
        <v>2</v>
      </c>
      <c r="E2" s="2" t="s">
        <v>3</v>
      </c>
      <c r="F2" s="3" t="s">
        <v>4</v>
      </c>
      <c r="G2" s="1" t="s">
        <v>5</v>
      </c>
      <c r="H2" s="3"/>
      <c r="I2" s="1" t="s">
        <v>6</v>
      </c>
      <c r="J2" s="3"/>
      <c r="K2" s="1" t="s">
        <v>7</v>
      </c>
      <c r="L2" s="3"/>
      <c r="M2" s="3"/>
      <c r="N2" s="3"/>
      <c r="O2" s="3"/>
      <c r="P2" s="3"/>
      <c r="Q2" s="3"/>
      <c r="R2" s="3"/>
      <c r="S2" s="3"/>
      <c r="T2" s="3"/>
      <c r="U2" s="3"/>
      <c r="V2" s="3"/>
      <c r="W2" s="3"/>
      <c r="X2" s="3"/>
      <c r="Y2" s="3"/>
    </row>
    <row r="3" spans="1:25" ht="12.75" customHeight="1">
      <c r="A3" s="516" t="s">
        <v>8</v>
      </c>
      <c r="D3" s="517">
        <f ca="1">D10+D5</f>
        <v>0</v>
      </c>
      <c r="E3" s="517">
        <f ca="1">E10+E5</f>
        <v>0</v>
      </c>
      <c r="F3" s="517">
        <f ca="1">F10+F5</f>
        <v>0</v>
      </c>
      <c r="H3" s="3"/>
      <c r="I3" s="1"/>
      <c r="J3" s="3"/>
      <c r="K3" s="1"/>
      <c r="L3" s="3"/>
      <c r="M3" s="3"/>
      <c r="N3" s="3"/>
      <c r="O3" s="3"/>
      <c r="P3" s="3"/>
      <c r="Q3" s="3"/>
      <c r="R3" s="3"/>
      <c r="S3" s="3"/>
      <c r="T3" s="3"/>
      <c r="U3" s="3"/>
      <c r="V3" s="3"/>
      <c r="W3" s="3"/>
      <c r="X3" s="3"/>
      <c r="Y3" s="3"/>
    </row>
    <row r="4" spans="1:25" ht="12.75" customHeight="1">
      <c r="A4" s="1"/>
      <c r="B4" s="1"/>
      <c r="C4" s="1"/>
      <c r="D4" s="2"/>
      <c r="E4" s="2"/>
      <c r="F4" s="3"/>
      <c r="G4" s="1"/>
      <c r="H4" s="3"/>
      <c r="I4" s="3"/>
      <c r="J4" s="3"/>
      <c r="K4" s="1"/>
      <c r="L4" s="3"/>
      <c r="O4" s="3"/>
      <c r="P4" s="3"/>
      <c r="Q4" s="3"/>
      <c r="R4" s="3"/>
      <c r="S4" s="3"/>
      <c r="T4" s="3"/>
      <c r="U4" s="3"/>
      <c r="V4" s="3"/>
      <c r="W4" s="3"/>
      <c r="X4" s="3"/>
      <c r="Y4" s="3"/>
    </row>
    <row r="5" spans="1:25" ht="12.75" customHeight="1">
      <c r="A5" s="515" t="s">
        <v>9</v>
      </c>
      <c r="B5" s="3"/>
      <c r="C5" s="3"/>
      <c r="D5" s="518">
        <f ca="1">D7</f>
        <v>56595.855965309311</v>
      </c>
      <c r="E5" s="518">
        <f t="shared" ref="E5:F5" ca="1" si="0">E7</f>
        <v>88270.954170309007</v>
      </c>
      <c r="F5" s="518">
        <f t="shared" ca="1" si="0"/>
        <v>120737.92983043403</v>
      </c>
      <c r="G5" s="5"/>
      <c r="H5" s="3"/>
      <c r="I5" s="3"/>
      <c r="J5" s="3"/>
      <c r="K5" s="1"/>
      <c r="L5" s="3"/>
      <c r="O5" s="3"/>
      <c r="P5" s="3"/>
      <c r="Q5" s="3"/>
      <c r="R5" s="3"/>
      <c r="S5" s="3"/>
      <c r="T5" s="3"/>
      <c r="U5" s="3"/>
      <c r="V5" s="3"/>
      <c r="W5" s="3"/>
      <c r="X5" s="3"/>
      <c r="Y5" s="3"/>
    </row>
    <row r="6" spans="1:25" ht="12.75" customHeight="1">
      <c r="A6" s="7" t="s">
        <v>10</v>
      </c>
      <c r="B6" s="3"/>
      <c r="C6" s="3"/>
      <c r="D6" s="6"/>
      <c r="E6" s="6"/>
      <c r="F6" s="6"/>
      <c r="G6" s="5"/>
      <c r="H6" s="3"/>
      <c r="I6" s="3"/>
      <c r="J6" s="3"/>
      <c r="K6" s="3" t="s">
        <v>11</v>
      </c>
      <c r="L6" s="2" t="s">
        <v>12</v>
      </c>
      <c r="O6" s="3"/>
      <c r="P6" s="3"/>
      <c r="Q6" s="3"/>
      <c r="R6" s="3"/>
      <c r="S6" s="3"/>
      <c r="T6" s="3"/>
      <c r="U6" s="3"/>
      <c r="V6" s="3"/>
      <c r="W6" s="3"/>
      <c r="X6" s="3"/>
      <c r="Y6" s="3"/>
    </row>
    <row r="7" spans="1:25" ht="12.75" customHeight="1">
      <c r="A7" s="519" t="s">
        <v>13</v>
      </c>
      <c r="B7" s="520"/>
      <c r="C7" s="520"/>
      <c r="D7" s="521">
        <f ca="1">-D10</f>
        <v>56595.855965309311</v>
      </c>
      <c r="E7" s="521">
        <f ca="1">-E10</f>
        <v>88270.954170309007</v>
      </c>
      <c r="F7" s="521">
        <f ca="1">-F10</f>
        <v>120737.92983043403</v>
      </c>
      <c r="G7" s="5">
        <f ca="1">SUM(D7:F7)</f>
        <v>265604.73996605235</v>
      </c>
      <c r="H7" s="5"/>
      <c r="I7" s="3"/>
      <c r="J7" s="3"/>
      <c r="K7" s="3" t="s">
        <v>14</v>
      </c>
      <c r="L7" s="2" t="s">
        <v>15</v>
      </c>
      <c r="O7" s="3"/>
      <c r="P7" s="3"/>
      <c r="Q7" s="3"/>
      <c r="R7" s="3"/>
      <c r="S7" s="3"/>
      <c r="T7" s="3"/>
      <c r="U7" s="3"/>
      <c r="V7" s="3"/>
      <c r="W7" s="3"/>
      <c r="X7" s="3"/>
      <c r="Y7" s="3"/>
    </row>
    <row r="8" spans="1:25" ht="12.75" customHeight="1">
      <c r="H8" s="3"/>
      <c r="I8" s="3"/>
      <c r="J8" s="3"/>
      <c r="K8" s="3" t="s">
        <v>16</v>
      </c>
      <c r="L8" s="2" t="s">
        <v>17</v>
      </c>
      <c r="O8" s="3"/>
      <c r="P8" s="3"/>
      <c r="Q8" s="3"/>
      <c r="R8" s="3"/>
      <c r="S8" s="3"/>
      <c r="T8" s="3"/>
      <c r="U8" s="3"/>
      <c r="V8" s="3"/>
      <c r="W8" s="3"/>
      <c r="X8" s="3"/>
      <c r="Y8" s="3"/>
    </row>
    <row r="9" spans="1:25" ht="12.75" customHeight="1">
      <c r="A9" s="1"/>
      <c r="B9" s="1"/>
      <c r="C9" s="1"/>
      <c r="D9" s="4"/>
      <c r="E9" s="4"/>
      <c r="F9" s="3"/>
      <c r="G9" s="3"/>
      <c r="H9" s="3"/>
      <c r="I9" s="3"/>
      <c r="J9" s="3"/>
      <c r="K9" s="3" t="s">
        <v>18</v>
      </c>
      <c r="L9" s="2" t="s">
        <v>19</v>
      </c>
      <c r="O9" s="3"/>
      <c r="P9" s="3"/>
      <c r="Q9" s="3"/>
      <c r="R9" s="3"/>
      <c r="S9" s="3"/>
      <c r="T9" s="3"/>
      <c r="U9" s="3"/>
      <c r="V9" s="3"/>
      <c r="W9" s="3"/>
      <c r="X9" s="3"/>
      <c r="Y9" s="3"/>
    </row>
    <row r="10" spans="1:25" ht="12.75" customHeight="1">
      <c r="A10" s="140" t="s">
        <v>20</v>
      </c>
      <c r="B10" s="3"/>
      <c r="C10" s="3"/>
      <c r="D10" s="141">
        <f ca="1">D12-D29</f>
        <v>-56595.855965309311</v>
      </c>
      <c r="E10" s="141">
        <f t="shared" ref="E10:F10" ca="1" si="1">E12-E29</f>
        <v>-88270.954170309007</v>
      </c>
      <c r="F10" s="141">
        <f t="shared" ca="1" si="1"/>
        <v>-120737.92983043403</v>
      </c>
      <c r="G10" s="5">
        <f ca="1">SUM(D10:F10)</f>
        <v>-265604.73996605235</v>
      </c>
      <c r="H10" s="11"/>
      <c r="J10" s="3"/>
      <c r="K10" s="3" t="s">
        <v>21</v>
      </c>
      <c r="L10" s="2" t="s">
        <v>22</v>
      </c>
      <c r="O10" s="3"/>
      <c r="P10" s="3"/>
      <c r="Q10" s="3"/>
      <c r="R10" s="3"/>
      <c r="S10" s="3"/>
      <c r="T10" s="3"/>
      <c r="U10" s="3"/>
      <c r="V10" s="3"/>
      <c r="W10" s="3"/>
      <c r="X10" s="3"/>
      <c r="Y10" s="3"/>
    </row>
    <row r="11" spans="1:25" ht="12.75" customHeight="1">
      <c r="A11" s="3"/>
      <c r="B11" s="3"/>
      <c r="C11" s="3"/>
      <c r="D11" s="6"/>
      <c r="E11" s="6"/>
      <c r="F11" s="3"/>
      <c r="G11" s="5"/>
      <c r="H11" s="3"/>
      <c r="J11" s="3"/>
      <c r="K11" s="3"/>
      <c r="L11" s="3"/>
      <c r="O11" s="3"/>
      <c r="P11" s="3"/>
      <c r="Q11" s="3"/>
      <c r="R11" s="3"/>
      <c r="S11" s="3"/>
      <c r="T11" s="3"/>
      <c r="U11" s="3"/>
      <c r="V11" s="3"/>
      <c r="W11" s="3"/>
      <c r="X11" s="3"/>
      <c r="Y11" s="3"/>
    </row>
    <row r="12" spans="1:25" ht="12.75" customHeight="1">
      <c r="A12" s="142" t="s">
        <v>23</v>
      </c>
      <c r="B12" s="1"/>
      <c r="C12" s="1"/>
      <c r="D12" s="143">
        <f ca="1">SUM(D13:D20)+SUM(D24:D27)</f>
        <v>1318153.939463262</v>
      </c>
      <c r="E12" s="143">
        <f ca="1">SUM(E13:E20)+SUM(E24:E27)</f>
        <v>1318164.439463262</v>
      </c>
      <c r="F12" s="143">
        <f t="shared" ref="E12:F12" ca="1" si="2">SUM(F13:F20)+SUM(F24:F27)</f>
        <v>1318175.2019632619</v>
      </c>
      <c r="G12" s="5">
        <f ca="1">SUM(D12:F12)</f>
        <v>3954493.5808897857</v>
      </c>
      <c r="H12" s="3"/>
      <c r="J12" s="3"/>
      <c r="K12" s="1" t="s">
        <v>24</v>
      </c>
      <c r="L12" s="3"/>
      <c r="O12" s="3"/>
      <c r="P12" s="3"/>
      <c r="Q12" s="3"/>
      <c r="R12" s="3"/>
      <c r="S12" s="3"/>
      <c r="T12" s="3"/>
      <c r="U12" s="3"/>
      <c r="V12" s="3"/>
      <c r="W12" s="3"/>
      <c r="X12" s="3"/>
      <c r="Y12" s="3"/>
    </row>
    <row r="13" spans="1:25" ht="12.75" customHeight="1">
      <c r="A13" s="7" t="s">
        <v>25</v>
      </c>
      <c r="B13" s="8"/>
      <c r="C13" s="8"/>
      <c r="D13" s="6"/>
      <c r="E13" s="6"/>
      <c r="F13" s="3"/>
      <c r="G13" s="5"/>
      <c r="H13" s="3"/>
      <c r="J13" s="3"/>
      <c r="K13" s="144" t="s">
        <v>26</v>
      </c>
      <c r="L13" s="3"/>
      <c r="O13" s="3"/>
      <c r="P13" s="3"/>
      <c r="Q13" s="3"/>
      <c r="R13" s="3"/>
      <c r="S13" s="3"/>
      <c r="T13" s="3"/>
      <c r="U13" s="3"/>
      <c r="V13" s="3"/>
      <c r="W13" s="3"/>
      <c r="X13" s="3"/>
      <c r="Y13" s="3"/>
    </row>
    <row r="14" spans="1:25" ht="12.75" customHeight="1">
      <c r="A14" s="9" t="s">
        <v>27</v>
      </c>
      <c r="B14" s="9"/>
      <c r="C14" s="9"/>
      <c r="D14" s="10">
        <v>240000</v>
      </c>
      <c r="E14" s="10">
        <v>240000</v>
      </c>
      <c r="F14" s="10">
        <v>240000</v>
      </c>
      <c r="G14" s="5">
        <f>SUM(D14:F14)</f>
        <v>720000</v>
      </c>
      <c r="H14" s="3"/>
      <c r="I14" s="9"/>
      <c r="J14" s="3"/>
      <c r="O14" s="3"/>
      <c r="P14" s="3"/>
      <c r="Q14" s="3"/>
      <c r="R14" s="3"/>
      <c r="S14" s="3"/>
      <c r="T14" s="3"/>
      <c r="U14" s="3"/>
      <c r="V14" s="3"/>
      <c r="W14" s="3"/>
      <c r="X14" s="3"/>
      <c r="Y14" s="3"/>
    </row>
    <row r="15" spans="1:25" ht="12.75" customHeight="1">
      <c r="A15" s="9"/>
      <c r="B15" s="9"/>
      <c r="C15" s="9"/>
      <c r="D15" s="10"/>
      <c r="E15" s="10"/>
      <c r="F15" s="10"/>
      <c r="G15" s="5"/>
      <c r="H15" s="3"/>
      <c r="I15" s="3"/>
      <c r="J15" s="3"/>
      <c r="O15" s="1"/>
      <c r="P15" s="3"/>
      <c r="Q15" s="3"/>
      <c r="R15" s="11"/>
      <c r="S15" s="13"/>
      <c r="T15" s="13"/>
      <c r="U15" s="3"/>
      <c r="V15" s="3"/>
      <c r="W15" s="3"/>
      <c r="X15" s="3"/>
      <c r="Y15" s="3"/>
    </row>
    <row r="16" spans="1:25" ht="12.75" customHeight="1">
      <c r="A16" s="7" t="s">
        <v>10</v>
      </c>
      <c r="B16" s="3"/>
      <c r="C16" s="3"/>
      <c r="D16" s="10"/>
      <c r="E16" s="10"/>
      <c r="F16" s="10"/>
      <c r="G16" s="5"/>
      <c r="H16" s="3"/>
      <c r="I16" s="9"/>
      <c r="J16" s="3"/>
      <c r="O16" s="1"/>
      <c r="P16" s="3"/>
      <c r="Q16" s="3"/>
      <c r="R16" s="11"/>
      <c r="S16" s="13"/>
      <c r="T16" s="13"/>
      <c r="U16" s="3"/>
      <c r="V16" s="3"/>
      <c r="W16" s="3"/>
      <c r="X16" s="3"/>
      <c r="Y16" s="3"/>
    </row>
    <row r="17" spans="1:25" ht="12.75" customHeight="1">
      <c r="A17" s="9" t="s">
        <v>28</v>
      </c>
      <c r="B17" s="3"/>
      <c r="C17" s="3"/>
      <c r="D17" s="10">
        <f ca="1">Data!F38</f>
        <v>50791.659999999996</v>
      </c>
      <c r="E17" s="10">
        <f t="shared" ref="E17" ca="1" si="3">D17</f>
        <v>50791.659999999996</v>
      </c>
      <c r="F17" s="10">
        <f t="shared" ref="F17" ca="1" si="4">E17</f>
        <v>50791.659999999996</v>
      </c>
      <c r="G17" s="5">
        <f ca="1">SUM(D17:F17)</f>
        <v>152374.97999999998</v>
      </c>
      <c r="H17" s="3"/>
      <c r="I17" s="9" t="s">
        <v>29</v>
      </c>
      <c r="J17" s="3"/>
      <c r="O17" s="1"/>
      <c r="P17" s="3"/>
      <c r="Q17" s="3"/>
      <c r="R17" s="11"/>
      <c r="S17" s="13"/>
      <c r="T17" s="13"/>
      <c r="U17" s="3"/>
      <c r="V17" s="3"/>
      <c r="W17" s="3"/>
      <c r="X17" s="3"/>
      <c r="Y17" s="3"/>
    </row>
    <row r="18" spans="1:25" ht="12.75" customHeight="1">
      <c r="A18" s="9" t="s">
        <v>30</v>
      </c>
      <c r="B18" s="3"/>
      <c r="C18" s="3"/>
      <c r="D18" s="10">
        <f ca="1">Data!G38</f>
        <v>420</v>
      </c>
      <c r="E18" s="10">
        <f ca="1">D18*(1+Constants!$B$25)</f>
        <v>430.49999999999994</v>
      </c>
      <c r="F18" s="10">
        <f ca="1">E18*(1+Constants!$B$25)</f>
        <v>441.26249999999993</v>
      </c>
      <c r="G18" s="5">
        <f ca="1">SUM(D18:F18)</f>
        <v>1291.7624999999998</v>
      </c>
      <c r="H18" s="3"/>
      <c r="I18" s="9" t="s">
        <v>31</v>
      </c>
      <c r="J18" s="3"/>
      <c r="O18" s="1"/>
      <c r="P18" s="3"/>
      <c r="Q18" s="3"/>
      <c r="R18" s="11"/>
      <c r="S18" s="13"/>
      <c r="T18" s="13"/>
      <c r="U18" s="3"/>
      <c r="V18" s="3"/>
      <c r="W18" s="3"/>
      <c r="X18" s="3"/>
      <c r="Y18" s="3"/>
    </row>
    <row r="19" spans="1:25" ht="12.75" customHeight="1">
      <c r="A19" s="9" t="s">
        <v>32</v>
      </c>
      <c r="B19" s="3"/>
      <c r="C19" s="3"/>
      <c r="D19" s="10">
        <f ca="1">Data!$BS$38</f>
        <v>77.279463262024365</v>
      </c>
      <c r="E19" s="10">
        <f ca="1">Data!$BS$38</f>
        <v>77.279463262024365</v>
      </c>
      <c r="F19" s="10">
        <f ca="1">Data!$BS$38</f>
        <v>77.279463262024365</v>
      </c>
      <c r="G19" s="5">
        <f ca="1">SUM(D19:F19)</f>
        <v>231.83838978607309</v>
      </c>
      <c r="H19" s="3"/>
      <c r="I19" s="3"/>
      <c r="J19" s="3"/>
      <c r="O19" s="3"/>
      <c r="P19" s="3"/>
      <c r="Q19" s="3"/>
      <c r="R19" s="11"/>
      <c r="S19" s="13"/>
      <c r="T19" s="13"/>
      <c r="U19" s="3"/>
      <c r="V19" s="3"/>
      <c r="W19" s="3"/>
      <c r="X19" s="3"/>
      <c r="Y19" s="3"/>
    </row>
    <row r="20" spans="1:25" ht="12.75" customHeight="1">
      <c r="A20" s="9" t="s">
        <v>33</v>
      </c>
      <c r="B20" s="3"/>
      <c r="C20" s="3"/>
      <c r="D20" s="10">
        <f ca="1">Data!$C$38*Constants!$C$31</f>
        <v>170865</v>
      </c>
      <c r="E20" s="10">
        <f ca="1">Data!$C$38*Constants!$C$31</f>
        <v>170865</v>
      </c>
      <c r="F20" s="10">
        <f ca="1">Data!$C$38*Constants!$C$31</f>
        <v>170865</v>
      </c>
      <c r="G20" s="5">
        <f ca="1">SUM(D20:F20)</f>
        <v>512595</v>
      </c>
      <c r="H20" s="11"/>
      <c r="I20" s="3"/>
      <c r="J20" s="3"/>
      <c r="O20" s="3"/>
      <c r="P20" s="3"/>
      <c r="Q20" s="3"/>
      <c r="R20" s="11"/>
      <c r="S20" s="3"/>
      <c r="T20" s="3"/>
      <c r="U20" s="3"/>
      <c r="V20" s="3"/>
      <c r="W20" s="3"/>
      <c r="X20" s="3"/>
      <c r="Y20" s="3"/>
    </row>
    <row r="21" spans="1:25" ht="12.75" customHeight="1">
      <c r="A21" s="9"/>
      <c r="B21" s="3"/>
      <c r="C21" s="3"/>
      <c r="D21" s="10"/>
      <c r="E21" s="10"/>
      <c r="F21" s="10"/>
      <c r="G21" s="5"/>
      <c r="H21" s="3"/>
      <c r="I21" s="3"/>
      <c r="J21" s="3"/>
      <c r="O21" s="3"/>
      <c r="P21" s="3"/>
      <c r="Q21" s="3"/>
      <c r="R21" s="3"/>
      <c r="S21" s="3"/>
      <c r="T21" s="3"/>
      <c r="U21" s="3"/>
      <c r="V21" s="3"/>
      <c r="W21" s="3"/>
      <c r="X21" s="3"/>
      <c r="Y21" s="3"/>
    </row>
    <row r="22" spans="1:25" ht="12.75" customHeight="1">
      <c r="A22" s="3"/>
      <c r="B22" s="3"/>
      <c r="C22" s="3"/>
      <c r="D22" s="10"/>
      <c r="E22" s="10"/>
      <c r="F22" s="3"/>
      <c r="G22" s="5"/>
      <c r="H22" s="3"/>
      <c r="I22" s="3"/>
      <c r="J22" s="3"/>
      <c r="K22" s="3"/>
      <c r="L22" s="3"/>
      <c r="M22" s="13"/>
      <c r="N22" s="13"/>
      <c r="O22" s="3"/>
      <c r="P22" s="3"/>
      <c r="Q22" s="3"/>
      <c r="R22" s="3"/>
      <c r="S22" s="3"/>
      <c r="T22" s="3"/>
      <c r="U22" s="3"/>
      <c r="V22" s="3"/>
      <c r="W22" s="3"/>
      <c r="X22" s="3"/>
      <c r="Y22" s="3"/>
    </row>
    <row r="23" spans="1:25" ht="12.75" customHeight="1">
      <c r="A23" s="7" t="s">
        <v>34</v>
      </c>
      <c r="B23" s="8"/>
      <c r="C23" s="8"/>
      <c r="D23" s="10"/>
      <c r="E23" s="10"/>
      <c r="F23" s="3"/>
      <c r="G23" s="5"/>
      <c r="H23" s="3"/>
      <c r="I23" s="3"/>
      <c r="J23" s="3"/>
      <c r="M23" s="3"/>
      <c r="N23" s="3"/>
      <c r="O23" s="3"/>
      <c r="P23" s="3"/>
      <c r="Q23" s="3"/>
      <c r="R23" s="3"/>
      <c r="S23" s="3"/>
      <c r="T23" s="13"/>
      <c r="U23" s="3"/>
      <c r="V23" s="3"/>
      <c r="W23" s="3"/>
      <c r="X23" s="3"/>
      <c r="Y23" s="3"/>
    </row>
    <row r="24" spans="1:25" ht="12.75" customHeight="1">
      <c r="A24" s="9" t="s">
        <v>35</v>
      </c>
      <c r="B24" s="9"/>
      <c r="C24" s="9"/>
      <c r="D24" s="10">
        <v>815000</v>
      </c>
      <c r="E24" s="10">
        <f>D24</f>
        <v>815000</v>
      </c>
      <c r="F24" s="10">
        <f>E24</f>
        <v>815000</v>
      </c>
      <c r="G24" s="5">
        <f>SUM(D24:F24)</f>
        <v>2445000</v>
      </c>
      <c r="H24" s="3"/>
      <c r="I24" s="9" t="s">
        <v>36</v>
      </c>
      <c r="J24" s="12"/>
      <c r="M24" s="3"/>
      <c r="N24" s="3"/>
      <c r="O24" s="3"/>
      <c r="P24" s="3"/>
      <c r="Q24" s="3"/>
      <c r="R24" s="13"/>
      <c r="S24" s="3"/>
      <c r="T24" s="3"/>
      <c r="U24" s="3"/>
      <c r="V24" s="3"/>
      <c r="W24" s="3"/>
      <c r="X24" s="3"/>
      <c r="Y24" s="3"/>
    </row>
    <row r="25" spans="1:25" ht="12.75" customHeight="1">
      <c r="A25" s="9"/>
      <c r="B25" s="9"/>
      <c r="C25" s="9"/>
      <c r="D25" s="10"/>
      <c r="E25" s="10"/>
      <c r="F25" s="12"/>
      <c r="G25" s="5"/>
      <c r="H25" s="3"/>
      <c r="I25" s="9"/>
      <c r="J25" s="3"/>
      <c r="M25" s="3"/>
      <c r="N25" s="3"/>
      <c r="O25" s="3"/>
      <c r="P25" s="3"/>
      <c r="Q25" s="3"/>
      <c r="R25" s="3"/>
      <c r="S25" s="3"/>
      <c r="T25" s="3"/>
      <c r="U25" s="3"/>
      <c r="V25" s="3"/>
      <c r="W25" s="3"/>
      <c r="X25" s="3"/>
      <c r="Y25" s="3"/>
    </row>
    <row r="26" spans="1:25" ht="12.75" customHeight="1">
      <c r="A26" s="7" t="s">
        <v>14</v>
      </c>
      <c r="B26" s="8"/>
      <c r="C26" s="8"/>
      <c r="D26" s="10"/>
      <c r="E26" s="10"/>
      <c r="F26" s="3"/>
      <c r="G26" s="5"/>
      <c r="H26" s="3"/>
      <c r="I26" s="9"/>
      <c r="J26" s="3"/>
      <c r="M26" s="3"/>
      <c r="N26" s="3"/>
      <c r="O26" s="3"/>
      <c r="P26" s="3"/>
      <c r="Q26" s="3"/>
      <c r="R26" s="3"/>
      <c r="S26" s="3"/>
      <c r="T26" s="3"/>
      <c r="U26" s="3"/>
      <c r="V26" s="3"/>
      <c r="W26" s="3"/>
      <c r="X26" s="3"/>
      <c r="Y26" s="3"/>
    </row>
    <row r="27" spans="1:25" ht="12.75" customHeight="1">
      <c r="A27" s="9" t="s">
        <v>37</v>
      </c>
      <c r="B27" s="9"/>
      <c r="C27" s="9"/>
      <c r="D27" s="10">
        <v>41000</v>
      </c>
      <c r="E27" s="10">
        <v>41000</v>
      </c>
      <c r="F27" s="10">
        <v>41000</v>
      </c>
      <c r="G27" s="5">
        <f>SUM(D27:F27)</f>
        <v>123000</v>
      </c>
      <c r="H27" s="3"/>
      <c r="I27" s="9" t="s">
        <v>36</v>
      </c>
      <c r="J27" s="3"/>
      <c r="M27" s="3"/>
      <c r="N27" s="3"/>
      <c r="O27" s="3"/>
      <c r="P27" s="3"/>
      <c r="Q27" s="3"/>
      <c r="R27" s="3"/>
      <c r="S27" s="3"/>
      <c r="T27" s="3"/>
      <c r="U27" s="3"/>
      <c r="V27" s="3"/>
      <c r="W27" s="3"/>
      <c r="X27" s="3"/>
      <c r="Y27" s="3"/>
    </row>
    <row r="28" spans="1:25" ht="12.75" customHeight="1">
      <c r="A28" s="3"/>
      <c r="B28" s="3"/>
      <c r="C28" s="3"/>
      <c r="D28" s="6"/>
      <c r="E28" s="6"/>
      <c r="F28" s="3"/>
      <c r="G28" s="5"/>
      <c r="I28" s="3"/>
      <c r="J28" s="3"/>
      <c r="M28" s="3"/>
      <c r="N28" s="3"/>
      <c r="O28" s="3"/>
      <c r="P28" s="3"/>
      <c r="Q28" s="3"/>
      <c r="R28" s="3"/>
      <c r="S28" s="3"/>
      <c r="T28" s="3"/>
      <c r="U28" s="3"/>
      <c r="V28" s="3"/>
      <c r="W28" s="3"/>
      <c r="X28" s="3"/>
      <c r="Y28" s="3"/>
    </row>
    <row r="29" spans="1:25" ht="12.75" customHeight="1">
      <c r="A29" s="145" t="s">
        <v>38</v>
      </c>
      <c r="B29" s="1"/>
      <c r="C29" s="1"/>
      <c r="D29" s="146">
        <f t="shared" ref="D29:F29" ca="1" si="5">SUM(D31:D58)</f>
        <v>1374749.7954285713</v>
      </c>
      <c r="E29" s="146">
        <f t="shared" ca="1" si="5"/>
        <v>1406435.393633571</v>
      </c>
      <c r="F29" s="146">
        <f t="shared" ca="1" si="5"/>
        <v>1438913.131793696</v>
      </c>
      <c r="G29" s="5">
        <f ca="1">SUM(D29:F29)</f>
        <v>4220098.3208558382</v>
      </c>
      <c r="H29" s="3"/>
      <c r="I29" s="3"/>
      <c r="J29" s="3"/>
      <c r="M29" s="3"/>
      <c r="N29" s="3"/>
      <c r="O29" s="3"/>
      <c r="P29" s="3"/>
      <c r="Q29" s="3"/>
      <c r="R29" s="3"/>
      <c r="S29" s="3"/>
      <c r="T29" s="3"/>
      <c r="U29" s="3"/>
      <c r="V29" s="3"/>
      <c r="W29" s="3"/>
      <c r="X29" s="3"/>
      <c r="Y29" s="3"/>
    </row>
    <row r="30" spans="1:25" ht="12.75" customHeight="1">
      <c r="A30" s="7" t="s">
        <v>39</v>
      </c>
      <c r="B30" s="1"/>
      <c r="C30" s="1"/>
      <c r="D30" s="6"/>
      <c r="E30" s="6"/>
      <c r="F30" s="3"/>
      <c r="G30" s="5"/>
      <c r="H30" s="3"/>
      <c r="I30" s="3"/>
      <c r="J30" s="3"/>
      <c r="K30" s="3"/>
      <c r="L30" s="3"/>
      <c r="M30" s="3"/>
      <c r="N30" s="3"/>
      <c r="O30" s="3"/>
      <c r="P30" s="3"/>
      <c r="Q30" s="3"/>
      <c r="R30" s="3"/>
      <c r="S30" s="3"/>
      <c r="T30" s="3"/>
      <c r="U30" s="3"/>
      <c r="V30" s="3"/>
      <c r="W30" s="3"/>
      <c r="X30" s="3"/>
      <c r="Y30" s="3"/>
    </row>
    <row r="31" spans="1:25" ht="12.75" customHeight="1">
      <c r="A31" s="1"/>
      <c r="B31" s="1"/>
      <c r="C31" s="1"/>
      <c r="D31" s="10"/>
      <c r="E31" s="10"/>
      <c r="F31" s="3"/>
      <c r="G31" s="5"/>
      <c r="H31" s="3"/>
      <c r="I31" s="3"/>
      <c r="J31" s="3"/>
      <c r="K31" s="3"/>
      <c r="L31" s="3"/>
      <c r="M31" s="3"/>
      <c r="N31" s="3"/>
      <c r="O31" s="3"/>
      <c r="P31" s="3"/>
      <c r="Q31" s="3"/>
      <c r="R31" s="3"/>
      <c r="S31" s="3"/>
      <c r="T31" s="3"/>
      <c r="U31" s="3"/>
      <c r="V31" s="3"/>
      <c r="W31" s="3"/>
      <c r="X31" s="3"/>
      <c r="Y31" s="3"/>
    </row>
    <row r="32" spans="1:25" ht="12.75" customHeight="1">
      <c r="A32" s="7" t="s">
        <v>40</v>
      </c>
      <c r="B32" s="8"/>
      <c r="C32" s="8"/>
      <c r="D32" s="10"/>
      <c r="E32" s="10"/>
      <c r="F32" s="3"/>
      <c r="H32" s="5">
        <f ca="1">SUM(G33:G39)</f>
        <v>933857.4340029374</v>
      </c>
      <c r="I32" s="3"/>
      <c r="J32" s="3"/>
      <c r="K32" s="3"/>
      <c r="L32" s="3"/>
      <c r="M32" s="3"/>
      <c r="N32" s="3"/>
      <c r="O32" s="3"/>
      <c r="P32" s="3"/>
      <c r="Q32" s="3"/>
      <c r="R32" s="3"/>
      <c r="S32" s="3"/>
      <c r="T32" s="3"/>
      <c r="U32" s="3"/>
      <c r="V32" s="3"/>
      <c r="W32" s="3"/>
      <c r="X32" s="3"/>
      <c r="Y32" s="3"/>
    </row>
    <row r="33" spans="1:25" ht="12.75" customHeight="1">
      <c r="A33" s="9" t="s">
        <v>41</v>
      </c>
      <c r="B33" s="3" t="s">
        <v>12</v>
      </c>
      <c r="C33" s="8"/>
      <c r="D33" s="10">
        <f ca="1">Data!$X$38*1.025</f>
        <v>173276.24999999997</v>
      </c>
      <c r="E33" s="10">
        <f ca="1">D33*(1+Constants!$B$25)</f>
        <v>177608.15624999994</v>
      </c>
      <c r="F33" s="10">
        <f ca="1">E33*(1+Constants!$B$25)</f>
        <v>182048.36015624992</v>
      </c>
      <c r="G33" s="5">
        <f ca="1">SUM(D33:F33)</f>
        <v>532932.76640624984</v>
      </c>
      <c r="H33" s="3"/>
      <c r="I33" s="9" t="s">
        <v>31</v>
      </c>
      <c r="J33" s="3"/>
      <c r="K33" s="3"/>
      <c r="L33" s="3"/>
      <c r="M33" s="3"/>
      <c r="N33" s="3"/>
      <c r="O33" s="3"/>
      <c r="P33" s="3"/>
      <c r="Q33" s="3"/>
      <c r="R33" s="3"/>
      <c r="S33" s="3"/>
      <c r="T33" s="3"/>
      <c r="U33" s="3"/>
      <c r="V33" s="3"/>
      <c r="W33" s="3"/>
      <c r="X33" s="3"/>
      <c r="Y33" s="3"/>
    </row>
    <row r="34" spans="1:25" ht="12.75" customHeight="1">
      <c r="A34" s="9" t="s">
        <v>42</v>
      </c>
      <c r="B34" s="9" t="s">
        <v>12</v>
      </c>
      <c r="C34" s="9"/>
      <c r="D34" s="10">
        <f ca="1">Data!$Y$38*1.025</f>
        <v>56733.749999999993</v>
      </c>
      <c r="E34" s="10">
        <f ca="1">D34*(1+Constants!$B$25)</f>
        <v>58152.093749999985</v>
      </c>
      <c r="F34" s="10">
        <f ca="1">E34*(1+Constants!$B$25)</f>
        <v>59605.89609374998</v>
      </c>
      <c r="G34" s="5">
        <f ca="1">SUM(D34:F34)</f>
        <v>174491.73984374997</v>
      </c>
      <c r="H34" s="3"/>
      <c r="I34" s="9" t="s">
        <v>31</v>
      </c>
      <c r="J34" s="3"/>
      <c r="K34" s="3"/>
      <c r="L34" s="3"/>
      <c r="M34" s="3"/>
      <c r="N34" s="3"/>
      <c r="O34" s="3"/>
      <c r="P34" s="3"/>
      <c r="Q34" s="3"/>
      <c r="R34" s="3"/>
      <c r="S34" s="3"/>
      <c r="T34" s="3"/>
      <c r="U34" s="3"/>
      <c r="V34" s="3"/>
      <c r="W34" s="3"/>
      <c r="X34" s="3"/>
      <c r="Y34" s="3"/>
    </row>
    <row r="35" spans="1:25" ht="12.75" customHeight="1">
      <c r="A35" s="9" t="s">
        <v>43</v>
      </c>
      <c r="B35" s="9" t="s">
        <v>12</v>
      </c>
      <c r="C35" s="9"/>
      <c r="D35" s="10">
        <f ca="1">Data!$Z$38*1.025</f>
        <v>57666.877199999995</v>
      </c>
      <c r="E35" s="10">
        <f ca="1">D35*(1+Constants!$B$25)</f>
        <v>59108.549129999992</v>
      </c>
      <c r="F35" s="10">
        <f ca="1">E35*(1+Constants!$B$25)</f>
        <v>60586.262858249989</v>
      </c>
      <c r="G35" s="5">
        <f ca="1">SUM(D35:F35)</f>
        <v>177361.68918824999</v>
      </c>
      <c r="H35" s="3"/>
      <c r="I35" s="9" t="s">
        <v>31</v>
      </c>
      <c r="J35" s="3"/>
      <c r="K35" s="3"/>
      <c r="L35" s="3"/>
      <c r="M35" s="3"/>
      <c r="N35" s="3"/>
      <c r="O35" s="3"/>
      <c r="P35" s="3"/>
      <c r="Q35" s="3"/>
      <c r="R35" s="3"/>
      <c r="S35" s="3"/>
      <c r="T35" s="3"/>
      <c r="U35" s="3"/>
      <c r="V35" s="3"/>
      <c r="W35" s="3"/>
      <c r="X35" s="3"/>
      <c r="Y35" s="3"/>
    </row>
    <row r="36" spans="1:25" ht="12.75" customHeight="1">
      <c r="A36" s="9" t="s">
        <v>44</v>
      </c>
      <c r="B36" s="9" t="s">
        <v>12</v>
      </c>
      <c r="C36" s="9"/>
      <c r="D36" s="10">
        <f ca="1">Data!$AA$38*1.025</f>
        <v>6626.8709999999992</v>
      </c>
      <c r="E36" s="10">
        <f ca="1">D36*(1+Constants!$B$25)</f>
        <v>6792.542774999999</v>
      </c>
      <c r="F36" s="10">
        <f ca="1">E36*(1+Constants!$B$25)</f>
        <v>6962.3563443749981</v>
      </c>
      <c r="G36" s="5">
        <f ca="1">SUM(D36:F36)</f>
        <v>20381.770119374996</v>
      </c>
      <c r="H36" s="3"/>
      <c r="I36" s="9" t="s">
        <v>31</v>
      </c>
      <c r="J36" s="3"/>
      <c r="K36" s="3"/>
      <c r="L36" s="3"/>
      <c r="M36" s="3"/>
      <c r="N36" s="3"/>
      <c r="O36" s="3"/>
      <c r="P36" s="3"/>
      <c r="Q36" s="3"/>
      <c r="R36" s="3"/>
      <c r="S36" s="3"/>
      <c r="T36" s="3"/>
      <c r="U36" s="3"/>
      <c r="V36" s="3"/>
      <c r="W36" s="3"/>
      <c r="X36" s="3"/>
      <c r="Y36" s="3"/>
    </row>
    <row r="37" spans="1:25" ht="12.75" customHeight="1">
      <c r="A37" s="9" t="s">
        <v>45</v>
      </c>
      <c r="B37" s="9" t="s">
        <v>22</v>
      </c>
      <c r="C37" s="9"/>
      <c r="D37" s="10">
        <f ca="1">Data!$AD$38*1.025</f>
        <v>0</v>
      </c>
      <c r="E37" s="10">
        <f ca="1">D37*(1+Constants!$B$25)</f>
        <v>0</v>
      </c>
      <c r="F37" s="10">
        <f ca="1">E37*(1+Constants!$B$25)</f>
        <v>0</v>
      </c>
      <c r="G37" s="5"/>
      <c r="I37" s="9" t="s">
        <v>31</v>
      </c>
      <c r="J37" s="3"/>
      <c r="K37" s="1"/>
      <c r="L37" s="3"/>
      <c r="M37" s="3"/>
      <c r="N37" s="3"/>
      <c r="O37" s="3"/>
      <c r="P37" s="3"/>
      <c r="Q37" s="3"/>
      <c r="R37" s="3"/>
      <c r="S37" s="3"/>
      <c r="T37" s="3"/>
      <c r="U37" s="3"/>
      <c r="V37" s="3"/>
      <c r="W37" s="3"/>
      <c r="X37" s="3"/>
      <c r="Y37" s="3"/>
    </row>
    <row r="38" spans="1:25" ht="12.75" customHeight="1">
      <c r="A38" s="9" t="s">
        <v>46</v>
      </c>
      <c r="B38" s="9" t="s">
        <v>19</v>
      </c>
      <c r="C38" s="9"/>
      <c r="D38" s="10">
        <f ca="1">Data!$AB$38*1.025</f>
        <v>8477.2624999999989</v>
      </c>
      <c r="E38" s="10">
        <f ca="1">D38*(1+Constants!$B$25)</f>
        <v>8689.1940624999988</v>
      </c>
      <c r="F38" s="10">
        <f ca="1">E38*(1+Constants!$B$25)</f>
        <v>8906.4239140624977</v>
      </c>
      <c r="G38" s="5">
        <f ca="1">SUM(D38:F38)</f>
        <v>26072.880476562495</v>
      </c>
      <c r="H38" s="3"/>
      <c r="I38" s="9" t="s">
        <v>31</v>
      </c>
      <c r="J38" s="3"/>
      <c r="K38" s="3"/>
      <c r="L38" s="1"/>
      <c r="M38" s="1"/>
      <c r="N38" s="3"/>
      <c r="O38" s="3"/>
      <c r="P38" s="3"/>
      <c r="Q38" s="3"/>
      <c r="R38" s="3"/>
      <c r="S38" s="3"/>
      <c r="T38" s="3"/>
      <c r="U38" s="3"/>
      <c r="V38" s="3"/>
      <c r="W38" s="3"/>
      <c r="X38" s="3"/>
      <c r="Y38" s="3"/>
    </row>
    <row r="39" spans="1:25" ht="12.75" customHeight="1">
      <c r="A39" s="9" t="s">
        <v>47</v>
      </c>
      <c r="B39" s="9" t="s">
        <v>19</v>
      </c>
      <c r="C39" s="9"/>
      <c r="D39" s="10">
        <f ca="1">Data!$AC$38*1.025</f>
        <v>850.74999999999989</v>
      </c>
      <c r="E39" s="10">
        <f ca="1">D39*(1+Constants!$B$25)</f>
        <v>872.01874999999984</v>
      </c>
      <c r="F39" s="10">
        <f ca="1">E39*(1+Constants!$B$25)</f>
        <v>893.81921874999978</v>
      </c>
      <c r="G39" s="5">
        <f ca="1">SUM(D39:F39)</f>
        <v>2616.5879687499996</v>
      </c>
      <c r="H39" s="3"/>
      <c r="I39" s="9" t="s">
        <v>31</v>
      </c>
      <c r="J39" s="3"/>
      <c r="K39" s="3"/>
      <c r="L39" s="14"/>
      <c r="M39" s="14"/>
      <c r="N39" s="14"/>
      <c r="O39" s="3"/>
      <c r="P39" s="3"/>
      <c r="Q39" s="3"/>
      <c r="R39" s="3"/>
      <c r="S39" s="3"/>
      <c r="T39" s="3"/>
      <c r="U39" s="3"/>
      <c r="V39" s="3"/>
      <c r="W39" s="3"/>
      <c r="X39" s="3"/>
      <c r="Y39" s="3"/>
    </row>
    <row r="40" spans="1:25" ht="12.75" customHeight="1">
      <c r="A40" s="3"/>
      <c r="B40" s="3"/>
      <c r="C40" s="3"/>
      <c r="D40" s="10"/>
      <c r="E40" s="10"/>
      <c r="F40" s="3"/>
      <c r="G40" s="5"/>
      <c r="H40" s="3"/>
      <c r="I40" s="3"/>
      <c r="J40" s="3"/>
      <c r="K40" s="3"/>
      <c r="L40" s="14"/>
      <c r="M40" s="14"/>
      <c r="N40" s="14"/>
      <c r="O40" s="3"/>
      <c r="P40" s="3"/>
      <c r="Q40" s="3"/>
      <c r="R40" s="3"/>
      <c r="S40" s="3"/>
      <c r="T40" s="3"/>
      <c r="U40" s="3"/>
      <c r="V40" s="3"/>
      <c r="W40" s="3"/>
      <c r="X40" s="3"/>
      <c r="Y40" s="3"/>
    </row>
    <row r="41" spans="1:25" ht="12.75" customHeight="1">
      <c r="A41" s="7" t="s">
        <v>48</v>
      </c>
      <c r="B41" s="8"/>
      <c r="C41" s="8"/>
      <c r="D41" s="10"/>
      <c r="E41" s="10"/>
      <c r="F41" s="3"/>
      <c r="G41" s="5"/>
      <c r="H41" s="5">
        <f ca="1">SUM(G42:G45)</f>
        <v>296311.24862500001</v>
      </c>
      <c r="I41" s="3"/>
      <c r="J41" s="3"/>
      <c r="K41" s="3"/>
      <c r="L41" s="14"/>
      <c r="M41" s="14"/>
      <c r="N41" s="14"/>
      <c r="O41" s="3"/>
      <c r="P41" s="3"/>
      <c r="Q41" s="3"/>
      <c r="R41" s="3"/>
      <c r="S41" s="3"/>
      <c r="T41" s="3"/>
      <c r="U41" s="3"/>
      <c r="V41" s="3"/>
      <c r="W41" s="3"/>
      <c r="X41" s="3"/>
      <c r="Y41" s="3"/>
    </row>
    <row r="42" spans="1:25" ht="12.75" customHeight="1">
      <c r="A42" s="9" t="s">
        <v>49</v>
      </c>
      <c r="B42" s="9" t="s">
        <v>12</v>
      </c>
      <c r="C42" s="9"/>
      <c r="D42" s="10">
        <f ca="1">Data!$AS$38*1.025</f>
        <v>75276</v>
      </c>
      <c r="E42" s="10">
        <f ca="1">D42*(1+Constants!$B$25)</f>
        <v>77157.899999999994</v>
      </c>
      <c r="F42" s="10">
        <f ca="1">E42*(1+Constants!$B$25)</f>
        <v>79086.847499999989</v>
      </c>
      <c r="G42" s="5">
        <f ca="1">SUM(D42:F42)</f>
        <v>231520.7475</v>
      </c>
      <c r="H42" s="3"/>
      <c r="I42" s="9" t="s">
        <v>31</v>
      </c>
      <c r="J42" s="3"/>
      <c r="K42" s="3"/>
      <c r="L42" s="14"/>
      <c r="M42" s="14"/>
      <c r="N42" s="14"/>
      <c r="O42" s="3"/>
      <c r="P42" s="3"/>
      <c r="Q42" s="3"/>
      <c r="R42" s="3"/>
      <c r="S42" s="3"/>
      <c r="T42" s="3"/>
      <c r="U42" s="3"/>
      <c r="V42" s="3"/>
      <c r="W42" s="3"/>
      <c r="X42" s="3"/>
      <c r="Y42" s="3"/>
    </row>
    <row r="43" spans="1:25" ht="12.75" customHeight="1">
      <c r="A43" s="9" t="s">
        <v>50</v>
      </c>
      <c r="B43" s="9" t="s">
        <v>12</v>
      </c>
      <c r="C43" s="9"/>
      <c r="D43" s="10">
        <f ca="1">Data!$AU$38*1.025</f>
        <v>0</v>
      </c>
      <c r="E43" s="10">
        <f ca="1">D43*(1+Constants!$B$25)</f>
        <v>0</v>
      </c>
      <c r="F43" s="10">
        <f ca="1">E43*(1+Constants!$B$25)</f>
        <v>0</v>
      </c>
      <c r="G43" s="5">
        <f ca="1">SUM(D43:F43)</f>
        <v>0</v>
      </c>
      <c r="I43" s="9" t="s">
        <v>31</v>
      </c>
      <c r="J43" s="3"/>
      <c r="K43" s="3"/>
      <c r="L43" s="14"/>
      <c r="M43" s="14"/>
      <c r="N43" s="14"/>
      <c r="O43" s="3"/>
      <c r="P43" s="3"/>
      <c r="Q43" s="3"/>
      <c r="R43" s="3"/>
      <c r="S43" s="3"/>
      <c r="T43" s="3"/>
      <c r="U43" s="3"/>
      <c r="V43" s="3"/>
      <c r="W43" s="3"/>
      <c r="X43" s="3"/>
      <c r="Y43" s="3"/>
    </row>
    <row r="44" spans="1:25" ht="12.75" customHeight="1">
      <c r="A44" s="9" t="s">
        <v>51</v>
      </c>
      <c r="B44" s="9" t="s">
        <v>22</v>
      </c>
      <c r="C44" s="9"/>
      <c r="D44" s="10">
        <f ca="1">Data!$AY$38*1.025</f>
        <v>9829.75</v>
      </c>
      <c r="E44" s="10">
        <f ca="1">D44*(1+Constants!$B$25)</f>
        <v>10075.49375</v>
      </c>
      <c r="F44" s="10">
        <f ca="1">E44*(1+Constants!$B$25)</f>
        <v>10327.381093749998</v>
      </c>
      <c r="G44" s="5">
        <f ca="1">SUM(D44:F44)</f>
        <v>30232.62484375</v>
      </c>
      <c r="H44" s="3"/>
      <c r="I44" s="9" t="s">
        <v>31</v>
      </c>
      <c r="J44" s="3"/>
      <c r="K44" s="3"/>
      <c r="L44" s="3"/>
      <c r="M44" s="3"/>
      <c r="N44" s="3"/>
      <c r="O44" s="3"/>
      <c r="P44" s="3"/>
      <c r="Q44" s="3"/>
      <c r="R44" s="3"/>
      <c r="S44" s="3"/>
      <c r="T44" s="3"/>
      <c r="U44" s="3"/>
      <c r="V44" s="3"/>
      <c r="W44" s="3"/>
      <c r="X44" s="3"/>
      <c r="Y44" s="3"/>
    </row>
    <row r="45" spans="1:25" ht="12.75" customHeight="1">
      <c r="A45" s="9" t="s">
        <v>52</v>
      </c>
      <c r="B45" s="9" t="s">
        <v>19</v>
      </c>
      <c r="C45" s="9"/>
      <c r="D45" s="10">
        <f ca="1">Data!$AW$38*1.025</f>
        <v>11236.049999999997</v>
      </c>
      <c r="E45" s="10">
        <f ca="1">D45*(1+Constants!$B$25)</f>
        <v>11516.951249999996</v>
      </c>
      <c r="F45" s="10">
        <f ca="1">E45*(1+Constants!$B$25)</f>
        <v>11804.875031249996</v>
      </c>
      <c r="G45" s="5">
        <f ca="1">SUM(D45:F45)</f>
        <v>34557.876281249992</v>
      </c>
      <c r="H45" s="3"/>
      <c r="I45" s="9" t="s">
        <v>31</v>
      </c>
      <c r="J45" s="3"/>
      <c r="K45" s="3"/>
      <c r="L45" s="14"/>
      <c r="M45" s="14"/>
      <c r="N45" s="14"/>
      <c r="O45" s="3"/>
      <c r="P45" s="3"/>
      <c r="Q45" s="3"/>
      <c r="R45" s="3"/>
      <c r="S45" s="3"/>
      <c r="T45" s="3"/>
      <c r="U45" s="3"/>
      <c r="V45" s="3"/>
      <c r="W45" s="3"/>
      <c r="X45" s="3"/>
      <c r="Y45" s="3"/>
    </row>
    <row r="46" spans="1:25" ht="12.75" customHeight="1">
      <c r="A46" s="9"/>
      <c r="B46" s="9"/>
      <c r="C46" s="9"/>
      <c r="D46" s="10"/>
      <c r="E46" s="10"/>
      <c r="F46" s="12"/>
      <c r="G46" s="5"/>
      <c r="H46" s="3"/>
      <c r="I46" s="9"/>
      <c r="J46" s="3"/>
      <c r="K46" s="3"/>
      <c r="L46" s="14"/>
      <c r="M46" s="14"/>
      <c r="N46" s="14"/>
      <c r="O46" s="3"/>
      <c r="P46" s="3"/>
      <c r="Q46" s="3"/>
      <c r="R46" s="3"/>
      <c r="S46" s="3"/>
      <c r="T46" s="3"/>
      <c r="U46" s="3"/>
      <c r="V46" s="3"/>
      <c r="W46" s="3"/>
      <c r="X46" s="3"/>
      <c r="Y46" s="3"/>
    </row>
    <row r="47" spans="1:25" ht="12.75" customHeight="1">
      <c r="A47" s="7" t="s">
        <v>53</v>
      </c>
      <c r="B47" s="9"/>
      <c r="C47" s="9"/>
      <c r="D47" s="10"/>
      <c r="E47" s="10"/>
      <c r="F47" s="12"/>
      <c r="G47" s="5"/>
      <c r="H47" s="5">
        <f ca="1">SUM(G48:G50)</f>
        <v>243453.56406249997</v>
      </c>
      <c r="I47" s="9"/>
      <c r="J47" s="3"/>
      <c r="K47" s="3"/>
      <c r="L47" s="14"/>
      <c r="M47" s="14"/>
      <c r="N47" s="14"/>
      <c r="O47" s="3"/>
      <c r="P47" s="3"/>
      <c r="Q47" s="3"/>
      <c r="R47" s="3"/>
      <c r="S47" s="3"/>
      <c r="T47" s="3"/>
      <c r="U47" s="3"/>
      <c r="V47" s="3"/>
      <c r="W47" s="3"/>
      <c r="X47" s="3"/>
      <c r="Y47" s="3"/>
    </row>
    <row r="48" spans="1:25" ht="12.75" customHeight="1">
      <c r="A48" s="9" t="s">
        <v>54</v>
      </c>
      <c r="B48" s="9" t="s">
        <v>55</v>
      </c>
      <c r="C48" s="9"/>
      <c r="D48" s="10">
        <f>'Student Trainers'!$G$37</f>
        <v>14212.5</v>
      </c>
      <c r="E48" s="10">
        <f>'Student Trainers'!$G$37</f>
        <v>14212.5</v>
      </c>
      <c r="F48" s="10">
        <f>'Student Trainers'!$G$37</f>
        <v>14212.5</v>
      </c>
      <c r="G48" s="5">
        <f>SUM(D48:F48)</f>
        <v>42637.5</v>
      </c>
      <c r="H48" s="3"/>
      <c r="I48" s="9"/>
      <c r="J48" s="3"/>
      <c r="K48" s="3"/>
      <c r="L48" s="14"/>
      <c r="M48" s="14"/>
      <c r="N48" s="14"/>
      <c r="O48" s="3"/>
      <c r="P48" s="3"/>
      <c r="Q48" s="3"/>
      <c r="R48" s="3"/>
      <c r="S48" s="3"/>
      <c r="T48" s="3"/>
      <c r="U48" s="3"/>
      <c r="V48" s="3"/>
      <c r="W48" s="3"/>
      <c r="X48" s="3"/>
      <c r="Y48" s="3"/>
    </row>
    <row r="49" spans="1:25" ht="12.75" customHeight="1">
      <c r="A49" s="9" t="s">
        <v>56</v>
      </c>
      <c r="B49" s="9" t="s">
        <v>57</v>
      </c>
      <c r="C49" s="9"/>
      <c r="D49" s="10">
        <f ca="1">Data!AZ38*1.025</f>
        <v>53402.499999999993</v>
      </c>
      <c r="E49" s="10">
        <f ca="1">D49*(1+Constants!$B$25)</f>
        <v>54737.562499999985</v>
      </c>
      <c r="F49" s="10">
        <f ca="1">E49*(1+Constants!$B$25)</f>
        <v>56106.00156249998</v>
      </c>
      <c r="G49" s="5">
        <f ca="1">SUM(D49:F49)</f>
        <v>164246.06406249997</v>
      </c>
      <c r="I49" s="9" t="s">
        <v>31</v>
      </c>
      <c r="J49" s="3"/>
      <c r="K49" s="3"/>
      <c r="L49" s="3"/>
      <c r="M49" s="3"/>
      <c r="N49" s="12"/>
      <c r="O49" s="3"/>
      <c r="P49" s="3"/>
      <c r="Q49" s="3"/>
      <c r="R49" s="3"/>
      <c r="S49" s="3"/>
      <c r="T49" s="3"/>
      <c r="U49" s="3"/>
      <c r="V49" s="3"/>
      <c r="W49" s="3"/>
      <c r="X49" s="3"/>
      <c r="Y49" s="3"/>
    </row>
    <row r="50" spans="1:25" ht="12.75" customHeight="1">
      <c r="A50" s="9" t="s">
        <v>58</v>
      </c>
      <c r="B50" s="9" t="s">
        <v>22</v>
      </c>
      <c r="C50" s="9"/>
      <c r="D50" s="10">
        <f ca="1">Data!$BA$38</f>
        <v>12190</v>
      </c>
      <c r="E50" s="10">
        <f ca="1">Data!$BA$38</f>
        <v>12190</v>
      </c>
      <c r="F50" s="10">
        <f ca="1">Data!$BA$38</f>
        <v>12190</v>
      </c>
      <c r="G50" s="5">
        <f ca="1">SUM(D50:F50)</f>
        <v>36570</v>
      </c>
      <c r="H50" s="3"/>
      <c r="I50" s="9" t="s">
        <v>29</v>
      </c>
      <c r="J50" s="3"/>
      <c r="K50" s="3"/>
      <c r="L50" s="3"/>
      <c r="M50" s="3"/>
      <c r="N50" s="3"/>
      <c r="O50" s="3"/>
      <c r="P50" s="3"/>
      <c r="Q50" s="3"/>
      <c r="R50" s="3"/>
      <c r="S50" s="3"/>
      <c r="T50" s="3"/>
      <c r="U50" s="3"/>
      <c r="V50" s="3"/>
      <c r="W50" s="3"/>
      <c r="X50" s="3"/>
      <c r="Y50" s="3"/>
    </row>
    <row r="51" spans="1:25" ht="12.75" customHeight="1">
      <c r="A51" s="9" t="s">
        <v>59</v>
      </c>
      <c r="B51" s="9" t="s">
        <v>55</v>
      </c>
      <c r="C51" s="9"/>
      <c r="D51" s="10">
        <f>Constants!$B$34</f>
        <v>1400</v>
      </c>
      <c r="E51" s="10">
        <f>Constants!$B$34</f>
        <v>1400</v>
      </c>
      <c r="F51" s="10">
        <f>Constants!$B$34</f>
        <v>1400</v>
      </c>
      <c r="G51" s="5">
        <f>SUM(D51:F51)</f>
        <v>4200</v>
      </c>
      <c r="H51" s="3"/>
      <c r="I51" s="9"/>
      <c r="J51" s="3"/>
      <c r="K51" s="3"/>
      <c r="L51" s="3"/>
      <c r="M51" s="3"/>
      <c r="N51" s="3"/>
      <c r="O51" s="3"/>
      <c r="P51" s="3"/>
      <c r="Q51" s="3"/>
      <c r="R51" s="3"/>
      <c r="S51" s="3"/>
      <c r="T51" s="3"/>
      <c r="U51" s="3"/>
      <c r="V51" s="3"/>
      <c r="W51" s="3"/>
      <c r="X51" s="3"/>
      <c r="Y51" s="3"/>
    </row>
    <row r="52" spans="1:25" ht="12.75" customHeight="1">
      <c r="B52" s="9"/>
      <c r="C52" s="9"/>
      <c r="D52" s="10"/>
      <c r="E52" s="10"/>
      <c r="F52" s="12"/>
      <c r="G52" s="5"/>
      <c r="H52" s="12"/>
      <c r="I52" s="9"/>
      <c r="J52" s="9"/>
      <c r="K52" s="3"/>
      <c r="L52" s="3"/>
      <c r="M52" s="3"/>
      <c r="N52" s="12"/>
      <c r="O52" s="3"/>
      <c r="P52" s="3"/>
      <c r="Q52" s="3"/>
      <c r="R52" s="3"/>
      <c r="S52" s="3"/>
      <c r="T52" s="3"/>
      <c r="U52" s="3"/>
      <c r="V52" s="3"/>
      <c r="W52" s="3"/>
      <c r="X52" s="3"/>
      <c r="Y52" s="3"/>
    </row>
    <row r="53" spans="1:25" ht="12.75" customHeight="1">
      <c r="A53" s="7" t="s">
        <v>60</v>
      </c>
      <c r="B53" s="8"/>
      <c r="C53" s="8"/>
      <c r="D53" s="10"/>
      <c r="E53" s="10"/>
      <c r="F53" s="3"/>
      <c r="G53" s="5"/>
      <c r="H53" s="5">
        <f ca="1">SUM(G54:G55)</f>
        <v>2503705.9724796875</v>
      </c>
      <c r="I53" s="3"/>
      <c r="J53" s="3"/>
      <c r="K53" s="3"/>
      <c r="L53" s="3"/>
      <c r="M53" s="3"/>
      <c r="N53" s="3"/>
      <c r="O53" s="3"/>
      <c r="P53" s="3"/>
      <c r="Q53" s="3"/>
      <c r="R53" s="3"/>
      <c r="S53" s="3"/>
      <c r="T53" s="3"/>
      <c r="U53" s="3"/>
      <c r="V53" s="3"/>
      <c r="W53" s="3"/>
      <c r="X53" s="3"/>
      <c r="Y53" s="3"/>
    </row>
    <row r="54" spans="1:25" ht="12.75" customHeight="1">
      <c r="A54" s="9" t="s">
        <v>61</v>
      </c>
      <c r="B54" s="9" t="s">
        <v>12</v>
      </c>
      <c r="C54" s="9"/>
      <c r="D54" s="10">
        <v>688800</v>
      </c>
      <c r="E54" s="10">
        <f>D54*1.025</f>
        <v>706019.99999999988</v>
      </c>
      <c r="F54" s="10">
        <f>E54*1.025</f>
        <v>723670.49999999977</v>
      </c>
      <c r="G54" s="5">
        <f>SUM(D54:F54)</f>
        <v>2118490.5</v>
      </c>
      <c r="H54" s="3"/>
      <c r="I54" s="9" t="s">
        <v>36</v>
      </c>
      <c r="J54" s="3"/>
      <c r="K54" s="3"/>
      <c r="L54" s="3"/>
      <c r="M54" s="3"/>
      <c r="N54" s="12"/>
      <c r="O54" s="3"/>
      <c r="P54" s="3"/>
      <c r="Q54" s="3"/>
      <c r="R54" s="3"/>
      <c r="S54" s="3"/>
      <c r="T54" s="3"/>
      <c r="U54" s="3"/>
      <c r="V54" s="3"/>
      <c r="W54" s="3"/>
      <c r="X54" s="3"/>
      <c r="Y54" s="3"/>
    </row>
    <row r="55" spans="1:25" ht="12.75" customHeight="1">
      <c r="A55" s="9" t="s">
        <v>62</v>
      </c>
      <c r="B55" s="9" t="s">
        <v>22</v>
      </c>
      <c r="C55" s="9"/>
      <c r="D55" s="10">
        <f ca="1">Data!BJ38</f>
        <v>125247.86749999999</v>
      </c>
      <c r="E55" s="10">
        <f ca="1">D55*(1+Constants!$B$25)</f>
        <v>128379.06418749999</v>
      </c>
      <c r="F55" s="10">
        <f ca="1">E55*(1+Constants!$B$25)</f>
        <v>131588.54079218747</v>
      </c>
      <c r="G55" s="5">
        <f ca="1">SUM(D55:F55)</f>
        <v>385215.47247968742</v>
      </c>
      <c r="H55" s="3"/>
      <c r="I55" s="9" t="s">
        <v>31</v>
      </c>
      <c r="J55" s="3"/>
      <c r="K55" s="3"/>
      <c r="L55" s="3"/>
      <c r="M55" s="12"/>
      <c r="N55" s="13"/>
      <c r="O55" s="3"/>
      <c r="P55" s="3"/>
      <c r="Q55" s="3"/>
      <c r="R55" s="3"/>
      <c r="S55" s="3"/>
      <c r="T55" s="3"/>
      <c r="U55" s="3"/>
      <c r="V55" s="3"/>
      <c r="W55" s="3"/>
      <c r="X55" s="3"/>
      <c r="Y55" s="3"/>
    </row>
    <row r="56" spans="1:25" ht="12.75" customHeight="1">
      <c r="A56" s="9"/>
      <c r="B56" s="9"/>
      <c r="C56" s="9"/>
      <c r="D56" s="10"/>
      <c r="E56" s="10"/>
      <c r="F56" s="3"/>
      <c r="G56" s="5"/>
      <c r="H56" s="3"/>
      <c r="I56" s="3"/>
      <c r="J56" s="3"/>
      <c r="K56" s="3"/>
      <c r="L56" s="3"/>
      <c r="M56" s="3"/>
      <c r="N56" s="3"/>
      <c r="O56" s="3"/>
      <c r="P56" s="3"/>
      <c r="Q56" s="3"/>
      <c r="R56" s="3"/>
      <c r="S56" s="3"/>
      <c r="T56" s="3"/>
      <c r="U56" s="3"/>
      <c r="V56" s="3"/>
      <c r="W56" s="3"/>
      <c r="X56" s="3"/>
      <c r="Y56" s="3"/>
    </row>
    <row r="57" spans="1:25" ht="12.75" customHeight="1">
      <c r="A57" s="7" t="s">
        <v>63</v>
      </c>
      <c r="B57" s="8"/>
      <c r="C57" s="8"/>
      <c r="D57" s="10"/>
      <c r="E57" s="10"/>
      <c r="F57" s="3"/>
      <c r="G57" s="5"/>
      <c r="I57" s="3"/>
      <c r="L57" s="3"/>
      <c r="M57" s="3"/>
      <c r="N57" s="3"/>
      <c r="O57" s="3"/>
      <c r="P57" s="3"/>
      <c r="Q57" s="3"/>
      <c r="R57" s="3"/>
      <c r="S57" s="3"/>
      <c r="T57" s="3"/>
      <c r="U57" s="3"/>
      <c r="V57" s="3"/>
      <c r="W57" s="3"/>
      <c r="X57" s="3"/>
      <c r="Y57" s="3"/>
    </row>
    <row r="58" spans="1:25" ht="12.75" customHeight="1">
      <c r="A58" s="9" t="s">
        <v>64</v>
      </c>
      <c r="B58" s="3" t="s">
        <v>19</v>
      </c>
      <c r="C58" s="3"/>
      <c r="D58" s="10">
        <f ca="1">Data!BN38</f>
        <v>79523.367228571427</v>
      </c>
      <c r="E58" s="10">
        <f t="shared" ref="E58:F58" ca="1" si="6">D58</f>
        <v>79523.367228571427</v>
      </c>
      <c r="F58" s="10">
        <f t="shared" ca="1" si="6"/>
        <v>79523.367228571427</v>
      </c>
      <c r="G58" s="5">
        <f ca="1">SUM(D58:F58)</f>
        <v>238570.10168571427</v>
      </c>
      <c r="I58" s="9" t="s">
        <v>36</v>
      </c>
      <c r="L58" s="3"/>
      <c r="M58" s="3"/>
      <c r="N58" s="3"/>
      <c r="O58" s="3"/>
      <c r="P58" s="3"/>
      <c r="Q58" s="3"/>
      <c r="R58" s="3"/>
      <c r="S58" s="3"/>
      <c r="T58" s="3"/>
      <c r="U58" s="3"/>
      <c r="V58" s="3"/>
      <c r="W58" s="3"/>
      <c r="X58" s="3"/>
      <c r="Y58" s="3"/>
    </row>
    <row r="59" spans="1:25" ht="12.75" customHeight="1">
      <c r="A59" s="3"/>
      <c r="B59" s="3"/>
      <c r="C59" s="3"/>
      <c r="D59" s="2"/>
      <c r="E59" s="2"/>
      <c r="F59" s="3"/>
      <c r="G59" s="5"/>
      <c r="L59" s="3"/>
      <c r="M59" s="3"/>
      <c r="N59" s="3"/>
      <c r="O59" s="3"/>
      <c r="P59" s="3"/>
      <c r="Q59" s="3"/>
      <c r="R59" s="3"/>
      <c r="S59" s="3"/>
      <c r="T59" s="3"/>
      <c r="U59" s="3"/>
      <c r="V59" s="3"/>
      <c r="W59" s="3"/>
      <c r="X59" s="3"/>
      <c r="Y59" s="3"/>
    </row>
    <row r="60" spans="1:25" ht="12.75" customHeight="1">
      <c r="L60" s="3"/>
      <c r="M60" s="3"/>
      <c r="N60" s="3"/>
      <c r="O60" s="3"/>
      <c r="P60" s="3"/>
      <c r="Q60" s="3"/>
      <c r="R60" s="3"/>
      <c r="S60" s="3"/>
      <c r="T60" s="3"/>
      <c r="U60" s="3"/>
      <c r="V60" s="3"/>
      <c r="W60" s="3"/>
      <c r="X60" s="3"/>
      <c r="Y60" s="3"/>
    </row>
    <row r="61" spans="1:25" ht="12.75" customHeight="1">
      <c r="L61" s="3"/>
      <c r="M61" s="3"/>
      <c r="N61" s="3"/>
      <c r="O61" s="3"/>
      <c r="P61" s="3"/>
      <c r="Q61" s="3"/>
      <c r="R61" s="3"/>
      <c r="S61" s="3"/>
      <c r="T61" s="3"/>
      <c r="U61" s="3"/>
      <c r="V61" s="3"/>
      <c r="W61" s="3"/>
      <c r="X61" s="3"/>
      <c r="Y61" s="3"/>
    </row>
    <row r="62" spans="1:25" ht="12.75" customHeight="1">
      <c r="A62" s="3"/>
      <c r="B62" s="3"/>
      <c r="C62" s="3"/>
      <c r="D62" s="2"/>
      <c r="E62" s="2"/>
      <c r="F62" s="3"/>
      <c r="G62" s="3"/>
      <c r="H62" s="3"/>
      <c r="I62" s="3"/>
      <c r="J62" s="3"/>
      <c r="K62" s="3"/>
      <c r="L62" s="3"/>
      <c r="M62" s="3"/>
      <c r="N62" s="3"/>
      <c r="O62" s="3"/>
      <c r="P62" s="3"/>
      <c r="Q62" s="3"/>
      <c r="R62" s="3"/>
      <c r="S62" s="3"/>
      <c r="T62" s="3"/>
      <c r="U62" s="3"/>
      <c r="V62" s="3"/>
      <c r="W62" s="3"/>
      <c r="X62" s="3"/>
      <c r="Y62" s="3"/>
    </row>
    <row r="63" spans="1:25" ht="12.75" customHeight="1">
      <c r="A63" s="3"/>
      <c r="B63" s="3"/>
      <c r="C63" s="3"/>
      <c r="D63" s="2"/>
      <c r="E63" s="2"/>
      <c r="F63" s="3"/>
      <c r="G63" s="3"/>
      <c r="H63" s="3"/>
      <c r="I63" s="3"/>
      <c r="J63" s="3"/>
      <c r="K63" s="3"/>
      <c r="L63" s="3"/>
      <c r="M63" s="3"/>
      <c r="N63" s="3"/>
      <c r="O63" s="3"/>
      <c r="P63" s="3"/>
      <c r="Q63" s="3"/>
      <c r="R63" s="3"/>
      <c r="S63" s="3"/>
      <c r="T63" s="3"/>
      <c r="U63" s="3"/>
      <c r="V63" s="3"/>
      <c r="W63" s="3"/>
      <c r="X63" s="3"/>
      <c r="Y63" s="3"/>
    </row>
    <row r="64" spans="1:25" ht="12.75" customHeight="1">
      <c r="A64" s="3"/>
      <c r="B64" s="3"/>
      <c r="C64" s="3"/>
      <c r="D64" s="2"/>
      <c r="E64" s="2"/>
      <c r="F64" s="3"/>
      <c r="G64" s="3"/>
      <c r="H64" s="3"/>
      <c r="I64" s="3"/>
      <c r="J64" s="3"/>
      <c r="K64" s="3"/>
      <c r="L64" s="3"/>
      <c r="M64" s="3"/>
      <c r="N64" s="3"/>
      <c r="O64" s="3"/>
      <c r="P64" s="3"/>
      <c r="Q64" s="3"/>
      <c r="R64" s="3"/>
      <c r="S64" s="3"/>
      <c r="T64" s="3"/>
      <c r="U64" s="3"/>
      <c r="V64" s="3"/>
      <c r="W64" s="3"/>
      <c r="X64" s="3"/>
      <c r="Y64" s="3"/>
    </row>
    <row r="65" spans="1:25" ht="12.75" customHeight="1">
      <c r="A65" s="3"/>
      <c r="B65" s="3"/>
      <c r="C65" s="3"/>
      <c r="D65" s="2"/>
      <c r="E65" s="2"/>
      <c r="F65" s="3"/>
      <c r="G65" s="3"/>
      <c r="H65" s="3"/>
      <c r="I65" s="3"/>
      <c r="J65" s="3"/>
      <c r="K65" s="3"/>
      <c r="L65" s="3"/>
      <c r="M65" s="3"/>
      <c r="N65" s="3"/>
      <c r="O65" s="3"/>
      <c r="P65" s="3"/>
      <c r="Q65" s="3"/>
      <c r="R65" s="3"/>
      <c r="S65" s="3"/>
      <c r="T65" s="3"/>
      <c r="U65" s="3"/>
      <c r="V65" s="3"/>
      <c r="W65" s="3"/>
      <c r="X65" s="3"/>
      <c r="Y65" s="3"/>
    </row>
    <row r="66" spans="1:25" ht="12.75" customHeight="1">
      <c r="A66" s="3"/>
      <c r="B66" s="3"/>
      <c r="C66" s="3"/>
      <c r="D66" s="2"/>
      <c r="E66" s="2"/>
      <c r="F66" s="3"/>
      <c r="G66" s="3"/>
      <c r="H66" s="3"/>
      <c r="I66" s="3"/>
      <c r="J66" s="3"/>
      <c r="K66" s="3"/>
      <c r="L66" s="3"/>
      <c r="M66" s="3"/>
      <c r="N66" s="3"/>
      <c r="O66" s="3"/>
      <c r="P66" s="3"/>
      <c r="Q66" s="3"/>
      <c r="R66" s="3"/>
      <c r="S66" s="3"/>
      <c r="T66" s="3"/>
      <c r="U66" s="3"/>
      <c r="V66" s="3"/>
      <c r="W66" s="3"/>
      <c r="X66" s="3"/>
      <c r="Y66" s="3"/>
    </row>
    <row r="67" spans="1:25" ht="12.75" customHeight="1">
      <c r="A67" s="3"/>
      <c r="B67" s="3"/>
      <c r="C67" s="3"/>
      <c r="D67" s="2"/>
      <c r="E67" s="2"/>
      <c r="F67" s="3"/>
      <c r="G67" s="3"/>
      <c r="H67" s="3"/>
      <c r="I67" s="3"/>
      <c r="J67" s="3"/>
      <c r="K67" s="3"/>
      <c r="L67" s="3"/>
      <c r="M67" s="3"/>
      <c r="N67" s="3"/>
      <c r="O67" s="3"/>
      <c r="P67" s="3"/>
      <c r="Q67" s="3"/>
      <c r="R67" s="3"/>
      <c r="S67" s="3"/>
      <c r="T67" s="3"/>
      <c r="U67" s="3"/>
      <c r="V67" s="3"/>
      <c r="W67" s="3"/>
      <c r="X67" s="3"/>
      <c r="Y67" s="3"/>
    </row>
    <row r="68" spans="1:25" ht="12.75" customHeight="1">
      <c r="A68" s="3"/>
      <c r="B68" s="3"/>
      <c r="C68" s="3"/>
      <c r="D68" s="2"/>
      <c r="E68" s="2"/>
      <c r="F68" s="3"/>
      <c r="G68" s="3"/>
      <c r="H68" s="3"/>
      <c r="I68" s="3"/>
      <c r="J68" s="3"/>
      <c r="K68" s="3"/>
      <c r="L68" s="3"/>
      <c r="M68" s="3"/>
      <c r="N68" s="3"/>
      <c r="O68" s="3"/>
      <c r="P68" s="3"/>
      <c r="Q68" s="3"/>
      <c r="R68" s="3"/>
      <c r="S68" s="3"/>
      <c r="T68" s="3"/>
      <c r="U68" s="3"/>
      <c r="V68" s="3"/>
      <c r="W68" s="3"/>
      <c r="X68" s="3"/>
      <c r="Y68" s="3"/>
    </row>
    <row r="69" spans="1:25" ht="12.75" customHeight="1">
      <c r="A69" s="3"/>
      <c r="B69" s="3"/>
      <c r="C69" s="3"/>
      <c r="D69" s="2"/>
      <c r="E69" s="2"/>
      <c r="F69" s="3"/>
      <c r="G69" s="3"/>
      <c r="H69" s="3"/>
      <c r="I69" s="3"/>
      <c r="J69" s="3"/>
      <c r="K69" s="3"/>
      <c r="L69" s="3"/>
      <c r="M69" s="3"/>
      <c r="N69" s="3"/>
      <c r="O69" s="3"/>
      <c r="P69" s="3"/>
      <c r="Q69" s="3"/>
      <c r="R69" s="3"/>
      <c r="S69" s="3"/>
      <c r="T69" s="3"/>
      <c r="U69" s="3"/>
      <c r="V69" s="3"/>
      <c r="W69" s="3"/>
      <c r="X69" s="3"/>
      <c r="Y69" s="3"/>
    </row>
    <row r="70" spans="1:25" ht="12.75" customHeight="1">
      <c r="A70" s="3"/>
      <c r="B70" s="3"/>
      <c r="C70" s="3"/>
      <c r="D70" s="2"/>
      <c r="E70" s="2"/>
      <c r="F70" s="3"/>
      <c r="G70" s="3"/>
      <c r="H70" s="3"/>
      <c r="I70" s="3"/>
      <c r="J70" s="3"/>
      <c r="K70" s="3"/>
      <c r="L70" s="3"/>
      <c r="M70" s="3"/>
      <c r="N70" s="3"/>
      <c r="O70" s="3"/>
      <c r="P70" s="3"/>
      <c r="Q70" s="3"/>
      <c r="R70" s="3"/>
      <c r="S70" s="3"/>
      <c r="T70" s="3"/>
      <c r="U70" s="3"/>
      <c r="V70" s="3"/>
      <c r="W70" s="3"/>
      <c r="X70" s="3"/>
      <c r="Y70" s="3"/>
    </row>
    <row r="71" spans="1:25" ht="12.75" customHeight="1">
      <c r="A71" s="3"/>
      <c r="B71" s="3"/>
      <c r="C71" s="3"/>
      <c r="D71" s="2"/>
      <c r="E71" s="2"/>
      <c r="F71" s="3"/>
      <c r="G71" s="3"/>
      <c r="H71" s="3"/>
      <c r="I71" s="3"/>
      <c r="J71" s="3"/>
      <c r="K71" s="3"/>
      <c r="L71" s="3"/>
      <c r="M71" s="3"/>
      <c r="N71" s="3"/>
      <c r="O71" s="3"/>
      <c r="P71" s="3"/>
      <c r="Q71" s="3"/>
      <c r="R71" s="3"/>
      <c r="S71" s="3"/>
      <c r="T71" s="3"/>
      <c r="U71" s="3"/>
      <c r="V71" s="3"/>
      <c r="W71" s="3"/>
      <c r="X71" s="3"/>
      <c r="Y71" s="3"/>
    </row>
    <row r="72" spans="1:25" ht="12.75" customHeight="1">
      <c r="A72" s="3"/>
      <c r="B72" s="3"/>
      <c r="C72" s="3"/>
      <c r="D72" s="2"/>
      <c r="E72" s="2"/>
      <c r="F72" s="3"/>
      <c r="G72" s="3"/>
      <c r="H72" s="3"/>
      <c r="I72" s="3"/>
      <c r="J72" s="3"/>
      <c r="K72" s="3"/>
      <c r="L72" s="3"/>
      <c r="M72" s="3"/>
      <c r="N72" s="3"/>
      <c r="O72" s="3"/>
      <c r="P72" s="3"/>
      <c r="Q72" s="3"/>
      <c r="R72" s="3"/>
      <c r="S72" s="3"/>
      <c r="T72" s="3"/>
      <c r="U72" s="3"/>
      <c r="V72" s="3"/>
      <c r="W72" s="3"/>
      <c r="X72" s="3"/>
      <c r="Y72" s="3"/>
    </row>
    <row r="73" spans="1:25" ht="12.75" customHeight="1">
      <c r="A73" s="3"/>
      <c r="B73" s="3"/>
      <c r="C73" s="3"/>
      <c r="D73" s="2"/>
      <c r="E73" s="2"/>
      <c r="F73" s="3"/>
      <c r="G73" s="3"/>
      <c r="H73" s="3"/>
      <c r="I73" s="3"/>
      <c r="J73" s="3"/>
      <c r="K73" s="3"/>
      <c r="L73" s="3"/>
      <c r="M73" s="3"/>
      <c r="N73" s="3"/>
      <c r="O73" s="3"/>
      <c r="P73" s="3"/>
      <c r="Q73" s="3"/>
      <c r="R73" s="3"/>
      <c r="S73" s="3"/>
      <c r="T73" s="3"/>
      <c r="U73" s="3"/>
      <c r="V73" s="3"/>
      <c r="W73" s="3"/>
      <c r="X73" s="3"/>
      <c r="Y73" s="3"/>
    </row>
    <row r="74" spans="1:25" ht="12.75" customHeight="1">
      <c r="A74" s="3"/>
      <c r="B74" s="3"/>
      <c r="C74" s="3"/>
      <c r="D74" s="2"/>
      <c r="E74" s="2"/>
      <c r="F74" s="3"/>
      <c r="G74" s="3"/>
      <c r="H74" s="3"/>
      <c r="I74" s="3"/>
      <c r="J74" s="3"/>
      <c r="K74" s="3"/>
      <c r="L74" s="3"/>
      <c r="M74" s="3"/>
      <c r="N74" s="3"/>
      <c r="O74" s="3"/>
      <c r="P74" s="3"/>
      <c r="Q74" s="3"/>
      <c r="R74" s="3"/>
      <c r="S74" s="3"/>
      <c r="T74" s="3"/>
      <c r="U74" s="3"/>
      <c r="V74" s="3"/>
      <c r="W74" s="3"/>
      <c r="X74" s="3"/>
      <c r="Y74" s="3"/>
    </row>
    <row r="75" spans="1:25" ht="12.75" customHeight="1">
      <c r="A75" s="3"/>
      <c r="B75" s="3"/>
      <c r="C75" s="3"/>
      <c r="D75" s="2"/>
      <c r="E75" s="2"/>
      <c r="F75" s="3"/>
      <c r="G75" s="3"/>
      <c r="H75" s="3"/>
      <c r="I75" s="3"/>
      <c r="J75" s="3"/>
      <c r="K75" s="3"/>
      <c r="L75" s="3"/>
      <c r="M75" s="3"/>
      <c r="N75" s="3"/>
      <c r="O75" s="3"/>
      <c r="P75" s="3"/>
      <c r="Q75" s="3"/>
      <c r="R75" s="3"/>
      <c r="S75" s="3"/>
      <c r="T75" s="3"/>
      <c r="U75" s="3"/>
      <c r="V75" s="3"/>
      <c r="W75" s="3"/>
      <c r="X75" s="3"/>
      <c r="Y75" s="3"/>
    </row>
    <row r="76" spans="1:25" ht="12.75" customHeight="1">
      <c r="A76" s="3"/>
      <c r="B76" s="3"/>
      <c r="C76" s="3"/>
      <c r="D76" s="2"/>
      <c r="E76" s="2"/>
      <c r="F76" s="3"/>
      <c r="G76" s="3"/>
      <c r="H76" s="3"/>
      <c r="I76" s="3"/>
      <c r="J76" s="3"/>
      <c r="K76" s="3"/>
      <c r="L76" s="3"/>
      <c r="M76" s="3"/>
      <c r="N76" s="3"/>
      <c r="O76" s="3"/>
      <c r="P76" s="3"/>
      <c r="Q76" s="3"/>
      <c r="R76" s="3"/>
      <c r="S76" s="3"/>
      <c r="T76" s="3"/>
      <c r="U76" s="3"/>
      <c r="V76" s="3"/>
      <c r="W76" s="3"/>
      <c r="X76" s="3"/>
      <c r="Y76" s="3"/>
    </row>
    <row r="77" spans="1:25" ht="12.75" customHeight="1">
      <c r="A77" s="3"/>
      <c r="B77" s="3"/>
      <c r="C77" s="3"/>
      <c r="D77" s="2"/>
      <c r="E77" s="2"/>
      <c r="F77" s="3"/>
      <c r="G77" s="3"/>
      <c r="H77" s="3"/>
      <c r="I77" s="3"/>
      <c r="J77" s="3"/>
      <c r="K77" s="3"/>
      <c r="L77" s="3"/>
      <c r="M77" s="3"/>
      <c r="N77" s="3"/>
      <c r="O77" s="3"/>
      <c r="P77" s="3"/>
      <c r="Q77" s="3"/>
      <c r="R77" s="3"/>
      <c r="S77" s="3"/>
      <c r="T77" s="3"/>
      <c r="U77" s="3"/>
      <c r="V77" s="3"/>
      <c r="W77" s="3"/>
      <c r="X77" s="3"/>
      <c r="Y77" s="3"/>
    </row>
    <row r="78" spans="1:25" ht="12.75" customHeight="1">
      <c r="A78" s="3"/>
      <c r="B78" s="3"/>
      <c r="C78" s="3"/>
      <c r="D78" s="2"/>
      <c r="E78" s="2"/>
      <c r="F78" s="3"/>
      <c r="G78" s="3"/>
      <c r="H78" s="3"/>
      <c r="I78" s="3"/>
      <c r="J78" s="3"/>
      <c r="K78" s="3"/>
      <c r="L78" s="3"/>
      <c r="M78" s="3"/>
      <c r="N78" s="3"/>
      <c r="O78" s="3"/>
      <c r="P78" s="3"/>
      <c r="Q78" s="3"/>
      <c r="R78" s="3"/>
      <c r="S78" s="3"/>
      <c r="T78" s="3"/>
      <c r="U78" s="3"/>
      <c r="V78" s="3"/>
      <c r="W78" s="3"/>
      <c r="X78" s="3"/>
      <c r="Y78" s="3"/>
    </row>
    <row r="79" spans="1:25" ht="12.75" customHeight="1">
      <c r="A79" s="3"/>
      <c r="B79" s="3"/>
      <c r="C79" s="3"/>
      <c r="D79" s="2"/>
      <c r="E79" s="2"/>
      <c r="F79" s="3"/>
      <c r="G79" s="3"/>
      <c r="H79" s="3"/>
      <c r="I79" s="3"/>
      <c r="J79" s="3"/>
      <c r="K79" s="3"/>
      <c r="L79" s="3"/>
      <c r="M79" s="3"/>
      <c r="N79" s="3"/>
      <c r="O79" s="3"/>
      <c r="P79" s="3"/>
      <c r="Q79" s="3"/>
      <c r="R79" s="3"/>
      <c r="S79" s="3"/>
      <c r="T79" s="3"/>
      <c r="U79" s="3"/>
      <c r="V79" s="3"/>
      <c r="W79" s="3"/>
      <c r="X79" s="3"/>
      <c r="Y79" s="3"/>
    </row>
    <row r="80" spans="1:25" ht="12.75" customHeight="1">
      <c r="A80" s="3"/>
      <c r="B80" s="3"/>
      <c r="C80" s="3"/>
      <c r="D80" s="2"/>
      <c r="E80" s="2"/>
      <c r="F80" s="3"/>
      <c r="G80" s="3"/>
      <c r="H80" s="3"/>
      <c r="I80" s="3"/>
      <c r="J80" s="3"/>
      <c r="K80" s="3"/>
      <c r="L80" s="3"/>
      <c r="M80" s="3"/>
      <c r="N80" s="3"/>
      <c r="O80" s="3"/>
      <c r="P80" s="3"/>
      <c r="Q80" s="3"/>
      <c r="R80" s="3"/>
      <c r="S80" s="3"/>
      <c r="T80" s="3"/>
      <c r="U80" s="3"/>
      <c r="V80" s="3"/>
      <c r="W80" s="3"/>
      <c r="X80" s="3"/>
      <c r="Y80" s="3"/>
    </row>
    <row r="81" spans="1:25" ht="12.75" customHeight="1">
      <c r="A81" s="3"/>
      <c r="B81" s="3"/>
      <c r="C81" s="3"/>
      <c r="D81" s="2"/>
      <c r="E81" s="2"/>
      <c r="F81" s="3"/>
      <c r="G81" s="3"/>
      <c r="H81" s="3"/>
      <c r="I81" s="3"/>
      <c r="J81" s="3"/>
      <c r="K81" s="3"/>
      <c r="L81" s="3"/>
      <c r="M81" s="3"/>
      <c r="N81" s="3"/>
      <c r="O81" s="3"/>
      <c r="P81" s="3"/>
      <c r="Q81" s="3"/>
      <c r="R81" s="3"/>
      <c r="S81" s="3"/>
      <c r="T81" s="3"/>
      <c r="U81" s="3"/>
      <c r="V81" s="3"/>
      <c r="W81" s="3"/>
      <c r="X81" s="3"/>
      <c r="Y81" s="3"/>
    </row>
    <row r="82" spans="1:25" ht="12.75" customHeight="1">
      <c r="A82" s="3"/>
      <c r="B82" s="3"/>
      <c r="C82" s="3"/>
      <c r="D82" s="2"/>
      <c r="E82" s="2"/>
      <c r="F82" s="3"/>
      <c r="G82" s="3"/>
      <c r="H82" s="3"/>
      <c r="I82" s="3"/>
      <c r="J82" s="3"/>
      <c r="K82" s="3"/>
      <c r="L82" s="3"/>
      <c r="M82" s="3"/>
      <c r="N82" s="3"/>
      <c r="O82" s="3"/>
      <c r="P82" s="3"/>
      <c r="Q82" s="3"/>
      <c r="R82" s="3"/>
      <c r="S82" s="3"/>
      <c r="T82" s="3"/>
      <c r="U82" s="3"/>
      <c r="V82" s="3"/>
      <c r="W82" s="3"/>
      <c r="X82" s="3"/>
      <c r="Y82" s="3"/>
    </row>
    <row r="83" spans="1:25" ht="12.75" customHeight="1">
      <c r="A83" s="3"/>
      <c r="B83" s="3"/>
      <c r="C83" s="3"/>
      <c r="D83" s="2"/>
      <c r="E83" s="2"/>
      <c r="F83" s="3"/>
      <c r="G83" s="3"/>
      <c r="H83" s="3"/>
      <c r="I83" s="3"/>
      <c r="J83" s="3"/>
      <c r="K83" s="3"/>
      <c r="L83" s="3"/>
      <c r="M83" s="3"/>
      <c r="N83" s="3"/>
      <c r="O83" s="3"/>
      <c r="P83" s="3"/>
      <c r="Q83" s="3"/>
      <c r="R83" s="3"/>
      <c r="S83" s="3"/>
      <c r="T83" s="3"/>
      <c r="U83" s="3"/>
      <c r="V83" s="3"/>
      <c r="W83" s="3"/>
      <c r="X83" s="3"/>
      <c r="Y83" s="3"/>
    </row>
    <row r="84" spans="1:25" ht="12.75" customHeight="1">
      <c r="A84" s="3"/>
      <c r="B84" s="3"/>
      <c r="C84" s="3"/>
      <c r="D84" s="2"/>
      <c r="E84" s="2"/>
      <c r="F84" s="3"/>
      <c r="G84" s="3"/>
      <c r="H84" s="3"/>
      <c r="I84" s="3"/>
      <c r="J84" s="3"/>
      <c r="K84" s="3"/>
      <c r="L84" s="3"/>
      <c r="M84" s="3"/>
      <c r="N84" s="3"/>
      <c r="O84" s="3"/>
      <c r="P84" s="3"/>
      <c r="Q84" s="3"/>
      <c r="R84" s="3"/>
      <c r="S84" s="3"/>
      <c r="T84" s="3"/>
      <c r="U84" s="3"/>
      <c r="V84" s="3"/>
      <c r="W84" s="3"/>
      <c r="X84" s="3"/>
      <c r="Y84" s="3"/>
    </row>
    <row r="85" spans="1:25" ht="12.75" customHeight="1">
      <c r="A85" s="3"/>
      <c r="B85" s="3"/>
      <c r="C85" s="3"/>
      <c r="D85" s="2"/>
      <c r="E85" s="2"/>
      <c r="F85" s="3"/>
      <c r="G85" s="3"/>
      <c r="H85" s="3"/>
      <c r="I85" s="3"/>
      <c r="J85" s="3"/>
      <c r="K85" s="3"/>
      <c r="L85" s="3"/>
      <c r="M85" s="3"/>
      <c r="N85" s="3"/>
      <c r="O85" s="3"/>
      <c r="P85" s="3"/>
      <c r="Q85" s="3"/>
      <c r="R85" s="3"/>
      <c r="S85" s="3"/>
      <c r="T85" s="3"/>
      <c r="U85" s="3"/>
      <c r="V85" s="3"/>
      <c r="W85" s="3"/>
      <c r="X85" s="3"/>
      <c r="Y85" s="3"/>
    </row>
    <row r="86" spans="1:25" ht="12.75" customHeight="1">
      <c r="A86" s="3"/>
      <c r="B86" s="3"/>
      <c r="C86" s="3"/>
      <c r="D86" s="2"/>
      <c r="E86" s="2"/>
      <c r="F86" s="3"/>
      <c r="G86" s="3"/>
      <c r="H86" s="3"/>
      <c r="I86" s="3"/>
      <c r="J86" s="3"/>
      <c r="K86" s="3"/>
      <c r="L86" s="3"/>
      <c r="M86" s="3"/>
      <c r="N86" s="3"/>
      <c r="O86" s="3"/>
      <c r="P86" s="3"/>
      <c r="Q86" s="3"/>
      <c r="R86" s="3"/>
      <c r="S86" s="3"/>
      <c r="T86" s="3"/>
      <c r="U86" s="3"/>
      <c r="V86" s="3"/>
      <c r="W86" s="3"/>
      <c r="X86" s="3"/>
      <c r="Y86" s="3"/>
    </row>
    <row r="87" spans="1:25" ht="12.75" customHeight="1">
      <c r="A87" s="3"/>
      <c r="B87" s="3"/>
      <c r="C87" s="3"/>
      <c r="D87" s="2"/>
      <c r="E87" s="2"/>
      <c r="F87" s="3"/>
      <c r="G87" s="3"/>
      <c r="H87" s="3"/>
      <c r="I87" s="3"/>
      <c r="J87" s="3"/>
      <c r="K87" s="3"/>
      <c r="L87" s="3"/>
      <c r="M87" s="3"/>
      <c r="N87" s="3"/>
      <c r="O87" s="3"/>
      <c r="P87" s="3"/>
      <c r="Q87" s="3"/>
      <c r="R87" s="3"/>
      <c r="S87" s="3"/>
      <c r="T87" s="3"/>
      <c r="U87" s="3"/>
      <c r="V87" s="3"/>
      <c r="W87" s="3"/>
      <c r="X87" s="3"/>
      <c r="Y87" s="3"/>
    </row>
    <row r="88" spans="1:25" ht="12.75" customHeight="1">
      <c r="A88" s="3"/>
      <c r="B88" s="3"/>
      <c r="C88" s="3"/>
      <c r="D88" s="2"/>
      <c r="E88" s="2"/>
      <c r="F88" s="3"/>
      <c r="G88" s="3"/>
      <c r="H88" s="3"/>
      <c r="I88" s="3"/>
      <c r="J88" s="3"/>
      <c r="K88" s="3"/>
      <c r="L88" s="3"/>
      <c r="M88" s="3"/>
      <c r="N88" s="3"/>
      <c r="O88" s="3"/>
      <c r="P88" s="3"/>
      <c r="Q88" s="3"/>
      <c r="R88" s="3"/>
      <c r="S88" s="3"/>
      <c r="T88" s="3"/>
      <c r="U88" s="3"/>
      <c r="V88" s="3"/>
      <c r="W88" s="3"/>
      <c r="X88" s="3"/>
      <c r="Y88" s="3"/>
    </row>
    <row r="89" spans="1:25" ht="12.75" customHeight="1">
      <c r="A89" s="3"/>
      <c r="B89" s="3"/>
      <c r="C89" s="3"/>
      <c r="D89" s="2"/>
      <c r="E89" s="2"/>
      <c r="F89" s="3"/>
      <c r="G89" s="3"/>
      <c r="H89" s="3"/>
      <c r="I89" s="3"/>
      <c r="J89" s="3"/>
      <c r="K89" s="3"/>
      <c r="L89" s="3"/>
      <c r="M89" s="3"/>
      <c r="N89" s="3"/>
      <c r="O89" s="3"/>
      <c r="P89" s="3"/>
      <c r="Q89" s="3"/>
      <c r="R89" s="3"/>
      <c r="S89" s="3"/>
      <c r="T89" s="3"/>
      <c r="U89" s="3"/>
      <c r="V89" s="3"/>
      <c r="W89" s="3"/>
      <c r="X89" s="3"/>
      <c r="Y89" s="3"/>
    </row>
    <row r="90" spans="1:25" ht="12.75" customHeight="1">
      <c r="A90" s="3"/>
      <c r="B90" s="3"/>
      <c r="C90" s="3"/>
      <c r="D90" s="2"/>
      <c r="E90" s="2"/>
      <c r="F90" s="3"/>
      <c r="G90" s="3"/>
      <c r="H90" s="3"/>
      <c r="I90" s="3"/>
      <c r="J90" s="3"/>
      <c r="K90" s="3"/>
      <c r="L90" s="3"/>
      <c r="M90" s="3"/>
      <c r="N90" s="3"/>
      <c r="O90" s="3"/>
      <c r="P90" s="3"/>
      <c r="Q90" s="3"/>
      <c r="R90" s="3"/>
      <c r="S90" s="3"/>
      <c r="T90" s="3"/>
      <c r="U90" s="3"/>
      <c r="V90" s="3"/>
      <c r="W90" s="3"/>
      <c r="X90" s="3"/>
      <c r="Y90" s="3"/>
    </row>
    <row r="91" spans="1:25" ht="12.75" customHeight="1">
      <c r="A91" s="3"/>
      <c r="B91" s="3"/>
      <c r="C91" s="3"/>
      <c r="D91" s="2"/>
      <c r="E91" s="2"/>
      <c r="F91" s="3"/>
      <c r="G91" s="3"/>
      <c r="H91" s="3"/>
      <c r="I91" s="3"/>
      <c r="J91" s="3"/>
      <c r="K91" s="3"/>
      <c r="L91" s="3"/>
      <c r="M91" s="3"/>
      <c r="N91" s="3"/>
      <c r="O91" s="3"/>
      <c r="P91" s="3"/>
      <c r="Q91" s="3"/>
      <c r="R91" s="3"/>
      <c r="S91" s="3"/>
      <c r="T91" s="3"/>
      <c r="U91" s="3"/>
      <c r="V91" s="3"/>
      <c r="W91" s="3"/>
      <c r="X91" s="3"/>
      <c r="Y91" s="3"/>
    </row>
    <row r="92" spans="1:25" ht="12.75" customHeight="1">
      <c r="A92" s="3"/>
      <c r="B92" s="3"/>
      <c r="C92" s="3"/>
      <c r="D92" s="2"/>
      <c r="E92" s="2"/>
      <c r="F92" s="3"/>
      <c r="G92" s="3"/>
      <c r="H92" s="3"/>
      <c r="I92" s="3"/>
      <c r="J92" s="3"/>
      <c r="K92" s="3"/>
      <c r="L92" s="3"/>
      <c r="M92" s="3"/>
      <c r="N92" s="3"/>
      <c r="O92" s="3"/>
      <c r="P92" s="3"/>
      <c r="Q92" s="3"/>
      <c r="R92" s="3"/>
      <c r="S92" s="3"/>
      <c r="T92" s="3"/>
      <c r="U92" s="3"/>
      <c r="V92" s="3"/>
      <c r="W92" s="3"/>
      <c r="X92" s="3"/>
      <c r="Y92" s="3"/>
    </row>
    <row r="93" spans="1:25" ht="12.75" customHeight="1">
      <c r="A93" s="3"/>
      <c r="B93" s="3"/>
      <c r="C93" s="3"/>
      <c r="D93" s="2"/>
      <c r="E93" s="2"/>
      <c r="F93" s="3"/>
      <c r="G93" s="3"/>
      <c r="H93" s="3"/>
      <c r="I93" s="3"/>
      <c r="J93" s="3"/>
      <c r="K93" s="3"/>
      <c r="L93" s="3"/>
      <c r="M93" s="3"/>
      <c r="N93" s="3"/>
      <c r="O93" s="3"/>
      <c r="P93" s="3"/>
      <c r="Q93" s="3"/>
      <c r="R93" s="3"/>
      <c r="S93" s="3"/>
      <c r="T93" s="3"/>
      <c r="U93" s="3"/>
      <c r="V93" s="3"/>
      <c r="W93" s="3"/>
      <c r="X93" s="3"/>
      <c r="Y93" s="3"/>
    </row>
    <row r="94" spans="1:25" ht="12.75" customHeight="1">
      <c r="A94" s="3"/>
      <c r="B94" s="3"/>
      <c r="C94" s="3"/>
      <c r="D94" s="2"/>
      <c r="E94" s="2"/>
      <c r="F94" s="3"/>
      <c r="G94" s="3"/>
      <c r="H94" s="3"/>
      <c r="I94" s="3"/>
      <c r="J94" s="3"/>
      <c r="K94" s="3"/>
      <c r="L94" s="3"/>
      <c r="M94" s="3"/>
      <c r="N94" s="3"/>
      <c r="O94" s="3"/>
      <c r="P94" s="3"/>
      <c r="Q94" s="3"/>
      <c r="R94" s="3"/>
      <c r="S94" s="3"/>
      <c r="T94" s="3"/>
      <c r="U94" s="3"/>
      <c r="V94" s="3"/>
      <c r="W94" s="3"/>
      <c r="X94" s="3"/>
      <c r="Y94" s="3"/>
    </row>
    <row r="95" spans="1:25" ht="12.75" customHeight="1">
      <c r="A95" s="3"/>
      <c r="B95" s="3"/>
      <c r="C95" s="3"/>
      <c r="D95" s="2"/>
      <c r="E95" s="2"/>
      <c r="F95" s="3"/>
      <c r="G95" s="3"/>
      <c r="H95" s="3"/>
      <c r="I95" s="3"/>
      <c r="J95" s="3"/>
      <c r="K95" s="3"/>
      <c r="L95" s="3"/>
      <c r="M95" s="3"/>
      <c r="N95" s="3"/>
      <c r="O95" s="3"/>
      <c r="P95" s="3"/>
      <c r="Q95" s="3"/>
      <c r="R95" s="3"/>
      <c r="S95" s="3"/>
      <c r="T95" s="3"/>
      <c r="U95" s="3"/>
      <c r="V95" s="3"/>
      <c r="W95" s="3"/>
      <c r="X95" s="3"/>
      <c r="Y95" s="3"/>
    </row>
    <row r="96" spans="1:25" ht="12.75" customHeight="1">
      <c r="A96" s="3"/>
      <c r="B96" s="3"/>
      <c r="C96" s="3"/>
      <c r="D96" s="2"/>
      <c r="E96" s="2"/>
      <c r="F96" s="3"/>
      <c r="G96" s="3"/>
      <c r="H96" s="3"/>
      <c r="I96" s="3"/>
      <c r="J96" s="3"/>
      <c r="K96" s="3"/>
      <c r="L96" s="3"/>
      <c r="M96" s="3"/>
      <c r="N96" s="3"/>
      <c r="O96" s="3"/>
      <c r="P96" s="3"/>
      <c r="Q96" s="3"/>
      <c r="R96" s="3"/>
      <c r="S96" s="3"/>
      <c r="T96" s="3"/>
      <c r="U96" s="3"/>
      <c r="V96" s="3"/>
      <c r="W96" s="3"/>
      <c r="X96" s="3"/>
      <c r="Y96" s="3"/>
    </row>
    <row r="97" spans="1:25" ht="12.75" customHeight="1">
      <c r="A97" s="3"/>
      <c r="B97" s="3"/>
      <c r="C97" s="3"/>
      <c r="D97" s="2"/>
      <c r="E97" s="2"/>
      <c r="F97" s="3"/>
      <c r="G97" s="3"/>
      <c r="H97" s="3"/>
      <c r="I97" s="3"/>
      <c r="J97" s="3"/>
      <c r="K97" s="3"/>
      <c r="L97" s="3"/>
      <c r="M97" s="3"/>
      <c r="N97" s="3"/>
      <c r="O97" s="3"/>
      <c r="P97" s="3"/>
      <c r="Q97" s="3"/>
      <c r="R97" s="3"/>
      <c r="S97" s="3"/>
      <c r="T97" s="3"/>
      <c r="U97" s="3"/>
      <c r="V97" s="3"/>
      <c r="W97" s="3"/>
      <c r="X97" s="3"/>
      <c r="Y97" s="3"/>
    </row>
    <row r="98" spans="1:25" ht="12.75" customHeight="1">
      <c r="A98" s="3"/>
      <c r="B98" s="3"/>
      <c r="C98" s="3"/>
      <c r="D98" s="2"/>
      <c r="E98" s="2"/>
      <c r="F98" s="3"/>
      <c r="G98" s="3"/>
      <c r="H98" s="3"/>
      <c r="I98" s="3"/>
      <c r="J98" s="3"/>
      <c r="K98" s="3"/>
      <c r="L98" s="3"/>
      <c r="M98" s="3"/>
      <c r="N98" s="3"/>
      <c r="O98" s="3"/>
      <c r="P98" s="3"/>
      <c r="Q98" s="3"/>
      <c r="R98" s="3"/>
      <c r="S98" s="3"/>
      <c r="T98" s="3"/>
      <c r="U98" s="3"/>
      <c r="V98" s="3"/>
      <c r="W98" s="3"/>
      <c r="X98" s="3"/>
      <c r="Y98" s="3"/>
    </row>
    <row r="99" spans="1:25" ht="12.75" customHeight="1">
      <c r="A99" s="3"/>
      <c r="B99" s="3"/>
      <c r="C99" s="3"/>
      <c r="D99" s="2"/>
      <c r="E99" s="2"/>
      <c r="F99" s="3"/>
      <c r="G99" s="3"/>
      <c r="H99" s="3"/>
      <c r="I99" s="3"/>
      <c r="J99" s="3"/>
      <c r="K99" s="3"/>
      <c r="L99" s="3"/>
      <c r="M99" s="3"/>
      <c r="N99" s="3"/>
      <c r="O99" s="3"/>
      <c r="P99" s="3"/>
      <c r="Q99" s="3"/>
      <c r="R99" s="3"/>
      <c r="S99" s="3"/>
      <c r="T99" s="3"/>
      <c r="U99" s="3"/>
      <c r="V99" s="3"/>
      <c r="W99" s="3"/>
      <c r="X99" s="3"/>
      <c r="Y99" s="3"/>
    </row>
    <row r="100" spans="1:25" ht="12.75" customHeight="1">
      <c r="A100" s="3"/>
      <c r="B100" s="3"/>
      <c r="C100" s="3"/>
      <c r="D100" s="2"/>
      <c r="E100" s="2"/>
      <c r="F100" s="3"/>
      <c r="G100" s="3"/>
      <c r="H100" s="3"/>
      <c r="I100" s="3"/>
      <c r="J100" s="3"/>
      <c r="K100" s="3"/>
      <c r="L100" s="3"/>
      <c r="M100" s="3"/>
      <c r="N100" s="3"/>
      <c r="O100" s="3"/>
      <c r="P100" s="3"/>
      <c r="Q100" s="3"/>
      <c r="R100" s="3"/>
      <c r="S100" s="3"/>
      <c r="T100" s="3"/>
      <c r="U100" s="3"/>
      <c r="V100" s="3"/>
      <c r="W100" s="3"/>
      <c r="X100" s="3"/>
      <c r="Y100" s="3"/>
    </row>
    <row r="101" spans="1:25" ht="12.75" customHeight="1">
      <c r="A101" s="3"/>
      <c r="B101" s="3"/>
      <c r="C101" s="3"/>
      <c r="D101" s="2"/>
      <c r="E101" s="2"/>
      <c r="F101" s="3"/>
      <c r="G101" s="3"/>
      <c r="H101" s="3"/>
      <c r="I101" s="3"/>
      <c r="J101" s="3"/>
      <c r="K101" s="3"/>
      <c r="L101" s="3"/>
      <c r="M101" s="3"/>
      <c r="N101" s="3"/>
      <c r="O101" s="3"/>
      <c r="P101" s="3"/>
      <c r="Q101" s="3"/>
      <c r="R101" s="3"/>
      <c r="S101" s="3"/>
      <c r="T101" s="3"/>
      <c r="U101" s="3"/>
      <c r="V101" s="3"/>
      <c r="W101" s="3"/>
      <c r="X101" s="3"/>
      <c r="Y101" s="3"/>
    </row>
    <row r="102" spans="1:25" ht="12.75" customHeight="1">
      <c r="A102" s="3"/>
      <c r="B102" s="3"/>
      <c r="C102" s="3"/>
      <c r="D102" s="2"/>
      <c r="E102" s="2"/>
      <c r="F102" s="3"/>
      <c r="G102" s="3"/>
      <c r="H102" s="3"/>
      <c r="I102" s="3"/>
      <c r="J102" s="3"/>
      <c r="K102" s="3"/>
      <c r="L102" s="3"/>
      <c r="M102" s="3"/>
      <c r="N102" s="3"/>
      <c r="O102" s="3"/>
      <c r="P102" s="3"/>
      <c r="Q102" s="3"/>
      <c r="R102" s="3"/>
      <c r="S102" s="3"/>
      <c r="T102" s="3"/>
      <c r="U102" s="3"/>
      <c r="V102" s="3"/>
      <c r="W102" s="3"/>
      <c r="X102" s="3"/>
      <c r="Y102" s="3"/>
    </row>
    <row r="103" spans="1:25" ht="12.75" customHeight="1">
      <c r="A103" s="3"/>
      <c r="B103" s="3"/>
      <c r="C103" s="3"/>
      <c r="D103" s="2"/>
      <c r="E103" s="2"/>
      <c r="F103" s="3"/>
      <c r="G103" s="3"/>
      <c r="H103" s="3"/>
      <c r="I103" s="3"/>
      <c r="J103" s="3"/>
      <c r="K103" s="3"/>
      <c r="L103" s="3"/>
      <c r="M103" s="3"/>
      <c r="N103" s="3"/>
      <c r="O103" s="3"/>
      <c r="P103" s="3"/>
      <c r="Q103" s="3"/>
      <c r="R103" s="3"/>
      <c r="S103" s="3"/>
      <c r="T103" s="3"/>
      <c r="U103" s="3"/>
      <c r="V103" s="3"/>
      <c r="W103" s="3"/>
      <c r="X103" s="3"/>
      <c r="Y103" s="3"/>
    </row>
    <row r="104" spans="1:25" ht="12.75" customHeight="1">
      <c r="A104" s="3"/>
      <c r="B104" s="3"/>
      <c r="C104" s="3"/>
      <c r="D104" s="2"/>
      <c r="E104" s="2"/>
      <c r="F104" s="3"/>
      <c r="G104" s="3"/>
      <c r="H104" s="3"/>
      <c r="I104" s="3"/>
      <c r="J104" s="3"/>
      <c r="K104" s="3"/>
      <c r="L104" s="3"/>
      <c r="M104" s="3"/>
      <c r="N104" s="3"/>
      <c r="O104" s="3"/>
      <c r="P104" s="3"/>
      <c r="Q104" s="3"/>
      <c r="R104" s="3"/>
      <c r="S104" s="3"/>
      <c r="T104" s="3"/>
      <c r="U104" s="3"/>
      <c r="V104" s="3"/>
      <c r="W104" s="3"/>
      <c r="X104" s="3"/>
      <c r="Y104" s="3"/>
    </row>
    <row r="105" spans="1:25" ht="12.75" customHeight="1">
      <c r="A105" s="3"/>
      <c r="B105" s="3"/>
      <c r="C105" s="3"/>
      <c r="D105" s="2"/>
      <c r="E105" s="2"/>
      <c r="F105" s="3"/>
      <c r="G105" s="3"/>
      <c r="H105" s="3"/>
      <c r="I105" s="3"/>
      <c r="J105" s="3"/>
      <c r="K105" s="3"/>
      <c r="L105" s="3"/>
      <c r="M105" s="3"/>
      <c r="N105" s="3"/>
      <c r="O105" s="3"/>
      <c r="P105" s="3"/>
      <c r="Q105" s="3"/>
      <c r="R105" s="3"/>
      <c r="S105" s="3"/>
      <c r="T105" s="3"/>
      <c r="U105" s="3"/>
      <c r="V105" s="3"/>
      <c r="W105" s="3"/>
      <c r="X105" s="3"/>
      <c r="Y105" s="3"/>
    </row>
    <row r="106" spans="1:25" ht="12.75" customHeight="1">
      <c r="A106" s="3"/>
      <c r="B106" s="3"/>
      <c r="C106" s="3"/>
      <c r="D106" s="2"/>
      <c r="E106" s="2"/>
      <c r="F106" s="3"/>
      <c r="G106" s="3"/>
      <c r="H106" s="3"/>
      <c r="I106" s="3"/>
      <c r="J106" s="3"/>
      <c r="K106" s="3"/>
      <c r="L106" s="3"/>
      <c r="M106" s="3"/>
      <c r="N106" s="3"/>
      <c r="O106" s="3"/>
      <c r="P106" s="3"/>
      <c r="Q106" s="3"/>
      <c r="R106" s="3"/>
      <c r="S106" s="3"/>
      <c r="T106" s="3"/>
      <c r="U106" s="3"/>
      <c r="V106" s="3"/>
      <c r="W106" s="3"/>
      <c r="X106" s="3"/>
      <c r="Y106" s="3"/>
    </row>
    <row r="107" spans="1:25" ht="12.75" customHeight="1">
      <c r="A107" s="3"/>
      <c r="B107" s="3"/>
      <c r="C107" s="3"/>
      <c r="D107" s="2"/>
      <c r="E107" s="2"/>
      <c r="F107" s="3"/>
      <c r="G107" s="3"/>
      <c r="H107" s="3"/>
      <c r="I107" s="3"/>
      <c r="J107" s="3"/>
      <c r="K107" s="3"/>
      <c r="L107" s="3"/>
      <c r="M107" s="3"/>
      <c r="N107" s="3"/>
      <c r="O107" s="3"/>
      <c r="P107" s="3"/>
      <c r="Q107" s="3"/>
      <c r="R107" s="3"/>
      <c r="S107" s="3"/>
      <c r="T107" s="3"/>
      <c r="U107" s="3"/>
      <c r="V107" s="3"/>
      <c r="W107" s="3"/>
      <c r="X107" s="3"/>
      <c r="Y107" s="3"/>
    </row>
    <row r="108" spans="1:25" ht="12.75" customHeight="1">
      <c r="A108" s="3"/>
      <c r="B108" s="3"/>
      <c r="C108" s="3"/>
      <c r="D108" s="2"/>
      <c r="E108" s="2"/>
      <c r="F108" s="3"/>
      <c r="G108" s="3"/>
      <c r="H108" s="3"/>
      <c r="I108" s="3"/>
      <c r="J108" s="3"/>
      <c r="K108" s="3"/>
      <c r="L108" s="3"/>
      <c r="M108" s="3"/>
      <c r="N108" s="3"/>
      <c r="O108" s="3"/>
      <c r="P108" s="3"/>
      <c r="Q108" s="3"/>
      <c r="R108" s="3"/>
      <c r="S108" s="3"/>
      <c r="T108" s="3"/>
      <c r="U108" s="3"/>
      <c r="V108" s="3"/>
      <c r="W108" s="3"/>
      <c r="X108" s="3"/>
      <c r="Y108" s="3"/>
    </row>
    <row r="109" spans="1:25" ht="12.75" customHeight="1">
      <c r="A109" s="3"/>
      <c r="B109" s="3"/>
      <c r="C109" s="3"/>
      <c r="D109" s="2"/>
      <c r="E109" s="2"/>
      <c r="F109" s="3"/>
      <c r="G109" s="3"/>
      <c r="H109" s="3"/>
      <c r="I109" s="3"/>
      <c r="J109" s="3"/>
      <c r="K109" s="3"/>
      <c r="L109" s="3"/>
      <c r="M109" s="3"/>
      <c r="N109" s="3"/>
      <c r="O109" s="3"/>
      <c r="P109" s="3"/>
      <c r="Q109" s="3"/>
      <c r="R109" s="3"/>
      <c r="S109" s="3"/>
      <c r="T109" s="3"/>
      <c r="U109" s="3"/>
      <c r="V109" s="3"/>
      <c r="W109" s="3"/>
      <c r="X109" s="3"/>
      <c r="Y109" s="3"/>
    </row>
    <row r="110" spans="1:25" ht="12.75" customHeight="1">
      <c r="A110" s="3"/>
      <c r="B110" s="3"/>
      <c r="C110" s="3"/>
      <c r="D110" s="2"/>
      <c r="E110" s="2"/>
      <c r="F110" s="3"/>
      <c r="G110" s="3"/>
      <c r="H110" s="3"/>
      <c r="I110" s="3"/>
      <c r="J110" s="3"/>
      <c r="K110" s="3"/>
      <c r="L110" s="3"/>
      <c r="M110" s="3"/>
      <c r="N110" s="3"/>
      <c r="O110" s="3"/>
      <c r="P110" s="3"/>
      <c r="Q110" s="3"/>
      <c r="R110" s="3"/>
      <c r="S110" s="3"/>
      <c r="T110" s="3"/>
      <c r="U110" s="3"/>
      <c r="V110" s="3"/>
      <c r="W110" s="3"/>
      <c r="X110" s="3"/>
      <c r="Y110" s="3"/>
    </row>
    <row r="111" spans="1:25" ht="12.75" customHeight="1">
      <c r="A111" s="3"/>
      <c r="B111" s="3"/>
      <c r="C111" s="3"/>
      <c r="D111" s="2"/>
      <c r="E111" s="2"/>
      <c r="F111" s="3"/>
      <c r="G111" s="3"/>
      <c r="H111" s="3"/>
      <c r="I111" s="3"/>
      <c r="J111" s="3"/>
      <c r="K111" s="3"/>
      <c r="L111" s="3"/>
      <c r="M111" s="3"/>
      <c r="N111" s="3"/>
      <c r="O111" s="3"/>
      <c r="P111" s="3"/>
      <c r="Q111" s="3"/>
      <c r="R111" s="3"/>
      <c r="S111" s="3"/>
      <c r="T111" s="3"/>
      <c r="U111" s="3"/>
      <c r="V111" s="3"/>
      <c r="W111" s="3"/>
      <c r="X111" s="3"/>
      <c r="Y111" s="3"/>
    </row>
    <row r="112" spans="1:25" ht="12.75" customHeight="1">
      <c r="A112" s="3"/>
      <c r="B112" s="3"/>
      <c r="C112" s="3"/>
      <c r="D112" s="2"/>
      <c r="E112" s="2"/>
      <c r="F112" s="3"/>
      <c r="G112" s="3"/>
      <c r="H112" s="3"/>
      <c r="I112" s="3"/>
      <c r="J112" s="3"/>
      <c r="K112" s="3"/>
      <c r="L112" s="3"/>
      <c r="M112" s="3"/>
      <c r="N112" s="3"/>
      <c r="O112" s="3"/>
      <c r="P112" s="3"/>
      <c r="Q112" s="3"/>
      <c r="R112" s="3"/>
      <c r="S112" s="3"/>
      <c r="T112" s="3"/>
      <c r="U112" s="3"/>
      <c r="V112" s="3"/>
      <c r="W112" s="3"/>
      <c r="X112" s="3"/>
      <c r="Y112" s="3"/>
    </row>
    <row r="113" spans="1:25" ht="12.75" customHeight="1">
      <c r="A113" s="3"/>
      <c r="B113" s="3"/>
      <c r="C113" s="3"/>
      <c r="D113" s="2"/>
      <c r="E113" s="2"/>
      <c r="F113" s="3"/>
      <c r="G113" s="3"/>
      <c r="H113" s="3"/>
      <c r="I113" s="3"/>
      <c r="J113" s="3"/>
      <c r="K113" s="3"/>
      <c r="L113" s="3"/>
      <c r="M113" s="3"/>
      <c r="N113" s="3"/>
      <c r="O113" s="3"/>
      <c r="P113" s="3"/>
      <c r="Q113" s="3"/>
      <c r="R113" s="3"/>
      <c r="S113" s="3"/>
      <c r="T113" s="3"/>
      <c r="U113" s="3"/>
      <c r="V113" s="3"/>
      <c r="W113" s="3"/>
      <c r="X113" s="3"/>
      <c r="Y113" s="3"/>
    </row>
    <row r="114" spans="1:25" ht="12.75" customHeight="1">
      <c r="A114" s="3"/>
      <c r="B114" s="3"/>
      <c r="C114" s="3"/>
      <c r="D114" s="2"/>
      <c r="E114" s="2"/>
      <c r="F114" s="3"/>
      <c r="G114" s="3"/>
      <c r="H114" s="3"/>
      <c r="I114" s="3"/>
      <c r="J114" s="3"/>
      <c r="K114" s="3"/>
      <c r="L114" s="3"/>
      <c r="M114" s="3"/>
      <c r="N114" s="3"/>
      <c r="O114" s="3"/>
      <c r="P114" s="3"/>
      <c r="Q114" s="3"/>
      <c r="R114" s="3"/>
      <c r="S114" s="3"/>
      <c r="T114" s="3"/>
      <c r="U114" s="3"/>
      <c r="V114" s="3"/>
      <c r="W114" s="3"/>
      <c r="X114" s="3"/>
      <c r="Y114" s="3"/>
    </row>
    <row r="115" spans="1:25" ht="12.75" customHeight="1">
      <c r="A115" s="3"/>
      <c r="B115" s="3"/>
      <c r="C115" s="3"/>
      <c r="D115" s="2"/>
      <c r="E115" s="2"/>
      <c r="F115" s="3"/>
      <c r="G115" s="3"/>
      <c r="H115" s="3"/>
      <c r="I115" s="3"/>
      <c r="J115" s="3"/>
      <c r="K115" s="3"/>
      <c r="L115" s="3"/>
      <c r="M115" s="3"/>
      <c r="N115" s="3"/>
      <c r="O115" s="3"/>
      <c r="P115" s="3"/>
      <c r="Q115" s="3"/>
      <c r="R115" s="3"/>
      <c r="S115" s="3"/>
      <c r="T115" s="3"/>
      <c r="U115" s="3"/>
      <c r="V115" s="3"/>
      <c r="W115" s="3"/>
      <c r="X115" s="3"/>
      <c r="Y115" s="3"/>
    </row>
    <row r="116" spans="1:25" ht="12.75" customHeight="1">
      <c r="A116" s="3"/>
      <c r="B116" s="3"/>
      <c r="C116" s="3"/>
      <c r="D116" s="2"/>
      <c r="E116" s="2"/>
      <c r="F116" s="3"/>
      <c r="G116" s="3"/>
      <c r="H116" s="3"/>
      <c r="I116" s="3"/>
      <c r="J116" s="3"/>
      <c r="K116" s="3"/>
      <c r="L116" s="3"/>
      <c r="M116" s="3"/>
      <c r="N116" s="3"/>
      <c r="O116" s="3"/>
      <c r="P116" s="3"/>
      <c r="Q116" s="3"/>
      <c r="R116" s="3"/>
      <c r="S116" s="3"/>
      <c r="T116" s="3"/>
      <c r="U116" s="3"/>
      <c r="V116" s="3"/>
      <c r="W116" s="3"/>
      <c r="X116" s="3"/>
      <c r="Y116" s="3"/>
    </row>
    <row r="117" spans="1:25" ht="12.75" customHeight="1">
      <c r="A117" s="3"/>
      <c r="B117" s="3"/>
      <c r="C117" s="3"/>
      <c r="D117" s="2"/>
      <c r="E117" s="2"/>
      <c r="F117" s="3"/>
      <c r="G117" s="3"/>
      <c r="H117" s="3"/>
      <c r="I117" s="3"/>
      <c r="J117" s="3"/>
      <c r="K117" s="3"/>
      <c r="L117" s="3"/>
      <c r="M117" s="3"/>
      <c r="N117" s="3"/>
      <c r="O117" s="3"/>
      <c r="P117" s="3"/>
      <c r="Q117" s="3"/>
      <c r="R117" s="3"/>
      <c r="S117" s="3"/>
      <c r="T117" s="3"/>
      <c r="U117" s="3"/>
      <c r="V117" s="3"/>
      <c r="W117" s="3"/>
      <c r="X117" s="3"/>
      <c r="Y117" s="3"/>
    </row>
    <row r="118" spans="1:25" ht="12.75" customHeight="1">
      <c r="A118" s="3"/>
      <c r="B118" s="3"/>
      <c r="C118" s="3"/>
      <c r="D118" s="2"/>
      <c r="E118" s="2"/>
      <c r="F118" s="3"/>
      <c r="G118" s="3"/>
      <c r="H118" s="3"/>
      <c r="I118" s="3"/>
      <c r="J118" s="3"/>
      <c r="K118" s="3"/>
      <c r="L118" s="3"/>
      <c r="M118" s="3"/>
      <c r="N118" s="3"/>
      <c r="O118" s="3"/>
      <c r="P118" s="3"/>
      <c r="Q118" s="3"/>
      <c r="R118" s="3"/>
      <c r="S118" s="3"/>
      <c r="T118" s="3"/>
      <c r="U118" s="3"/>
      <c r="V118" s="3"/>
      <c r="W118" s="3"/>
      <c r="X118" s="3"/>
      <c r="Y118" s="3"/>
    </row>
    <row r="119" spans="1:25" ht="12.75" customHeight="1">
      <c r="A119" s="3"/>
      <c r="B119" s="3"/>
      <c r="C119" s="3"/>
      <c r="D119" s="2"/>
      <c r="E119" s="2"/>
      <c r="F119" s="3"/>
      <c r="G119" s="3"/>
      <c r="H119" s="3"/>
      <c r="I119" s="3"/>
      <c r="J119" s="3"/>
      <c r="K119" s="3"/>
      <c r="L119" s="3"/>
      <c r="M119" s="3"/>
      <c r="N119" s="3"/>
      <c r="O119" s="3"/>
      <c r="P119" s="3"/>
      <c r="Q119" s="3"/>
      <c r="R119" s="3"/>
      <c r="S119" s="3"/>
      <c r="T119" s="3"/>
      <c r="U119" s="3"/>
      <c r="V119" s="3"/>
      <c r="W119" s="3"/>
      <c r="X119" s="3"/>
      <c r="Y119" s="3"/>
    </row>
    <row r="120" spans="1:25" ht="12.75" customHeight="1">
      <c r="A120" s="3"/>
      <c r="B120" s="3"/>
      <c r="C120" s="3"/>
      <c r="D120" s="2"/>
      <c r="E120" s="2"/>
      <c r="F120" s="3"/>
      <c r="G120" s="3"/>
      <c r="H120" s="3"/>
      <c r="I120" s="3"/>
      <c r="J120" s="3"/>
      <c r="K120" s="3"/>
      <c r="L120" s="3"/>
      <c r="M120" s="3"/>
      <c r="N120" s="3"/>
      <c r="O120" s="3"/>
      <c r="P120" s="3"/>
      <c r="Q120" s="3"/>
      <c r="R120" s="3"/>
      <c r="S120" s="3"/>
      <c r="T120" s="3"/>
      <c r="U120" s="3"/>
      <c r="V120" s="3"/>
      <c r="W120" s="3"/>
      <c r="X120" s="3"/>
      <c r="Y120" s="3"/>
    </row>
    <row r="121" spans="1:25" ht="12.75" customHeight="1">
      <c r="A121" s="3"/>
      <c r="B121" s="3"/>
      <c r="C121" s="3"/>
      <c r="D121" s="2"/>
      <c r="E121" s="2"/>
      <c r="F121" s="3"/>
      <c r="G121" s="3"/>
      <c r="H121" s="3"/>
      <c r="I121" s="3"/>
      <c r="J121" s="3"/>
      <c r="K121" s="3"/>
      <c r="L121" s="3"/>
      <c r="M121" s="3"/>
      <c r="N121" s="3"/>
      <c r="O121" s="3"/>
      <c r="P121" s="3"/>
      <c r="Q121" s="3"/>
      <c r="R121" s="3"/>
      <c r="S121" s="3"/>
      <c r="T121" s="3"/>
      <c r="U121" s="3"/>
      <c r="V121" s="3"/>
      <c r="W121" s="3"/>
      <c r="X121" s="3"/>
      <c r="Y121" s="3"/>
    </row>
    <row r="122" spans="1:25" ht="12.75" customHeight="1">
      <c r="A122" s="3"/>
      <c r="B122" s="3"/>
      <c r="C122" s="3"/>
      <c r="D122" s="2"/>
      <c r="E122" s="2"/>
      <c r="F122" s="3"/>
      <c r="G122" s="3"/>
      <c r="H122" s="3"/>
      <c r="I122" s="3"/>
      <c r="J122" s="3"/>
      <c r="K122" s="3"/>
      <c r="L122" s="3"/>
      <c r="M122" s="3"/>
      <c r="N122" s="3"/>
      <c r="O122" s="3"/>
      <c r="P122" s="3"/>
      <c r="Q122" s="3"/>
      <c r="R122" s="3"/>
      <c r="S122" s="3"/>
      <c r="T122" s="3"/>
      <c r="U122" s="3"/>
      <c r="V122" s="3"/>
      <c r="W122" s="3"/>
      <c r="X122" s="3"/>
      <c r="Y122" s="3"/>
    </row>
    <row r="123" spans="1:25" ht="12.75" customHeight="1">
      <c r="A123" s="3"/>
      <c r="B123" s="3"/>
      <c r="C123" s="3"/>
      <c r="D123" s="2"/>
      <c r="E123" s="2"/>
      <c r="F123" s="3"/>
      <c r="G123" s="3"/>
      <c r="H123" s="3"/>
      <c r="I123" s="3"/>
      <c r="J123" s="3"/>
      <c r="K123" s="3"/>
      <c r="L123" s="3"/>
      <c r="M123" s="3"/>
      <c r="N123" s="3"/>
      <c r="O123" s="3"/>
      <c r="P123" s="3"/>
      <c r="Q123" s="3"/>
      <c r="R123" s="3"/>
      <c r="S123" s="3"/>
      <c r="T123" s="3"/>
      <c r="U123" s="3"/>
      <c r="V123" s="3"/>
      <c r="W123" s="3"/>
      <c r="X123" s="3"/>
      <c r="Y123" s="3"/>
    </row>
    <row r="124" spans="1:25" ht="12.75" customHeight="1">
      <c r="A124" s="3"/>
      <c r="B124" s="3"/>
      <c r="C124" s="3"/>
      <c r="D124" s="2"/>
      <c r="E124" s="2"/>
      <c r="F124" s="3"/>
      <c r="G124" s="3"/>
      <c r="H124" s="3"/>
      <c r="I124" s="3"/>
      <c r="J124" s="3"/>
      <c r="K124" s="3"/>
      <c r="L124" s="3"/>
      <c r="M124" s="3"/>
      <c r="N124" s="3"/>
      <c r="O124" s="3"/>
      <c r="P124" s="3"/>
      <c r="Q124" s="3"/>
      <c r="R124" s="3"/>
      <c r="S124" s="3"/>
      <c r="T124" s="3"/>
      <c r="U124" s="3"/>
      <c r="V124" s="3"/>
      <c r="W124" s="3"/>
      <c r="X124" s="3"/>
      <c r="Y124" s="3"/>
    </row>
    <row r="125" spans="1:25" ht="12.75" customHeight="1">
      <c r="A125" s="3"/>
      <c r="B125" s="3"/>
      <c r="C125" s="3"/>
      <c r="D125" s="2"/>
      <c r="E125" s="2"/>
      <c r="F125" s="3"/>
      <c r="G125" s="3"/>
      <c r="H125" s="3"/>
      <c r="I125" s="3"/>
      <c r="J125" s="3"/>
      <c r="K125" s="3"/>
      <c r="L125" s="3"/>
      <c r="M125" s="3"/>
      <c r="N125" s="3"/>
      <c r="O125" s="3"/>
      <c r="P125" s="3"/>
      <c r="Q125" s="3"/>
      <c r="R125" s="3"/>
      <c r="S125" s="3"/>
      <c r="T125" s="3"/>
      <c r="U125" s="3"/>
      <c r="V125" s="3"/>
      <c r="W125" s="3"/>
      <c r="X125" s="3"/>
      <c r="Y125" s="3"/>
    </row>
    <row r="126" spans="1:25" ht="12.75" customHeight="1">
      <c r="A126" s="3"/>
      <c r="B126" s="3"/>
      <c r="C126" s="3"/>
      <c r="D126" s="2"/>
      <c r="E126" s="2"/>
      <c r="F126" s="3"/>
      <c r="G126" s="3"/>
      <c r="H126" s="3"/>
      <c r="I126" s="3"/>
      <c r="J126" s="3"/>
      <c r="K126" s="3"/>
      <c r="L126" s="3"/>
      <c r="M126" s="3"/>
      <c r="N126" s="3"/>
      <c r="O126" s="3"/>
      <c r="P126" s="3"/>
      <c r="Q126" s="3"/>
      <c r="R126" s="3"/>
      <c r="S126" s="3"/>
      <c r="T126" s="3"/>
      <c r="U126" s="3"/>
      <c r="V126" s="3"/>
      <c r="W126" s="3"/>
      <c r="X126" s="3"/>
      <c r="Y126" s="3"/>
    </row>
    <row r="127" spans="1:25" ht="12.75" customHeight="1">
      <c r="A127" s="3"/>
      <c r="B127" s="3"/>
      <c r="C127" s="3"/>
      <c r="D127" s="2"/>
      <c r="E127" s="2"/>
      <c r="F127" s="3"/>
      <c r="G127" s="3"/>
      <c r="H127" s="3"/>
      <c r="I127" s="3"/>
      <c r="J127" s="3"/>
      <c r="K127" s="3"/>
      <c r="L127" s="3"/>
      <c r="M127" s="3"/>
      <c r="N127" s="3"/>
      <c r="O127" s="3"/>
      <c r="P127" s="3"/>
      <c r="Q127" s="3"/>
      <c r="R127" s="3"/>
      <c r="S127" s="3"/>
      <c r="T127" s="3"/>
      <c r="U127" s="3"/>
      <c r="V127" s="3"/>
      <c r="W127" s="3"/>
      <c r="X127" s="3"/>
      <c r="Y127" s="3"/>
    </row>
    <row r="128" spans="1:25" ht="12.75" customHeight="1">
      <c r="A128" s="3"/>
      <c r="B128" s="3"/>
      <c r="C128" s="3"/>
      <c r="D128" s="2"/>
      <c r="E128" s="2"/>
      <c r="F128" s="3"/>
      <c r="G128" s="3"/>
      <c r="H128" s="3"/>
      <c r="I128" s="3"/>
      <c r="J128" s="3"/>
      <c r="K128" s="3"/>
      <c r="L128" s="3"/>
      <c r="M128" s="3"/>
      <c r="N128" s="3"/>
      <c r="O128" s="3"/>
      <c r="P128" s="3"/>
      <c r="Q128" s="3"/>
      <c r="R128" s="3"/>
      <c r="S128" s="3"/>
      <c r="T128" s="3"/>
      <c r="U128" s="3"/>
      <c r="V128" s="3"/>
      <c r="W128" s="3"/>
      <c r="X128" s="3"/>
      <c r="Y128" s="3"/>
    </row>
    <row r="129" spans="1:25" ht="12.75" customHeight="1">
      <c r="A129" s="3"/>
      <c r="B129" s="3"/>
      <c r="C129" s="3"/>
      <c r="D129" s="2"/>
      <c r="E129" s="2"/>
      <c r="F129" s="3"/>
      <c r="G129" s="3"/>
      <c r="H129" s="3"/>
      <c r="I129" s="3"/>
      <c r="J129" s="3"/>
      <c r="K129" s="3"/>
      <c r="L129" s="3"/>
      <c r="M129" s="3"/>
      <c r="N129" s="3"/>
      <c r="O129" s="3"/>
      <c r="P129" s="3"/>
      <c r="Q129" s="3"/>
      <c r="R129" s="3"/>
      <c r="S129" s="3"/>
      <c r="T129" s="3"/>
      <c r="U129" s="3"/>
      <c r="V129" s="3"/>
      <c r="W129" s="3"/>
      <c r="X129" s="3"/>
      <c r="Y129" s="3"/>
    </row>
    <row r="130" spans="1:25" ht="12.75" customHeight="1">
      <c r="A130" s="3"/>
      <c r="B130" s="3"/>
      <c r="C130" s="3"/>
      <c r="D130" s="2"/>
      <c r="E130" s="2"/>
      <c r="F130" s="3"/>
      <c r="G130" s="3"/>
      <c r="H130" s="3"/>
      <c r="I130" s="3"/>
      <c r="J130" s="3"/>
      <c r="K130" s="3"/>
      <c r="L130" s="3"/>
      <c r="M130" s="3"/>
      <c r="N130" s="3"/>
      <c r="O130" s="3"/>
      <c r="P130" s="3"/>
      <c r="Q130" s="3"/>
      <c r="R130" s="3"/>
      <c r="S130" s="3"/>
      <c r="T130" s="3"/>
      <c r="U130" s="3"/>
      <c r="V130" s="3"/>
      <c r="W130" s="3"/>
      <c r="X130" s="3"/>
      <c r="Y130" s="3"/>
    </row>
    <row r="131" spans="1:25" ht="12.75" customHeight="1">
      <c r="A131" s="3"/>
      <c r="B131" s="3"/>
      <c r="C131" s="3"/>
      <c r="D131" s="2"/>
      <c r="E131" s="2"/>
      <c r="F131" s="3"/>
      <c r="G131" s="3"/>
      <c r="H131" s="3"/>
      <c r="I131" s="3"/>
      <c r="J131" s="3"/>
      <c r="K131" s="3"/>
      <c r="L131" s="3"/>
      <c r="M131" s="3"/>
      <c r="N131" s="3"/>
      <c r="O131" s="3"/>
      <c r="P131" s="3"/>
      <c r="Q131" s="3"/>
      <c r="R131" s="3"/>
      <c r="S131" s="3"/>
      <c r="T131" s="3"/>
      <c r="U131" s="3"/>
      <c r="V131" s="3"/>
      <c r="W131" s="3"/>
      <c r="X131" s="3"/>
      <c r="Y131" s="3"/>
    </row>
    <row r="132" spans="1:25" ht="12.75" customHeight="1">
      <c r="A132" s="3"/>
      <c r="B132" s="3"/>
      <c r="C132" s="3"/>
      <c r="D132" s="2"/>
      <c r="E132" s="2"/>
      <c r="F132" s="3"/>
      <c r="G132" s="3"/>
      <c r="H132" s="3"/>
      <c r="I132" s="3"/>
      <c r="J132" s="3"/>
      <c r="K132" s="3"/>
      <c r="L132" s="3"/>
      <c r="M132" s="3"/>
      <c r="N132" s="3"/>
      <c r="O132" s="3"/>
      <c r="P132" s="3"/>
      <c r="Q132" s="3"/>
      <c r="R132" s="3"/>
      <c r="S132" s="3"/>
      <c r="T132" s="3"/>
      <c r="U132" s="3"/>
      <c r="V132" s="3"/>
      <c r="W132" s="3"/>
      <c r="X132" s="3"/>
      <c r="Y132" s="3"/>
    </row>
    <row r="133" spans="1:25" ht="12.75" customHeight="1">
      <c r="A133" s="3"/>
      <c r="B133" s="3"/>
      <c r="C133" s="3"/>
      <c r="D133" s="2"/>
      <c r="E133" s="2"/>
      <c r="F133" s="3"/>
      <c r="G133" s="3"/>
      <c r="H133" s="3"/>
      <c r="I133" s="3"/>
      <c r="J133" s="3"/>
      <c r="K133" s="3"/>
      <c r="L133" s="3"/>
      <c r="M133" s="3"/>
      <c r="N133" s="3"/>
      <c r="O133" s="3"/>
      <c r="P133" s="3"/>
      <c r="Q133" s="3"/>
      <c r="R133" s="3"/>
      <c r="S133" s="3"/>
      <c r="T133" s="3"/>
      <c r="U133" s="3"/>
      <c r="V133" s="3"/>
      <c r="W133" s="3"/>
      <c r="X133" s="3"/>
      <c r="Y133" s="3"/>
    </row>
    <row r="134" spans="1:25" ht="12.75" customHeight="1">
      <c r="A134" s="3"/>
      <c r="B134" s="3"/>
      <c r="C134" s="3"/>
      <c r="D134" s="2"/>
      <c r="E134" s="2"/>
      <c r="F134" s="3"/>
      <c r="G134" s="3"/>
      <c r="H134" s="3"/>
      <c r="I134" s="3"/>
      <c r="J134" s="3"/>
      <c r="K134" s="3"/>
      <c r="L134" s="3"/>
      <c r="M134" s="3"/>
      <c r="N134" s="3"/>
      <c r="O134" s="3"/>
      <c r="P134" s="3"/>
      <c r="Q134" s="3"/>
      <c r="R134" s="3"/>
      <c r="S134" s="3"/>
      <c r="T134" s="3"/>
      <c r="U134" s="3"/>
      <c r="V134" s="3"/>
      <c r="W134" s="3"/>
      <c r="X134" s="3"/>
      <c r="Y134" s="3"/>
    </row>
    <row r="135" spans="1:25" ht="12.75" customHeight="1">
      <c r="A135" s="3"/>
      <c r="B135" s="3"/>
      <c r="C135" s="3"/>
      <c r="D135" s="2"/>
      <c r="E135" s="2"/>
      <c r="F135" s="3"/>
      <c r="G135" s="3"/>
      <c r="H135" s="3"/>
      <c r="I135" s="3"/>
      <c r="J135" s="3"/>
      <c r="K135" s="3"/>
      <c r="L135" s="3"/>
      <c r="M135" s="3"/>
      <c r="N135" s="3"/>
      <c r="O135" s="3"/>
      <c r="P135" s="3"/>
      <c r="Q135" s="3"/>
      <c r="R135" s="3"/>
      <c r="S135" s="3"/>
      <c r="T135" s="3"/>
      <c r="U135" s="3"/>
      <c r="V135" s="3"/>
      <c r="W135" s="3"/>
      <c r="X135" s="3"/>
      <c r="Y135" s="3"/>
    </row>
    <row r="136" spans="1:25" ht="12.75" customHeight="1">
      <c r="A136" s="3"/>
      <c r="B136" s="3"/>
      <c r="C136" s="3"/>
      <c r="D136" s="2"/>
      <c r="E136" s="2"/>
      <c r="F136" s="3"/>
      <c r="G136" s="3"/>
      <c r="H136" s="3"/>
      <c r="I136" s="3"/>
      <c r="J136" s="3"/>
      <c r="K136" s="3"/>
      <c r="L136" s="3"/>
      <c r="M136" s="3"/>
      <c r="N136" s="3"/>
      <c r="O136" s="3"/>
      <c r="P136" s="3"/>
      <c r="Q136" s="3"/>
      <c r="R136" s="3"/>
      <c r="S136" s="3"/>
      <c r="T136" s="3"/>
      <c r="U136" s="3"/>
      <c r="V136" s="3"/>
      <c r="W136" s="3"/>
      <c r="X136" s="3"/>
      <c r="Y136" s="3"/>
    </row>
    <row r="137" spans="1:25" ht="12.75" customHeight="1">
      <c r="A137" s="3"/>
      <c r="B137" s="3"/>
      <c r="C137" s="3"/>
      <c r="D137" s="2"/>
      <c r="E137" s="2"/>
      <c r="F137" s="3"/>
      <c r="G137" s="3"/>
      <c r="H137" s="3"/>
      <c r="I137" s="3"/>
      <c r="J137" s="3"/>
      <c r="K137" s="3"/>
      <c r="L137" s="3"/>
      <c r="M137" s="3"/>
      <c r="N137" s="3"/>
      <c r="O137" s="3"/>
      <c r="P137" s="3"/>
      <c r="Q137" s="3"/>
      <c r="R137" s="3"/>
      <c r="S137" s="3"/>
      <c r="T137" s="3"/>
      <c r="U137" s="3"/>
      <c r="V137" s="3"/>
      <c r="W137" s="3"/>
      <c r="X137" s="3"/>
      <c r="Y137" s="3"/>
    </row>
    <row r="138" spans="1:25" ht="12.75" customHeight="1">
      <c r="A138" s="3"/>
      <c r="B138" s="3"/>
      <c r="C138" s="3"/>
      <c r="D138" s="2"/>
      <c r="E138" s="2"/>
      <c r="F138" s="3"/>
      <c r="G138" s="3"/>
      <c r="H138" s="3"/>
      <c r="I138" s="3"/>
      <c r="J138" s="3"/>
      <c r="K138" s="3"/>
      <c r="L138" s="3"/>
      <c r="M138" s="3"/>
      <c r="N138" s="3"/>
      <c r="O138" s="3"/>
      <c r="P138" s="3"/>
      <c r="Q138" s="3"/>
      <c r="R138" s="3"/>
      <c r="S138" s="3"/>
      <c r="T138" s="3"/>
      <c r="U138" s="3"/>
      <c r="V138" s="3"/>
      <c r="W138" s="3"/>
      <c r="X138" s="3"/>
      <c r="Y138" s="3"/>
    </row>
    <row r="139" spans="1:25" ht="12.75" customHeight="1">
      <c r="A139" s="3"/>
      <c r="B139" s="3"/>
      <c r="C139" s="3"/>
      <c r="D139" s="2"/>
      <c r="E139" s="2"/>
      <c r="F139" s="3"/>
      <c r="G139" s="3"/>
      <c r="H139" s="3"/>
      <c r="I139" s="3"/>
      <c r="J139" s="3"/>
      <c r="K139" s="3"/>
      <c r="L139" s="3"/>
      <c r="M139" s="3"/>
      <c r="N139" s="3"/>
      <c r="O139" s="3"/>
      <c r="P139" s="3"/>
      <c r="Q139" s="3"/>
      <c r="R139" s="3"/>
      <c r="S139" s="3"/>
      <c r="T139" s="3"/>
      <c r="U139" s="3"/>
      <c r="V139" s="3"/>
      <c r="W139" s="3"/>
      <c r="X139" s="3"/>
      <c r="Y139" s="3"/>
    </row>
    <row r="140" spans="1:25" ht="12.75" customHeight="1">
      <c r="A140" s="3"/>
      <c r="B140" s="3"/>
      <c r="C140" s="3"/>
      <c r="D140" s="2"/>
      <c r="E140" s="2"/>
      <c r="F140" s="3"/>
      <c r="G140" s="3"/>
      <c r="H140" s="3"/>
      <c r="I140" s="3"/>
      <c r="J140" s="3"/>
      <c r="K140" s="3"/>
      <c r="L140" s="3"/>
      <c r="M140" s="3"/>
      <c r="N140" s="3"/>
      <c r="O140" s="3"/>
      <c r="P140" s="3"/>
      <c r="Q140" s="3"/>
      <c r="R140" s="3"/>
      <c r="S140" s="3"/>
      <c r="T140" s="3"/>
      <c r="U140" s="3"/>
      <c r="V140" s="3"/>
      <c r="W140" s="3"/>
      <c r="X140" s="3"/>
      <c r="Y140" s="3"/>
    </row>
    <row r="141" spans="1:25" ht="12.75" customHeight="1">
      <c r="A141" s="3"/>
      <c r="B141" s="3"/>
      <c r="C141" s="3"/>
      <c r="D141" s="2"/>
      <c r="E141" s="2"/>
      <c r="F141" s="3"/>
      <c r="G141" s="3"/>
      <c r="H141" s="3"/>
      <c r="I141" s="3"/>
      <c r="J141" s="3"/>
      <c r="K141" s="3"/>
      <c r="L141" s="3"/>
      <c r="M141" s="3"/>
      <c r="N141" s="3"/>
      <c r="O141" s="3"/>
      <c r="P141" s="3"/>
      <c r="Q141" s="3"/>
      <c r="R141" s="3"/>
      <c r="S141" s="3"/>
      <c r="T141" s="3"/>
      <c r="U141" s="3"/>
      <c r="V141" s="3"/>
      <c r="W141" s="3"/>
      <c r="X141" s="3"/>
      <c r="Y141" s="3"/>
    </row>
    <row r="142" spans="1:25" ht="12.75" customHeight="1">
      <c r="A142" s="3"/>
      <c r="B142" s="3"/>
      <c r="C142" s="3"/>
      <c r="D142" s="2"/>
      <c r="E142" s="2"/>
      <c r="F142" s="3"/>
      <c r="G142" s="3"/>
      <c r="H142" s="3"/>
      <c r="I142" s="3"/>
      <c r="J142" s="3"/>
      <c r="K142" s="3"/>
      <c r="L142" s="3"/>
      <c r="M142" s="3"/>
      <c r="N142" s="3"/>
      <c r="O142" s="3"/>
      <c r="P142" s="3"/>
      <c r="Q142" s="3"/>
      <c r="R142" s="3"/>
      <c r="S142" s="3"/>
      <c r="T142" s="3"/>
      <c r="U142" s="3"/>
      <c r="V142" s="3"/>
      <c r="W142" s="3"/>
      <c r="X142" s="3"/>
      <c r="Y142" s="3"/>
    </row>
    <row r="143" spans="1:25" ht="12.75" customHeight="1">
      <c r="A143" s="3"/>
      <c r="B143" s="3"/>
      <c r="C143" s="3"/>
      <c r="D143" s="2"/>
      <c r="E143" s="2"/>
      <c r="F143" s="3"/>
      <c r="G143" s="3"/>
      <c r="H143" s="3"/>
      <c r="I143" s="3"/>
      <c r="J143" s="3"/>
      <c r="K143" s="3"/>
      <c r="L143" s="3"/>
      <c r="M143" s="3"/>
      <c r="N143" s="3"/>
      <c r="O143" s="3"/>
      <c r="P143" s="3"/>
      <c r="Q143" s="3"/>
      <c r="R143" s="3"/>
      <c r="S143" s="3"/>
      <c r="T143" s="3"/>
      <c r="U143" s="3"/>
      <c r="V143" s="3"/>
      <c r="W143" s="3"/>
      <c r="X143" s="3"/>
      <c r="Y143" s="3"/>
    </row>
    <row r="144" spans="1:25" ht="12.75" customHeight="1">
      <c r="A144" s="3"/>
      <c r="B144" s="3"/>
      <c r="C144" s="3"/>
      <c r="D144" s="2"/>
      <c r="E144" s="2"/>
      <c r="F144" s="3"/>
      <c r="G144" s="3"/>
      <c r="H144" s="3"/>
      <c r="I144" s="3"/>
      <c r="J144" s="3"/>
      <c r="K144" s="3"/>
      <c r="L144" s="3"/>
      <c r="M144" s="3"/>
      <c r="N144" s="3"/>
      <c r="O144" s="3"/>
      <c r="P144" s="3"/>
      <c r="Q144" s="3"/>
      <c r="R144" s="3"/>
      <c r="S144" s="3"/>
      <c r="T144" s="3"/>
      <c r="U144" s="3"/>
      <c r="V144" s="3"/>
      <c r="W144" s="3"/>
      <c r="X144" s="3"/>
      <c r="Y144" s="3"/>
    </row>
    <row r="145" spans="1:25" ht="12.75" customHeight="1">
      <c r="A145" s="3"/>
      <c r="B145" s="3"/>
      <c r="C145" s="3"/>
      <c r="D145" s="2"/>
      <c r="E145" s="2"/>
      <c r="F145" s="3"/>
      <c r="G145" s="3"/>
      <c r="H145" s="3"/>
      <c r="I145" s="3"/>
      <c r="J145" s="3"/>
      <c r="K145" s="3"/>
      <c r="L145" s="3"/>
      <c r="M145" s="3"/>
      <c r="N145" s="3"/>
      <c r="O145" s="3"/>
      <c r="P145" s="3"/>
      <c r="Q145" s="3"/>
      <c r="R145" s="3"/>
      <c r="S145" s="3"/>
      <c r="T145" s="3"/>
      <c r="U145" s="3"/>
      <c r="V145" s="3"/>
      <c r="W145" s="3"/>
      <c r="X145" s="3"/>
      <c r="Y145" s="3"/>
    </row>
    <row r="146" spans="1:25" ht="12.75" customHeight="1">
      <c r="A146" s="3"/>
      <c r="B146" s="3"/>
      <c r="C146" s="3"/>
      <c r="D146" s="2"/>
      <c r="E146" s="2"/>
      <c r="F146" s="3"/>
      <c r="G146" s="3"/>
      <c r="H146" s="3"/>
      <c r="I146" s="3"/>
      <c r="J146" s="3"/>
      <c r="K146" s="3"/>
      <c r="L146" s="3"/>
      <c r="M146" s="3"/>
      <c r="N146" s="3"/>
      <c r="O146" s="3"/>
      <c r="P146" s="3"/>
      <c r="Q146" s="3"/>
      <c r="R146" s="3"/>
      <c r="S146" s="3"/>
      <c r="T146" s="3"/>
      <c r="U146" s="3"/>
      <c r="V146" s="3"/>
      <c r="W146" s="3"/>
      <c r="X146" s="3"/>
      <c r="Y146" s="3"/>
    </row>
    <row r="147" spans="1:25" ht="12.75" customHeight="1">
      <c r="A147" s="3"/>
      <c r="B147" s="3"/>
      <c r="C147" s="3"/>
      <c r="D147" s="2"/>
      <c r="E147" s="2"/>
      <c r="F147" s="3"/>
      <c r="G147" s="3"/>
      <c r="H147" s="3"/>
      <c r="I147" s="3"/>
      <c r="J147" s="3"/>
      <c r="K147" s="3"/>
      <c r="L147" s="3"/>
      <c r="M147" s="3"/>
      <c r="N147" s="3"/>
      <c r="O147" s="3"/>
      <c r="P147" s="3"/>
      <c r="Q147" s="3"/>
      <c r="R147" s="3"/>
      <c r="S147" s="3"/>
      <c r="T147" s="3"/>
      <c r="U147" s="3"/>
      <c r="V147" s="3"/>
      <c r="W147" s="3"/>
      <c r="X147" s="3"/>
      <c r="Y147" s="3"/>
    </row>
    <row r="148" spans="1:25" ht="12.75" customHeight="1">
      <c r="A148" s="3"/>
      <c r="B148" s="3"/>
      <c r="C148" s="3"/>
      <c r="D148" s="2"/>
      <c r="E148" s="2"/>
      <c r="F148" s="3"/>
      <c r="G148" s="3"/>
      <c r="H148" s="3"/>
      <c r="I148" s="3"/>
      <c r="J148" s="3"/>
      <c r="K148" s="3"/>
      <c r="L148" s="3"/>
      <c r="M148" s="3"/>
      <c r="N148" s="3"/>
      <c r="O148" s="3"/>
      <c r="P148" s="3"/>
      <c r="Q148" s="3"/>
      <c r="R148" s="3"/>
      <c r="S148" s="3"/>
      <c r="T148" s="3"/>
      <c r="U148" s="3"/>
      <c r="V148" s="3"/>
      <c r="W148" s="3"/>
      <c r="X148" s="3"/>
      <c r="Y148" s="3"/>
    </row>
    <row r="149" spans="1:25" ht="12.75" customHeight="1">
      <c r="A149" s="3"/>
      <c r="B149" s="3"/>
      <c r="C149" s="3"/>
      <c r="D149" s="2"/>
      <c r="E149" s="2"/>
      <c r="F149" s="3"/>
      <c r="G149" s="3"/>
      <c r="H149" s="3"/>
      <c r="I149" s="3"/>
      <c r="J149" s="3"/>
      <c r="K149" s="3"/>
      <c r="L149" s="3"/>
      <c r="M149" s="3"/>
      <c r="N149" s="3"/>
      <c r="O149" s="3"/>
      <c r="P149" s="3"/>
      <c r="Q149" s="3"/>
      <c r="R149" s="3"/>
      <c r="S149" s="3"/>
      <c r="T149" s="3"/>
      <c r="U149" s="3"/>
      <c r="V149" s="3"/>
      <c r="W149" s="3"/>
      <c r="X149" s="3"/>
      <c r="Y149" s="3"/>
    </row>
    <row r="150" spans="1:25" ht="12.75" customHeight="1">
      <c r="A150" s="3"/>
      <c r="B150" s="3"/>
      <c r="C150" s="3"/>
      <c r="D150" s="2"/>
      <c r="E150" s="2"/>
      <c r="F150" s="3"/>
      <c r="G150" s="3"/>
      <c r="H150" s="3"/>
      <c r="I150" s="3"/>
      <c r="J150" s="3"/>
      <c r="K150" s="3"/>
      <c r="L150" s="3"/>
      <c r="M150" s="3"/>
      <c r="N150" s="3"/>
      <c r="O150" s="3"/>
      <c r="P150" s="3"/>
      <c r="Q150" s="3"/>
      <c r="R150" s="3"/>
      <c r="S150" s="3"/>
      <c r="T150" s="3"/>
      <c r="U150" s="3"/>
      <c r="V150" s="3"/>
      <c r="W150" s="3"/>
      <c r="X150" s="3"/>
      <c r="Y150" s="3"/>
    </row>
    <row r="151" spans="1:25" ht="12.75" customHeight="1">
      <c r="A151" s="3"/>
      <c r="B151" s="3"/>
      <c r="C151" s="3"/>
      <c r="D151" s="2"/>
      <c r="E151" s="2"/>
      <c r="F151" s="3"/>
      <c r="G151" s="3"/>
      <c r="H151" s="3"/>
      <c r="I151" s="3"/>
      <c r="J151" s="3"/>
      <c r="K151" s="3"/>
      <c r="L151" s="3"/>
      <c r="M151" s="3"/>
      <c r="N151" s="3"/>
      <c r="O151" s="3"/>
      <c r="P151" s="3"/>
      <c r="Q151" s="3"/>
      <c r="R151" s="3"/>
      <c r="S151" s="3"/>
      <c r="T151" s="3"/>
      <c r="U151" s="3"/>
      <c r="V151" s="3"/>
      <c r="W151" s="3"/>
      <c r="X151" s="3"/>
      <c r="Y151" s="3"/>
    </row>
    <row r="152" spans="1:25" ht="12.75" customHeight="1">
      <c r="A152" s="3"/>
      <c r="B152" s="3"/>
      <c r="C152" s="3"/>
      <c r="D152" s="2"/>
      <c r="E152" s="2"/>
      <c r="F152" s="3"/>
      <c r="G152" s="3"/>
      <c r="H152" s="3"/>
      <c r="I152" s="3"/>
      <c r="J152" s="3"/>
      <c r="K152" s="3"/>
      <c r="L152" s="3"/>
      <c r="M152" s="3"/>
      <c r="N152" s="3"/>
      <c r="O152" s="3"/>
      <c r="P152" s="3"/>
      <c r="Q152" s="3"/>
      <c r="R152" s="3"/>
      <c r="S152" s="3"/>
      <c r="T152" s="3"/>
      <c r="U152" s="3"/>
      <c r="V152" s="3"/>
      <c r="W152" s="3"/>
      <c r="X152" s="3"/>
      <c r="Y152" s="3"/>
    </row>
    <row r="153" spans="1:25" ht="12.75" customHeight="1">
      <c r="A153" s="3"/>
      <c r="B153" s="3"/>
      <c r="C153" s="3"/>
      <c r="D153" s="2"/>
      <c r="E153" s="2"/>
      <c r="F153" s="3"/>
      <c r="G153" s="3"/>
      <c r="H153" s="3"/>
      <c r="I153" s="3"/>
      <c r="J153" s="3"/>
      <c r="K153" s="3"/>
      <c r="L153" s="3"/>
      <c r="M153" s="3"/>
      <c r="N153" s="3"/>
      <c r="O153" s="3"/>
      <c r="P153" s="3"/>
      <c r="Q153" s="3"/>
      <c r="R153" s="3"/>
      <c r="S153" s="3"/>
      <c r="T153" s="3"/>
      <c r="U153" s="3"/>
      <c r="V153" s="3"/>
      <c r="W153" s="3"/>
      <c r="X153" s="3"/>
      <c r="Y153" s="3"/>
    </row>
    <row r="154" spans="1:25" ht="12.75" customHeight="1">
      <c r="A154" s="3"/>
      <c r="B154" s="3"/>
      <c r="C154" s="3"/>
      <c r="D154" s="2"/>
      <c r="E154" s="2"/>
      <c r="F154" s="3"/>
      <c r="G154" s="3"/>
      <c r="H154" s="3"/>
      <c r="I154" s="3"/>
      <c r="J154" s="3"/>
      <c r="K154" s="3"/>
      <c r="L154" s="3"/>
      <c r="M154" s="3"/>
      <c r="N154" s="3"/>
      <c r="O154" s="3"/>
      <c r="P154" s="3"/>
      <c r="Q154" s="3"/>
      <c r="R154" s="3"/>
      <c r="S154" s="3"/>
      <c r="T154" s="3"/>
      <c r="U154" s="3"/>
      <c r="V154" s="3"/>
      <c r="W154" s="3"/>
      <c r="X154" s="3"/>
      <c r="Y154" s="3"/>
    </row>
    <row r="155" spans="1:25" ht="12.75" customHeight="1">
      <c r="A155" s="3"/>
      <c r="B155" s="3"/>
      <c r="C155" s="3"/>
      <c r="D155" s="2"/>
      <c r="E155" s="2"/>
      <c r="F155" s="3"/>
      <c r="G155" s="3"/>
      <c r="H155" s="3"/>
      <c r="I155" s="3"/>
      <c r="J155" s="3"/>
      <c r="K155" s="3"/>
      <c r="L155" s="3"/>
      <c r="M155" s="3"/>
      <c r="N155" s="3"/>
      <c r="O155" s="3"/>
      <c r="P155" s="3"/>
      <c r="Q155" s="3"/>
      <c r="R155" s="3"/>
      <c r="S155" s="3"/>
      <c r="T155" s="3"/>
      <c r="U155" s="3"/>
      <c r="V155" s="3"/>
      <c r="W155" s="3"/>
      <c r="X155" s="3"/>
      <c r="Y155" s="3"/>
    </row>
    <row r="156" spans="1:25" ht="12.75" customHeight="1">
      <c r="A156" s="3"/>
      <c r="B156" s="3"/>
      <c r="C156" s="3"/>
      <c r="D156" s="2"/>
      <c r="E156" s="2"/>
      <c r="F156" s="3"/>
      <c r="G156" s="3"/>
      <c r="H156" s="3"/>
      <c r="I156" s="3"/>
      <c r="J156" s="3"/>
      <c r="K156" s="3"/>
      <c r="L156" s="3"/>
      <c r="M156" s="3"/>
      <c r="N156" s="3"/>
      <c r="O156" s="3"/>
      <c r="P156" s="3"/>
      <c r="Q156" s="3"/>
      <c r="R156" s="3"/>
      <c r="S156" s="3"/>
      <c r="T156" s="3"/>
      <c r="U156" s="3"/>
      <c r="V156" s="3"/>
      <c r="W156" s="3"/>
      <c r="X156" s="3"/>
      <c r="Y156" s="3"/>
    </row>
    <row r="157" spans="1:25" ht="12.75" customHeight="1">
      <c r="A157" s="3"/>
      <c r="B157" s="3"/>
      <c r="C157" s="3"/>
      <c r="D157" s="2"/>
      <c r="E157" s="2"/>
      <c r="F157" s="3"/>
      <c r="G157" s="3"/>
      <c r="H157" s="3"/>
      <c r="I157" s="3"/>
      <c r="J157" s="3"/>
      <c r="K157" s="3"/>
      <c r="L157" s="3"/>
      <c r="M157" s="3"/>
      <c r="N157" s="3"/>
      <c r="O157" s="3"/>
      <c r="P157" s="3"/>
      <c r="Q157" s="3"/>
      <c r="R157" s="3"/>
      <c r="S157" s="3"/>
      <c r="T157" s="3"/>
      <c r="U157" s="3"/>
      <c r="V157" s="3"/>
      <c r="W157" s="3"/>
      <c r="X157" s="3"/>
      <c r="Y157" s="3"/>
    </row>
    <row r="158" spans="1:25" ht="12.75" customHeight="1">
      <c r="A158" s="3"/>
      <c r="B158" s="3"/>
      <c r="C158" s="3"/>
      <c r="D158" s="2"/>
      <c r="E158" s="2"/>
      <c r="F158" s="3"/>
      <c r="G158" s="3"/>
      <c r="H158" s="3"/>
      <c r="I158" s="3"/>
      <c r="J158" s="3"/>
      <c r="K158" s="3"/>
      <c r="L158" s="3"/>
      <c r="M158" s="3"/>
      <c r="N158" s="3"/>
      <c r="O158" s="3"/>
      <c r="P158" s="3"/>
      <c r="Q158" s="3"/>
      <c r="R158" s="3"/>
      <c r="S158" s="3"/>
      <c r="T158" s="3"/>
      <c r="U158" s="3"/>
      <c r="V158" s="3"/>
      <c r="W158" s="3"/>
      <c r="X158" s="3"/>
      <c r="Y158" s="3"/>
    </row>
    <row r="159" spans="1:25" ht="12.75" customHeight="1">
      <c r="A159" s="3"/>
      <c r="B159" s="3"/>
      <c r="C159" s="3"/>
      <c r="D159" s="2"/>
      <c r="E159" s="2"/>
      <c r="F159" s="3"/>
      <c r="G159" s="3"/>
      <c r="H159" s="3"/>
      <c r="I159" s="3"/>
      <c r="J159" s="3"/>
      <c r="K159" s="3"/>
      <c r="L159" s="3"/>
      <c r="M159" s="3"/>
      <c r="N159" s="3"/>
      <c r="O159" s="3"/>
      <c r="P159" s="3"/>
      <c r="Q159" s="3"/>
      <c r="R159" s="3"/>
      <c r="S159" s="3"/>
      <c r="T159" s="3"/>
      <c r="U159" s="3"/>
      <c r="V159" s="3"/>
      <c r="W159" s="3"/>
      <c r="X159" s="3"/>
      <c r="Y159" s="3"/>
    </row>
    <row r="160" spans="1:25" ht="12.75" customHeight="1">
      <c r="A160" s="3"/>
      <c r="B160" s="3"/>
      <c r="C160" s="3"/>
      <c r="D160" s="2"/>
      <c r="E160" s="2"/>
      <c r="F160" s="3"/>
      <c r="G160" s="3"/>
      <c r="H160" s="3"/>
      <c r="I160" s="3"/>
      <c r="J160" s="3"/>
      <c r="K160" s="3"/>
      <c r="L160" s="3"/>
      <c r="M160" s="3"/>
      <c r="N160" s="3"/>
      <c r="O160" s="3"/>
      <c r="P160" s="3"/>
      <c r="Q160" s="3"/>
      <c r="R160" s="3"/>
      <c r="S160" s="3"/>
      <c r="T160" s="3"/>
      <c r="U160" s="3"/>
      <c r="V160" s="3"/>
      <c r="W160" s="3"/>
      <c r="X160" s="3"/>
      <c r="Y160" s="3"/>
    </row>
    <row r="161" spans="1:25" ht="12.75" customHeight="1">
      <c r="A161" s="3"/>
      <c r="B161" s="3"/>
      <c r="C161" s="3"/>
      <c r="D161" s="2"/>
      <c r="E161" s="2"/>
      <c r="F161" s="3"/>
      <c r="G161" s="3"/>
      <c r="H161" s="3"/>
      <c r="I161" s="3"/>
      <c r="J161" s="3"/>
      <c r="K161" s="3"/>
      <c r="L161" s="3"/>
      <c r="M161" s="3"/>
      <c r="N161" s="3"/>
      <c r="O161" s="3"/>
      <c r="P161" s="3"/>
      <c r="Q161" s="3"/>
      <c r="R161" s="3"/>
      <c r="S161" s="3"/>
      <c r="T161" s="3"/>
      <c r="U161" s="3"/>
      <c r="V161" s="3"/>
      <c r="W161" s="3"/>
      <c r="X161" s="3"/>
      <c r="Y161" s="3"/>
    </row>
    <row r="162" spans="1:25" ht="12.75" customHeight="1">
      <c r="A162" s="3"/>
      <c r="B162" s="3"/>
      <c r="C162" s="3"/>
      <c r="D162" s="2"/>
      <c r="E162" s="2"/>
      <c r="F162" s="3"/>
      <c r="G162" s="3"/>
      <c r="H162" s="3"/>
      <c r="I162" s="3"/>
      <c r="J162" s="3"/>
      <c r="K162" s="3"/>
      <c r="L162" s="3"/>
      <c r="M162" s="3"/>
      <c r="N162" s="3"/>
      <c r="O162" s="3"/>
      <c r="P162" s="3"/>
      <c r="Q162" s="3"/>
      <c r="R162" s="3"/>
      <c r="S162" s="3"/>
      <c r="T162" s="3"/>
      <c r="U162" s="3"/>
      <c r="V162" s="3"/>
      <c r="W162" s="3"/>
      <c r="X162" s="3"/>
      <c r="Y162" s="3"/>
    </row>
    <row r="163" spans="1:25" ht="12.75" customHeight="1">
      <c r="A163" s="3"/>
      <c r="B163" s="3"/>
      <c r="C163" s="3"/>
      <c r="D163" s="2"/>
      <c r="E163" s="2"/>
      <c r="F163" s="3"/>
      <c r="G163" s="3"/>
      <c r="H163" s="3"/>
      <c r="I163" s="3"/>
      <c r="J163" s="3"/>
      <c r="K163" s="3"/>
      <c r="L163" s="3"/>
      <c r="M163" s="3"/>
      <c r="N163" s="3"/>
      <c r="O163" s="3"/>
      <c r="P163" s="3"/>
      <c r="Q163" s="3"/>
      <c r="R163" s="3"/>
      <c r="S163" s="3"/>
      <c r="T163" s="3"/>
      <c r="U163" s="3"/>
      <c r="V163" s="3"/>
      <c r="W163" s="3"/>
      <c r="X163" s="3"/>
      <c r="Y163" s="3"/>
    </row>
    <row r="164" spans="1:25" ht="12.75" customHeight="1">
      <c r="A164" s="3"/>
      <c r="B164" s="3"/>
      <c r="C164" s="3"/>
      <c r="D164" s="2"/>
      <c r="E164" s="2"/>
      <c r="F164" s="3"/>
      <c r="G164" s="3"/>
      <c r="H164" s="3"/>
      <c r="I164" s="3"/>
      <c r="J164" s="3"/>
      <c r="K164" s="3"/>
      <c r="L164" s="3"/>
      <c r="M164" s="3"/>
      <c r="N164" s="3"/>
      <c r="O164" s="3"/>
      <c r="P164" s="3"/>
      <c r="Q164" s="3"/>
      <c r="R164" s="3"/>
      <c r="S164" s="3"/>
      <c r="T164" s="3"/>
      <c r="U164" s="3"/>
      <c r="V164" s="3"/>
      <c r="W164" s="3"/>
      <c r="X164" s="3"/>
      <c r="Y164" s="3"/>
    </row>
    <row r="165" spans="1:25" ht="12.75" customHeight="1">
      <c r="A165" s="3"/>
      <c r="B165" s="3"/>
      <c r="C165" s="3"/>
      <c r="D165" s="2"/>
      <c r="E165" s="2"/>
      <c r="F165" s="3"/>
      <c r="G165" s="3"/>
      <c r="H165" s="3"/>
      <c r="I165" s="3"/>
      <c r="J165" s="3"/>
      <c r="K165" s="3"/>
      <c r="L165" s="3"/>
      <c r="M165" s="3"/>
      <c r="N165" s="3"/>
      <c r="O165" s="3"/>
      <c r="P165" s="3"/>
      <c r="Q165" s="3"/>
      <c r="R165" s="3"/>
      <c r="S165" s="3"/>
      <c r="T165" s="3"/>
      <c r="U165" s="3"/>
      <c r="V165" s="3"/>
      <c r="W165" s="3"/>
      <c r="X165" s="3"/>
      <c r="Y165" s="3"/>
    </row>
    <row r="166" spans="1:25" ht="12.75" customHeight="1">
      <c r="A166" s="3"/>
      <c r="B166" s="3"/>
      <c r="C166" s="3"/>
      <c r="D166" s="2"/>
      <c r="E166" s="2"/>
      <c r="F166" s="3"/>
      <c r="G166" s="3"/>
      <c r="H166" s="3"/>
      <c r="I166" s="3"/>
      <c r="J166" s="3"/>
      <c r="K166" s="3"/>
      <c r="L166" s="3"/>
      <c r="M166" s="3"/>
      <c r="N166" s="3"/>
      <c r="O166" s="3"/>
      <c r="P166" s="3"/>
      <c r="Q166" s="3"/>
      <c r="R166" s="3"/>
      <c r="S166" s="3"/>
      <c r="T166" s="3"/>
      <c r="U166" s="3"/>
      <c r="V166" s="3"/>
      <c r="W166" s="3"/>
      <c r="X166" s="3"/>
      <c r="Y166" s="3"/>
    </row>
    <row r="167" spans="1:25" ht="12.75" customHeight="1">
      <c r="A167" s="3"/>
      <c r="B167" s="3"/>
      <c r="C167" s="3"/>
      <c r="D167" s="2"/>
      <c r="E167" s="2"/>
      <c r="F167" s="3"/>
      <c r="G167" s="3"/>
      <c r="H167" s="3"/>
      <c r="I167" s="3"/>
      <c r="J167" s="3"/>
      <c r="K167" s="3"/>
      <c r="L167" s="3"/>
      <c r="M167" s="3"/>
      <c r="N167" s="3"/>
      <c r="O167" s="3"/>
      <c r="P167" s="3"/>
      <c r="Q167" s="3"/>
      <c r="R167" s="3"/>
      <c r="S167" s="3"/>
      <c r="T167" s="3"/>
      <c r="U167" s="3"/>
      <c r="V167" s="3"/>
      <c r="W167" s="3"/>
      <c r="X167" s="3"/>
      <c r="Y167" s="3"/>
    </row>
    <row r="168" spans="1:25" ht="12.75" customHeight="1">
      <c r="A168" s="3"/>
      <c r="B168" s="3"/>
      <c r="C168" s="3"/>
      <c r="D168" s="2"/>
      <c r="E168" s="2"/>
      <c r="F168" s="3"/>
      <c r="G168" s="3"/>
      <c r="H168" s="3"/>
      <c r="I168" s="3"/>
      <c r="J168" s="3"/>
      <c r="K168" s="3"/>
      <c r="L168" s="3"/>
      <c r="M168" s="3"/>
      <c r="N168" s="3"/>
      <c r="O168" s="3"/>
      <c r="P168" s="3"/>
      <c r="Q168" s="3"/>
      <c r="R168" s="3"/>
      <c r="S168" s="3"/>
      <c r="T168" s="3"/>
      <c r="U168" s="3"/>
      <c r="V168" s="3"/>
      <c r="W168" s="3"/>
      <c r="X168" s="3"/>
      <c r="Y168" s="3"/>
    </row>
    <row r="169" spans="1:25" ht="12.75" customHeight="1">
      <c r="A169" s="3"/>
      <c r="B169" s="3"/>
      <c r="C169" s="3"/>
      <c r="D169" s="2"/>
      <c r="E169" s="2"/>
      <c r="F169" s="3"/>
      <c r="G169" s="3"/>
      <c r="H169" s="3"/>
      <c r="I169" s="3"/>
      <c r="J169" s="3"/>
      <c r="K169" s="3"/>
      <c r="L169" s="3"/>
      <c r="M169" s="3"/>
      <c r="N169" s="3"/>
      <c r="O169" s="3"/>
      <c r="P169" s="3"/>
      <c r="Q169" s="3"/>
      <c r="R169" s="3"/>
      <c r="S169" s="3"/>
      <c r="T169" s="3"/>
      <c r="U169" s="3"/>
      <c r="V169" s="3"/>
      <c r="W169" s="3"/>
      <c r="X169" s="3"/>
      <c r="Y169" s="3"/>
    </row>
    <row r="170" spans="1:25" ht="12.75" customHeight="1">
      <c r="A170" s="3"/>
      <c r="B170" s="3"/>
      <c r="C170" s="3"/>
      <c r="D170" s="2"/>
      <c r="E170" s="2"/>
      <c r="F170" s="3"/>
      <c r="G170" s="3"/>
      <c r="H170" s="3"/>
      <c r="I170" s="3"/>
      <c r="J170" s="3"/>
      <c r="K170" s="3"/>
      <c r="L170" s="3"/>
      <c r="M170" s="3"/>
      <c r="N170" s="3"/>
      <c r="O170" s="3"/>
      <c r="P170" s="3"/>
      <c r="Q170" s="3"/>
      <c r="R170" s="3"/>
      <c r="S170" s="3"/>
      <c r="T170" s="3"/>
      <c r="U170" s="3"/>
      <c r="V170" s="3"/>
      <c r="W170" s="3"/>
      <c r="X170" s="3"/>
      <c r="Y170" s="3"/>
    </row>
    <row r="171" spans="1:25" ht="12.75" customHeight="1">
      <c r="A171" s="3"/>
      <c r="B171" s="3"/>
      <c r="C171" s="3"/>
      <c r="D171" s="2"/>
      <c r="E171" s="2"/>
      <c r="F171" s="3"/>
      <c r="G171" s="3"/>
      <c r="H171" s="3"/>
      <c r="I171" s="3"/>
      <c r="J171" s="3"/>
      <c r="K171" s="3"/>
      <c r="L171" s="3"/>
      <c r="M171" s="3"/>
      <c r="N171" s="3"/>
      <c r="O171" s="3"/>
      <c r="P171" s="3"/>
      <c r="Q171" s="3"/>
      <c r="R171" s="3"/>
      <c r="S171" s="3"/>
      <c r="T171" s="3"/>
      <c r="U171" s="3"/>
      <c r="V171" s="3"/>
      <c r="W171" s="3"/>
      <c r="X171" s="3"/>
      <c r="Y171" s="3"/>
    </row>
    <row r="172" spans="1:25" ht="12.75" customHeight="1">
      <c r="A172" s="3"/>
      <c r="B172" s="3"/>
      <c r="C172" s="3"/>
      <c r="D172" s="2"/>
      <c r="E172" s="2"/>
      <c r="F172" s="3"/>
      <c r="G172" s="3"/>
      <c r="H172" s="3"/>
      <c r="I172" s="3"/>
      <c r="J172" s="3"/>
      <c r="K172" s="3"/>
      <c r="L172" s="3"/>
      <c r="M172" s="3"/>
      <c r="N172" s="3"/>
      <c r="O172" s="3"/>
      <c r="P172" s="3"/>
      <c r="Q172" s="3"/>
      <c r="R172" s="3"/>
      <c r="S172" s="3"/>
      <c r="T172" s="3"/>
      <c r="U172" s="3"/>
      <c r="V172" s="3"/>
      <c r="W172" s="3"/>
      <c r="X172" s="3"/>
      <c r="Y172" s="3"/>
    </row>
    <row r="173" spans="1:25" ht="12.75" customHeight="1">
      <c r="A173" s="3"/>
      <c r="B173" s="3"/>
      <c r="C173" s="3"/>
      <c r="D173" s="2"/>
      <c r="E173" s="2"/>
      <c r="F173" s="3"/>
      <c r="G173" s="3"/>
      <c r="H173" s="3"/>
      <c r="I173" s="3"/>
      <c r="J173" s="3"/>
      <c r="K173" s="3"/>
      <c r="L173" s="3"/>
      <c r="M173" s="3"/>
      <c r="N173" s="3"/>
      <c r="O173" s="3"/>
      <c r="P173" s="3"/>
      <c r="Q173" s="3"/>
      <c r="R173" s="3"/>
      <c r="S173" s="3"/>
      <c r="T173" s="3"/>
      <c r="U173" s="3"/>
      <c r="V173" s="3"/>
      <c r="W173" s="3"/>
      <c r="X173" s="3"/>
      <c r="Y173" s="3"/>
    </row>
    <row r="174" spans="1:25" ht="12.75" customHeight="1">
      <c r="A174" s="3"/>
      <c r="B174" s="3"/>
      <c r="C174" s="3"/>
      <c r="D174" s="2"/>
      <c r="E174" s="2"/>
      <c r="F174" s="3"/>
      <c r="G174" s="3"/>
      <c r="H174" s="3"/>
      <c r="I174" s="3"/>
      <c r="J174" s="3"/>
      <c r="K174" s="3"/>
      <c r="L174" s="3"/>
      <c r="M174" s="3"/>
      <c r="N174" s="3"/>
      <c r="O174" s="3"/>
      <c r="P174" s="3"/>
      <c r="Q174" s="3"/>
      <c r="R174" s="3"/>
      <c r="S174" s="3"/>
      <c r="T174" s="3"/>
      <c r="U174" s="3"/>
      <c r="V174" s="3"/>
      <c r="W174" s="3"/>
      <c r="X174" s="3"/>
      <c r="Y174" s="3"/>
    </row>
    <row r="175" spans="1:25" ht="12.75" customHeight="1">
      <c r="A175" s="3"/>
      <c r="B175" s="3"/>
      <c r="C175" s="3"/>
      <c r="D175" s="2"/>
      <c r="E175" s="2"/>
      <c r="F175" s="3"/>
      <c r="G175" s="3"/>
      <c r="H175" s="3"/>
      <c r="I175" s="3"/>
      <c r="J175" s="3"/>
      <c r="K175" s="3"/>
      <c r="L175" s="3"/>
      <c r="M175" s="3"/>
      <c r="N175" s="3"/>
      <c r="O175" s="3"/>
      <c r="P175" s="3"/>
      <c r="Q175" s="3"/>
      <c r="R175" s="3"/>
      <c r="S175" s="3"/>
      <c r="T175" s="3"/>
      <c r="U175" s="3"/>
      <c r="V175" s="3"/>
      <c r="W175" s="3"/>
      <c r="X175" s="3"/>
      <c r="Y175" s="3"/>
    </row>
    <row r="176" spans="1:25" ht="12.75" customHeight="1">
      <c r="A176" s="3"/>
      <c r="B176" s="3"/>
      <c r="C176" s="3"/>
      <c r="D176" s="2"/>
      <c r="E176" s="2"/>
      <c r="F176" s="3"/>
      <c r="G176" s="3"/>
      <c r="H176" s="3"/>
      <c r="I176" s="3"/>
      <c r="J176" s="3"/>
      <c r="K176" s="3"/>
      <c r="L176" s="3"/>
      <c r="M176" s="3"/>
      <c r="N176" s="3"/>
      <c r="O176" s="3"/>
      <c r="P176" s="3"/>
      <c r="Q176" s="3"/>
      <c r="R176" s="3"/>
      <c r="S176" s="3"/>
      <c r="T176" s="3"/>
      <c r="U176" s="3"/>
      <c r="V176" s="3"/>
      <c r="W176" s="3"/>
      <c r="X176" s="3"/>
      <c r="Y176" s="3"/>
    </row>
    <row r="177" spans="1:25" ht="12.75" customHeight="1">
      <c r="A177" s="3"/>
      <c r="B177" s="3"/>
      <c r="C177" s="3"/>
      <c r="D177" s="2"/>
      <c r="E177" s="2"/>
      <c r="F177" s="3"/>
      <c r="G177" s="3"/>
      <c r="H177" s="3"/>
      <c r="I177" s="3"/>
      <c r="J177" s="3"/>
      <c r="K177" s="3"/>
      <c r="L177" s="3"/>
      <c r="M177" s="3"/>
      <c r="N177" s="3"/>
      <c r="O177" s="3"/>
      <c r="P177" s="3"/>
      <c r="Q177" s="3"/>
      <c r="R177" s="3"/>
      <c r="S177" s="3"/>
      <c r="T177" s="3"/>
      <c r="U177" s="3"/>
      <c r="V177" s="3"/>
      <c r="W177" s="3"/>
      <c r="X177" s="3"/>
      <c r="Y177" s="3"/>
    </row>
    <row r="178" spans="1:25" ht="12.75" customHeight="1">
      <c r="A178" s="3"/>
      <c r="B178" s="3"/>
      <c r="C178" s="3"/>
      <c r="D178" s="2"/>
      <c r="E178" s="2"/>
      <c r="F178" s="3"/>
      <c r="G178" s="3"/>
      <c r="H178" s="3"/>
      <c r="I178" s="3"/>
      <c r="J178" s="3"/>
      <c r="K178" s="3"/>
      <c r="L178" s="3"/>
      <c r="M178" s="3"/>
      <c r="N178" s="3"/>
      <c r="O178" s="3"/>
      <c r="P178" s="3"/>
      <c r="Q178" s="3"/>
      <c r="R178" s="3"/>
      <c r="S178" s="3"/>
      <c r="T178" s="3"/>
      <c r="U178" s="3"/>
      <c r="V178" s="3"/>
      <c r="W178" s="3"/>
      <c r="X178" s="3"/>
      <c r="Y178" s="3"/>
    </row>
    <row r="179" spans="1:25" ht="12.75" customHeight="1">
      <c r="A179" s="3"/>
      <c r="B179" s="3"/>
      <c r="C179" s="3"/>
      <c r="D179" s="2"/>
      <c r="E179" s="2"/>
      <c r="F179" s="3"/>
      <c r="G179" s="3"/>
      <c r="H179" s="3"/>
      <c r="I179" s="3"/>
      <c r="J179" s="3"/>
      <c r="K179" s="3"/>
      <c r="L179" s="3"/>
      <c r="M179" s="3"/>
      <c r="N179" s="3"/>
      <c r="O179" s="3"/>
      <c r="P179" s="3"/>
      <c r="Q179" s="3"/>
      <c r="R179" s="3"/>
      <c r="S179" s="3"/>
      <c r="T179" s="3"/>
      <c r="U179" s="3"/>
      <c r="V179" s="3"/>
      <c r="W179" s="3"/>
      <c r="X179" s="3"/>
      <c r="Y179" s="3"/>
    </row>
    <row r="180" spans="1:25" ht="12.75" customHeight="1">
      <c r="A180" s="3"/>
      <c r="B180" s="3"/>
      <c r="C180" s="3"/>
      <c r="D180" s="2"/>
      <c r="E180" s="2"/>
      <c r="F180" s="3"/>
      <c r="G180" s="3"/>
      <c r="H180" s="3"/>
      <c r="I180" s="3"/>
      <c r="J180" s="3"/>
      <c r="K180" s="3"/>
      <c r="L180" s="3"/>
      <c r="M180" s="3"/>
      <c r="N180" s="3"/>
      <c r="O180" s="3"/>
      <c r="P180" s="3"/>
      <c r="Q180" s="3"/>
      <c r="R180" s="3"/>
      <c r="S180" s="3"/>
      <c r="T180" s="3"/>
      <c r="U180" s="3"/>
      <c r="V180" s="3"/>
      <c r="W180" s="3"/>
      <c r="X180" s="3"/>
      <c r="Y180" s="3"/>
    </row>
    <row r="181" spans="1:25" ht="12.75" customHeight="1">
      <c r="A181" s="3"/>
      <c r="B181" s="3"/>
      <c r="C181" s="3"/>
      <c r="D181" s="2"/>
      <c r="E181" s="2"/>
      <c r="F181" s="3"/>
      <c r="G181" s="3"/>
      <c r="H181" s="3"/>
      <c r="I181" s="3"/>
      <c r="J181" s="3"/>
      <c r="K181" s="3"/>
      <c r="L181" s="3"/>
      <c r="M181" s="3"/>
      <c r="N181" s="3"/>
      <c r="O181" s="3"/>
      <c r="P181" s="3"/>
      <c r="Q181" s="3"/>
      <c r="R181" s="3"/>
      <c r="S181" s="3"/>
      <c r="T181" s="3"/>
      <c r="U181" s="3"/>
      <c r="V181" s="3"/>
      <c r="W181" s="3"/>
      <c r="X181" s="3"/>
      <c r="Y181" s="3"/>
    </row>
    <row r="182" spans="1:25" ht="12.75" customHeight="1">
      <c r="A182" s="3"/>
      <c r="B182" s="3"/>
      <c r="C182" s="3"/>
      <c r="D182" s="2"/>
      <c r="E182" s="2"/>
      <c r="F182" s="3"/>
      <c r="G182" s="3"/>
      <c r="H182" s="3"/>
      <c r="I182" s="3"/>
      <c r="J182" s="3"/>
      <c r="K182" s="3"/>
      <c r="L182" s="3"/>
      <c r="M182" s="3"/>
      <c r="N182" s="3"/>
      <c r="O182" s="3"/>
      <c r="P182" s="3"/>
      <c r="Q182" s="3"/>
      <c r="R182" s="3"/>
      <c r="S182" s="3"/>
      <c r="T182" s="3"/>
      <c r="U182" s="3"/>
      <c r="V182" s="3"/>
      <c r="W182" s="3"/>
      <c r="X182" s="3"/>
      <c r="Y182" s="3"/>
    </row>
    <row r="183" spans="1:25" ht="12.75" customHeight="1">
      <c r="A183" s="3"/>
      <c r="B183" s="3"/>
      <c r="C183" s="3"/>
      <c r="D183" s="2"/>
      <c r="E183" s="2"/>
      <c r="F183" s="3"/>
      <c r="G183" s="3"/>
      <c r="H183" s="3"/>
      <c r="I183" s="3"/>
      <c r="J183" s="3"/>
      <c r="K183" s="3"/>
      <c r="L183" s="3"/>
      <c r="M183" s="3"/>
      <c r="N183" s="3"/>
      <c r="O183" s="3"/>
      <c r="P183" s="3"/>
      <c r="Q183" s="3"/>
      <c r="R183" s="3"/>
      <c r="S183" s="3"/>
      <c r="T183" s="3"/>
      <c r="U183" s="3"/>
      <c r="V183" s="3"/>
      <c r="W183" s="3"/>
      <c r="X183" s="3"/>
      <c r="Y183" s="3"/>
    </row>
    <row r="184" spans="1:25" ht="12.75" customHeight="1">
      <c r="A184" s="3"/>
      <c r="B184" s="3"/>
      <c r="C184" s="3"/>
      <c r="D184" s="2"/>
      <c r="E184" s="2"/>
      <c r="F184" s="3"/>
      <c r="G184" s="3"/>
      <c r="H184" s="3"/>
      <c r="I184" s="3"/>
      <c r="J184" s="3"/>
      <c r="K184" s="3"/>
      <c r="L184" s="3"/>
      <c r="M184" s="3"/>
      <c r="N184" s="3"/>
      <c r="O184" s="3"/>
      <c r="P184" s="3"/>
      <c r="Q184" s="3"/>
      <c r="R184" s="3"/>
      <c r="S184" s="3"/>
      <c r="T184" s="3"/>
      <c r="U184" s="3"/>
      <c r="V184" s="3"/>
      <c r="W184" s="3"/>
      <c r="X184" s="3"/>
      <c r="Y184" s="3"/>
    </row>
    <row r="185" spans="1:25" ht="12.75" customHeight="1">
      <c r="A185" s="3"/>
      <c r="B185" s="3"/>
      <c r="C185" s="3"/>
      <c r="D185" s="2"/>
      <c r="E185" s="2"/>
      <c r="F185" s="3"/>
      <c r="G185" s="3"/>
      <c r="H185" s="3"/>
      <c r="I185" s="3"/>
      <c r="J185" s="3"/>
      <c r="K185" s="3"/>
      <c r="L185" s="3"/>
      <c r="M185" s="3"/>
      <c r="N185" s="3"/>
      <c r="O185" s="3"/>
      <c r="P185" s="3"/>
      <c r="Q185" s="3"/>
      <c r="R185" s="3"/>
      <c r="S185" s="3"/>
      <c r="T185" s="3"/>
      <c r="U185" s="3"/>
      <c r="V185" s="3"/>
      <c r="W185" s="3"/>
      <c r="X185" s="3"/>
      <c r="Y185" s="3"/>
    </row>
    <row r="186" spans="1:25" ht="12.75" customHeight="1">
      <c r="A186" s="3"/>
      <c r="B186" s="3"/>
      <c r="C186" s="3"/>
      <c r="D186" s="2"/>
      <c r="E186" s="2"/>
      <c r="F186" s="3"/>
      <c r="G186" s="3"/>
      <c r="H186" s="3"/>
      <c r="I186" s="3"/>
      <c r="J186" s="3"/>
      <c r="K186" s="3"/>
      <c r="L186" s="3"/>
      <c r="M186" s="3"/>
      <c r="N186" s="3"/>
      <c r="O186" s="3"/>
      <c r="P186" s="3"/>
      <c r="Q186" s="3"/>
      <c r="R186" s="3"/>
      <c r="S186" s="3"/>
      <c r="T186" s="3"/>
      <c r="U186" s="3"/>
      <c r="V186" s="3"/>
      <c r="W186" s="3"/>
      <c r="X186" s="3"/>
      <c r="Y186" s="3"/>
    </row>
    <row r="187" spans="1:25" ht="12.75" customHeight="1">
      <c r="A187" s="3"/>
      <c r="B187" s="3"/>
      <c r="C187" s="3"/>
      <c r="D187" s="2"/>
      <c r="E187" s="2"/>
      <c r="F187" s="3"/>
      <c r="G187" s="3"/>
      <c r="H187" s="3"/>
      <c r="I187" s="3"/>
      <c r="J187" s="3"/>
      <c r="K187" s="3"/>
      <c r="L187" s="3"/>
      <c r="M187" s="3"/>
      <c r="N187" s="3"/>
      <c r="O187" s="3"/>
      <c r="P187" s="3"/>
      <c r="Q187" s="3"/>
      <c r="R187" s="3"/>
      <c r="S187" s="3"/>
      <c r="T187" s="3"/>
      <c r="U187" s="3"/>
      <c r="V187" s="3"/>
      <c r="W187" s="3"/>
      <c r="X187" s="3"/>
      <c r="Y187" s="3"/>
    </row>
    <row r="188" spans="1:25" ht="12.75" customHeight="1">
      <c r="A188" s="3"/>
      <c r="B188" s="3"/>
      <c r="C188" s="3"/>
      <c r="D188" s="2"/>
      <c r="E188" s="2"/>
      <c r="F188" s="3"/>
      <c r="G188" s="3"/>
      <c r="H188" s="3"/>
      <c r="I188" s="3"/>
      <c r="J188" s="3"/>
      <c r="K188" s="3"/>
      <c r="L188" s="3"/>
      <c r="M188" s="3"/>
      <c r="N188" s="3"/>
      <c r="O188" s="3"/>
      <c r="P188" s="3"/>
      <c r="Q188" s="3"/>
      <c r="R188" s="3"/>
      <c r="S188" s="3"/>
      <c r="T188" s="3"/>
      <c r="U188" s="3"/>
      <c r="V188" s="3"/>
      <c r="W188" s="3"/>
      <c r="X188" s="3"/>
      <c r="Y188" s="3"/>
    </row>
    <row r="189" spans="1:25" ht="12.75" customHeight="1">
      <c r="A189" s="3"/>
      <c r="B189" s="3"/>
      <c r="C189" s="3"/>
      <c r="D189" s="2"/>
      <c r="E189" s="2"/>
      <c r="F189" s="3"/>
      <c r="G189" s="3"/>
      <c r="H189" s="3"/>
      <c r="I189" s="3"/>
      <c r="J189" s="3"/>
      <c r="K189" s="3"/>
      <c r="L189" s="3"/>
      <c r="M189" s="3"/>
      <c r="N189" s="3"/>
      <c r="O189" s="3"/>
      <c r="P189" s="3"/>
      <c r="Q189" s="3"/>
      <c r="R189" s="3"/>
      <c r="S189" s="3"/>
      <c r="T189" s="3"/>
      <c r="U189" s="3"/>
      <c r="V189" s="3"/>
      <c r="W189" s="3"/>
      <c r="X189" s="3"/>
      <c r="Y189" s="3"/>
    </row>
    <row r="190" spans="1:25" ht="12.75" customHeight="1">
      <c r="A190" s="3"/>
      <c r="B190" s="3"/>
      <c r="C190" s="3"/>
      <c r="D190" s="2"/>
      <c r="E190" s="2"/>
      <c r="F190" s="3"/>
      <c r="G190" s="3"/>
      <c r="H190" s="3"/>
      <c r="I190" s="3"/>
      <c r="J190" s="3"/>
      <c r="K190" s="3"/>
      <c r="L190" s="3"/>
      <c r="M190" s="3"/>
      <c r="N190" s="3"/>
      <c r="O190" s="3"/>
      <c r="P190" s="3"/>
      <c r="Q190" s="3"/>
      <c r="R190" s="3"/>
      <c r="S190" s="3"/>
      <c r="T190" s="3"/>
      <c r="U190" s="3"/>
      <c r="V190" s="3"/>
      <c r="W190" s="3"/>
      <c r="X190" s="3"/>
      <c r="Y190" s="3"/>
    </row>
    <row r="191" spans="1:25" ht="12.75" customHeight="1">
      <c r="A191" s="3"/>
      <c r="B191" s="3"/>
      <c r="C191" s="3"/>
      <c r="D191" s="2"/>
      <c r="E191" s="2"/>
      <c r="F191" s="3"/>
      <c r="G191" s="3"/>
      <c r="H191" s="3"/>
      <c r="I191" s="3"/>
      <c r="J191" s="3"/>
      <c r="K191" s="3"/>
      <c r="L191" s="3"/>
      <c r="M191" s="3"/>
      <c r="N191" s="3"/>
      <c r="O191" s="3"/>
      <c r="P191" s="3"/>
      <c r="Q191" s="3"/>
      <c r="R191" s="3"/>
      <c r="S191" s="3"/>
      <c r="T191" s="3"/>
      <c r="U191" s="3"/>
      <c r="V191" s="3"/>
      <c r="W191" s="3"/>
      <c r="X191" s="3"/>
      <c r="Y191" s="3"/>
    </row>
    <row r="192" spans="1:25" ht="12.75" customHeight="1">
      <c r="A192" s="3"/>
      <c r="B192" s="3"/>
      <c r="C192" s="3"/>
      <c r="D192" s="2"/>
      <c r="E192" s="2"/>
      <c r="F192" s="3"/>
      <c r="G192" s="3"/>
      <c r="H192" s="3"/>
      <c r="I192" s="3"/>
      <c r="J192" s="3"/>
      <c r="K192" s="3"/>
      <c r="L192" s="3"/>
      <c r="M192" s="3"/>
      <c r="N192" s="3"/>
      <c r="O192" s="3"/>
      <c r="P192" s="3"/>
      <c r="Q192" s="3"/>
      <c r="R192" s="3"/>
      <c r="S192" s="3"/>
      <c r="T192" s="3"/>
      <c r="U192" s="3"/>
      <c r="V192" s="3"/>
      <c r="W192" s="3"/>
      <c r="X192" s="3"/>
      <c r="Y192" s="3"/>
    </row>
    <row r="193" spans="1:25" ht="12.75" customHeight="1">
      <c r="A193" s="3"/>
      <c r="B193" s="3"/>
      <c r="C193" s="3"/>
      <c r="D193" s="2"/>
      <c r="E193" s="2"/>
      <c r="F193" s="3"/>
      <c r="G193" s="3"/>
      <c r="H193" s="3"/>
      <c r="I193" s="3"/>
      <c r="J193" s="3"/>
      <c r="K193" s="3"/>
      <c r="L193" s="3"/>
      <c r="M193" s="3"/>
      <c r="N193" s="3"/>
      <c r="O193" s="3"/>
      <c r="P193" s="3"/>
      <c r="Q193" s="3"/>
      <c r="R193" s="3"/>
      <c r="S193" s="3"/>
      <c r="T193" s="3"/>
      <c r="U193" s="3"/>
      <c r="V193" s="3"/>
      <c r="W193" s="3"/>
      <c r="X193" s="3"/>
      <c r="Y193" s="3"/>
    </row>
    <row r="194" spans="1:25" ht="12.75" customHeight="1">
      <c r="A194" s="3"/>
      <c r="B194" s="3"/>
      <c r="C194" s="3"/>
      <c r="D194" s="2"/>
      <c r="E194" s="2"/>
      <c r="F194" s="3"/>
      <c r="G194" s="3"/>
      <c r="H194" s="3"/>
      <c r="I194" s="3"/>
      <c r="J194" s="3"/>
      <c r="K194" s="3"/>
      <c r="L194" s="3"/>
      <c r="M194" s="3"/>
      <c r="N194" s="3"/>
      <c r="O194" s="3"/>
      <c r="P194" s="3"/>
      <c r="Q194" s="3"/>
      <c r="R194" s="3"/>
      <c r="S194" s="3"/>
      <c r="T194" s="3"/>
      <c r="U194" s="3"/>
      <c r="V194" s="3"/>
      <c r="W194" s="3"/>
      <c r="X194" s="3"/>
      <c r="Y194" s="3"/>
    </row>
    <row r="195" spans="1:25" ht="12.75" customHeight="1">
      <c r="A195" s="3"/>
      <c r="B195" s="3"/>
      <c r="C195" s="3"/>
      <c r="D195" s="2"/>
      <c r="E195" s="2"/>
      <c r="F195" s="3"/>
      <c r="G195" s="3"/>
      <c r="H195" s="3"/>
      <c r="I195" s="3"/>
      <c r="J195" s="3"/>
      <c r="K195" s="3"/>
      <c r="L195" s="3"/>
      <c r="M195" s="3"/>
      <c r="N195" s="3"/>
      <c r="O195" s="3"/>
      <c r="P195" s="3"/>
      <c r="Q195" s="3"/>
      <c r="R195" s="3"/>
      <c r="S195" s="3"/>
      <c r="T195" s="3"/>
      <c r="U195" s="3"/>
      <c r="V195" s="3"/>
      <c r="W195" s="3"/>
      <c r="X195" s="3"/>
      <c r="Y195" s="3"/>
    </row>
    <row r="196" spans="1:25" ht="12.75" customHeight="1">
      <c r="A196" s="3"/>
      <c r="B196" s="3"/>
      <c r="C196" s="3"/>
      <c r="D196" s="2"/>
      <c r="E196" s="2"/>
      <c r="F196" s="3"/>
      <c r="G196" s="3"/>
      <c r="H196" s="3"/>
      <c r="I196" s="3"/>
      <c r="J196" s="3"/>
      <c r="K196" s="3"/>
      <c r="L196" s="3"/>
      <c r="M196" s="3"/>
      <c r="N196" s="3"/>
      <c r="O196" s="3"/>
      <c r="P196" s="3"/>
      <c r="Q196" s="3"/>
      <c r="R196" s="3"/>
      <c r="S196" s="3"/>
      <c r="T196" s="3"/>
      <c r="U196" s="3"/>
      <c r="V196" s="3"/>
      <c r="W196" s="3"/>
      <c r="X196" s="3"/>
      <c r="Y196" s="3"/>
    </row>
    <row r="197" spans="1:25" ht="12.75" customHeight="1">
      <c r="A197" s="3"/>
      <c r="B197" s="3"/>
      <c r="C197" s="3"/>
      <c r="D197" s="2"/>
      <c r="E197" s="2"/>
      <c r="F197" s="3"/>
      <c r="G197" s="3"/>
      <c r="H197" s="3"/>
      <c r="I197" s="3"/>
      <c r="J197" s="3"/>
      <c r="K197" s="3"/>
      <c r="L197" s="3"/>
      <c r="M197" s="3"/>
      <c r="N197" s="3"/>
      <c r="O197" s="3"/>
      <c r="P197" s="3"/>
      <c r="Q197" s="3"/>
      <c r="R197" s="3"/>
      <c r="S197" s="3"/>
      <c r="T197" s="3"/>
      <c r="U197" s="3"/>
      <c r="V197" s="3"/>
      <c r="W197" s="3"/>
      <c r="X197" s="3"/>
      <c r="Y197" s="3"/>
    </row>
    <row r="198" spans="1:25" ht="12.75" customHeight="1">
      <c r="A198" s="3"/>
      <c r="B198" s="3"/>
      <c r="C198" s="3"/>
      <c r="D198" s="2"/>
      <c r="E198" s="2"/>
      <c r="F198" s="3"/>
      <c r="G198" s="3"/>
      <c r="H198" s="3"/>
      <c r="I198" s="3"/>
      <c r="J198" s="3"/>
      <c r="K198" s="3"/>
      <c r="L198" s="3"/>
      <c r="M198" s="3"/>
      <c r="N198" s="3"/>
      <c r="O198" s="3"/>
      <c r="P198" s="3"/>
      <c r="Q198" s="3"/>
      <c r="R198" s="3"/>
      <c r="S198" s="3"/>
      <c r="T198" s="3"/>
      <c r="U198" s="3"/>
      <c r="V198" s="3"/>
      <c r="W198" s="3"/>
      <c r="X198" s="3"/>
      <c r="Y198" s="3"/>
    </row>
    <row r="199" spans="1:25" ht="12.75" customHeight="1">
      <c r="A199" s="3"/>
      <c r="B199" s="3"/>
      <c r="C199" s="3"/>
      <c r="D199" s="2"/>
      <c r="E199" s="2"/>
      <c r="F199" s="3"/>
      <c r="G199" s="3"/>
      <c r="H199" s="3"/>
      <c r="I199" s="3"/>
      <c r="J199" s="3"/>
      <c r="K199" s="3"/>
      <c r="L199" s="3"/>
      <c r="M199" s="3"/>
      <c r="N199" s="3"/>
      <c r="O199" s="3"/>
      <c r="P199" s="3"/>
      <c r="Q199" s="3"/>
      <c r="R199" s="3"/>
      <c r="S199" s="3"/>
      <c r="T199" s="3"/>
      <c r="U199" s="3"/>
      <c r="V199" s="3"/>
      <c r="W199" s="3"/>
      <c r="X199" s="3"/>
      <c r="Y199" s="3"/>
    </row>
    <row r="200" spans="1:25" ht="12.75" customHeight="1">
      <c r="A200" s="3"/>
      <c r="B200" s="3"/>
      <c r="C200" s="3"/>
      <c r="D200" s="2"/>
      <c r="E200" s="2"/>
      <c r="F200" s="3"/>
      <c r="G200" s="3"/>
      <c r="H200" s="3"/>
      <c r="I200" s="3"/>
      <c r="J200" s="3"/>
      <c r="K200" s="3"/>
      <c r="L200" s="3"/>
      <c r="M200" s="3"/>
      <c r="N200" s="3"/>
      <c r="O200" s="3"/>
      <c r="P200" s="3"/>
      <c r="Q200" s="3"/>
      <c r="R200" s="3"/>
      <c r="S200" s="3"/>
      <c r="T200" s="3"/>
      <c r="U200" s="3"/>
      <c r="V200" s="3"/>
      <c r="W200" s="3"/>
      <c r="X200" s="3"/>
      <c r="Y200" s="3"/>
    </row>
    <row r="201" spans="1:25" ht="12.75" customHeight="1">
      <c r="A201" s="3"/>
      <c r="B201" s="3"/>
      <c r="C201" s="3"/>
      <c r="D201" s="2"/>
      <c r="E201" s="2"/>
      <c r="F201" s="3"/>
      <c r="G201" s="3"/>
      <c r="H201" s="3"/>
      <c r="I201" s="3"/>
      <c r="J201" s="3"/>
      <c r="K201" s="3"/>
      <c r="L201" s="3"/>
      <c r="M201" s="3"/>
      <c r="N201" s="3"/>
      <c r="O201" s="3"/>
      <c r="P201" s="3"/>
      <c r="Q201" s="3"/>
      <c r="R201" s="3"/>
      <c r="S201" s="3"/>
      <c r="T201" s="3"/>
      <c r="U201" s="3"/>
      <c r="V201" s="3"/>
      <c r="W201" s="3"/>
      <c r="X201" s="3"/>
      <c r="Y201" s="3"/>
    </row>
    <row r="202" spans="1:25" ht="12.75" customHeight="1">
      <c r="A202" s="3"/>
      <c r="B202" s="3"/>
      <c r="C202" s="3"/>
      <c r="D202" s="2"/>
      <c r="E202" s="2"/>
      <c r="F202" s="3"/>
      <c r="G202" s="3"/>
      <c r="H202" s="3"/>
      <c r="I202" s="3"/>
      <c r="J202" s="3"/>
      <c r="K202" s="3"/>
      <c r="L202" s="3"/>
      <c r="M202" s="3"/>
      <c r="N202" s="3"/>
      <c r="O202" s="3"/>
      <c r="P202" s="3"/>
      <c r="Q202" s="3"/>
      <c r="R202" s="3"/>
      <c r="S202" s="3"/>
      <c r="T202" s="3"/>
      <c r="U202" s="3"/>
      <c r="V202" s="3"/>
      <c r="W202" s="3"/>
      <c r="X202" s="3"/>
      <c r="Y202" s="3"/>
    </row>
    <row r="203" spans="1:25" ht="12.75" customHeight="1">
      <c r="A203" s="3"/>
      <c r="B203" s="3"/>
      <c r="C203" s="3"/>
      <c r="D203" s="2"/>
      <c r="E203" s="2"/>
      <c r="F203" s="3"/>
      <c r="G203" s="3"/>
      <c r="H203" s="3"/>
      <c r="I203" s="3"/>
      <c r="J203" s="3"/>
      <c r="K203" s="3"/>
      <c r="L203" s="3"/>
      <c r="M203" s="3"/>
      <c r="N203" s="3"/>
      <c r="O203" s="3"/>
      <c r="P203" s="3"/>
      <c r="Q203" s="3"/>
      <c r="R203" s="3"/>
      <c r="S203" s="3"/>
      <c r="T203" s="3"/>
      <c r="U203" s="3"/>
      <c r="V203" s="3"/>
      <c r="W203" s="3"/>
      <c r="X203" s="3"/>
      <c r="Y203" s="3"/>
    </row>
    <row r="204" spans="1:25" ht="12.75" customHeight="1">
      <c r="A204" s="3"/>
      <c r="B204" s="3"/>
      <c r="C204" s="3"/>
      <c r="D204" s="2"/>
      <c r="E204" s="2"/>
      <c r="F204" s="3"/>
      <c r="G204" s="3"/>
      <c r="H204" s="3"/>
      <c r="I204" s="3"/>
      <c r="J204" s="3"/>
      <c r="K204" s="3"/>
      <c r="L204" s="3"/>
      <c r="M204" s="3"/>
      <c r="N204" s="3"/>
      <c r="O204" s="3"/>
      <c r="P204" s="3"/>
      <c r="Q204" s="3"/>
      <c r="R204" s="3"/>
      <c r="S204" s="3"/>
      <c r="T204" s="3"/>
      <c r="U204" s="3"/>
      <c r="V204" s="3"/>
      <c r="W204" s="3"/>
      <c r="X204" s="3"/>
      <c r="Y204" s="3"/>
    </row>
    <row r="205" spans="1:25" ht="12.75" customHeight="1">
      <c r="A205" s="3"/>
      <c r="B205" s="3"/>
      <c r="C205" s="3"/>
      <c r="D205" s="2"/>
      <c r="E205" s="2"/>
      <c r="F205" s="3"/>
      <c r="G205" s="3"/>
      <c r="H205" s="3"/>
      <c r="I205" s="3"/>
      <c r="J205" s="3"/>
      <c r="K205" s="3"/>
      <c r="L205" s="3"/>
      <c r="M205" s="3"/>
      <c r="N205" s="3"/>
      <c r="O205" s="3"/>
      <c r="P205" s="3"/>
      <c r="Q205" s="3"/>
      <c r="R205" s="3"/>
      <c r="S205" s="3"/>
      <c r="T205" s="3"/>
      <c r="U205" s="3"/>
      <c r="V205" s="3"/>
      <c r="W205" s="3"/>
      <c r="X205" s="3"/>
      <c r="Y205" s="3"/>
    </row>
    <row r="206" spans="1:25" ht="12.75" customHeight="1">
      <c r="A206" s="3"/>
      <c r="B206" s="3"/>
      <c r="C206" s="3"/>
      <c r="D206" s="2"/>
      <c r="E206" s="2"/>
      <c r="F206" s="3"/>
      <c r="G206" s="3"/>
      <c r="H206" s="3"/>
      <c r="I206" s="3"/>
      <c r="J206" s="3"/>
      <c r="K206" s="3"/>
      <c r="L206" s="3"/>
      <c r="M206" s="3"/>
      <c r="N206" s="3"/>
      <c r="O206" s="3"/>
      <c r="P206" s="3"/>
      <c r="Q206" s="3"/>
      <c r="R206" s="3"/>
      <c r="S206" s="3"/>
      <c r="T206" s="3"/>
      <c r="U206" s="3"/>
      <c r="V206" s="3"/>
      <c r="W206" s="3"/>
      <c r="X206" s="3"/>
      <c r="Y206" s="3"/>
    </row>
    <row r="207" spans="1:25" ht="12.75" customHeight="1">
      <c r="A207" s="3"/>
      <c r="B207" s="3"/>
      <c r="C207" s="3"/>
      <c r="D207" s="2"/>
      <c r="E207" s="2"/>
      <c r="F207" s="3"/>
      <c r="G207" s="3"/>
      <c r="H207" s="3"/>
      <c r="I207" s="3"/>
      <c r="J207" s="3"/>
      <c r="K207" s="3"/>
      <c r="L207" s="3"/>
      <c r="M207" s="3"/>
      <c r="N207" s="3"/>
      <c r="O207" s="3"/>
      <c r="P207" s="3"/>
      <c r="Q207" s="3"/>
      <c r="R207" s="3"/>
      <c r="S207" s="3"/>
      <c r="T207" s="3"/>
      <c r="U207" s="3"/>
      <c r="V207" s="3"/>
      <c r="W207" s="3"/>
      <c r="X207" s="3"/>
      <c r="Y207" s="3"/>
    </row>
    <row r="208" spans="1:25" ht="12.75" customHeight="1">
      <c r="A208" s="3"/>
      <c r="B208" s="3"/>
      <c r="C208" s="3"/>
      <c r="D208" s="2"/>
      <c r="E208" s="2"/>
      <c r="F208" s="3"/>
      <c r="G208" s="3"/>
      <c r="H208" s="3"/>
      <c r="I208" s="3"/>
      <c r="J208" s="3"/>
      <c r="K208" s="3"/>
      <c r="L208" s="3"/>
      <c r="M208" s="3"/>
      <c r="N208" s="3"/>
      <c r="O208" s="3"/>
      <c r="P208" s="3"/>
      <c r="Q208" s="3"/>
      <c r="R208" s="3"/>
      <c r="S208" s="3"/>
      <c r="T208" s="3"/>
      <c r="U208" s="3"/>
      <c r="V208" s="3"/>
      <c r="W208" s="3"/>
      <c r="X208" s="3"/>
      <c r="Y208" s="3"/>
    </row>
    <row r="209" spans="1:25" ht="12.75" customHeight="1">
      <c r="A209" s="3"/>
      <c r="B209" s="3"/>
      <c r="C209" s="3"/>
      <c r="D209" s="2"/>
      <c r="E209" s="2"/>
      <c r="F209" s="3"/>
      <c r="G209" s="3"/>
      <c r="H209" s="3"/>
      <c r="I209" s="3"/>
      <c r="J209" s="3"/>
      <c r="K209" s="3"/>
      <c r="L209" s="3"/>
      <c r="M209" s="3"/>
      <c r="N209" s="3"/>
      <c r="O209" s="3"/>
      <c r="P209" s="3"/>
      <c r="Q209" s="3"/>
      <c r="R209" s="3"/>
      <c r="S209" s="3"/>
      <c r="T209" s="3"/>
      <c r="U209" s="3"/>
      <c r="V209" s="3"/>
      <c r="W209" s="3"/>
      <c r="X209" s="3"/>
      <c r="Y209" s="3"/>
    </row>
    <row r="210" spans="1:25" ht="12.75" customHeight="1">
      <c r="A210" s="3"/>
      <c r="B210" s="3"/>
      <c r="C210" s="3"/>
      <c r="D210" s="2"/>
      <c r="E210" s="2"/>
      <c r="F210" s="3"/>
      <c r="G210" s="3"/>
      <c r="H210" s="3"/>
      <c r="I210" s="3"/>
      <c r="J210" s="3"/>
      <c r="K210" s="3"/>
      <c r="L210" s="3"/>
      <c r="M210" s="3"/>
      <c r="N210" s="3"/>
      <c r="O210" s="3"/>
      <c r="P210" s="3"/>
      <c r="Q210" s="3"/>
      <c r="R210" s="3"/>
      <c r="S210" s="3"/>
      <c r="T210" s="3"/>
      <c r="U210" s="3"/>
      <c r="V210" s="3"/>
      <c r="W210" s="3"/>
      <c r="X210" s="3"/>
      <c r="Y210" s="3"/>
    </row>
    <row r="211" spans="1:25" ht="12.75" customHeight="1">
      <c r="A211" s="3"/>
      <c r="B211" s="3"/>
      <c r="C211" s="3"/>
      <c r="D211" s="2"/>
      <c r="E211" s="2"/>
      <c r="F211" s="3"/>
      <c r="G211" s="3"/>
      <c r="H211" s="3"/>
      <c r="I211" s="3"/>
      <c r="J211" s="3"/>
      <c r="K211" s="3"/>
      <c r="L211" s="3"/>
      <c r="M211" s="3"/>
      <c r="N211" s="3"/>
      <c r="O211" s="3"/>
      <c r="P211" s="3"/>
      <c r="Q211" s="3"/>
      <c r="R211" s="3"/>
      <c r="S211" s="3"/>
      <c r="T211" s="3"/>
      <c r="U211" s="3"/>
      <c r="V211" s="3"/>
      <c r="W211" s="3"/>
      <c r="X211" s="3"/>
      <c r="Y211" s="3"/>
    </row>
    <row r="212" spans="1:25" ht="12.75" customHeight="1">
      <c r="A212" s="3"/>
      <c r="B212" s="3"/>
      <c r="C212" s="3"/>
      <c r="D212" s="2"/>
      <c r="E212" s="2"/>
      <c r="F212" s="3"/>
      <c r="G212" s="3"/>
      <c r="H212" s="3"/>
      <c r="I212" s="3"/>
      <c r="J212" s="3"/>
      <c r="K212" s="3"/>
      <c r="L212" s="3"/>
      <c r="M212" s="3"/>
      <c r="N212" s="3"/>
      <c r="O212" s="3"/>
      <c r="P212" s="3"/>
      <c r="Q212" s="3"/>
      <c r="R212" s="3"/>
      <c r="S212" s="3"/>
      <c r="T212" s="3"/>
      <c r="U212" s="3"/>
      <c r="V212" s="3"/>
      <c r="W212" s="3"/>
      <c r="X212" s="3"/>
      <c r="Y212" s="3"/>
    </row>
    <row r="213" spans="1:25" ht="12.75" customHeight="1">
      <c r="A213" s="3"/>
      <c r="B213" s="3"/>
      <c r="C213" s="3"/>
      <c r="D213" s="2"/>
      <c r="E213" s="2"/>
      <c r="F213" s="3"/>
      <c r="G213" s="3"/>
      <c r="H213" s="3"/>
      <c r="I213" s="3"/>
      <c r="J213" s="3"/>
      <c r="K213" s="3"/>
      <c r="L213" s="3"/>
      <c r="M213" s="3"/>
      <c r="N213" s="3"/>
      <c r="O213" s="3"/>
      <c r="P213" s="3"/>
      <c r="Q213" s="3"/>
      <c r="R213" s="3"/>
      <c r="S213" s="3"/>
      <c r="T213" s="3"/>
      <c r="U213" s="3"/>
      <c r="V213" s="3"/>
      <c r="W213" s="3"/>
      <c r="X213" s="3"/>
      <c r="Y213" s="3"/>
    </row>
    <row r="214" spans="1:25" ht="12.75" customHeight="1">
      <c r="A214" s="3"/>
      <c r="B214" s="3"/>
      <c r="C214" s="3"/>
      <c r="D214" s="2"/>
      <c r="E214" s="2"/>
      <c r="F214" s="3"/>
      <c r="G214" s="3"/>
      <c r="H214" s="3"/>
      <c r="I214" s="3"/>
      <c r="J214" s="3"/>
      <c r="K214" s="3"/>
      <c r="L214" s="3"/>
      <c r="M214" s="3"/>
      <c r="N214" s="3"/>
      <c r="O214" s="3"/>
      <c r="P214" s="3"/>
      <c r="Q214" s="3"/>
      <c r="R214" s="3"/>
      <c r="S214" s="3"/>
      <c r="T214" s="3"/>
      <c r="U214" s="3"/>
      <c r="V214" s="3"/>
      <c r="W214" s="3"/>
      <c r="X214" s="3"/>
      <c r="Y214" s="3"/>
    </row>
    <row r="215" spans="1:25" ht="12.75" customHeight="1">
      <c r="A215" s="3"/>
      <c r="B215" s="3"/>
      <c r="C215" s="3"/>
      <c r="D215" s="2"/>
      <c r="E215" s="2"/>
      <c r="F215" s="3"/>
      <c r="G215" s="3"/>
      <c r="H215" s="3"/>
      <c r="I215" s="3"/>
      <c r="J215" s="3"/>
      <c r="K215" s="3"/>
      <c r="L215" s="3"/>
      <c r="M215" s="3"/>
      <c r="N215" s="3"/>
      <c r="O215" s="3"/>
      <c r="P215" s="3"/>
      <c r="Q215" s="3"/>
      <c r="R215" s="3"/>
      <c r="S215" s="3"/>
      <c r="T215" s="3"/>
      <c r="U215" s="3"/>
      <c r="V215" s="3"/>
      <c r="W215" s="3"/>
      <c r="X215" s="3"/>
      <c r="Y215" s="3"/>
    </row>
    <row r="216" spans="1:25" ht="12.75" customHeight="1">
      <c r="A216" s="3"/>
      <c r="B216" s="3"/>
      <c r="C216" s="3"/>
      <c r="D216" s="2"/>
      <c r="E216" s="2"/>
      <c r="F216" s="3"/>
      <c r="G216" s="3"/>
      <c r="H216" s="3"/>
      <c r="I216" s="3"/>
      <c r="J216" s="3"/>
      <c r="K216" s="3"/>
      <c r="L216" s="3"/>
      <c r="M216" s="3"/>
      <c r="N216" s="3"/>
      <c r="O216" s="3"/>
      <c r="P216" s="3"/>
      <c r="Q216" s="3"/>
      <c r="R216" s="3"/>
      <c r="S216" s="3"/>
      <c r="T216" s="3"/>
      <c r="U216" s="3"/>
      <c r="V216" s="3"/>
      <c r="W216" s="3"/>
      <c r="X216" s="3"/>
      <c r="Y216" s="3"/>
    </row>
    <row r="217" spans="1:25" ht="12.75" customHeight="1">
      <c r="A217" s="3"/>
      <c r="B217" s="3"/>
      <c r="C217" s="3"/>
      <c r="D217" s="2"/>
      <c r="E217" s="2"/>
      <c r="F217" s="3"/>
      <c r="G217" s="3"/>
      <c r="H217" s="3"/>
      <c r="I217" s="3"/>
      <c r="J217" s="3"/>
      <c r="K217" s="3"/>
      <c r="L217" s="3"/>
      <c r="M217" s="3"/>
      <c r="N217" s="3"/>
      <c r="O217" s="3"/>
      <c r="P217" s="3"/>
      <c r="Q217" s="3"/>
      <c r="R217" s="3"/>
      <c r="S217" s="3"/>
      <c r="T217" s="3"/>
      <c r="U217" s="3"/>
      <c r="V217" s="3"/>
      <c r="W217" s="3"/>
      <c r="X217" s="3"/>
      <c r="Y217" s="3"/>
    </row>
    <row r="218" spans="1:25" ht="12.75" customHeight="1">
      <c r="A218" s="3"/>
      <c r="B218" s="3"/>
      <c r="C218" s="3"/>
      <c r="D218" s="2"/>
      <c r="E218" s="2"/>
      <c r="F218" s="3"/>
      <c r="G218" s="3"/>
      <c r="H218" s="3"/>
      <c r="I218" s="3"/>
      <c r="J218" s="3"/>
      <c r="K218" s="3"/>
      <c r="L218" s="3"/>
      <c r="M218" s="3"/>
      <c r="N218" s="3"/>
      <c r="O218" s="3"/>
      <c r="P218" s="3"/>
      <c r="Q218" s="3"/>
      <c r="R218" s="3"/>
      <c r="S218" s="3"/>
      <c r="T218" s="3"/>
      <c r="U218" s="3"/>
      <c r="V218" s="3"/>
      <c r="W218" s="3"/>
      <c r="X218" s="3"/>
      <c r="Y218" s="3"/>
    </row>
    <row r="219" spans="1:25" ht="12.75" customHeight="1">
      <c r="A219" s="3"/>
      <c r="B219" s="3"/>
      <c r="C219" s="3"/>
      <c r="D219" s="2"/>
      <c r="E219" s="2"/>
      <c r="F219" s="3"/>
      <c r="G219" s="3"/>
      <c r="H219" s="3"/>
      <c r="I219" s="3"/>
      <c r="J219" s="3"/>
      <c r="K219" s="3"/>
      <c r="L219" s="3"/>
      <c r="M219" s="3"/>
      <c r="N219" s="3"/>
      <c r="O219" s="3"/>
      <c r="P219" s="3"/>
      <c r="Q219" s="3"/>
      <c r="R219" s="3"/>
      <c r="S219" s="3"/>
      <c r="T219" s="3"/>
      <c r="U219" s="3"/>
      <c r="V219" s="3"/>
      <c r="W219" s="3"/>
      <c r="X219" s="3"/>
      <c r="Y219" s="3"/>
    </row>
    <row r="220" spans="1:25" ht="12.75" customHeight="1">
      <c r="A220" s="3"/>
      <c r="B220" s="3"/>
      <c r="C220" s="3"/>
      <c r="D220" s="2"/>
      <c r="E220" s="2"/>
      <c r="F220" s="3"/>
      <c r="G220" s="3"/>
      <c r="H220" s="3"/>
      <c r="I220" s="3"/>
      <c r="J220" s="3"/>
      <c r="K220" s="3"/>
      <c r="L220" s="3"/>
      <c r="M220" s="3"/>
      <c r="N220" s="3"/>
      <c r="O220" s="3"/>
      <c r="P220" s="3"/>
      <c r="Q220" s="3"/>
      <c r="R220" s="3"/>
      <c r="S220" s="3"/>
      <c r="T220" s="3"/>
      <c r="U220" s="3"/>
      <c r="V220" s="3"/>
      <c r="W220" s="3"/>
      <c r="X220" s="3"/>
      <c r="Y220" s="3"/>
    </row>
    <row r="221" spans="1:25" ht="12.75" customHeight="1">
      <c r="A221" s="3"/>
      <c r="B221" s="3"/>
      <c r="C221" s="3"/>
      <c r="D221" s="2"/>
      <c r="E221" s="2"/>
      <c r="F221" s="3"/>
      <c r="G221" s="3"/>
      <c r="H221" s="3"/>
      <c r="I221" s="3"/>
      <c r="J221" s="3"/>
      <c r="K221" s="3"/>
      <c r="L221" s="3"/>
      <c r="M221" s="3"/>
      <c r="N221" s="3"/>
      <c r="O221" s="3"/>
      <c r="P221" s="3"/>
      <c r="Q221" s="3"/>
      <c r="R221" s="3"/>
      <c r="S221" s="3"/>
      <c r="T221" s="3"/>
      <c r="U221" s="3"/>
      <c r="V221" s="3"/>
      <c r="W221" s="3"/>
      <c r="X221" s="3"/>
      <c r="Y221" s="3"/>
    </row>
    <row r="222" spans="1:25" ht="12.75" customHeight="1">
      <c r="A222" s="3"/>
      <c r="B222" s="3"/>
      <c r="C222" s="3"/>
      <c r="D222" s="2"/>
      <c r="E222" s="2"/>
      <c r="F222" s="3"/>
      <c r="G222" s="3"/>
      <c r="H222" s="3"/>
      <c r="I222" s="3"/>
      <c r="J222" s="3"/>
      <c r="K222" s="3"/>
      <c r="L222" s="3"/>
      <c r="M222" s="3"/>
      <c r="N222" s="3"/>
      <c r="O222" s="3"/>
      <c r="P222" s="3"/>
      <c r="Q222" s="3"/>
      <c r="R222" s="3"/>
      <c r="S222" s="3"/>
      <c r="T222" s="3"/>
      <c r="U222" s="3"/>
      <c r="V222" s="3"/>
      <c r="W222" s="3"/>
      <c r="X222" s="3"/>
      <c r="Y222" s="3"/>
    </row>
    <row r="223" spans="1:25" ht="12.75" customHeight="1">
      <c r="A223" s="3"/>
      <c r="B223" s="3"/>
      <c r="C223" s="3"/>
      <c r="D223" s="2"/>
      <c r="E223" s="2"/>
      <c r="F223" s="3"/>
      <c r="G223" s="3"/>
      <c r="H223" s="3"/>
      <c r="I223" s="3"/>
      <c r="J223" s="3"/>
      <c r="K223" s="3"/>
      <c r="L223" s="3"/>
      <c r="M223" s="3"/>
      <c r="N223" s="3"/>
      <c r="O223" s="3"/>
      <c r="P223" s="3"/>
      <c r="Q223" s="3"/>
      <c r="R223" s="3"/>
      <c r="S223" s="3"/>
      <c r="T223" s="3"/>
      <c r="U223" s="3"/>
      <c r="V223" s="3"/>
      <c r="W223" s="3"/>
      <c r="X223" s="3"/>
      <c r="Y223" s="3"/>
    </row>
    <row r="224" spans="1:25" ht="12.75" customHeight="1">
      <c r="A224" s="3"/>
      <c r="B224" s="3"/>
      <c r="C224" s="3"/>
      <c r="D224" s="2"/>
      <c r="E224" s="2"/>
      <c r="F224" s="3"/>
      <c r="G224" s="3"/>
      <c r="H224" s="3"/>
      <c r="I224" s="3"/>
      <c r="J224" s="3"/>
      <c r="K224" s="3"/>
      <c r="L224" s="3"/>
      <c r="M224" s="3"/>
      <c r="N224" s="3"/>
      <c r="O224" s="3"/>
      <c r="P224" s="3"/>
      <c r="Q224" s="3"/>
      <c r="R224" s="3"/>
      <c r="S224" s="3"/>
      <c r="T224" s="3"/>
      <c r="U224" s="3"/>
      <c r="V224" s="3"/>
      <c r="W224" s="3"/>
      <c r="X224" s="3"/>
      <c r="Y224" s="3"/>
    </row>
    <row r="225" spans="1:25" ht="12.75" customHeight="1">
      <c r="A225" s="3"/>
      <c r="B225" s="3"/>
      <c r="C225" s="3"/>
      <c r="D225" s="2"/>
      <c r="E225" s="2"/>
      <c r="F225" s="3"/>
      <c r="G225" s="3"/>
      <c r="H225" s="3"/>
      <c r="I225" s="3"/>
      <c r="J225" s="3"/>
      <c r="K225" s="3"/>
      <c r="L225" s="3"/>
      <c r="M225" s="3"/>
      <c r="N225" s="3"/>
      <c r="O225" s="3"/>
      <c r="P225" s="3"/>
      <c r="Q225" s="3"/>
      <c r="R225" s="3"/>
      <c r="S225" s="3"/>
      <c r="T225" s="3"/>
      <c r="U225" s="3"/>
      <c r="V225" s="3"/>
      <c r="W225" s="3"/>
      <c r="X225" s="3"/>
      <c r="Y225" s="3"/>
    </row>
    <row r="226" spans="1:25" ht="12.75" customHeight="1">
      <c r="A226" s="3"/>
      <c r="B226" s="3"/>
      <c r="C226" s="3"/>
      <c r="D226" s="2"/>
      <c r="E226" s="2"/>
      <c r="F226" s="3"/>
      <c r="G226" s="3"/>
      <c r="H226" s="3"/>
      <c r="I226" s="3"/>
      <c r="J226" s="3"/>
      <c r="K226" s="3"/>
      <c r="L226" s="3"/>
      <c r="M226" s="3"/>
      <c r="N226" s="3"/>
      <c r="O226" s="3"/>
      <c r="P226" s="3"/>
      <c r="Q226" s="3"/>
      <c r="R226" s="3"/>
      <c r="S226" s="3"/>
      <c r="T226" s="3"/>
      <c r="U226" s="3"/>
      <c r="V226" s="3"/>
      <c r="W226" s="3"/>
      <c r="X226" s="3"/>
      <c r="Y226" s="3"/>
    </row>
    <row r="227" spans="1:25" ht="12.75" customHeight="1">
      <c r="A227" s="3"/>
      <c r="B227" s="3"/>
      <c r="C227" s="3"/>
      <c r="D227" s="2"/>
      <c r="E227" s="2"/>
      <c r="F227" s="3"/>
      <c r="G227" s="3"/>
      <c r="H227" s="3"/>
      <c r="I227" s="3"/>
      <c r="J227" s="3"/>
      <c r="K227" s="3"/>
      <c r="L227" s="3"/>
      <c r="M227" s="3"/>
      <c r="N227" s="3"/>
      <c r="O227" s="3"/>
      <c r="P227" s="3"/>
      <c r="Q227" s="3"/>
      <c r="R227" s="3"/>
      <c r="S227" s="3"/>
      <c r="T227" s="3"/>
      <c r="U227" s="3"/>
      <c r="V227" s="3"/>
      <c r="W227" s="3"/>
      <c r="X227" s="3"/>
      <c r="Y227" s="3"/>
    </row>
    <row r="228" spans="1:25" ht="12.75" customHeight="1">
      <c r="A228" s="3"/>
      <c r="B228" s="3"/>
      <c r="C228" s="3"/>
      <c r="D228" s="2"/>
      <c r="E228" s="2"/>
      <c r="F228" s="3"/>
      <c r="G228" s="3"/>
      <c r="H228" s="3"/>
      <c r="I228" s="3"/>
      <c r="J228" s="3"/>
      <c r="K228" s="3"/>
      <c r="L228" s="3"/>
      <c r="M228" s="3"/>
      <c r="N228" s="3"/>
      <c r="O228" s="3"/>
      <c r="P228" s="3"/>
      <c r="Q228" s="3"/>
      <c r="R228" s="3"/>
      <c r="S228" s="3"/>
      <c r="T228" s="3"/>
      <c r="U228" s="3"/>
      <c r="V228" s="3"/>
      <c r="W228" s="3"/>
      <c r="X228" s="3"/>
      <c r="Y228" s="3"/>
    </row>
    <row r="229" spans="1:25" ht="12.75" customHeight="1">
      <c r="A229" s="3"/>
      <c r="B229" s="3"/>
      <c r="C229" s="3"/>
      <c r="D229" s="2"/>
      <c r="E229" s="2"/>
      <c r="F229" s="3"/>
      <c r="G229" s="3"/>
      <c r="H229" s="3"/>
      <c r="I229" s="3"/>
      <c r="J229" s="3"/>
      <c r="K229" s="3"/>
      <c r="L229" s="3"/>
      <c r="M229" s="3"/>
      <c r="N229" s="3"/>
      <c r="O229" s="3"/>
      <c r="P229" s="3"/>
      <c r="Q229" s="3"/>
      <c r="R229" s="3"/>
      <c r="S229" s="3"/>
      <c r="T229" s="3"/>
      <c r="U229" s="3"/>
      <c r="V229" s="3"/>
      <c r="W229" s="3"/>
      <c r="X229" s="3"/>
      <c r="Y229" s="3"/>
    </row>
    <row r="230" spans="1:25" ht="12.75" customHeight="1">
      <c r="A230" s="3"/>
      <c r="B230" s="3"/>
      <c r="C230" s="3"/>
      <c r="D230" s="2"/>
      <c r="E230" s="2"/>
      <c r="F230" s="3"/>
      <c r="G230" s="3"/>
      <c r="H230" s="3"/>
      <c r="I230" s="3"/>
      <c r="J230" s="3"/>
      <c r="K230" s="3"/>
      <c r="L230" s="3"/>
      <c r="M230" s="3"/>
      <c r="N230" s="3"/>
      <c r="O230" s="3"/>
      <c r="P230" s="3"/>
      <c r="Q230" s="3"/>
      <c r="R230" s="3"/>
      <c r="S230" s="3"/>
      <c r="T230" s="3"/>
      <c r="U230" s="3"/>
      <c r="V230" s="3"/>
      <c r="W230" s="3"/>
      <c r="X230" s="3"/>
      <c r="Y230" s="3"/>
    </row>
    <row r="231" spans="1:25" ht="12.75" customHeight="1">
      <c r="A231" s="3"/>
      <c r="B231" s="3"/>
      <c r="C231" s="3"/>
      <c r="D231" s="2"/>
      <c r="E231" s="2"/>
      <c r="F231" s="3"/>
      <c r="G231" s="3"/>
      <c r="H231" s="3"/>
      <c r="I231" s="3"/>
      <c r="J231" s="3"/>
      <c r="K231" s="3"/>
      <c r="L231" s="3"/>
      <c r="M231" s="3"/>
      <c r="N231" s="3"/>
      <c r="O231" s="3"/>
      <c r="P231" s="3"/>
      <c r="Q231" s="3"/>
      <c r="R231" s="3"/>
      <c r="S231" s="3"/>
      <c r="T231" s="3"/>
      <c r="U231" s="3"/>
      <c r="V231" s="3"/>
      <c r="W231" s="3"/>
      <c r="X231" s="3"/>
      <c r="Y231" s="3"/>
    </row>
    <row r="232" spans="1:25" ht="12.75" customHeight="1">
      <c r="A232" s="3"/>
      <c r="B232" s="3"/>
      <c r="C232" s="3"/>
      <c r="D232" s="2"/>
      <c r="E232" s="2"/>
      <c r="F232" s="3"/>
      <c r="G232" s="3"/>
      <c r="H232" s="3"/>
      <c r="I232" s="3"/>
      <c r="J232" s="3"/>
      <c r="K232" s="3"/>
      <c r="L232" s="3"/>
      <c r="M232" s="3"/>
      <c r="N232" s="3"/>
      <c r="O232" s="3"/>
      <c r="P232" s="3"/>
      <c r="Q232" s="3"/>
      <c r="R232" s="3"/>
      <c r="S232" s="3"/>
      <c r="T232" s="3"/>
      <c r="U232" s="3"/>
      <c r="V232" s="3"/>
      <c r="W232" s="3"/>
      <c r="X232" s="3"/>
      <c r="Y232" s="3"/>
    </row>
    <row r="233" spans="1:25" ht="12.75" customHeight="1">
      <c r="A233" s="3"/>
      <c r="B233" s="3"/>
      <c r="C233" s="3"/>
      <c r="D233" s="2"/>
      <c r="E233" s="2"/>
      <c r="F233" s="3"/>
      <c r="G233" s="3"/>
      <c r="H233" s="3"/>
      <c r="I233" s="3"/>
      <c r="J233" s="3"/>
      <c r="K233" s="3"/>
      <c r="L233" s="3"/>
      <c r="M233" s="3"/>
      <c r="N233" s="3"/>
      <c r="O233" s="3"/>
      <c r="P233" s="3"/>
      <c r="Q233" s="3"/>
      <c r="R233" s="3"/>
      <c r="S233" s="3"/>
      <c r="T233" s="3"/>
      <c r="U233" s="3"/>
      <c r="V233" s="3"/>
      <c r="W233" s="3"/>
      <c r="X233" s="3"/>
      <c r="Y233" s="3"/>
    </row>
    <row r="234" spans="1:25" ht="12.75" customHeight="1">
      <c r="A234" s="3"/>
      <c r="B234" s="3"/>
      <c r="C234" s="3"/>
      <c r="D234" s="2"/>
      <c r="E234" s="2"/>
      <c r="F234" s="3"/>
      <c r="G234" s="3"/>
      <c r="H234" s="3"/>
      <c r="I234" s="3"/>
      <c r="J234" s="3"/>
      <c r="K234" s="3"/>
      <c r="L234" s="3"/>
      <c r="M234" s="3"/>
      <c r="N234" s="3"/>
      <c r="O234" s="3"/>
      <c r="P234" s="3"/>
      <c r="Q234" s="3"/>
      <c r="R234" s="3"/>
      <c r="S234" s="3"/>
      <c r="T234" s="3"/>
      <c r="U234" s="3"/>
      <c r="V234" s="3"/>
      <c r="W234" s="3"/>
      <c r="X234" s="3"/>
      <c r="Y234" s="3"/>
    </row>
    <row r="235" spans="1:25" ht="12.75" customHeight="1">
      <c r="A235" s="3"/>
      <c r="B235" s="3"/>
      <c r="C235" s="3"/>
      <c r="D235" s="2"/>
      <c r="E235" s="2"/>
      <c r="F235" s="3"/>
      <c r="G235" s="3"/>
      <c r="H235" s="3"/>
      <c r="I235" s="3"/>
      <c r="J235" s="3"/>
      <c r="K235" s="3"/>
      <c r="L235" s="3"/>
      <c r="M235" s="3"/>
      <c r="N235" s="3"/>
      <c r="O235" s="3"/>
      <c r="P235" s="3"/>
      <c r="Q235" s="3"/>
      <c r="R235" s="3"/>
      <c r="S235" s="3"/>
      <c r="T235" s="3"/>
      <c r="U235" s="3"/>
      <c r="V235" s="3"/>
      <c r="W235" s="3"/>
      <c r="X235" s="3"/>
      <c r="Y235" s="3"/>
    </row>
    <row r="236" spans="1:25" ht="12.75" customHeight="1">
      <c r="A236" s="3"/>
      <c r="B236" s="3"/>
      <c r="C236" s="3"/>
      <c r="D236" s="2"/>
      <c r="E236" s="2"/>
      <c r="F236" s="3"/>
      <c r="G236" s="3"/>
      <c r="H236" s="3"/>
      <c r="I236" s="3"/>
      <c r="J236" s="3"/>
      <c r="K236" s="3"/>
      <c r="L236" s="3"/>
      <c r="M236" s="3"/>
      <c r="N236" s="3"/>
      <c r="O236" s="3"/>
      <c r="P236" s="3"/>
      <c r="Q236" s="3"/>
      <c r="R236" s="3"/>
      <c r="S236" s="3"/>
      <c r="T236" s="3"/>
      <c r="U236" s="3"/>
      <c r="V236" s="3"/>
      <c r="W236" s="3"/>
      <c r="X236" s="3"/>
      <c r="Y236" s="3"/>
    </row>
    <row r="237" spans="1:25" ht="12.75" customHeight="1">
      <c r="A237" s="3"/>
      <c r="B237" s="3"/>
      <c r="C237" s="3"/>
      <c r="D237" s="2"/>
      <c r="E237" s="2"/>
      <c r="F237" s="3"/>
      <c r="G237" s="3"/>
      <c r="H237" s="3"/>
      <c r="I237" s="3"/>
      <c r="J237" s="3"/>
      <c r="K237" s="3"/>
      <c r="L237" s="3"/>
      <c r="M237" s="3"/>
      <c r="N237" s="3"/>
      <c r="O237" s="3"/>
      <c r="P237" s="3"/>
      <c r="Q237" s="3"/>
      <c r="R237" s="3"/>
      <c r="S237" s="3"/>
      <c r="T237" s="3"/>
      <c r="U237" s="3"/>
      <c r="V237" s="3"/>
      <c r="W237" s="3"/>
      <c r="X237" s="3"/>
      <c r="Y237" s="3"/>
    </row>
    <row r="238" spans="1:25" ht="12.75" customHeight="1">
      <c r="A238" s="3"/>
      <c r="B238" s="3"/>
      <c r="C238" s="3"/>
      <c r="D238" s="2"/>
      <c r="E238" s="2"/>
      <c r="F238" s="3"/>
      <c r="G238" s="3"/>
      <c r="H238" s="3"/>
      <c r="I238" s="3"/>
      <c r="J238" s="3"/>
      <c r="K238" s="3"/>
      <c r="L238" s="3"/>
      <c r="M238" s="3"/>
      <c r="N238" s="3"/>
      <c r="O238" s="3"/>
      <c r="P238" s="3"/>
      <c r="Q238" s="3"/>
      <c r="R238" s="3"/>
      <c r="S238" s="3"/>
      <c r="T238" s="3"/>
      <c r="U238" s="3"/>
      <c r="V238" s="3"/>
      <c r="W238" s="3"/>
      <c r="X238" s="3"/>
      <c r="Y238" s="3"/>
    </row>
    <row r="239" spans="1:25" ht="12.75" customHeight="1">
      <c r="A239" s="3"/>
      <c r="B239" s="3"/>
      <c r="C239" s="3"/>
      <c r="D239" s="2"/>
      <c r="E239" s="2"/>
      <c r="F239" s="3"/>
      <c r="G239" s="3"/>
      <c r="H239" s="3"/>
      <c r="I239" s="3"/>
      <c r="J239" s="3"/>
      <c r="K239" s="3"/>
      <c r="L239" s="3"/>
      <c r="M239" s="3"/>
      <c r="N239" s="3"/>
      <c r="O239" s="3"/>
      <c r="P239" s="3"/>
      <c r="Q239" s="3"/>
      <c r="R239" s="3"/>
      <c r="S239" s="3"/>
      <c r="T239" s="3"/>
      <c r="U239" s="3"/>
      <c r="V239" s="3"/>
      <c r="W239" s="3"/>
      <c r="X239" s="3"/>
      <c r="Y239" s="3"/>
    </row>
    <row r="240" spans="1:25" ht="12.75" customHeight="1">
      <c r="A240" s="3"/>
      <c r="B240" s="3"/>
      <c r="C240" s="3"/>
      <c r="D240" s="2"/>
      <c r="E240" s="2"/>
      <c r="F240" s="3"/>
      <c r="G240" s="3"/>
      <c r="H240" s="3"/>
      <c r="I240" s="3"/>
      <c r="J240" s="3"/>
      <c r="K240" s="3"/>
      <c r="L240" s="3"/>
      <c r="M240" s="3"/>
      <c r="N240" s="3"/>
      <c r="O240" s="3"/>
      <c r="P240" s="3"/>
      <c r="Q240" s="3"/>
      <c r="R240" s="3"/>
      <c r="S240" s="3"/>
      <c r="T240" s="3"/>
      <c r="U240" s="3"/>
      <c r="V240" s="3"/>
      <c r="W240" s="3"/>
      <c r="X240" s="3"/>
      <c r="Y240" s="3"/>
    </row>
    <row r="241" spans="1:25" ht="12.75" customHeight="1">
      <c r="A241" s="3"/>
      <c r="B241" s="3"/>
      <c r="C241" s="3"/>
      <c r="D241" s="2"/>
      <c r="E241" s="2"/>
      <c r="F241" s="3"/>
      <c r="G241" s="3"/>
      <c r="H241" s="3"/>
      <c r="I241" s="3"/>
      <c r="J241" s="3"/>
      <c r="K241" s="3"/>
      <c r="L241" s="3"/>
      <c r="M241" s="3"/>
      <c r="N241" s="3"/>
      <c r="O241" s="3"/>
      <c r="P241" s="3"/>
      <c r="Q241" s="3"/>
      <c r="R241" s="3"/>
      <c r="S241" s="3"/>
      <c r="T241" s="3"/>
      <c r="U241" s="3"/>
      <c r="V241" s="3"/>
      <c r="W241" s="3"/>
      <c r="X241" s="3"/>
      <c r="Y241" s="3"/>
    </row>
    <row r="242" spans="1:25" ht="12.75" customHeight="1">
      <c r="A242" s="3"/>
      <c r="B242" s="3"/>
      <c r="C242" s="3"/>
      <c r="D242" s="2"/>
      <c r="E242" s="2"/>
      <c r="F242" s="3"/>
      <c r="G242" s="3"/>
      <c r="H242" s="3"/>
      <c r="I242" s="3"/>
      <c r="J242" s="3"/>
      <c r="K242" s="3"/>
      <c r="L242" s="3"/>
      <c r="M242" s="3"/>
      <c r="N242" s="3"/>
      <c r="O242" s="3"/>
      <c r="P242" s="3"/>
      <c r="Q242" s="3"/>
      <c r="R242" s="3"/>
      <c r="S242" s="3"/>
      <c r="T242" s="3"/>
      <c r="U242" s="3"/>
      <c r="V242" s="3"/>
      <c r="W242" s="3"/>
      <c r="X242" s="3"/>
      <c r="Y242" s="3"/>
    </row>
    <row r="243" spans="1:25" ht="12.75" customHeight="1">
      <c r="A243" s="3"/>
      <c r="B243" s="3"/>
      <c r="C243" s="3"/>
      <c r="D243" s="2"/>
      <c r="E243" s="2"/>
      <c r="F243" s="3"/>
      <c r="G243" s="3"/>
      <c r="H243" s="3"/>
      <c r="I243" s="3"/>
      <c r="J243" s="3"/>
      <c r="K243" s="3"/>
      <c r="L243" s="3"/>
      <c r="M243" s="3"/>
      <c r="N243" s="3"/>
      <c r="O243" s="3"/>
      <c r="P243" s="3"/>
      <c r="Q243" s="3"/>
      <c r="R243" s="3"/>
      <c r="S243" s="3"/>
      <c r="T243" s="3"/>
      <c r="U243" s="3"/>
      <c r="V243" s="3"/>
      <c r="W243" s="3"/>
      <c r="X243" s="3"/>
      <c r="Y243" s="3"/>
    </row>
    <row r="244" spans="1:25" ht="12.75" customHeight="1">
      <c r="A244" s="3"/>
      <c r="B244" s="3"/>
      <c r="C244" s="3"/>
      <c r="D244" s="2"/>
      <c r="E244" s="2"/>
      <c r="F244" s="3"/>
      <c r="G244" s="3"/>
      <c r="H244" s="3"/>
      <c r="I244" s="3"/>
      <c r="J244" s="3"/>
      <c r="K244" s="3"/>
      <c r="L244" s="3"/>
      <c r="M244" s="3"/>
      <c r="N244" s="3"/>
      <c r="O244" s="3"/>
      <c r="P244" s="3"/>
      <c r="Q244" s="3"/>
      <c r="R244" s="3"/>
      <c r="S244" s="3"/>
      <c r="T244" s="3"/>
      <c r="U244" s="3"/>
      <c r="V244" s="3"/>
      <c r="W244" s="3"/>
      <c r="X244" s="3"/>
      <c r="Y244" s="3"/>
    </row>
    <row r="245" spans="1:25" ht="12.75" customHeight="1">
      <c r="A245" s="3"/>
      <c r="B245" s="3"/>
      <c r="C245" s="3"/>
      <c r="D245" s="2"/>
      <c r="E245" s="2"/>
      <c r="F245" s="3"/>
      <c r="G245" s="3"/>
      <c r="H245" s="3"/>
      <c r="I245" s="3"/>
      <c r="J245" s="3"/>
      <c r="K245" s="3"/>
      <c r="L245" s="3"/>
      <c r="M245" s="3"/>
      <c r="N245" s="3"/>
      <c r="O245" s="3"/>
      <c r="P245" s="3"/>
      <c r="Q245" s="3"/>
      <c r="R245" s="3"/>
      <c r="S245" s="3"/>
      <c r="T245" s="3"/>
      <c r="U245" s="3"/>
      <c r="V245" s="3"/>
      <c r="W245" s="3"/>
      <c r="X245" s="3"/>
      <c r="Y245" s="3"/>
    </row>
    <row r="246" spans="1:25" ht="12.75" customHeight="1">
      <c r="A246" s="3"/>
      <c r="B246" s="3"/>
      <c r="C246" s="3"/>
      <c r="D246" s="2"/>
      <c r="E246" s="2"/>
      <c r="F246" s="3"/>
      <c r="G246" s="3"/>
      <c r="H246" s="3"/>
      <c r="I246" s="3"/>
      <c r="J246" s="3"/>
      <c r="K246" s="3"/>
      <c r="L246" s="3"/>
      <c r="M246" s="3"/>
      <c r="N246" s="3"/>
      <c r="O246" s="3"/>
      <c r="P246" s="3"/>
      <c r="Q246" s="3"/>
      <c r="R246" s="3"/>
      <c r="S246" s="3"/>
      <c r="T246" s="3"/>
      <c r="U246" s="3"/>
      <c r="V246" s="3"/>
      <c r="W246" s="3"/>
      <c r="X246" s="3"/>
      <c r="Y246" s="3"/>
    </row>
    <row r="247" spans="1:25" ht="12.75" customHeight="1">
      <c r="A247" s="3"/>
      <c r="B247" s="3"/>
      <c r="C247" s="3"/>
      <c r="D247" s="2"/>
      <c r="E247" s="2"/>
      <c r="F247" s="3"/>
      <c r="G247" s="3"/>
      <c r="H247" s="3"/>
      <c r="I247" s="3"/>
      <c r="J247" s="3"/>
      <c r="K247" s="3"/>
      <c r="L247" s="3"/>
      <c r="M247" s="3"/>
      <c r="N247" s="3"/>
      <c r="O247" s="3"/>
      <c r="P247" s="3"/>
      <c r="Q247" s="3"/>
      <c r="R247" s="3"/>
      <c r="S247" s="3"/>
      <c r="T247" s="3"/>
      <c r="U247" s="3"/>
      <c r="V247" s="3"/>
      <c r="W247" s="3"/>
      <c r="X247" s="3"/>
      <c r="Y247" s="3"/>
    </row>
    <row r="248" spans="1:25" ht="12.75" customHeight="1">
      <c r="A248" s="3"/>
      <c r="B248" s="3"/>
      <c r="C248" s="3"/>
      <c r="D248" s="2"/>
      <c r="E248" s="2"/>
      <c r="F248" s="3"/>
      <c r="G248" s="3"/>
      <c r="H248" s="3"/>
      <c r="I248" s="3"/>
      <c r="J248" s="3"/>
      <c r="K248" s="3"/>
      <c r="L248" s="3"/>
      <c r="M248" s="3"/>
      <c r="N248" s="3"/>
      <c r="O248" s="3"/>
      <c r="P248" s="3"/>
      <c r="Q248" s="3"/>
      <c r="R248" s="3"/>
      <c r="S248" s="3"/>
      <c r="T248" s="3"/>
      <c r="U248" s="3"/>
      <c r="V248" s="3"/>
      <c r="W248" s="3"/>
      <c r="X248" s="3"/>
      <c r="Y248" s="3"/>
    </row>
    <row r="249" spans="1:25" ht="12.75" customHeight="1">
      <c r="A249" s="3"/>
      <c r="B249" s="3"/>
      <c r="C249" s="3"/>
      <c r="D249" s="2"/>
      <c r="E249" s="2"/>
      <c r="F249" s="3"/>
      <c r="G249" s="3"/>
      <c r="H249" s="3"/>
      <c r="I249" s="3"/>
      <c r="J249" s="3"/>
      <c r="K249" s="3"/>
      <c r="L249" s="3"/>
      <c r="M249" s="3"/>
      <c r="N249" s="3"/>
      <c r="O249" s="3"/>
      <c r="P249" s="3"/>
      <c r="Q249" s="3"/>
      <c r="R249" s="3"/>
      <c r="S249" s="3"/>
      <c r="T249" s="3"/>
      <c r="U249" s="3"/>
      <c r="V249" s="3"/>
      <c r="W249" s="3"/>
      <c r="X249" s="3"/>
      <c r="Y249" s="3"/>
    </row>
    <row r="250" spans="1:25" ht="12.75" customHeight="1">
      <c r="A250" s="3"/>
      <c r="B250" s="3"/>
      <c r="C250" s="3"/>
      <c r="D250" s="2"/>
      <c r="E250" s="2"/>
      <c r="F250" s="3"/>
      <c r="G250" s="3"/>
      <c r="H250" s="3"/>
      <c r="I250" s="3"/>
      <c r="J250" s="3"/>
      <c r="K250" s="3"/>
      <c r="L250" s="3"/>
      <c r="M250" s="3"/>
      <c r="N250" s="3"/>
      <c r="O250" s="3"/>
      <c r="P250" s="3"/>
      <c r="Q250" s="3"/>
      <c r="R250" s="3"/>
      <c r="S250" s="3"/>
      <c r="T250" s="3"/>
      <c r="U250" s="3"/>
      <c r="V250" s="3"/>
      <c r="W250" s="3"/>
      <c r="X250" s="3"/>
      <c r="Y250" s="3"/>
    </row>
    <row r="251" spans="1:25" ht="12.75" customHeight="1">
      <c r="A251" s="3"/>
      <c r="B251" s="3"/>
      <c r="C251" s="3"/>
      <c r="D251" s="2"/>
      <c r="E251" s="2"/>
      <c r="F251" s="3"/>
      <c r="G251" s="3"/>
      <c r="H251" s="3"/>
      <c r="I251" s="3"/>
      <c r="J251" s="3"/>
      <c r="K251" s="3"/>
      <c r="L251" s="3"/>
      <c r="M251" s="3"/>
      <c r="N251" s="3"/>
      <c r="O251" s="3"/>
      <c r="P251" s="3"/>
      <c r="Q251" s="3"/>
      <c r="R251" s="3"/>
      <c r="S251" s="3"/>
      <c r="T251" s="3"/>
      <c r="U251" s="3"/>
      <c r="V251" s="3"/>
      <c r="W251" s="3"/>
      <c r="X251" s="3"/>
      <c r="Y251" s="3"/>
    </row>
    <row r="252" spans="1:25" ht="12.75" customHeight="1">
      <c r="A252" s="3"/>
      <c r="B252" s="3"/>
      <c r="C252" s="3"/>
      <c r="D252" s="2"/>
      <c r="E252" s="2"/>
      <c r="F252" s="3"/>
      <c r="G252" s="3"/>
      <c r="H252" s="3"/>
      <c r="I252" s="3"/>
      <c r="J252" s="3"/>
      <c r="K252" s="3"/>
      <c r="L252" s="3"/>
      <c r="M252" s="3"/>
      <c r="N252" s="3"/>
      <c r="O252" s="3"/>
      <c r="P252" s="3"/>
      <c r="Q252" s="3"/>
      <c r="R252" s="3"/>
      <c r="S252" s="3"/>
      <c r="T252" s="3"/>
      <c r="U252" s="3"/>
      <c r="V252" s="3"/>
      <c r="W252" s="3"/>
      <c r="X252" s="3"/>
      <c r="Y252" s="3"/>
    </row>
    <row r="253" spans="1:25" ht="12.75" customHeight="1">
      <c r="A253" s="3"/>
      <c r="B253" s="3"/>
      <c r="C253" s="3"/>
      <c r="D253" s="2"/>
      <c r="E253" s="2"/>
      <c r="F253" s="3"/>
      <c r="G253" s="3"/>
      <c r="H253" s="3"/>
      <c r="I253" s="3"/>
      <c r="J253" s="3"/>
      <c r="K253" s="3"/>
      <c r="L253" s="3"/>
      <c r="M253" s="3"/>
      <c r="N253" s="3"/>
      <c r="O253" s="3"/>
      <c r="P253" s="3"/>
      <c r="Q253" s="3"/>
      <c r="R253" s="3"/>
      <c r="S253" s="3"/>
      <c r="T253" s="3"/>
      <c r="U253" s="3"/>
      <c r="V253" s="3"/>
      <c r="W253" s="3"/>
      <c r="X253" s="3"/>
      <c r="Y253" s="3"/>
    </row>
    <row r="254" spans="1:25" ht="12.75" customHeight="1">
      <c r="A254" s="3"/>
      <c r="B254" s="3"/>
      <c r="C254" s="3"/>
      <c r="D254" s="2"/>
      <c r="E254" s="2"/>
      <c r="F254" s="3"/>
      <c r="G254" s="3"/>
      <c r="H254" s="3"/>
      <c r="I254" s="3"/>
      <c r="J254" s="3"/>
      <c r="K254" s="3"/>
      <c r="L254" s="3"/>
      <c r="M254" s="3"/>
      <c r="N254" s="3"/>
      <c r="O254" s="3"/>
      <c r="P254" s="3"/>
      <c r="Q254" s="3"/>
      <c r="R254" s="3"/>
      <c r="S254" s="3"/>
      <c r="T254" s="3"/>
      <c r="U254" s="3"/>
      <c r="V254" s="3"/>
      <c r="W254" s="3"/>
      <c r="X254" s="3"/>
      <c r="Y254" s="3"/>
    </row>
    <row r="255" spans="1:25" ht="15.75" customHeight="1"/>
    <row r="256" spans="1:25"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AB85D-0080-486C-AFD1-4C5E1CCF8AFB}">
  <dimension ref="A1:BG998"/>
  <sheetViews>
    <sheetView topLeftCell="A38" workbookViewId="0">
      <selection activeCell="AF30" sqref="AF30"/>
    </sheetView>
  </sheetViews>
  <sheetFormatPr defaultColWidth="12.625" defaultRowHeight="15" customHeight="1"/>
  <cols>
    <col min="1" max="1" width="36.625" customWidth="1"/>
    <col min="2" max="2" width="28.125" customWidth="1"/>
    <col min="3" max="3" width="21" customWidth="1"/>
    <col min="4" max="4" width="17.5" customWidth="1"/>
    <col min="5" max="5" width="16.125" customWidth="1"/>
    <col min="6" max="6" width="21.5" customWidth="1"/>
    <col min="7" max="7" width="22.625" customWidth="1"/>
    <col min="8" max="8" width="18.625" customWidth="1"/>
    <col min="9" max="9" width="19.625" customWidth="1"/>
    <col min="10" max="10" width="18.875" customWidth="1"/>
    <col min="11" max="11" width="21.625" customWidth="1"/>
    <col min="12" max="12" width="17.375" customWidth="1"/>
    <col min="13" max="13" width="15.125" customWidth="1"/>
    <col min="14" max="14" width="15.625" customWidth="1"/>
    <col min="15" max="15" width="28.5" customWidth="1"/>
    <col min="16" max="16" width="13.125" customWidth="1"/>
    <col min="17" max="17" width="21.875" customWidth="1"/>
    <col min="18" max="18" width="27" customWidth="1"/>
    <col min="19" max="19" width="20.5" customWidth="1"/>
    <col min="20" max="22" width="7.625" customWidth="1"/>
    <col min="23" max="23" width="31.875" customWidth="1"/>
    <col min="24" max="24" width="7.625" customWidth="1"/>
    <col min="25" max="25" width="8.375" customWidth="1"/>
    <col min="26" max="26" width="21.625" customWidth="1"/>
    <col min="27" max="27" width="12" customWidth="1"/>
    <col min="28" max="28" width="16.5" customWidth="1"/>
    <col min="29" max="29" width="6" customWidth="1"/>
    <col min="30" max="30" width="13.625" customWidth="1"/>
  </cols>
  <sheetData>
    <row r="1" spans="1:59" ht="171" customHeight="1">
      <c r="A1" s="703"/>
      <c r="B1" s="704"/>
      <c r="C1" s="705"/>
      <c r="D1" s="16"/>
      <c r="E1" s="572" t="s">
        <v>346</v>
      </c>
      <c r="F1" s="704"/>
      <c r="G1" s="704"/>
      <c r="H1" s="705"/>
      <c r="I1" s="16"/>
      <c r="J1" s="16"/>
      <c r="K1" s="16"/>
      <c r="L1" s="16"/>
      <c r="M1" s="16"/>
      <c r="N1" s="16"/>
      <c r="O1" s="16"/>
      <c r="P1" s="16"/>
      <c r="Q1" s="16"/>
      <c r="R1" s="16"/>
      <c r="S1" s="16"/>
      <c r="T1" s="16"/>
      <c r="U1" s="16"/>
      <c r="V1" s="16"/>
      <c r="W1" s="16"/>
      <c r="X1" s="16"/>
      <c r="Y1" s="16"/>
      <c r="Z1" s="16"/>
      <c r="AA1" s="16"/>
      <c r="AB1" s="16"/>
      <c r="AC1" s="16"/>
      <c r="AD1" s="16"/>
    </row>
    <row r="2" spans="1:59">
      <c r="A2" s="58" t="s">
        <v>404</v>
      </c>
      <c r="B2" s="152" t="s">
        <v>221</v>
      </c>
      <c r="C2" s="59"/>
      <c r="D2" s="16"/>
      <c r="E2" s="60" t="s">
        <v>406</v>
      </c>
      <c r="F2" s="153"/>
      <c r="G2" s="154"/>
      <c r="H2" s="61"/>
      <c r="I2" s="16"/>
      <c r="J2" s="16"/>
      <c r="K2" s="16"/>
      <c r="L2" s="16"/>
      <c r="M2" s="16"/>
      <c r="N2" s="16"/>
      <c r="O2" s="16"/>
      <c r="P2" s="16"/>
      <c r="Q2" s="16"/>
      <c r="R2" s="16"/>
      <c r="S2" s="16"/>
      <c r="T2" s="16"/>
      <c r="U2" s="16"/>
      <c r="V2" s="16"/>
      <c r="W2" s="16"/>
      <c r="X2" s="16"/>
      <c r="Y2" s="16"/>
      <c r="Z2" s="15"/>
      <c r="AA2" s="15"/>
      <c r="AB2" s="15"/>
      <c r="AC2" s="15"/>
      <c r="AD2" s="16"/>
      <c r="AE2" s="16"/>
      <c r="AF2" s="16"/>
      <c r="AG2" s="16"/>
      <c r="AH2" s="16"/>
      <c r="AI2" s="17"/>
      <c r="AJ2" s="17"/>
      <c r="AK2" s="17"/>
      <c r="AL2" s="17"/>
      <c r="AM2" s="17"/>
      <c r="AN2" s="17"/>
      <c r="AO2" s="17"/>
      <c r="AP2" s="17"/>
      <c r="AQ2" s="17"/>
      <c r="AR2" s="18"/>
      <c r="AS2" s="17"/>
      <c r="AT2" s="17"/>
      <c r="AU2" s="16"/>
      <c r="AV2" s="16"/>
      <c r="AW2" s="16"/>
      <c r="AX2" s="16"/>
      <c r="AY2" s="16"/>
      <c r="AZ2" s="16"/>
      <c r="BA2" s="16"/>
    </row>
    <row r="3" spans="1:59">
      <c r="A3" s="62" t="s">
        <v>408</v>
      </c>
      <c r="B3" s="155">
        <v>2</v>
      </c>
      <c r="C3" s="156"/>
      <c r="D3" s="16"/>
      <c r="E3" s="63" t="s">
        <v>409</v>
      </c>
      <c r="F3" s="157"/>
      <c r="G3" s="158"/>
      <c r="H3" s="159"/>
      <c r="I3" s="16"/>
      <c r="J3" s="16"/>
      <c r="K3" s="16"/>
      <c r="L3" s="16"/>
      <c r="M3" s="16"/>
      <c r="N3" s="16"/>
      <c r="O3" s="16"/>
      <c r="P3" s="16"/>
      <c r="Q3" s="16"/>
      <c r="R3" s="16"/>
      <c r="S3" s="16"/>
      <c r="T3" s="16"/>
      <c r="U3" s="16"/>
      <c r="V3" s="16"/>
      <c r="W3" s="16"/>
      <c r="X3" s="16"/>
      <c r="Y3" s="16"/>
      <c r="Z3" s="16"/>
      <c r="AA3" s="16"/>
      <c r="AB3" s="16"/>
      <c r="AC3" s="16"/>
      <c r="AD3" s="16"/>
    </row>
    <row r="4" spans="1:59">
      <c r="A4" s="160" t="s">
        <v>410</v>
      </c>
      <c r="B4" s="161">
        <v>45812</v>
      </c>
      <c r="C4" s="162"/>
      <c r="D4" s="16"/>
      <c r="E4" s="163"/>
      <c r="F4" s="164"/>
      <c r="G4" s="165"/>
      <c r="H4" s="166"/>
      <c r="I4" s="16"/>
      <c r="J4" s="16"/>
      <c r="K4" s="16"/>
      <c r="L4" s="16"/>
      <c r="M4" s="16"/>
      <c r="N4" s="16"/>
      <c r="O4" s="16"/>
      <c r="P4" s="16"/>
      <c r="Q4" s="16"/>
      <c r="R4" s="16"/>
      <c r="S4" s="16"/>
      <c r="T4" s="16"/>
      <c r="U4" s="16"/>
      <c r="V4" s="16"/>
      <c r="W4" s="16"/>
      <c r="X4" s="16"/>
      <c r="Y4" s="16"/>
      <c r="Z4" s="16"/>
      <c r="AA4" s="16"/>
      <c r="AB4" s="16"/>
      <c r="AC4" s="16"/>
      <c r="AD4" s="16"/>
    </row>
    <row r="5" spans="1:59">
      <c r="A5" s="167" t="s">
        <v>411</v>
      </c>
      <c r="B5" s="168"/>
      <c r="C5" s="167"/>
      <c r="D5" s="16"/>
      <c r="E5" s="169" t="s">
        <v>412</v>
      </c>
      <c r="F5" s="169"/>
      <c r="G5" s="158"/>
      <c r="H5" s="169"/>
      <c r="I5" s="16"/>
      <c r="J5" s="16"/>
      <c r="K5" s="16"/>
      <c r="L5" s="16"/>
      <c r="M5" s="16"/>
      <c r="N5" s="16"/>
      <c r="O5" s="16"/>
      <c r="P5" s="16"/>
      <c r="Q5" s="16"/>
      <c r="R5" s="16"/>
      <c r="S5" s="16"/>
      <c r="T5" s="16"/>
      <c r="U5" s="16"/>
      <c r="V5" s="16"/>
      <c r="W5" s="16"/>
      <c r="X5" s="16"/>
      <c r="Y5" s="16"/>
      <c r="Z5" s="16"/>
      <c r="AA5" s="16"/>
      <c r="AB5" s="16"/>
      <c r="AC5" s="16"/>
      <c r="AD5" s="16"/>
    </row>
    <row r="6" spans="1:59">
      <c r="A6" s="15"/>
      <c r="B6" s="64"/>
      <c r="C6" s="16"/>
      <c r="D6" s="16"/>
      <c r="E6" s="16"/>
      <c r="F6" s="16"/>
      <c r="G6" s="16"/>
      <c r="H6" s="16"/>
      <c r="I6" s="16"/>
      <c r="J6" s="64"/>
      <c r="K6" s="16"/>
      <c r="L6" s="16"/>
      <c r="M6" s="16"/>
      <c r="N6" s="16"/>
      <c r="O6" s="16"/>
      <c r="P6" s="16"/>
      <c r="Q6" s="16"/>
      <c r="R6" s="16"/>
      <c r="S6" s="16"/>
      <c r="T6" s="16"/>
      <c r="U6" s="16"/>
      <c r="V6" s="16"/>
      <c r="W6" s="16"/>
      <c r="X6" s="16"/>
      <c r="Y6" s="16"/>
      <c r="Z6" s="16"/>
      <c r="AA6" s="16"/>
      <c r="AB6" s="16"/>
      <c r="AC6" s="16"/>
      <c r="AD6" s="16"/>
    </row>
    <row r="7" spans="1:59">
      <c r="A7" s="170" t="s">
        <v>413</v>
      </c>
      <c r="B7" s="59">
        <v>35</v>
      </c>
      <c r="C7" s="16"/>
      <c r="D7" s="573" t="s">
        <v>414</v>
      </c>
      <c r="E7" s="701"/>
      <c r="F7" s="701"/>
      <c r="G7" s="701"/>
      <c r="H7" s="701"/>
      <c r="I7" s="701"/>
      <c r="J7" s="16"/>
      <c r="K7" s="16"/>
      <c r="L7" s="16"/>
      <c r="M7" s="16"/>
      <c r="N7" s="16"/>
      <c r="O7" s="16"/>
      <c r="P7" s="16"/>
      <c r="Q7" s="16"/>
      <c r="R7" s="16"/>
      <c r="S7" s="16"/>
      <c r="T7" s="16"/>
      <c r="U7" s="16"/>
      <c r="V7" s="16"/>
      <c r="W7" s="16"/>
      <c r="X7" s="16"/>
      <c r="Y7" s="16"/>
      <c r="Z7" s="16"/>
      <c r="AA7" s="16"/>
      <c r="AB7" s="16"/>
      <c r="AC7" s="16"/>
      <c r="AD7" s="16"/>
    </row>
    <row r="8" spans="1:59" ht="14.25" customHeight="1">
      <c r="A8" s="171" t="s">
        <v>415</v>
      </c>
      <c r="B8" s="172">
        <f ca="1">M21-M17</f>
        <v>2297.0016313272199</v>
      </c>
      <c r="C8" s="16" t="s">
        <v>416</v>
      </c>
      <c r="D8" s="574" t="s">
        <v>417</v>
      </c>
      <c r="E8" s="704"/>
      <c r="F8" s="704"/>
      <c r="G8" s="704"/>
      <c r="H8" s="704"/>
      <c r="I8" s="704"/>
      <c r="J8" s="16"/>
      <c r="K8" s="16"/>
      <c r="L8" s="16"/>
      <c r="M8" s="16"/>
      <c r="N8" s="16"/>
      <c r="O8" s="16"/>
      <c r="P8" s="16"/>
      <c r="Q8" s="16"/>
      <c r="R8" s="16"/>
      <c r="S8" s="16"/>
      <c r="T8" s="16"/>
      <c r="U8" s="16"/>
      <c r="V8" s="16"/>
      <c r="W8" s="16"/>
      <c r="X8" s="16"/>
      <c r="Y8" s="16"/>
      <c r="Z8" s="16"/>
      <c r="AA8" s="16"/>
      <c r="AB8" s="16"/>
      <c r="AC8" s="16"/>
    </row>
    <row r="9" spans="1:59">
      <c r="A9" s="65" t="s">
        <v>418</v>
      </c>
      <c r="B9" s="173" t="s">
        <v>419</v>
      </c>
      <c r="C9" s="16"/>
      <c r="D9" s="16"/>
      <c r="E9" s="17"/>
      <c r="F9" s="17"/>
      <c r="G9" s="17"/>
      <c r="H9" s="17"/>
      <c r="I9" s="17"/>
      <c r="J9" s="17"/>
      <c r="K9" s="17"/>
      <c r="L9" s="17"/>
      <c r="M9" s="17"/>
      <c r="N9" s="17"/>
      <c r="O9" s="17"/>
      <c r="P9" s="17"/>
      <c r="Q9" s="16"/>
      <c r="R9" s="17"/>
      <c r="S9" s="17"/>
      <c r="T9" s="17"/>
      <c r="U9" s="17"/>
      <c r="V9" s="17"/>
      <c r="W9" s="17"/>
      <c r="X9" s="17"/>
      <c r="Y9" s="17"/>
      <c r="Z9" s="17"/>
      <c r="AA9" s="17"/>
      <c r="AB9" s="17"/>
      <c r="AC9" s="17"/>
      <c r="AD9" s="18" t="s">
        <v>242</v>
      </c>
    </row>
    <row r="10" spans="1:59">
      <c r="A10" s="174" t="s">
        <v>420</v>
      </c>
      <c r="B10" s="66">
        <f>COUNTA(A38:A42)+COUNTA(A46:A50)</f>
        <v>7</v>
      </c>
      <c r="C10" s="16"/>
      <c r="D10" s="16"/>
      <c r="E10" s="17"/>
      <c r="F10" s="17"/>
      <c r="G10" s="17"/>
      <c r="H10" s="17"/>
      <c r="I10" s="17"/>
      <c r="J10" s="17"/>
      <c r="K10" s="17"/>
      <c r="L10" s="17"/>
      <c r="M10" s="17"/>
      <c r="N10" s="17"/>
      <c r="O10" s="17"/>
      <c r="P10" s="17"/>
      <c r="Q10" s="16"/>
      <c r="R10" s="17"/>
      <c r="S10" s="17"/>
      <c r="T10" s="17"/>
      <c r="U10" s="17"/>
      <c r="V10" s="17"/>
      <c r="W10" s="17"/>
      <c r="X10" s="17"/>
      <c r="Y10" s="17"/>
      <c r="Z10" s="17"/>
      <c r="AA10" s="17"/>
      <c r="AB10" s="17"/>
      <c r="AC10" s="17"/>
      <c r="AD10" s="18"/>
    </row>
    <row r="11" spans="1:59">
      <c r="A11" s="171" t="s">
        <v>421</v>
      </c>
      <c r="B11" s="238">
        <f>SUM(B38:B42)+SUM(B46:B50)</f>
        <v>99</v>
      </c>
      <c r="C11" s="16"/>
      <c r="D11" s="16"/>
      <c r="E11" s="17"/>
      <c r="F11" s="17"/>
      <c r="G11" s="17"/>
      <c r="H11" s="17"/>
      <c r="I11" s="17"/>
      <c r="J11" s="17"/>
      <c r="K11" s="17"/>
      <c r="L11" s="17"/>
      <c r="M11" s="17"/>
      <c r="N11" s="17"/>
      <c r="O11" s="17"/>
      <c r="P11" s="17"/>
      <c r="Q11" s="16"/>
      <c r="R11" s="17"/>
      <c r="S11" s="17"/>
      <c r="T11" s="17"/>
      <c r="U11" s="17"/>
      <c r="V11" s="17"/>
      <c r="W11" s="17"/>
      <c r="X11" s="17"/>
      <c r="Y11" s="17"/>
      <c r="Z11" s="17"/>
      <c r="AA11" s="17"/>
      <c r="AB11" s="17"/>
      <c r="AC11" s="17"/>
      <c r="AD11" s="18"/>
    </row>
    <row r="12" spans="1:59">
      <c r="A12" s="239" t="s">
        <v>422</v>
      </c>
      <c r="B12" s="240" t="s">
        <v>319</v>
      </c>
      <c r="C12" s="16"/>
      <c r="D12" s="16"/>
      <c r="E12" s="17"/>
      <c r="F12" s="17"/>
      <c r="G12" s="17"/>
      <c r="H12" s="17"/>
      <c r="I12" s="17"/>
      <c r="J12" s="17"/>
      <c r="K12" s="17"/>
      <c r="L12" s="17"/>
      <c r="M12" s="17"/>
      <c r="N12" s="17"/>
      <c r="O12" s="17"/>
      <c r="P12" s="17"/>
      <c r="Q12" s="16"/>
      <c r="R12" s="17"/>
      <c r="S12" s="17"/>
      <c r="T12" s="17"/>
      <c r="U12" s="17"/>
      <c r="V12" s="17"/>
      <c r="W12" s="17"/>
      <c r="X12" s="17"/>
      <c r="Y12" s="17"/>
      <c r="Z12" s="17"/>
      <c r="AA12" s="17"/>
      <c r="AB12" s="17"/>
      <c r="AC12" s="17"/>
      <c r="AD12" s="18"/>
    </row>
    <row r="13" spans="1:59">
      <c r="A13" s="16"/>
      <c r="B13" s="16"/>
      <c r="C13" s="16"/>
      <c r="D13" s="16"/>
      <c r="E13" s="17"/>
      <c r="F13" s="17"/>
      <c r="G13" s="17"/>
      <c r="H13" s="17"/>
      <c r="I13" s="17"/>
      <c r="J13" s="17"/>
      <c r="K13" s="17"/>
      <c r="L13" s="17"/>
      <c r="M13" s="17"/>
      <c r="N13" s="17"/>
      <c r="O13" s="17"/>
      <c r="P13" s="17"/>
      <c r="Q13" s="16"/>
      <c r="R13" s="17"/>
      <c r="S13" s="17"/>
      <c r="T13" s="17"/>
      <c r="U13" s="17"/>
      <c r="V13" s="17"/>
      <c r="W13" s="17"/>
      <c r="X13" s="17"/>
      <c r="Y13" s="17"/>
      <c r="Z13" s="17"/>
      <c r="AA13" s="17"/>
      <c r="AB13" s="17"/>
      <c r="AC13" s="17"/>
      <c r="AD13" s="17" t="str" cm="1">
        <f t="array" ref="AD13:BF14">Constants!A2:AC3</f>
        <v>SC1</v>
      </c>
      <c r="AE13" s="17" t="str">
        <v>SC1 - Half</v>
      </c>
      <c r="AF13" s="17" t="str">
        <v>SC2</v>
      </c>
      <c r="AG13" s="17" t="str">
        <v>SC2 - Half</v>
      </c>
      <c r="AH13" s="17" t="str">
        <v>SC3</v>
      </c>
      <c r="AI13" s="17" t="str">
        <v>SC4</v>
      </c>
      <c r="AJ13" s="17" t="str">
        <v>SC5</v>
      </c>
      <c r="AK13" s="17" t="str">
        <v>SC6</v>
      </c>
      <c r="AL13" s="17" t="str">
        <v>Dojo</v>
      </c>
      <c r="AM13" s="17" t="str">
        <v>Boulder Wall</v>
      </c>
      <c r="AN13" s="17" t="str">
        <v>Climbing Wall</v>
      </c>
      <c r="AO13" s="17" t="str">
        <v>Artificial Hockey field</v>
      </c>
      <c r="AP13" s="17" t="str">
        <v>Artificial Hockey field - Half</v>
      </c>
      <c r="AQ13" s="17" t="str">
        <v>Artificial Soccer field</v>
      </c>
      <c r="AR13" s="17" t="str">
        <v>Artificial Soccer field - Half</v>
      </c>
      <c r="AS13" s="17" t="str">
        <v>Basketball</v>
      </c>
      <c r="AT13" s="17" t="str">
        <v>Bastille field</v>
      </c>
      <c r="AU13" s="17" t="str">
        <v>Beach fields</v>
      </c>
      <c r="AV13" s="17" t="str">
        <v>Shooting range</v>
      </c>
      <c r="AW13" s="17" t="str">
        <v>Multi/Lacrosse field</v>
      </c>
      <c r="AX13" s="17" t="str">
        <v>Multi/Lacrosse field - Half</v>
      </c>
      <c r="AY13" s="17" t="str">
        <v>Bootcamp field</v>
      </c>
      <c r="AZ13" s="17" t="str">
        <v>Multi/Baseball field</v>
      </c>
      <c r="BA13" s="17" t="str">
        <v>Tennis court</v>
      </c>
      <c r="BB13" s="17" t="str">
        <v>Utrack</v>
      </c>
      <c r="BC13" s="22" t="str">
        <v>Verreveld</v>
      </c>
      <c r="BD13" s="22" t="str">
        <v>Wsc</v>
      </c>
      <c r="BE13" s="22" t="str">
        <v>Indoor pool</v>
      </c>
      <c r="BF13" s="22" t="str">
        <v>Outdoor pool</v>
      </c>
      <c r="BG13" s="22" t="s">
        <v>270</v>
      </c>
    </row>
    <row r="14" spans="1:59">
      <c r="A14" s="175" t="s">
        <v>423</v>
      </c>
      <c r="B14" s="16"/>
      <c r="C14" s="16"/>
      <c r="D14" s="16"/>
      <c r="E14" s="16"/>
      <c r="F14" s="16"/>
      <c r="G14" s="175" t="s">
        <v>424</v>
      </c>
      <c r="I14" s="17"/>
      <c r="J14" s="17"/>
      <c r="K14" s="176" t="s">
        <v>425</v>
      </c>
      <c r="L14" s="17"/>
      <c r="M14" s="176" t="s">
        <v>426</v>
      </c>
      <c r="N14" s="17"/>
      <c r="O14" s="17"/>
      <c r="P14" s="17"/>
      <c r="Q14" s="17"/>
      <c r="R14" s="17"/>
      <c r="S14" s="16"/>
      <c r="T14" s="17"/>
      <c r="U14" s="17"/>
      <c r="V14" s="17"/>
      <c r="W14" s="17"/>
      <c r="X14" s="17"/>
      <c r="Y14" s="17"/>
      <c r="Z14" s="17"/>
      <c r="AA14" s="17"/>
      <c r="AB14" s="17"/>
      <c r="AC14" s="17"/>
      <c r="AD14" s="19">
        <v>67.5</v>
      </c>
      <c r="AE14" s="19">
        <v>35</v>
      </c>
      <c r="AF14" s="19">
        <v>67.5</v>
      </c>
      <c r="AG14" s="19">
        <v>35</v>
      </c>
      <c r="AH14" s="19">
        <v>40</v>
      </c>
      <c r="AI14" s="19">
        <v>40</v>
      </c>
      <c r="AJ14" s="19">
        <v>35</v>
      </c>
      <c r="AK14" s="19">
        <v>35</v>
      </c>
      <c r="AL14" s="19">
        <v>40</v>
      </c>
      <c r="AM14" s="19">
        <v>27.5</v>
      </c>
      <c r="AN14" s="19">
        <v>45</v>
      </c>
      <c r="AO14" s="19">
        <v>75</v>
      </c>
      <c r="AP14" s="19">
        <v>40</v>
      </c>
      <c r="AQ14" s="19">
        <v>75</v>
      </c>
      <c r="AR14" s="19">
        <v>40</v>
      </c>
      <c r="AS14" s="19">
        <v>30</v>
      </c>
      <c r="AT14" s="19">
        <v>50</v>
      </c>
      <c r="AU14" s="19">
        <v>75</v>
      </c>
      <c r="AV14" s="19">
        <v>40</v>
      </c>
      <c r="AW14" s="19">
        <v>75</v>
      </c>
      <c r="AX14" s="19">
        <v>40</v>
      </c>
      <c r="AY14" s="19">
        <v>50</v>
      </c>
      <c r="AZ14" s="19">
        <v>65</v>
      </c>
      <c r="BA14" s="19">
        <v>35</v>
      </c>
      <c r="BB14" s="19">
        <v>45</v>
      </c>
      <c r="BC14" s="19">
        <v>50</v>
      </c>
      <c r="BD14" s="19">
        <v>0</v>
      </c>
      <c r="BE14" s="19">
        <v>65</v>
      </c>
      <c r="BF14" s="20">
        <v>70</v>
      </c>
      <c r="BG14" s="20"/>
    </row>
    <row r="15" spans="1:59">
      <c r="A15" s="67"/>
      <c r="B15" s="68" t="str">
        <f>Constants!H6</f>
        <v>Performance training</v>
      </c>
      <c r="C15" s="68" t="str">
        <f>Constants!H7</f>
        <v>Performance coaching</v>
      </c>
      <c r="D15" s="68" t="str">
        <f>Constants!H8</f>
        <v>Dangerous</v>
      </c>
      <c r="E15" s="69" t="str">
        <f>Constants!H9</f>
        <v>Recreational</v>
      </c>
      <c r="F15" s="69" t="s">
        <v>290</v>
      </c>
      <c r="G15" s="70"/>
      <c r="H15" s="71" t="s">
        <v>427</v>
      </c>
      <c r="I15" s="72" t="s">
        <v>272</v>
      </c>
      <c r="J15" s="70" t="s">
        <v>5</v>
      </c>
      <c r="K15" s="72" t="s">
        <v>428</v>
      </c>
      <c r="L15" s="70" t="s">
        <v>429</v>
      </c>
      <c r="M15" s="73" cm="1">
        <f t="array" ref="M15">(SUM(IF($D$46:$D$50="PT",($F$46:$F$50)/1.5+IF($G$46:$G$50="yes",1)))+SUM(IF($D$46:$D$50="Extern",($F$46:$F$50)/1.5+IF($G$46:$G$50="yes",1)))+SUM(IF($D$46:$D$50="PT-ZZP",($F$46:$F$50)/1.5+IF($G$46:$G$50="yes",1))))*Constants!B10</f>
        <v>0</v>
      </c>
      <c r="N15" s="17"/>
      <c r="O15" s="17"/>
      <c r="P15" s="17"/>
      <c r="Q15" s="17"/>
      <c r="R15" s="16"/>
      <c r="S15" s="17"/>
      <c r="T15" s="17"/>
      <c r="U15" s="17"/>
      <c r="V15" s="17"/>
      <c r="W15" s="17"/>
      <c r="X15" s="17"/>
      <c r="Y15" s="17"/>
      <c r="Z15" s="17"/>
      <c r="AA15" s="17"/>
      <c r="AB15" s="17"/>
      <c r="AC15" s="17"/>
      <c r="AD15" s="16">
        <f t="shared" ref="AD15:BF15" si="0">SUMIF($B$71:$B$83,AD13,$F$71:$F$83)</f>
        <v>122.5</v>
      </c>
      <c r="AE15" s="16">
        <f t="shared" si="0"/>
        <v>0</v>
      </c>
      <c r="AF15" s="16">
        <f t="shared" si="0"/>
        <v>60</v>
      </c>
      <c r="AG15" s="16">
        <f t="shared" si="0"/>
        <v>0</v>
      </c>
      <c r="AH15" s="16">
        <f t="shared" si="0"/>
        <v>0</v>
      </c>
      <c r="AI15" s="16">
        <f t="shared" si="0"/>
        <v>0</v>
      </c>
      <c r="AJ15" s="16">
        <f t="shared" si="0"/>
        <v>0</v>
      </c>
      <c r="AK15" s="16">
        <f t="shared" si="0"/>
        <v>0</v>
      </c>
      <c r="AL15" s="16">
        <f t="shared" si="0"/>
        <v>0</v>
      </c>
      <c r="AM15" s="16">
        <f t="shared" si="0"/>
        <v>0</v>
      </c>
      <c r="AN15" s="16">
        <f t="shared" si="0"/>
        <v>0</v>
      </c>
      <c r="AO15" s="16">
        <f t="shared" si="0"/>
        <v>0</v>
      </c>
      <c r="AP15" s="16">
        <f t="shared" si="0"/>
        <v>0</v>
      </c>
      <c r="AQ15" s="16">
        <f t="shared" si="0"/>
        <v>0</v>
      </c>
      <c r="AR15" s="16">
        <f t="shared" si="0"/>
        <v>0</v>
      </c>
      <c r="AS15" s="16">
        <f t="shared" si="0"/>
        <v>0</v>
      </c>
      <c r="AT15" s="16">
        <f t="shared" si="0"/>
        <v>0</v>
      </c>
      <c r="AU15" s="16">
        <f t="shared" si="0"/>
        <v>21</v>
      </c>
      <c r="AV15" s="16">
        <f t="shared" si="0"/>
        <v>0</v>
      </c>
      <c r="AW15" s="16">
        <f t="shared" si="0"/>
        <v>0</v>
      </c>
      <c r="AX15" s="16">
        <f t="shared" si="0"/>
        <v>0</v>
      </c>
      <c r="AY15" s="16">
        <f t="shared" si="0"/>
        <v>0</v>
      </c>
      <c r="AZ15" s="16">
        <f t="shared" si="0"/>
        <v>0</v>
      </c>
      <c r="BA15" s="16">
        <f t="shared" si="0"/>
        <v>0</v>
      </c>
      <c r="BB15" s="16">
        <f t="shared" si="0"/>
        <v>0</v>
      </c>
      <c r="BC15" s="16">
        <f t="shared" si="0"/>
        <v>0</v>
      </c>
      <c r="BD15" s="16">
        <f t="shared" si="0"/>
        <v>0</v>
      </c>
      <c r="BE15" s="16">
        <f t="shared" si="0"/>
        <v>0</v>
      </c>
      <c r="BF15" s="16">
        <f t="shared" si="0"/>
        <v>0</v>
      </c>
    </row>
    <row r="16" spans="1:59">
      <c r="A16" s="74" t="str">
        <f>Constants!E6</f>
        <v>PT</v>
      </c>
      <c r="B16" s="16">
        <f>SUMIFS(Cabezota!$F$55:$F$67,Cabezota!$B$55:$B$67, B$15,Cabezota!$H$55:$H$67,$A16)*(1+Constants!$B$7)</f>
        <v>0</v>
      </c>
      <c r="C16" s="16">
        <f>SUMIFS(Cabezota!$F$55:$F$67,Cabezota!$B$55:$B$67, C$15,Cabezota!$H$55:$H$67,$A16)</f>
        <v>0</v>
      </c>
      <c r="D16" s="16">
        <f>SUMIFS(Cabezota!$F$55:$F$67,Cabezota!$B$55:$B$67, D$15,Cabezota!$H$55:$H$67,$A16)*(1+Constants!$B$7)</f>
        <v>0</v>
      </c>
      <c r="E16" s="16">
        <f>SUMIFS(Cabezota!$F$55:$F$67,Cabezota!$B$55:$B$67, E$15,Cabezota!$H$55:$H$67,$A16)*(1+Constants!$B$7)</f>
        <v>0</v>
      </c>
      <c r="F16" s="16">
        <f>SUMIFS(Cabezota!$F$55:$F$67,Cabezota!$B$55:$B$67, F$15,Cabezota!$H$55:$H$67,$A16)*(1+Constants!$B$7)</f>
        <v>0</v>
      </c>
      <c r="G16" s="74" t="s">
        <v>430</v>
      </c>
      <c r="H16" s="16">
        <f>SUMIF(Cabezota!$B$71:$B$82,"&lt;&gt;External",Cabezota!$F$71:$F$82)</f>
        <v>203.5</v>
      </c>
      <c r="I16" s="75">
        <f>SUMIF(Cabezota!$B$73:$B$84,"External",Cabezota!$F$73:$F$84)</f>
        <v>0</v>
      </c>
      <c r="J16" s="234">
        <f>SUM($F$87:$F$100)</f>
        <v>160</v>
      </c>
      <c r="K16" s="76">
        <f>IF(OR(ISBLANK(B7),ISBLANK(B9)), "ERROR",MAX(MIN(J16,B7*Constants!B15)-Constants!B14*B7,0)*IF(B9="yes",Constants!B16,IF(B9="no",Constants!B17,0)))</f>
        <v>0</v>
      </c>
      <c r="L16" s="77" t="s">
        <v>360</v>
      </c>
      <c r="M16" s="76">
        <f>E16*Constants!B6+E17*Constants!B8+E22+E21</f>
        <v>0</v>
      </c>
      <c r="N16" s="17"/>
      <c r="O16" s="17"/>
      <c r="P16" s="17"/>
      <c r="Q16" s="17"/>
      <c r="R16" s="16"/>
      <c r="S16" s="17"/>
      <c r="T16" s="17"/>
      <c r="U16" s="17"/>
      <c r="V16" s="17"/>
      <c r="W16" s="17"/>
      <c r="X16" s="17"/>
      <c r="Y16" s="17"/>
      <c r="Z16" s="17"/>
      <c r="AA16" s="17"/>
      <c r="AB16" s="17"/>
      <c r="AC16" s="17"/>
      <c r="AD16" s="19">
        <f t="shared" ref="AD16:BF16" si="1">AD14*AD15</f>
        <v>8268.75</v>
      </c>
      <c r="AE16" s="19">
        <f t="shared" si="1"/>
        <v>0</v>
      </c>
      <c r="AF16" s="19">
        <f t="shared" si="1"/>
        <v>4050</v>
      </c>
      <c r="AG16" s="19">
        <f t="shared" si="1"/>
        <v>0</v>
      </c>
      <c r="AH16" s="19">
        <f t="shared" si="1"/>
        <v>0</v>
      </c>
      <c r="AI16" s="19">
        <f t="shared" si="1"/>
        <v>0</v>
      </c>
      <c r="AJ16" s="19">
        <f t="shared" si="1"/>
        <v>0</v>
      </c>
      <c r="AK16" s="19">
        <f t="shared" si="1"/>
        <v>0</v>
      </c>
      <c r="AL16" s="19">
        <f t="shared" si="1"/>
        <v>0</v>
      </c>
      <c r="AM16" s="19">
        <f t="shared" si="1"/>
        <v>0</v>
      </c>
      <c r="AN16" s="19">
        <f t="shared" si="1"/>
        <v>0</v>
      </c>
      <c r="AO16" s="19">
        <f t="shared" si="1"/>
        <v>0</v>
      </c>
      <c r="AP16" s="19">
        <f t="shared" si="1"/>
        <v>0</v>
      </c>
      <c r="AQ16" s="19">
        <f t="shared" si="1"/>
        <v>0</v>
      </c>
      <c r="AR16" s="19">
        <f t="shared" si="1"/>
        <v>0</v>
      </c>
      <c r="AS16" s="19">
        <f t="shared" si="1"/>
        <v>0</v>
      </c>
      <c r="AT16" s="19">
        <f t="shared" si="1"/>
        <v>0</v>
      </c>
      <c r="AU16" s="19">
        <f t="shared" si="1"/>
        <v>1575</v>
      </c>
      <c r="AV16" s="19">
        <f t="shared" si="1"/>
        <v>0</v>
      </c>
      <c r="AW16" s="19">
        <f t="shared" si="1"/>
        <v>0</v>
      </c>
      <c r="AX16" s="19">
        <f t="shared" si="1"/>
        <v>0</v>
      </c>
      <c r="AY16" s="19">
        <f t="shared" si="1"/>
        <v>0</v>
      </c>
      <c r="AZ16" s="19">
        <f t="shared" si="1"/>
        <v>0</v>
      </c>
      <c r="BA16" s="19">
        <f t="shared" si="1"/>
        <v>0</v>
      </c>
      <c r="BB16" s="19">
        <f t="shared" si="1"/>
        <v>0</v>
      </c>
      <c r="BC16" s="19">
        <f t="shared" si="1"/>
        <v>0</v>
      </c>
      <c r="BD16" s="19">
        <f t="shared" si="1"/>
        <v>0</v>
      </c>
      <c r="BE16" s="19">
        <f t="shared" si="1"/>
        <v>0</v>
      </c>
      <c r="BF16" s="19">
        <f t="shared" si="1"/>
        <v>0</v>
      </c>
    </row>
    <row r="17" spans="1:36">
      <c r="A17" s="74" t="str">
        <f>Constants!E7</f>
        <v>PT-V</v>
      </c>
      <c r="B17" s="16">
        <f>SUMIFS(Cabezota!$F$55:$F$67,Cabezota!$B$55:$B$67, B$15,Cabezota!$H$55:$H$67,$A17)*(1+Constants!$B$9)</f>
        <v>244.99999999999997</v>
      </c>
      <c r="C17" s="16">
        <f>SUMIFS(Cabezota!$F$55:$F$67,Cabezota!$B$55:$B$67, C$15,Cabezota!$H$55:$H$67,$A17)</f>
        <v>0</v>
      </c>
      <c r="D17" s="16">
        <f>SUMIFS(Cabezota!$F$55:$F$67,Cabezota!$B$55:$B$67, D$15,Cabezota!$H$55:$H$67,$A17)*(1+Constants!$B$9)</f>
        <v>0</v>
      </c>
      <c r="E17" s="16">
        <f>SUMIFS(Cabezota!$F$55:$F$67,Cabezota!$B$55:$B$67, E$15,Cabezota!$H$55:$H$67,$A17)*(1+Constants!$B$9)</f>
        <v>0</v>
      </c>
      <c r="F17" s="16">
        <f>SUMIFS(Cabezota!$F$55:$F$67,Cabezota!$B$55:$B$67, F$15,Cabezota!$H$55:$H$67,$A17)</f>
        <v>0</v>
      </c>
      <c r="G17" s="74" t="s">
        <v>38</v>
      </c>
      <c r="H17" s="78">
        <f>SUM(AD16:BZ16)</f>
        <v>13893.75</v>
      </c>
      <c r="I17" s="76" cm="1">
        <f t="array" ref="I17">SUM(IF($B$71:$B$82="External",$F$71:$F$82*$H$71:$H$82,0))</f>
        <v>0</v>
      </c>
      <c r="J17" s="79"/>
      <c r="K17" s="80"/>
      <c r="L17" s="77" t="s">
        <v>63</v>
      </c>
      <c r="M17" s="76">
        <f>J16-K16</f>
        <v>160</v>
      </c>
      <c r="N17" s="17"/>
      <c r="O17" s="17"/>
      <c r="P17" s="17"/>
      <c r="Q17" s="17"/>
      <c r="R17" s="16"/>
      <c r="S17" s="17"/>
      <c r="T17" s="17"/>
      <c r="U17" s="17"/>
      <c r="V17" s="17"/>
      <c r="W17" s="17"/>
      <c r="X17" s="17"/>
      <c r="Y17" s="17"/>
      <c r="Z17" s="17"/>
      <c r="AA17" s="17"/>
      <c r="AB17" s="17"/>
      <c r="AC17" s="17"/>
      <c r="AD17" s="17"/>
      <c r="AE17" s="17"/>
    </row>
    <row r="18" spans="1:36">
      <c r="A18" s="74" t="str">
        <f>Constants!E8</f>
        <v>PT-ZZP</v>
      </c>
      <c r="B18" s="16">
        <f>SUMIFS(Cabezota!$F$55:$F$67,Cabezota!$B$55:$B$67, B$15,Cabezota!$H$55:$H$67,$A18)*(1+Constants!$B$7)</f>
        <v>0</v>
      </c>
      <c r="C18" s="16">
        <f>SUMIFS(Cabezota!$F$55:$F$67,Cabezota!$B$55:$B$67, C$15,Cabezota!$H$55:$H$67,$A18)</f>
        <v>0</v>
      </c>
      <c r="D18" s="16">
        <f>SUMIFS(Cabezota!$F$55:$F$67,Cabezota!$B$55:$B$67, D$15,Cabezota!$H$55:$H$67,$A18)*(1+Constants!$B$7)</f>
        <v>0</v>
      </c>
      <c r="E18" s="16">
        <f>SUMIFS(Cabezota!$F$55:$F$67,Cabezota!$B$55:$B$67, E$15,Cabezota!$H$55:$H$67,$A18)*(1+Constants!$B$7)</f>
        <v>0</v>
      </c>
      <c r="F18" s="16">
        <f>SUMIFS(Cabezota!$F$55:$F$67,Cabezota!$B$55:$B$67, F$15,Cabezota!$H$55:$H$67,$A18)*(1+Constants!$B$7)</f>
        <v>0</v>
      </c>
      <c r="G18" s="74"/>
      <c r="H18" s="78"/>
      <c r="I18" s="76"/>
      <c r="J18" s="79"/>
      <c r="K18" s="80"/>
      <c r="L18" s="77" t="s">
        <v>60</v>
      </c>
      <c r="M18" s="76" t="str">
        <f>IF(I17-Constants!I17*$B$7&gt;0,$I$17-Constants!I17*$B$7,"-")</f>
        <v>-</v>
      </c>
      <c r="N18" s="17"/>
      <c r="O18" s="17"/>
      <c r="P18" s="17"/>
      <c r="Q18" s="17"/>
      <c r="R18" s="16"/>
      <c r="S18" s="17"/>
      <c r="T18" s="17"/>
      <c r="U18" s="17"/>
      <c r="V18" s="17"/>
      <c r="W18" s="17"/>
      <c r="X18" s="17"/>
      <c r="Y18" s="17"/>
      <c r="Z18" s="17"/>
      <c r="AA18" s="17"/>
      <c r="AB18" s="17"/>
      <c r="AC18" s="17"/>
      <c r="AD18" s="17"/>
      <c r="AE18" s="17"/>
    </row>
    <row r="19" spans="1:36">
      <c r="A19" s="74" t="str">
        <f>Constants!E9</f>
        <v>RT</v>
      </c>
      <c r="B19" s="16">
        <f>SUMIFS(Cabezota!$F$55:$F$67,Cabezota!$B$55:$B$67, B$15,Cabezota!$H$55:$H$67,$A19)</f>
        <v>0</v>
      </c>
      <c r="C19" s="16">
        <f>SUMIFS(Cabezota!$F$55:$F$67,Cabezota!$B$55:$B$67, C$15,Cabezota!$H$55:$H$67,$A19)</f>
        <v>0</v>
      </c>
      <c r="D19" s="16">
        <f>SUMIFS(Cabezota!$F$55:$F$67,Cabezota!$B$55:$B$67, D$15,Cabezota!$H$55:$H$67,$A19)</f>
        <v>0</v>
      </c>
      <c r="E19" s="16">
        <f>SUMIFS(Cabezota!$F$55:$F$67,Cabezota!$B$55:$B$67, E$15,Cabezota!$H$55:$H$67,$A19)</f>
        <v>211</v>
      </c>
      <c r="F19" s="16">
        <f>SUMIFS(Cabezota!$F$55:$F$67,Cabezota!$B$55:$B$67, F$15,Cabezota!$H$55:$H$67,$A19)</f>
        <v>0</v>
      </c>
      <c r="G19" s="74" t="s">
        <v>396</v>
      </c>
      <c r="H19" s="78"/>
      <c r="I19" s="76">
        <f>IF(B7*Constants!I17&lt;I17,B7*Constants!I17,I17)</f>
        <v>0</v>
      </c>
      <c r="J19" s="79"/>
      <c r="K19" s="80"/>
      <c r="L19" s="77" t="s">
        <v>431</v>
      </c>
      <c r="M19" s="255">
        <f ca="1">Constants!C31*B7+Data!L7</f>
        <v>2297.0016313272199</v>
      </c>
      <c r="N19" s="17"/>
      <c r="O19" s="17"/>
      <c r="P19" s="17"/>
      <c r="Q19" s="17"/>
      <c r="R19" s="16"/>
      <c r="S19" s="17"/>
      <c r="T19" s="17"/>
      <c r="U19" s="17"/>
      <c r="V19" s="17"/>
      <c r="W19" s="17"/>
      <c r="X19" s="17"/>
      <c r="Y19" s="17"/>
      <c r="Z19" s="17"/>
      <c r="AA19" s="17"/>
      <c r="AB19" s="17"/>
      <c r="AC19" s="17"/>
      <c r="AD19" s="17"/>
      <c r="AE19" s="17"/>
    </row>
    <row r="20" spans="1:36">
      <c r="A20" s="74" t="str">
        <f>Constants!E10</f>
        <v>Extern</v>
      </c>
      <c r="B20" s="16">
        <f>SUMIFS(Cabezota!$F$55:$F$67,Cabezota!$B$55:$B$67, B$15,Cabezota!$H$55:$H$67,$A20)</f>
        <v>0</v>
      </c>
      <c r="C20" s="16">
        <f>SUMIFS(Cabezota!$F$55:$F$67,Cabezota!$B$55:$B$67, C$15,Cabezota!$H$55:$H$67,$A20)</f>
        <v>0</v>
      </c>
      <c r="D20" s="16">
        <f>SUMIFS(Cabezota!$F$55:$F$67,Cabezota!$B$55:$B$67, D$15,Cabezota!$H$55:$H$67,$A20)</f>
        <v>0</v>
      </c>
      <c r="E20" s="16">
        <f>SUMIFS(Cabezota!$F$55:$F$67,Cabezota!$B$55:$B$67, E$15,Cabezota!$H$55:$H$67,$A20)</f>
        <v>0</v>
      </c>
      <c r="F20" s="16">
        <f>SUMIFS(Cabezota!$F$55:$F$67,Cabezota!$B$55:$B$67, F$15,Cabezota!$H$55:$H$67,$A20)</f>
        <v>0</v>
      </c>
      <c r="G20" s="81"/>
      <c r="H20" s="16"/>
      <c r="I20" s="75"/>
      <c r="J20" s="79"/>
      <c r="K20" s="82"/>
      <c r="L20" s="83"/>
      <c r="M20" s="84"/>
      <c r="N20" s="17"/>
      <c r="O20" s="17"/>
      <c r="P20" s="17"/>
      <c r="Q20" s="17"/>
      <c r="R20" s="16"/>
      <c r="S20" s="17"/>
      <c r="T20" s="17"/>
      <c r="U20" s="17"/>
      <c r="V20" s="17"/>
      <c r="W20" s="17"/>
      <c r="X20" s="17"/>
      <c r="Y20" s="17"/>
      <c r="Z20" s="17"/>
      <c r="AA20" s="17"/>
      <c r="AB20" s="17"/>
      <c r="AC20" s="17"/>
      <c r="AD20" s="17"/>
      <c r="AE20" s="17"/>
    </row>
    <row r="21" spans="1:36">
      <c r="A21" s="74" t="str">
        <f>CONCATENATE(A18," Costs")</f>
        <v>PT-ZZP Costs</v>
      </c>
      <c r="B21" s="78">
        <f t="array" ref="B21">SUM(IF(Cabezota!$B$55:$B$67=B$15,IF(Cabezota!$H$55:$H$67="PT-ZZP",Cabezota!$F$55:$F$67*Cabezota!$I$55:$I$67*(1+Constants!$B$7),0),0))</f>
        <v>0</v>
      </c>
      <c r="C21" s="78">
        <f t="array" ref="C21">SUM(IF(Cabezota!$B$55:$B$67=C$15,IF(Cabezota!$H$55:$H$67="PT-ZZP",Cabezota!$F$55:$F$67*Cabezota!$I$55:$I$67,0),0))</f>
        <v>0</v>
      </c>
      <c r="D21" s="78">
        <f t="array" ref="D21">SUM(IF(Cabezota!$B$55:$B$67=D$15,IF(Cabezota!$H$55:$H$67="PT-ZZP",Cabezota!$F$55:$F$67*Cabezota!$I$55:$I$67*(1+Constants!$B$7),0),0))</f>
        <v>0</v>
      </c>
      <c r="E21" s="78">
        <f t="array" ref="E21">SUM(IF(Cabezota!$B$55:$B$67=E$15,IF(Cabezota!$H$55:$H$67="PT-ZZP",Cabezota!$F$55:$F$67*Cabezota!$I$55:$I$67*(1+Constants!$B$7),0),0))</f>
        <v>0</v>
      </c>
      <c r="F21" s="78">
        <f t="array" ref="F21">SUM(IF(Cabezota!$B$55:$B$67=F$15,IF(Cabezota!$H$55:$H$67="PT-ZZP",Cabezota!$F$55:$F$67*Cabezota!$I$55:$I$67*(1+Constants!$B$7),0),0))</f>
        <v>0</v>
      </c>
      <c r="G21" s="81"/>
      <c r="H21" s="16"/>
      <c r="I21" s="75"/>
      <c r="J21" s="79"/>
      <c r="K21" s="82"/>
      <c r="L21" s="77" t="s">
        <v>5</v>
      </c>
      <c r="M21" s="76">
        <f ca="1">SUM(M15:M20)</f>
        <v>2457.0016313272199</v>
      </c>
      <c r="N21" s="17"/>
      <c r="O21" s="17"/>
      <c r="P21" s="17"/>
      <c r="Q21" s="17"/>
      <c r="R21" s="16"/>
      <c r="S21" s="17"/>
      <c r="T21" s="17"/>
      <c r="U21" s="17"/>
      <c r="V21" s="17"/>
      <c r="W21" s="17"/>
      <c r="X21" s="17"/>
      <c r="Y21" s="17"/>
      <c r="Z21" s="17"/>
      <c r="AA21" s="17"/>
      <c r="AB21" s="17"/>
      <c r="AC21" s="17"/>
      <c r="AD21" s="17"/>
      <c r="AE21" s="17"/>
    </row>
    <row r="22" spans="1:36" ht="15.75" customHeight="1">
      <c r="A22" s="74" t="str">
        <f>CONCATENATE(A20," Costs")</f>
        <v>Extern Costs</v>
      </c>
      <c r="B22" s="78">
        <f t="array" ref="B22">SUM(IF(Cabezota!$B$55:$B$67=B$15,IF(Cabezota!$H$55:$H$67="Extern",Cabezota!$F$55:$F$67*Cabezota!$I$55:$I$67,0),0))</f>
        <v>0</v>
      </c>
      <c r="C22" s="78">
        <f t="array" ref="C22">SUM(IF(Cabezota!$B$55:$B$67=C$15,IF(Cabezota!$H$55:$H$67="Extern",Cabezota!$F$55:$F$67*Cabezota!$I$55:$I$67,0),0))</f>
        <v>0</v>
      </c>
      <c r="D22" s="78">
        <f t="array" ref="D22">SUM(IF(Cabezota!$B$55:$B$67=D$15,IF(Cabezota!$H$55:$H$67="Extern",Cabezota!$F$55:$F$67*Cabezota!$I$55:$I$67,0),0))</f>
        <v>0</v>
      </c>
      <c r="E22" s="78">
        <f t="array" ref="E22">SUM(IF(Cabezota!$B$55:$B$67=E$15,IF(Cabezota!$H$55:$H$67="Extern",Cabezota!$F$55:$F$67*Cabezota!$I$55:$I$67,0),0))</f>
        <v>0</v>
      </c>
      <c r="F22" s="76">
        <f t="array" ref="F22">SUM(IF(Cabezota!$B$55:$B$67=F$15,IF(Cabezota!$H$55:$H$67="Extern",Cabezota!$F$55:$F$67*Cabezota!$I$55:$I$67,0),0))</f>
        <v>0</v>
      </c>
      <c r="G22" s="85"/>
      <c r="H22" s="177"/>
      <c r="I22" s="86"/>
      <c r="J22" s="87"/>
      <c r="K22" s="88"/>
      <c r="L22" s="87"/>
      <c r="M22" s="88"/>
      <c r="N22" s="17"/>
      <c r="O22" s="17"/>
      <c r="P22" s="17"/>
      <c r="Q22" s="17"/>
      <c r="R22" s="16"/>
      <c r="S22" s="17"/>
      <c r="T22" s="17"/>
      <c r="U22" s="17"/>
      <c r="V22" s="17"/>
      <c r="W22" s="17"/>
      <c r="X22" s="17"/>
      <c r="Y22" s="17"/>
      <c r="Z22" s="17"/>
      <c r="AA22" s="17"/>
      <c r="AB22" s="17"/>
      <c r="AC22" s="17"/>
      <c r="AD22" s="17"/>
      <c r="AE22" s="17"/>
    </row>
    <row r="23" spans="1:36" ht="15" customHeight="1">
      <c r="A23" s="74" t="s">
        <v>432</v>
      </c>
      <c r="B23" s="78"/>
      <c r="C23" s="78"/>
      <c r="D23" s="78"/>
      <c r="E23" s="78"/>
      <c r="F23" s="76">
        <f t="array" ref="F23">SUMIFS(Cabezota!$F$55:$F$67,Cabezota!$B$55:$B$67,"Mentorship",Cabezota!$H$55:$H$67,"PT-V")*Constants!B8+SUMIFS(Cabezota!$F$55:$F$67,Cabezota!$B$55:$B$67,"Mentorship",Cabezota!$H$55:$H$67,"PT")*Constants!B6+SUMPRODUCT(IF(Cabezota!$B$55:$B$67="Mentorship",IF(Cabezota!$H$55:$H$67="PT-ZZP",Cabezota!$F$55:$F$67*Cabezota!$I$55:$I$67,0)))</f>
        <v>0</v>
      </c>
    </row>
    <row r="24" spans="1:36" ht="15" customHeight="1">
      <c r="A24" s="89" t="s">
        <v>433</v>
      </c>
      <c r="B24" s="178"/>
      <c r="C24" s="178"/>
      <c r="D24" s="178"/>
      <c r="E24" s="178">
        <f>SUMIF(Cabezota!$B$55:$B$67,"External Trainer Course",Cabezota!$I$55:$I$67)</f>
        <v>0</v>
      </c>
      <c r="F24" s="90"/>
    </row>
    <row r="25" spans="1:36" ht="15.75" customHeight="1">
      <c r="A25" s="16"/>
      <c r="B25" s="16"/>
      <c r="C25" s="16"/>
      <c r="D25" s="16"/>
      <c r="E25" s="17"/>
      <c r="F25" s="17"/>
      <c r="G25" s="17"/>
      <c r="H25" s="17"/>
      <c r="I25" s="17"/>
      <c r="J25" s="17"/>
      <c r="K25" s="17"/>
      <c r="L25" s="17"/>
      <c r="M25" s="17"/>
      <c r="N25" s="17"/>
      <c r="O25" s="17"/>
      <c r="P25" s="17"/>
      <c r="Q25" s="16"/>
      <c r="R25" s="17"/>
      <c r="S25" s="17"/>
      <c r="T25" s="17"/>
      <c r="U25" s="17"/>
      <c r="V25" s="17"/>
      <c r="W25" s="17"/>
      <c r="X25" s="17"/>
      <c r="Y25" s="17"/>
      <c r="Z25" s="17"/>
      <c r="AA25" s="17"/>
      <c r="AB25" s="17"/>
      <c r="AC25" s="17"/>
      <c r="AD25" s="17"/>
    </row>
    <row r="26" spans="1:36" ht="15.75" customHeight="1">
      <c r="A26" s="16"/>
      <c r="B26" s="16"/>
      <c r="C26" s="16"/>
      <c r="D26" s="16"/>
      <c r="E26" s="17"/>
      <c r="F26" s="17"/>
      <c r="G26" s="17"/>
      <c r="H26" s="17"/>
      <c r="I26" s="17"/>
      <c r="J26" s="17"/>
      <c r="K26" s="17"/>
      <c r="L26" s="17"/>
      <c r="M26" s="17"/>
      <c r="N26" s="17"/>
      <c r="O26" s="17"/>
      <c r="P26" s="17"/>
      <c r="Q26" s="16"/>
      <c r="R26" s="17"/>
      <c r="S26" s="17"/>
      <c r="T26" s="17"/>
      <c r="U26" s="17"/>
      <c r="V26" s="17"/>
      <c r="W26" s="17"/>
      <c r="X26" s="17"/>
      <c r="Y26" s="17"/>
      <c r="Z26" s="17"/>
      <c r="AA26" s="17"/>
      <c r="AB26" s="17"/>
      <c r="AC26" s="17"/>
      <c r="AD26" s="17"/>
    </row>
    <row r="27" spans="1:36" ht="15.75" customHeight="1" thickBot="1">
      <c r="A27" s="91" t="s">
        <v>434</v>
      </c>
      <c r="B27" s="17"/>
      <c r="C27" s="17"/>
      <c r="D27" s="17"/>
      <c r="E27" s="17"/>
      <c r="F27" s="17"/>
      <c r="G27" s="92"/>
      <c r="H27" s="19"/>
      <c r="I27" s="17"/>
      <c r="J27" s="17"/>
      <c r="K27" s="17"/>
      <c r="L27" s="17"/>
      <c r="M27" s="17"/>
      <c r="N27" s="17"/>
      <c r="O27" s="17"/>
      <c r="P27" s="17"/>
      <c r="Q27" s="16"/>
      <c r="R27" s="17"/>
      <c r="S27" s="17"/>
      <c r="T27" s="17"/>
      <c r="U27" s="17"/>
      <c r="V27" s="17"/>
      <c r="W27" s="17"/>
      <c r="X27" s="17"/>
      <c r="Y27" s="17"/>
      <c r="Z27" s="17"/>
      <c r="AA27" s="17"/>
      <c r="AB27" s="17"/>
      <c r="AC27" s="17"/>
      <c r="AD27" s="17"/>
    </row>
    <row r="28" spans="1:36" ht="15.75" customHeight="1" thickTop="1" thickBot="1">
      <c r="A28" s="706" t="s">
        <v>435</v>
      </c>
      <c r="B28" s="707"/>
      <c r="C28" s="707"/>
      <c r="D28" s="707"/>
      <c r="E28" s="707"/>
      <c r="F28" s="708"/>
      <c r="G28" s="15"/>
      <c r="H28" s="17"/>
      <c r="I28" s="17"/>
      <c r="J28" s="17"/>
      <c r="K28" s="17"/>
      <c r="L28" s="17"/>
      <c r="M28" s="17"/>
      <c r="N28" s="17"/>
      <c r="O28" s="17"/>
      <c r="P28" s="17"/>
      <c r="Q28" s="16"/>
      <c r="R28" s="17"/>
      <c r="S28" s="17"/>
      <c r="T28" s="17"/>
      <c r="U28" s="17"/>
      <c r="V28" s="17"/>
      <c r="W28" s="17"/>
      <c r="X28" s="17"/>
      <c r="Y28" s="17"/>
      <c r="Z28" s="17"/>
      <c r="AA28" s="17"/>
      <c r="AB28" s="17"/>
      <c r="AC28" s="17"/>
      <c r="AD28" s="242" t="s">
        <v>436</v>
      </c>
      <c r="AE28" s="16"/>
      <c r="AF28" s="128"/>
      <c r="AG28" s="51"/>
      <c r="AH28" s="51"/>
      <c r="AI28" s="51"/>
      <c r="AJ28" s="51"/>
    </row>
    <row r="29" spans="1:36" ht="15.75" customHeight="1" thickBot="1">
      <c r="A29" s="709" t="s">
        <v>437</v>
      </c>
      <c r="B29" s="696"/>
      <c r="C29" s="696"/>
      <c r="D29" s="696"/>
      <c r="E29" s="696"/>
      <c r="F29" s="710"/>
      <c r="G29" s="17"/>
      <c r="H29" s="17"/>
      <c r="I29" s="17"/>
      <c r="J29" s="17"/>
      <c r="K29" s="17"/>
      <c r="L29" s="17"/>
      <c r="M29" s="17"/>
      <c r="N29" s="17"/>
      <c r="O29" s="17"/>
      <c r="P29" s="17"/>
      <c r="Q29" s="16"/>
      <c r="R29" s="17"/>
      <c r="S29" s="17"/>
      <c r="T29" s="17"/>
      <c r="U29" s="17"/>
      <c r="V29" s="17"/>
      <c r="W29" s="17"/>
      <c r="X29" s="17"/>
      <c r="Y29" s="17"/>
      <c r="Z29" s="17"/>
      <c r="AA29" s="17"/>
      <c r="AB29" s="17"/>
      <c r="AC29" s="17"/>
      <c r="AD29" s="243" t="s">
        <v>438</v>
      </c>
      <c r="AE29" s="243" t="s">
        <v>439</v>
      </c>
      <c r="AF29" s="243" t="s">
        <v>440</v>
      </c>
      <c r="AG29" s="711" t="s">
        <v>441</v>
      </c>
      <c r="AH29" s="712"/>
      <c r="AI29" s="711" t="s">
        <v>434</v>
      </c>
      <c r="AJ29" s="712"/>
    </row>
    <row r="30" spans="1:36" ht="15.75" customHeight="1" thickBot="1">
      <c r="A30" s="709" t="s">
        <v>442</v>
      </c>
      <c r="B30" s="696"/>
      <c r="C30" s="696"/>
      <c r="D30" s="696"/>
      <c r="E30" s="696"/>
      <c r="F30" s="710"/>
      <c r="G30" s="17"/>
      <c r="H30" s="17"/>
      <c r="I30" s="17"/>
      <c r="J30" s="17"/>
      <c r="K30" s="17"/>
      <c r="L30" s="17"/>
      <c r="M30" s="17"/>
      <c r="N30" s="17"/>
      <c r="O30" s="17"/>
      <c r="P30" s="17"/>
      <c r="Q30" s="16"/>
      <c r="R30" s="17"/>
      <c r="S30" s="17"/>
      <c r="T30" s="17"/>
      <c r="U30" s="17"/>
      <c r="V30" s="17"/>
      <c r="W30" s="17"/>
      <c r="X30" s="17"/>
      <c r="Y30" s="17"/>
      <c r="Z30" s="17"/>
      <c r="AA30" s="17"/>
      <c r="AB30" s="17"/>
      <c r="AC30" s="17"/>
      <c r="AD30" s="244" t="str">
        <f>IF($B$12="individual",Constants!F55,Constants!L55)</f>
        <v>member count</v>
      </c>
      <c r="AE30" s="244">
        <f>B7</f>
        <v>35</v>
      </c>
      <c r="AF30" s="269">
        <f>IF(AE30&gt;=301,5,IF(AE30&gt;=176,4,IF(AE30&gt;=101,3,IF(AE30&gt;=51,2,1))))</f>
        <v>1</v>
      </c>
      <c r="AG30" s="560"/>
      <c r="AH30" s="560"/>
      <c r="AI30" s="560" t="s">
        <v>443</v>
      </c>
      <c r="AJ30" s="560"/>
    </row>
    <row r="31" spans="1:36" ht="15" customHeight="1" thickBot="1">
      <c r="A31" s="709" t="s">
        <v>444</v>
      </c>
      <c r="B31" s="696"/>
      <c r="C31" s="696"/>
      <c r="D31" s="696"/>
      <c r="E31" s="696"/>
      <c r="F31" s="710"/>
      <c r="G31" s="17"/>
      <c r="H31" s="17"/>
      <c r="I31" s="17"/>
      <c r="J31" s="17"/>
      <c r="K31" s="17"/>
      <c r="L31" s="17"/>
      <c r="M31" s="17"/>
      <c r="N31" s="17"/>
      <c r="O31" s="17"/>
      <c r="P31" s="17"/>
      <c r="Q31" s="16"/>
      <c r="R31" s="17"/>
      <c r="S31" s="17"/>
      <c r="T31" s="17"/>
      <c r="U31" s="17"/>
      <c r="V31" s="17"/>
      <c r="W31" s="17"/>
      <c r="X31" s="17"/>
      <c r="Y31" s="17"/>
      <c r="Z31" s="17"/>
      <c r="AA31" s="17"/>
      <c r="AB31" s="17"/>
      <c r="AC31" s="17"/>
      <c r="AD31" s="244" t="str">
        <f>IF($B$12="individual",Constants!F56,Constants!L56)</f>
        <v>number of trainings per week</v>
      </c>
      <c r="AE31" s="244" cm="1">
        <f t="array" ref="AE31">SUMPRODUCT(C55:C67*D55:D67)/42</f>
        <v>10.238095238095237</v>
      </c>
      <c r="AF31" s="270">
        <f>IF(AE31&gt;=4,3,IF(AE31&gt;=3,2,IF(AE31&gt;=2,1,0)))</f>
        <v>3</v>
      </c>
      <c r="AG31" s="560"/>
      <c r="AH31" s="560"/>
      <c r="AI31" s="560"/>
      <c r="AJ31" s="560"/>
    </row>
    <row r="32" spans="1:36" ht="15.75" customHeight="1" thickBot="1">
      <c r="A32" s="709" t="s">
        <v>445</v>
      </c>
      <c r="B32" s="696"/>
      <c r="C32" s="696"/>
      <c r="D32" s="696"/>
      <c r="E32" s="696"/>
      <c r="F32" s="710"/>
      <c r="G32" s="17"/>
      <c r="H32" s="16"/>
      <c r="I32" s="16"/>
      <c r="J32" s="16"/>
      <c r="K32" s="17"/>
      <c r="L32" s="17"/>
      <c r="M32" s="17"/>
      <c r="N32" s="17"/>
      <c r="O32" s="17"/>
      <c r="P32" s="17"/>
      <c r="Q32" s="16"/>
      <c r="R32" s="17"/>
      <c r="S32" s="17"/>
      <c r="T32" s="17"/>
      <c r="U32" s="17"/>
      <c r="V32" s="17"/>
      <c r="W32" s="17"/>
      <c r="X32" s="17"/>
      <c r="Y32" s="17"/>
      <c r="Z32" s="17"/>
      <c r="AA32" s="17"/>
      <c r="AB32" s="17"/>
      <c r="AC32" s="17"/>
      <c r="AD32" s="244" t="str">
        <f>IF($B$12="individual",Constants!F57,Constants!L57)</f>
        <v>number of trainings weeks per year</v>
      </c>
      <c r="AE32" s="252">
        <f>MAX(C55:C67)</f>
        <v>35</v>
      </c>
      <c r="AF32" s="250">
        <f>IF(AE32&gt;=40,3,IF(AE32&gt;=35,2,1))</f>
        <v>2</v>
      </c>
      <c r="AG32" s="560"/>
      <c r="AH32" s="560"/>
      <c r="AI32" s="560"/>
      <c r="AJ32" s="560"/>
    </row>
    <row r="33" spans="1:58" ht="15.75" customHeight="1" thickBot="1">
      <c r="A33" s="93" t="s">
        <v>446</v>
      </c>
      <c r="F33" s="94"/>
      <c r="G33" s="17"/>
      <c r="H33" s="16"/>
      <c r="I33" s="16"/>
      <c r="J33" s="16"/>
      <c r="K33" s="17"/>
      <c r="L33" s="17"/>
      <c r="M33" s="17"/>
      <c r="N33" s="17"/>
      <c r="O33" s="17"/>
      <c r="P33" s="17"/>
      <c r="Q33" s="16"/>
      <c r="R33" s="17"/>
      <c r="S33" s="17"/>
      <c r="T33" s="17"/>
      <c r="U33" s="17"/>
      <c r="V33" s="17"/>
      <c r="W33" s="17"/>
      <c r="X33" s="17"/>
      <c r="Y33" s="17"/>
      <c r="Z33" s="17"/>
      <c r="AA33" s="17"/>
      <c r="AB33" s="17"/>
      <c r="AC33" s="17"/>
      <c r="AD33" s="244" t="str">
        <f>IF($B$12="individual",Constants!F58,Constants!L58)</f>
        <v>number of training hours by RT / PT-V</v>
      </c>
      <c r="AE33" s="251">
        <f>(SUMIF(H55:H67,"RT",F55:F67)+SUMIF(H55:H67,"PT-V",F55:F67))/SUM(F55:F67)</f>
        <v>1</v>
      </c>
      <c r="AF33" s="270">
        <f>IF(AE33&gt;0.9,3,IF(AE33&gt;0.6,2,IF(AE33&gt;0.3,1,0)))</f>
        <v>3</v>
      </c>
      <c r="AG33" s="560"/>
      <c r="AH33" s="560"/>
      <c r="AI33" s="560"/>
      <c r="AJ33" s="560"/>
    </row>
    <row r="34" spans="1:58" ht="15.75" customHeight="1" thickBot="1">
      <c r="A34" s="713" t="s">
        <v>447</v>
      </c>
      <c r="B34" s="714"/>
      <c r="C34" s="714"/>
      <c r="D34" s="714"/>
      <c r="E34" s="714"/>
      <c r="F34" s="715"/>
      <c r="G34" s="17"/>
      <c r="H34" s="16"/>
      <c r="I34" s="16"/>
      <c r="J34" s="16"/>
      <c r="K34" s="17"/>
      <c r="L34" s="17"/>
      <c r="M34" s="17"/>
      <c r="N34" s="17"/>
      <c r="O34" s="17"/>
      <c r="P34" s="17"/>
      <c r="Q34" s="16"/>
      <c r="R34" s="17"/>
      <c r="S34" s="17"/>
      <c r="T34" s="17"/>
      <c r="U34" s="17"/>
      <c r="V34" s="17"/>
      <c r="W34" s="17"/>
      <c r="X34" s="17"/>
      <c r="Y34" s="17"/>
      <c r="Z34" s="17"/>
      <c r="AA34" s="17"/>
      <c r="AB34" s="17"/>
      <c r="AC34" s="17"/>
      <c r="AD34" s="244" t="str">
        <f>IF($B$12="individual",Constants!F59,Constants!L59)</f>
        <v>number of training groups / teams</v>
      </c>
      <c r="AE34" s="244">
        <f>B10</f>
        <v>7</v>
      </c>
      <c r="AF34" s="271">
        <f>IF(AE34&gt;9,3,IF(AE34&gt;4,2,IF(AE34&gt;2,1,0)))</f>
        <v>2</v>
      </c>
      <c r="AG34" s="560"/>
      <c r="AH34" s="560"/>
      <c r="AI34" s="560"/>
      <c r="AJ34" s="560"/>
    </row>
    <row r="35" spans="1:58" ht="15.75" customHeight="1" thickTop="1" thickBot="1">
      <c r="A35" s="16"/>
      <c r="G35" s="17"/>
      <c r="H35" s="16"/>
      <c r="I35" s="16"/>
      <c r="J35" s="16"/>
      <c r="K35" s="17"/>
      <c r="L35" s="17"/>
      <c r="M35" s="17"/>
      <c r="N35" s="17"/>
      <c r="O35" s="17"/>
      <c r="P35" s="17"/>
      <c r="Q35" s="16"/>
      <c r="R35" s="17"/>
      <c r="S35" s="17"/>
      <c r="T35" s="17"/>
      <c r="U35" s="17"/>
      <c r="V35" s="17"/>
      <c r="W35" s="17"/>
      <c r="X35" s="17"/>
      <c r="Y35" s="17"/>
      <c r="Z35" s="17"/>
      <c r="AA35" s="17"/>
      <c r="AB35" s="17"/>
      <c r="AC35" s="17"/>
      <c r="AD35" s="244" t="str">
        <f>IF($B$12="individual",Constants!F60,Constants!L60)</f>
        <v>number of competitions organised</v>
      </c>
      <c r="AE35" s="249">
        <v>1</v>
      </c>
      <c r="AF35" s="271">
        <f>IF(AE35&gt;=4,5,IF(AE35&gt;=2,3,IF(AE35&gt;=1,1,0)))</f>
        <v>1</v>
      </c>
      <c r="AG35" s="560"/>
      <c r="AH35" s="560"/>
      <c r="AI35" s="560"/>
      <c r="AJ35" s="560"/>
    </row>
    <row r="36" spans="1:58" ht="15.75" customHeight="1" thickBot="1">
      <c r="A36" s="179" t="s">
        <v>448</v>
      </c>
      <c r="B36" s="16"/>
      <c r="C36" s="16"/>
      <c r="D36" s="16"/>
      <c r="E36" s="16"/>
      <c r="F36" s="16"/>
      <c r="G36" s="16"/>
      <c r="H36" s="16"/>
      <c r="I36" s="16"/>
      <c r="J36" s="16"/>
      <c r="K36" s="16"/>
      <c r="L36" s="16"/>
      <c r="M36" s="16"/>
      <c r="N36" s="16"/>
      <c r="O36" s="16"/>
      <c r="P36" s="16"/>
      <c r="Q36" s="16"/>
      <c r="R36" s="16"/>
      <c r="S36" s="16"/>
      <c r="T36" s="16"/>
      <c r="U36" s="16"/>
      <c r="V36" s="16"/>
      <c r="W36" s="16"/>
      <c r="X36" s="16"/>
      <c r="Y36" s="16"/>
      <c r="Z36" s="16"/>
      <c r="AA36" s="16"/>
      <c r="AB36" s="18"/>
      <c r="AC36" s="16"/>
      <c r="AD36" s="244" t="str">
        <f>IF($B$12="individual",Constants!F61,Constants!L61)</f>
        <v>number of social activities</v>
      </c>
      <c r="AE36" s="249">
        <v>9</v>
      </c>
      <c r="AF36" s="271">
        <f>IF(AE36&gt;=20,2,IF(AE36&gt;=10,1,0))</f>
        <v>0</v>
      </c>
      <c r="AG36" s="560"/>
      <c r="AH36" s="560"/>
      <c r="AI36" s="560"/>
      <c r="AJ36" s="560"/>
    </row>
    <row r="37" spans="1:58" ht="15" customHeight="1" thickTop="1" thickBot="1">
      <c r="A37" s="258" t="s">
        <v>449</v>
      </c>
      <c r="B37" s="259" t="s">
        <v>450</v>
      </c>
      <c r="C37" s="258" t="s">
        <v>451</v>
      </c>
      <c r="D37" s="258" t="s">
        <v>452</v>
      </c>
      <c r="E37" s="258" t="s">
        <v>453</v>
      </c>
      <c r="F37" s="258" t="s">
        <v>454</v>
      </c>
      <c r="G37" s="259" t="s">
        <v>455</v>
      </c>
      <c r="H37" s="561" t="s">
        <v>456</v>
      </c>
      <c r="I37" s="716"/>
      <c r="J37" s="717"/>
      <c r="K37" s="98"/>
      <c r="L37" s="98"/>
      <c r="M37" s="98"/>
      <c r="N37" s="98"/>
      <c r="O37" s="98"/>
      <c r="P37" s="98"/>
      <c r="Q37" s="98"/>
      <c r="R37" s="98"/>
      <c r="S37" s="98"/>
      <c r="T37" s="98"/>
      <c r="U37" s="96"/>
      <c r="V37" s="96"/>
      <c r="W37" s="96"/>
      <c r="X37" s="96"/>
      <c r="Y37" s="99"/>
      <c r="Z37" s="96"/>
      <c r="AA37" s="96"/>
      <c r="AB37" s="100"/>
      <c r="AC37" s="100"/>
      <c r="AD37" s="244" t="str">
        <f>IF($B$12="individual",Constants!F62,Constants!L62)</f>
        <v>number of bar days</v>
      </c>
      <c r="AE37" s="249">
        <v>9</v>
      </c>
      <c r="AF37" s="271">
        <f>IF(AE37&gt;=15,2,IF(AE37&gt;=8,1,0))</f>
        <v>1</v>
      </c>
      <c r="AG37" s="560"/>
      <c r="AH37" s="560"/>
      <c r="AI37" s="560"/>
      <c r="AJ37" s="560"/>
      <c r="AK37" s="100"/>
      <c r="AL37" s="100"/>
      <c r="AM37" s="100"/>
      <c r="AN37" s="100"/>
      <c r="AO37" s="100"/>
      <c r="AP37" s="100"/>
      <c r="AQ37" s="100"/>
      <c r="AR37" s="100"/>
      <c r="AS37" s="100"/>
      <c r="AT37" s="100"/>
      <c r="AU37" s="100"/>
      <c r="AV37" s="100"/>
      <c r="AW37" s="100"/>
      <c r="AX37" s="100"/>
      <c r="AY37" s="100"/>
      <c r="AZ37" s="100"/>
      <c r="BA37" s="100"/>
      <c r="BB37" s="100"/>
      <c r="BC37" s="100"/>
      <c r="BD37" s="100"/>
      <c r="BE37" s="100"/>
      <c r="BF37" s="100"/>
    </row>
    <row r="38" spans="1:58" ht="14.25" customHeight="1" thickBot="1">
      <c r="A38" s="312" t="s">
        <v>556</v>
      </c>
      <c r="B38" s="323">
        <v>12</v>
      </c>
      <c r="C38" s="312">
        <v>2</v>
      </c>
      <c r="D38" s="312">
        <v>35</v>
      </c>
      <c r="E38" s="312" t="s">
        <v>281</v>
      </c>
      <c r="F38" s="324" t="s">
        <v>597</v>
      </c>
      <c r="G38" s="325"/>
      <c r="H38" s="571"/>
      <c r="I38" s="696"/>
      <c r="J38" s="718"/>
      <c r="K38" s="16"/>
      <c r="L38" s="16"/>
      <c r="M38" s="16"/>
      <c r="N38" s="16"/>
      <c r="O38" s="16"/>
      <c r="P38" s="16"/>
      <c r="Q38" s="16"/>
      <c r="R38" s="16"/>
      <c r="S38" s="16"/>
      <c r="T38" s="16"/>
      <c r="U38" s="16"/>
      <c r="V38" s="16"/>
      <c r="W38" s="16"/>
      <c r="X38" s="16"/>
      <c r="Y38" s="17"/>
      <c r="Z38" s="16"/>
      <c r="AA38" s="16"/>
      <c r="AD38" s="244" t="str">
        <f>IF($B$12="individual",Constants!F63,Constants!L63)</f>
        <v>own bar / extra location</v>
      </c>
      <c r="AE38" s="249">
        <v>0</v>
      </c>
      <c r="AF38" s="271">
        <f>IF(AE38&gt;=15,2,IF(AE38&gt;=8,1,0))</f>
        <v>0</v>
      </c>
      <c r="AG38" s="560"/>
      <c r="AH38" s="560"/>
      <c r="AI38" s="560"/>
      <c r="AJ38" s="560"/>
    </row>
    <row r="39" spans="1:58" ht="14.25" customHeight="1" thickBot="1">
      <c r="A39" s="312" t="s">
        <v>563</v>
      </c>
      <c r="B39" s="323">
        <v>12</v>
      </c>
      <c r="C39" s="312">
        <v>2</v>
      </c>
      <c r="D39" s="312">
        <v>35</v>
      </c>
      <c r="E39" s="328" t="s">
        <v>281</v>
      </c>
      <c r="F39" s="327" t="s">
        <v>598</v>
      </c>
      <c r="G39" s="325" t="s">
        <v>599</v>
      </c>
      <c r="H39" s="696"/>
      <c r="I39" s="696"/>
      <c r="J39" s="718"/>
      <c r="K39" s="16"/>
      <c r="L39" s="16"/>
      <c r="M39" s="16"/>
      <c r="N39" s="16"/>
      <c r="O39" s="16"/>
      <c r="P39" s="16"/>
      <c r="Q39" s="16"/>
      <c r="R39" s="16"/>
      <c r="S39" s="16"/>
      <c r="T39" s="16"/>
      <c r="U39" s="16"/>
      <c r="V39" s="16"/>
      <c r="W39" s="16"/>
      <c r="X39" s="16"/>
      <c r="Y39" s="17"/>
      <c r="Z39" s="16"/>
      <c r="AA39" s="16"/>
      <c r="AD39" s="244" t="str">
        <f>IF($B$12="individual",Constants!F65,Constants!L64)</f>
        <v>number of facilities used</v>
      </c>
      <c r="AE39" s="249">
        <v>2</v>
      </c>
      <c r="AF39" s="273">
        <f>IF(B12="individual", IF(AE39&gt;10, 5, IF(AE39&gt;6, 3, IF(AE39&gt;2, 1, 0))), IF(AE39&gt;3, 3, IF(AE39&gt;1, 2, 1)))</f>
        <v>2</v>
      </c>
      <c r="AG39" s="560"/>
      <c r="AH39" s="560"/>
      <c r="AI39" s="560"/>
      <c r="AJ39" s="560"/>
    </row>
    <row r="40" spans="1:58" ht="15.75" customHeight="1" thickBot="1">
      <c r="A40" s="323" t="s">
        <v>558</v>
      </c>
      <c r="B40" s="323">
        <v>8</v>
      </c>
      <c r="C40" s="323">
        <v>2</v>
      </c>
      <c r="D40" s="323">
        <v>35</v>
      </c>
      <c r="E40" s="328" t="s">
        <v>55</v>
      </c>
      <c r="F40" s="327" t="s">
        <v>600</v>
      </c>
      <c r="G40" s="323" t="s">
        <v>601</v>
      </c>
      <c r="H40" s="696"/>
      <c r="I40" s="696"/>
      <c r="J40" s="718"/>
      <c r="K40" s="16"/>
      <c r="L40" s="16"/>
      <c r="M40" s="16"/>
      <c r="N40" s="16"/>
      <c r="O40" s="16"/>
      <c r="P40" s="16"/>
      <c r="Q40" s="16"/>
      <c r="R40" s="16"/>
      <c r="S40" s="16"/>
      <c r="T40" s="16"/>
      <c r="U40" s="16"/>
      <c r="V40" s="16"/>
      <c r="W40" s="16"/>
      <c r="X40" s="16"/>
      <c r="Y40" s="16"/>
      <c r="Z40" s="16"/>
      <c r="AA40" s="16"/>
      <c r="AD40" s="231" t="str">
        <f>IF($B$12="individual",Constants!F64,Constants!L65)</f>
        <v>ratio of competing teams / training teams</v>
      </c>
      <c r="AE40" s="231">
        <f>IF(AD40="n/a","",COUNTA(A46:A50)/COUNTA(A38:A42))</f>
        <v>0.4</v>
      </c>
      <c r="AF40" s="272">
        <f>IF(B12="group", IF(AE40&gt;0.15, 5, IF(AE40&gt;0.1, 3, IF(AE40&gt;0.05, 1, 0))), " ")</f>
        <v>5</v>
      </c>
      <c r="AG40" s="560"/>
      <c r="AH40" s="560"/>
      <c r="AI40" s="560"/>
      <c r="AJ40" s="560"/>
    </row>
    <row r="41" spans="1:58" ht="15.75" customHeight="1" thickBot="1">
      <c r="A41" s="323" t="s">
        <v>602</v>
      </c>
      <c r="B41" s="323">
        <v>18</v>
      </c>
      <c r="C41" s="323">
        <v>2</v>
      </c>
      <c r="D41" s="323">
        <v>35</v>
      </c>
      <c r="E41" s="328" t="s">
        <v>55</v>
      </c>
      <c r="F41" s="327" t="s">
        <v>600</v>
      </c>
      <c r="G41" s="323" t="s">
        <v>603</v>
      </c>
      <c r="H41" s="696"/>
      <c r="I41" s="696"/>
      <c r="J41" s="718"/>
      <c r="K41" s="16"/>
      <c r="L41" s="16"/>
      <c r="M41" s="16"/>
      <c r="N41" s="16"/>
      <c r="O41" s="16"/>
      <c r="P41" s="16"/>
      <c r="Q41" s="16"/>
      <c r="R41" s="16"/>
      <c r="S41" s="16"/>
      <c r="T41" s="16"/>
      <c r="U41" s="16"/>
      <c r="V41" s="16"/>
      <c r="W41" s="16"/>
      <c r="X41" s="16"/>
      <c r="Y41" s="16"/>
      <c r="Z41" s="16"/>
      <c r="AA41" s="16"/>
      <c r="AD41" s="16"/>
      <c r="AE41" s="275" t="s">
        <v>461</v>
      </c>
      <c r="AF41" s="276">
        <f>SUM(AF30:AF40)</f>
        <v>20</v>
      </c>
      <c r="AG41" s="247"/>
      <c r="AH41" s="245"/>
      <c r="AI41" s="246"/>
      <c r="AJ41" s="247"/>
    </row>
    <row r="42" spans="1:58" ht="15.75" customHeight="1" thickBot="1">
      <c r="A42" s="323" t="s">
        <v>604</v>
      </c>
      <c r="B42" s="328">
        <v>25</v>
      </c>
      <c r="C42" s="328">
        <v>2</v>
      </c>
      <c r="D42" s="323">
        <v>5</v>
      </c>
      <c r="E42" s="327" t="s">
        <v>55</v>
      </c>
      <c r="F42" s="327" t="s">
        <v>605</v>
      </c>
      <c r="G42" s="323" t="s">
        <v>606</v>
      </c>
      <c r="H42" s="719"/>
      <c r="I42" s="719"/>
      <c r="J42" s="720"/>
      <c r="K42" s="16"/>
      <c r="L42" s="16"/>
      <c r="M42" s="16"/>
      <c r="N42" s="16"/>
      <c r="O42" s="16"/>
      <c r="P42" s="16"/>
      <c r="Q42" s="16"/>
      <c r="R42" s="16"/>
      <c r="S42" s="16"/>
      <c r="T42" s="16"/>
      <c r="U42" s="16"/>
      <c r="V42" s="16"/>
      <c r="W42" s="16"/>
      <c r="X42" s="16"/>
      <c r="Y42" s="16"/>
      <c r="Z42" s="16"/>
      <c r="AA42" s="16"/>
    </row>
    <row r="43" spans="1:58" ht="15.75" customHeight="1">
      <c r="A43" s="18"/>
      <c r="B43" s="18"/>
      <c r="C43" s="18"/>
      <c r="D43" s="18"/>
      <c r="E43" s="18"/>
      <c r="F43" s="18"/>
      <c r="G43" s="17"/>
      <c r="H43" s="17"/>
      <c r="I43" s="17"/>
      <c r="J43" s="17"/>
      <c r="K43" s="17"/>
      <c r="L43" s="17"/>
      <c r="M43" s="17"/>
      <c r="N43" s="17"/>
      <c r="O43" s="17"/>
      <c r="P43" s="17"/>
      <c r="Q43" s="16"/>
      <c r="R43" s="17"/>
      <c r="S43" s="17"/>
      <c r="T43" s="17"/>
      <c r="U43" s="17"/>
      <c r="V43" s="17"/>
      <c r="W43" s="17"/>
      <c r="X43" s="17"/>
      <c r="Y43" s="17"/>
      <c r="Z43" s="17"/>
      <c r="AA43" s="17"/>
      <c r="AB43" s="17"/>
      <c r="AC43" s="17"/>
      <c r="AD43" s="17"/>
    </row>
    <row r="44" spans="1:58" ht="15.75" customHeight="1">
      <c r="A44" s="179" t="s">
        <v>462</v>
      </c>
      <c r="B44" s="169"/>
      <c r="C44" s="16"/>
      <c r="D44" s="16"/>
      <c r="E44" s="16"/>
      <c r="F44" s="16"/>
      <c r="G44" s="16"/>
      <c r="H44" s="16"/>
      <c r="I44" s="16"/>
      <c r="J44" s="16"/>
      <c r="K44" s="16"/>
      <c r="L44" s="16"/>
      <c r="M44" s="16"/>
      <c r="N44" s="16"/>
      <c r="O44" s="16"/>
      <c r="P44" s="16"/>
      <c r="Q44" s="16"/>
      <c r="R44" s="16"/>
      <c r="S44" s="16"/>
      <c r="T44" s="16"/>
      <c r="U44" s="16"/>
      <c r="V44" s="16"/>
      <c r="W44" s="16"/>
      <c r="X44" s="16"/>
      <c r="Y44" s="16"/>
      <c r="Z44" s="16"/>
      <c r="AA44" s="16"/>
      <c r="AB44" s="18"/>
      <c r="AC44" s="16"/>
      <c r="AD44" s="16"/>
    </row>
    <row r="45" spans="1:58" ht="15" customHeight="1">
      <c r="A45" s="258" t="s">
        <v>449</v>
      </c>
      <c r="B45" s="259" t="s">
        <v>450</v>
      </c>
      <c r="C45" s="258" t="s">
        <v>463</v>
      </c>
      <c r="D45" s="258" t="s">
        <v>464</v>
      </c>
      <c r="E45" s="258" t="s">
        <v>465</v>
      </c>
      <c r="F45" s="258" t="s">
        <v>466</v>
      </c>
      <c r="G45" s="258" t="s">
        <v>467</v>
      </c>
      <c r="H45" s="259" t="s">
        <v>455</v>
      </c>
      <c r="I45" s="561" t="s">
        <v>456</v>
      </c>
      <c r="J45" s="716"/>
      <c r="K45" s="717"/>
      <c r="L45" s="98"/>
      <c r="M45" s="98"/>
      <c r="N45" s="98"/>
      <c r="O45" s="98"/>
      <c r="P45" s="98"/>
      <c r="Q45" s="98"/>
      <c r="R45" s="98"/>
      <c r="S45" s="98"/>
      <c r="T45" s="98"/>
      <c r="U45" s="98"/>
      <c r="V45" s="96"/>
      <c r="W45" s="96"/>
      <c r="X45" s="96"/>
      <c r="Y45" s="96"/>
      <c r="Z45" s="99"/>
      <c r="AA45" s="96"/>
      <c r="AB45" s="96"/>
      <c r="AC45" s="100"/>
      <c r="AD45" s="100"/>
      <c r="AE45" s="100"/>
      <c r="AF45" s="100"/>
      <c r="AG45" s="100"/>
      <c r="AH45" s="100"/>
      <c r="AI45" s="100"/>
      <c r="AJ45" s="100"/>
      <c r="AK45" s="100"/>
      <c r="AL45" s="100"/>
      <c r="AM45" s="100"/>
      <c r="AN45" s="100"/>
      <c r="AO45" s="100"/>
      <c r="AP45" s="100"/>
      <c r="AQ45" s="100"/>
      <c r="AR45" s="100"/>
      <c r="AS45" s="100"/>
      <c r="AT45" s="100"/>
      <c r="AU45" s="100"/>
      <c r="AV45" s="100"/>
      <c r="AW45" s="100"/>
      <c r="AX45" s="100"/>
      <c r="AY45" s="100"/>
      <c r="AZ45" s="100"/>
      <c r="BA45" s="100"/>
      <c r="BB45" s="100"/>
      <c r="BC45" s="100"/>
      <c r="BD45" s="100"/>
      <c r="BE45" s="100"/>
      <c r="BF45" s="100"/>
    </row>
    <row r="46" spans="1:58" ht="14.25" customHeight="1">
      <c r="A46" s="312" t="s">
        <v>556</v>
      </c>
      <c r="B46" s="232">
        <v>12</v>
      </c>
      <c r="C46" s="383" t="s">
        <v>607</v>
      </c>
      <c r="D46" s="269" t="s">
        <v>281</v>
      </c>
      <c r="E46" s="261">
        <v>2</v>
      </c>
      <c r="F46" s="261">
        <v>2.2000000000000002</v>
      </c>
      <c r="G46" s="231" t="s">
        <v>419</v>
      </c>
      <c r="H46" s="323"/>
      <c r="I46" s="571"/>
      <c r="J46" s="696"/>
      <c r="K46" s="718"/>
      <c r="L46" s="16"/>
      <c r="M46" s="16"/>
      <c r="N46" s="16"/>
      <c r="O46" s="16"/>
      <c r="P46" s="16"/>
      <c r="Q46" s="16"/>
      <c r="R46" s="16"/>
      <c r="S46" s="16"/>
      <c r="T46" s="16"/>
      <c r="U46" s="16"/>
      <c r="V46" s="16"/>
      <c r="W46" s="16"/>
      <c r="X46" s="16"/>
      <c r="Y46" s="16"/>
      <c r="Z46" s="17"/>
      <c r="AA46" s="16"/>
      <c r="AB46" s="16"/>
    </row>
    <row r="47" spans="1:58" ht="14.25" customHeight="1">
      <c r="A47" s="231" t="s">
        <v>563</v>
      </c>
      <c r="B47" s="232">
        <v>12</v>
      </c>
      <c r="C47" s="383" t="s">
        <v>608</v>
      </c>
      <c r="D47" s="269" t="s">
        <v>281</v>
      </c>
      <c r="E47" s="261">
        <v>2</v>
      </c>
      <c r="F47" s="261">
        <v>2.2000000000000002</v>
      </c>
      <c r="G47" s="263" t="s">
        <v>471</v>
      </c>
      <c r="H47" s="323"/>
      <c r="I47" s="696"/>
      <c r="J47" s="696"/>
      <c r="K47" s="718"/>
      <c r="L47" s="16"/>
      <c r="M47" s="16"/>
      <c r="N47" s="16"/>
      <c r="O47" s="16"/>
      <c r="P47" s="16"/>
      <c r="Q47" s="16"/>
      <c r="R47" s="16"/>
      <c r="S47" s="16"/>
      <c r="T47" s="16"/>
      <c r="U47" s="16"/>
      <c r="V47" s="16"/>
      <c r="W47" s="16"/>
      <c r="X47" s="16"/>
      <c r="Y47" s="16"/>
      <c r="Z47" s="17"/>
      <c r="AA47" s="16"/>
      <c r="AB47" s="16"/>
    </row>
    <row r="48" spans="1:58" ht="15.75" customHeight="1">
      <c r="A48" s="323"/>
      <c r="B48" s="323"/>
      <c r="C48" s="323"/>
      <c r="D48" s="312"/>
      <c r="E48" s="328"/>
      <c r="F48" s="327"/>
      <c r="G48" s="329"/>
      <c r="H48" s="323"/>
      <c r="I48" s="696"/>
      <c r="J48" s="696"/>
      <c r="K48" s="718"/>
      <c r="L48" s="16"/>
      <c r="M48" s="16"/>
      <c r="N48" s="16"/>
      <c r="O48" s="16"/>
      <c r="P48" s="16"/>
      <c r="Q48" s="16"/>
      <c r="R48" s="16"/>
      <c r="S48" s="16"/>
      <c r="T48" s="16"/>
      <c r="U48" s="16"/>
      <c r="V48" s="16"/>
      <c r="W48" s="16"/>
      <c r="X48" s="16"/>
      <c r="Y48" s="16"/>
      <c r="Z48" s="16"/>
      <c r="AA48" s="16"/>
      <c r="AB48" s="16"/>
    </row>
    <row r="49" spans="1:30" ht="15.75" customHeight="1">
      <c r="A49" s="231"/>
      <c r="B49" s="232"/>
      <c r="C49" s="231"/>
      <c r="D49" s="269"/>
      <c r="E49" s="245"/>
      <c r="F49" s="261"/>
      <c r="G49" s="263"/>
      <c r="H49" s="231"/>
      <c r="I49" s="696"/>
      <c r="J49" s="696"/>
      <c r="K49" s="718"/>
      <c r="L49" s="16"/>
      <c r="M49" s="16"/>
      <c r="N49" s="16"/>
      <c r="O49" s="16"/>
      <c r="P49" s="16"/>
      <c r="Q49" s="16"/>
      <c r="R49" s="16"/>
      <c r="S49" s="16"/>
      <c r="T49" s="16"/>
      <c r="U49" s="16"/>
      <c r="V49" s="16"/>
      <c r="W49" s="16"/>
      <c r="X49" s="16"/>
      <c r="Y49" s="16"/>
      <c r="Z49" s="16"/>
      <c r="AA49" s="16"/>
      <c r="AB49" s="16"/>
    </row>
    <row r="50" spans="1:30" ht="15.75" customHeight="1">
      <c r="A50" s="231"/>
      <c r="B50" s="326"/>
      <c r="C50" s="245"/>
      <c r="D50" s="245"/>
      <c r="E50" s="261"/>
      <c r="F50" s="261"/>
      <c r="G50" s="263"/>
      <c r="H50" s="231"/>
      <c r="I50" s="719"/>
      <c r="J50" s="719"/>
      <c r="K50" s="720"/>
      <c r="L50" s="16"/>
      <c r="M50" s="16"/>
      <c r="N50" s="16"/>
      <c r="O50" s="16"/>
      <c r="P50" s="16"/>
      <c r="Q50" s="16"/>
      <c r="R50" s="16"/>
      <c r="S50" s="16"/>
      <c r="T50" s="16"/>
      <c r="U50" s="16"/>
      <c r="V50" s="16"/>
      <c r="W50" s="16"/>
      <c r="X50" s="16"/>
      <c r="Y50" s="16"/>
      <c r="Z50" s="16"/>
      <c r="AA50" s="16"/>
      <c r="AB50" s="16"/>
    </row>
    <row r="51" spans="1:30" ht="15.75" customHeight="1">
      <c r="A51" s="15"/>
      <c r="B51" s="16"/>
      <c r="C51" s="16"/>
      <c r="D51" s="16"/>
      <c r="E51" s="16"/>
      <c r="F51" s="16"/>
      <c r="G51" s="16"/>
      <c r="H51" s="16"/>
      <c r="I51" s="16"/>
      <c r="J51" s="16"/>
      <c r="K51" s="16"/>
      <c r="L51" s="16"/>
      <c r="M51" s="16"/>
      <c r="N51" s="16"/>
      <c r="O51" s="16"/>
      <c r="P51" s="16"/>
      <c r="Q51" s="16"/>
      <c r="R51" s="16"/>
      <c r="S51" s="16"/>
      <c r="T51" s="16"/>
      <c r="U51" s="16"/>
      <c r="V51" s="16"/>
      <c r="W51" s="16"/>
      <c r="X51" s="16"/>
      <c r="Y51" s="16"/>
      <c r="Z51" s="16"/>
      <c r="AA51" s="16"/>
      <c r="AB51" s="16"/>
      <c r="AC51" s="16"/>
      <c r="AD51" s="16"/>
    </row>
    <row r="52" spans="1:30" ht="15.75" customHeight="1">
      <c r="A52" s="15"/>
      <c r="B52" s="16"/>
      <c r="C52" s="16"/>
      <c r="D52" s="16"/>
      <c r="E52" s="16"/>
      <c r="F52" s="16"/>
      <c r="G52" s="16"/>
      <c r="H52" s="16"/>
      <c r="I52" s="16"/>
      <c r="J52" s="16"/>
      <c r="K52" s="16"/>
      <c r="L52" s="16"/>
      <c r="M52" s="16"/>
      <c r="N52" s="16"/>
      <c r="O52" s="16"/>
      <c r="P52" s="16"/>
      <c r="Q52" s="16"/>
      <c r="W52" s="16"/>
      <c r="X52" s="16"/>
      <c r="Y52" s="16"/>
      <c r="Z52" s="16"/>
      <c r="AA52" s="16"/>
      <c r="AB52" s="16"/>
      <c r="AC52" s="16"/>
      <c r="AD52" s="16"/>
    </row>
    <row r="53" spans="1:30" ht="15.75" customHeight="1">
      <c r="A53" s="186" t="s">
        <v>475</v>
      </c>
      <c r="B53" s="231"/>
      <c r="C53" s="231"/>
      <c r="D53" s="231"/>
      <c r="E53" s="231"/>
      <c r="F53" s="231"/>
      <c r="G53" s="231"/>
      <c r="H53" s="231"/>
      <c r="I53" s="231"/>
      <c r="J53" s="231"/>
      <c r="K53" s="16"/>
      <c r="L53" s="16"/>
      <c r="M53" s="16"/>
      <c r="N53" s="16"/>
      <c r="O53" s="16"/>
      <c r="P53" s="16"/>
      <c r="Q53" s="16"/>
      <c r="W53" s="16"/>
      <c r="X53" s="16"/>
      <c r="Y53" s="16"/>
      <c r="Z53" s="16"/>
      <c r="AA53" s="16"/>
      <c r="AB53" s="16"/>
      <c r="AC53" s="16"/>
      <c r="AD53" s="16"/>
    </row>
    <row r="54" spans="1:30" ht="15.75" customHeight="1">
      <c r="A54" s="230" t="s">
        <v>476</v>
      </c>
      <c r="B54" s="230" t="s">
        <v>477</v>
      </c>
      <c r="C54" s="230" t="s">
        <v>478</v>
      </c>
      <c r="D54" s="230" t="s">
        <v>479</v>
      </c>
      <c r="E54" s="230" t="s">
        <v>480</v>
      </c>
      <c r="F54" s="230" t="s">
        <v>481</v>
      </c>
      <c r="G54" s="230" t="s">
        <v>482</v>
      </c>
      <c r="H54" s="230" t="s">
        <v>453</v>
      </c>
      <c r="I54" s="230" t="s">
        <v>483</v>
      </c>
      <c r="J54" s="230" t="s">
        <v>484</v>
      </c>
      <c r="K54" s="721" t="s">
        <v>485</v>
      </c>
      <c r="L54" s="716"/>
      <c r="M54" s="722"/>
      <c r="N54" s="15"/>
      <c r="O54" s="16"/>
      <c r="P54" s="16"/>
      <c r="Q54" s="16"/>
      <c r="W54" s="16"/>
      <c r="X54" s="16"/>
      <c r="Y54" s="16"/>
      <c r="Z54" s="16"/>
      <c r="AA54" s="16"/>
      <c r="AB54" s="16"/>
    </row>
    <row r="55" spans="1:30" ht="15" customHeight="1">
      <c r="A55" s="319" t="s">
        <v>556</v>
      </c>
      <c r="B55" s="319" t="s">
        <v>278</v>
      </c>
      <c r="C55" s="245">
        <v>35</v>
      </c>
      <c r="D55" s="245">
        <v>2</v>
      </c>
      <c r="E55" s="326">
        <v>2.5</v>
      </c>
      <c r="F55" s="261">
        <f>E55*C55</f>
        <v>87.5</v>
      </c>
      <c r="G55" s="383" t="s">
        <v>607</v>
      </c>
      <c r="H55" s="319" t="s">
        <v>281</v>
      </c>
      <c r="I55" s="331"/>
      <c r="J55" s="231"/>
      <c r="K55" s="575"/>
      <c r="L55" s="696"/>
      <c r="M55" s="723"/>
      <c r="N55" s="16"/>
      <c r="O55" s="16"/>
      <c r="P55" s="16"/>
      <c r="Q55" s="16"/>
      <c r="W55" s="16"/>
      <c r="X55" s="16"/>
      <c r="Y55" s="16"/>
      <c r="Z55" s="16"/>
      <c r="AA55" s="16"/>
      <c r="AB55" s="16"/>
    </row>
    <row r="56" spans="1:30" ht="15.75" customHeight="1">
      <c r="A56" s="231" t="s">
        <v>609</v>
      </c>
      <c r="B56" s="319" t="s">
        <v>287</v>
      </c>
      <c r="C56" s="245">
        <v>35</v>
      </c>
      <c r="D56" s="245">
        <v>2</v>
      </c>
      <c r="E56" s="326">
        <v>0.8</v>
      </c>
      <c r="F56" s="261">
        <f t="shared" ref="F56:F67" si="2">E56*C56</f>
        <v>28</v>
      </c>
      <c r="G56" s="384" t="s">
        <v>328</v>
      </c>
      <c r="H56" s="319" t="s">
        <v>55</v>
      </c>
      <c r="I56" s="331"/>
      <c r="J56" s="231"/>
      <c r="K56" s="702"/>
      <c r="L56" s="696"/>
      <c r="M56" s="723"/>
      <c r="N56" s="16"/>
      <c r="O56" s="16"/>
      <c r="P56" s="16"/>
      <c r="Q56" s="16"/>
      <c r="W56" s="16"/>
      <c r="X56" s="16"/>
      <c r="Y56" s="16"/>
      <c r="Z56" s="16"/>
      <c r="AA56" s="16"/>
      <c r="AB56" s="16"/>
    </row>
    <row r="57" spans="1:30" ht="14.25" customHeight="1">
      <c r="A57" s="319" t="s">
        <v>558</v>
      </c>
      <c r="B57" s="319" t="s">
        <v>287</v>
      </c>
      <c r="C57" s="245">
        <v>35</v>
      </c>
      <c r="D57" s="245">
        <v>2</v>
      </c>
      <c r="E57" s="326">
        <v>2</v>
      </c>
      <c r="F57" s="261">
        <f t="shared" si="2"/>
        <v>70</v>
      </c>
      <c r="G57" s="319" t="s">
        <v>328</v>
      </c>
      <c r="H57" s="319" t="s">
        <v>55</v>
      </c>
      <c r="I57" s="331"/>
      <c r="J57" s="231"/>
      <c r="K57" s="702"/>
      <c r="L57" s="696"/>
      <c r="M57" s="723"/>
      <c r="N57" s="16"/>
      <c r="O57" s="16"/>
      <c r="P57" s="16"/>
      <c r="Q57" s="16"/>
      <c r="W57" s="16"/>
      <c r="X57" s="16"/>
      <c r="Y57" s="16"/>
      <c r="Z57" s="16"/>
      <c r="AA57" s="16"/>
      <c r="AB57" s="16"/>
    </row>
    <row r="58" spans="1:30" ht="15.75" customHeight="1">
      <c r="A58" s="319"/>
      <c r="B58" s="319"/>
      <c r="C58" s="245"/>
      <c r="D58" s="245"/>
      <c r="E58" s="326"/>
      <c r="F58" s="261"/>
      <c r="G58" s="383"/>
      <c r="H58" s="319"/>
      <c r="I58" s="331"/>
      <c r="J58" s="231"/>
      <c r="K58" s="702"/>
      <c r="L58" s="696"/>
      <c r="M58" s="723"/>
      <c r="N58" s="16"/>
      <c r="O58" s="16"/>
      <c r="P58" s="16"/>
      <c r="Q58" s="16"/>
      <c r="W58" s="16"/>
      <c r="X58" s="16"/>
      <c r="Y58" s="16"/>
      <c r="Z58" s="16"/>
      <c r="AA58" s="16"/>
      <c r="AB58" s="16"/>
    </row>
    <row r="59" spans="1:30" ht="15.75" customHeight="1">
      <c r="A59" s="319" t="s">
        <v>563</v>
      </c>
      <c r="B59" s="319" t="s">
        <v>278</v>
      </c>
      <c r="C59" s="245">
        <v>35</v>
      </c>
      <c r="D59" s="245">
        <v>2</v>
      </c>
      <c r="E59" s="326">
        <v>2.5</v>
      </c>
      <c r="F59" s="261">
        <f t="shared" si="2"/>
        <v>87.5</v>
      </c>
      <c r="G59" s="383" t="s">
        <v>608</v>
      </c>
      <c r="H59" s="319" t="s">
        <v>281</v>
      </c>
      <c r="I59" s="331"/>
      <c r="J59" s="231"/>
      <c r="K59" s="702"/>
      <c r="L59" s="696"/>
      <c r="M59" s="723"/>
      <c r="N59" s="16"/>
      <c r="O59" s="16"/>
      <c r="P59" s="16"/>
      <c r="Q59" s="16"/>
      <c r="W59" s="16"/>
      <c r="X59" s="16"/>
      <c r="Y59" s="16"/>
      <c r="Z59" s="16"/>
      <c r="AA59" s="16"/>
      <c r="AB59" s="16"/>
    </row>
    <row r="60" spans="1:30" ht="15.75" customHeight="1">
      <c r="A60" s="231" t="s">
        <v>610</v>
      </c>
      <c r="B60" s="319" t="s">
        <v>287</v>
      </c>
      <c r="C60" s="245">
        <v>35</v>
      </c>
      <c r="D60" s="245">
        <v>2</v>
      </c>
      <c r="E60" s="326">
        <v>0.8</v>
      </c>
      <c r="F60" s="261">
        <f t="shared" si="2"/>
        <v>28</v>
      </c>
      <c r="G60" s="319" t="s">
        <v>328</v>
      </c>
      <c r="H60" s="319" t="s">
        <v>55</v>
      </c>
      <c r="I60" s="331"/>
      <c r="J60" s="231"/>
      <c r="K60" s="702"/>
      <c r="L60" s="696"/>
      <c r="M60" s="723"/>
      <c r="N60" s="16"/>
      <c r="O60" s="16"/>
      <c r="P60" s="16"/>
      <c r="Q60" s="16"/>
      <c r="W60" s="16"/>
      <c r="X60" s="16"/>
      <c r="Y60" s="16"/>
      <c r="Z60" s="16"/>
      <c r="AA60" s="16"/>
      <c r="AB60" s="16"/>
    </row>
    <row r="61" spans="1:30" ht="15.75" customHeight="1">
      <c r="A61" s="319" t="s">
        <v>564</v>
      </c>
      <c r="B61" s="319" t="s">
        <v>287</v>
      </c>
      <c r="C61" s="245">
        <v>35</v>
      </c>
      <c r="D61" s="245">
        <v>2</v>
      </c>
      <c r="E61" s="326">
        <v>2</v>
      </c>
      <c r="F61" s="261">
        <f t="shared" si="2"/>
        <v>70</v>
      </c>
      <c r="G61" s="319" t="s">
        <v>328</v>
      </c>
      <c r="H61" s="319" t="s">
        <v>55</v>
      </c>
      <c r="I61" s="331"/>
      <c r="J61" s="231"/>
      <c r="K61" s="702"/>
      <c r="L61" s="696"/>
      <c r="M61" s="723"/>
      <c r="N61" s="16"/>
      <c r="O61" s="16"/>
      <c r="P61" s="16"/>
      <c r="Q61" s="16"/>
      <c r="W61" s="16"/>
      <c r="X61" s="16"/>
      <c r="Y61" s="16"/>
      <c r="Z61" s="16"/>
      <c r="AA61" s="16"/>
      <c r="AB61" s="16"/>
    </row>
    <row r="62" spans="1:30" ht="15.75" customHeight="1">
      <c r="A62" s="319"/>
      <c r="B62" s="319"/>
      <c r="C62" s="245"/>
      <c r="D62" s="245"/>
      <c r="E62" s="326"/>
      <c r="F62" s="261"/>
      <c r="G62" s="319"/>
      <c r="H62" s="319"/>
      <c r="I62" s="331"/>
      <c r="J62" s="231"/>
      <c r="K62" s="702"/>
      <c r="L62" s="696"/>
      <c r="M62" s="723"/>
      <c r="N62" s="16"/>
      <c r="O62" s="16"/>
      <c r="P62" s="16"/>
      <c r="Q62" s="16"/>
      <c r="W62" s="16"/>
      <c r="X62" s="16"/>
      <c r="Y62" s="16"/>
      <c r="Z62" s="16"/>
      <c r="AA62" s="16"/>
      <c r="AB62" s="16"/>
    </row>
    <row r="63" spans="1:30" ht="15.75" customHeight="1">
      <c r="A63" s="319" t="s">
        <v>604</v>
      </c>
      <c r="B63" s="319" t="s">
        <v>287</v>
      </c>
      <c r="C63" s="245">
        <v>5</v>
      </c>
      <c r="D63" s="245">
        <v>2</v>
      </c>
      <c r="E63" s="326">
        <v>3</v>
      </c>
      <c r="F63" s="261">
        <f t="shared" si="2"/>
        <v>15</v>
      </c>
      <c r="G63" s="319" t="s">
        <v>328</v>
      </c>
      <c r="H63" s="319" t="s">
        <v>55</v>
      </c>
      <c r="I63" s="331"/>
      <c r="J63" s="231"/>
      <c r="K63" s="702"/>
      <c r="L63" s="696"/>
      <c r="M63" s="723"/>
      <c r="N63" s="16"/>
      <c r="O63" s="16"/>
      <c r="P63" s="16"/>
      <c r="Q63" s="16"/>
      <c r="W63" s="16"/>
      <c r="X63" s="16"/>
      <c r="Y63" s="16"/>
      <c r="Z63" s="16"/>
      <c r="AA63" s="16"/>
      <c r="AB63" s="16"/>
    </row>
    <row r="64" spans="1:30" ht="15.75" customHeight="1">
      <c r="A64" s="231"/>
      <c r="B64" s="319"/>
      <c r="C64" s="245"/>
      <c r="D64" s="245"/>
      <c r="E64" s="326"/>
      <c r="F64" s="261"/>
      <c r="G64" s="231"/>
      <c r="H64" s="319"/>
      <c r="I64" s="331"/>
      <c r="J64" s="231"/>
      <c r="K64" s="702"/>
      <c r="L64" s="696"/>
      <c r="M64" s="723"/>
      <c r="N64" s="16"/>
      <c r="O64" s="16"/>
      <c r="P64" s="16"/>
      <c r="Q64" s="16"/>
      <c r="W64" s="16"/>
      <c r="X64" s="16"/>
      <c r="Y64" s="16"/>
      <c r="Z64" s="16"/>
      <c r="AA64" s="16"/>
      <c r="AB64" s="16"/>
    </row>
    <row r="65" spans="1:30" ht="15.75" customHeight="1">
      <c r="A65" s="231"/>
      <c r="B65" s="319"/>
      <c r="C65" s="245"/>
      <c r="D65" s="245"/>
      <c r="E65" s="326"/>
      <c r="F65" s="261"/>
      <c r="G65" s="231"/>
      <c r="H65" s="319"/>
      <c r="I65" s="331"/>
      <c r="J65" s="231"/>
      <c r="K65" s="702"/>
      <c r="L65" s="696"/>
      <c r="M65" s="723"/>
      <c r="N65" s="16"/>
      <c r="O65" s="16"/>
      <c r="P65" s="16"/>
      <c r="Q65" s="16"/>
      <c r="W65" s="16"/>
      <c r="X65" s="16"/>
      <c r="Y65" s="16"/>
      <c r="Z65" s="16"/>
      <c r="AA65" s="16"/>
      <c r="AB65" s="16"/>
    </row>
    <row r="66" spans="1:30" ht="15.75" customHeight="1">
      <c r="A66" s="231"/>
      <c r="B66" s="319"/>
      <c r="C66" s="232"/>
      <c r="D66" s="232"/>
      <c r="E66" s="261"/>
      <c r="F66" s="261"/>
      <c r="G66" s="383"/>
      <c r="H66" s="319"/>
      <c r="I66" s="331"/>
      <c r="J66" s="231"/>
      <c r="K66" s="702"/>
      <c r="L66" s="696"/>
      <c r="M66" s="723"/>
      <c r="N66" s="16"/>
      <c r="O66" s="16"/>
      <c r="P66" s="16"/>
      <c r="Q66" s="16"/>
      <c r="W66" s="16"/>
      <c r="X66" s="16"/>
      <c r="Y66" s="16"/>
      <c r="Z66" s="16"/>
      <c r="AA66" s="16"/>
      <c r="AB66" s="16"/>
    </row>
    <row r="67" spans="1:30" ht="15.75" customHeight="1">
      <c r="A67" s="231"/>
      <c r="B67" s="319"/>
      <c r="C67" s="245"/>
      <c r="D67" s="232"/>
      <c r="E67" s="261"/>
      <c r="F67" s="262">
        <f t="shared" si="2"/>
        <v>0</v>
      </c>
      <c r="G67" s="263"/>
      <c r="H67" s="263"/>
      <c r="I67" s="264"/>
      <c r="J67" s="231"/>
      <c r="K67" s="724"/>
      <c r="L67" s="724"/>
      <c r="M67" s="725"/>
      <c r="N67" s="16"/>
      <c r="O67" s="16"/>
      <c r="P67" s="16"/>
      <c r="Q67" s="16"/>
      <c r="W67" s="16"/>
      <c r="X67" s="16"/>
      <c r="Y67" s="16"/>
      <c r="Z67" s="16"/>
      <c r="AA67" s="16"/>
      <c r="AB67" s="16"/>
    </row>
    <row r="68" spans="1:30" ht="15.75" customHeight="1">
      <c r="A68" s="16"/>
      <c r="B68" s="16"/>
      <c r="C68" s="16"/>
      <c r="D68" s="16"/>
      <c r="E68" s="16"/>
      <c r="F68" s="16"/>
      <c r="G68" s="16"/>
      <c r="H68" s="16"/>
      <c r="I68" s="16"/>
      <c r="J68" s="16"/>
      <c r="K68" s="16"/>
      <c r="L68" s="16"/>
      <c r="M68" s="16"/>
      <c r="N68" s="16"/>
      <c r="O68" s="16"/>
      <c r="P68" s="16"/>
      <c r="Q68" s="16"/>
      <c r="W68" s="16"/>
      <c r="X68" s="16"/>
      <c r="Y68" s="16"/>
      <c r="Z68" s="16"/>
      <c r="AA68" s="16"/>
      <c r="AB68" s="16"/>
      <c r="AC68" s="16"/>
      <c r="AD68" s="16"/>
    </row>
    <row r="69" spans="1:30" ht="15.75" customHeight="1" thickBot="1">
      <c r="A69" s="186" t="s">
        <v>499</v>
      </c>
      <c r="B69" s="231"/>
      <c r="C69" s="231"/>
      <c r="D69" s="231"/>
      <c r="E69" s="231"/>
      <c r="F69" s="231"/>
      <c r="G69" s="231"/>
      <c r="H69" s="231"/>
      <c r="I69" s="231"/>
      <c r="J69" s="231"/>
      <c r="K69" s="123"/>
      <c r="L69" s="123"/>
      <c r="M69" s="16"/>
      <c r="N69" s="16"/>
      <c r="O69" s="16"/>
      <c r="P69" s="16"/>
      <c r="Q69" s="16"/>
      <c r="W69" s="16"/>
      <c r="X69" s="16"/>
      <c r="Y69" s="16"/>
      <c r="Z69" s="16"/>
      <c r="AA69" s="16"/>
      <c r="AB69" s="16"/>
      <c r="AC69" s="16"/>
      <c r="AD69" s="16"/>
    </row>
    <row r="70" spans="1:30" ht="15.75" customHeight="1" thickTop="1" thickBot="1">
      <c r="A70" s="230" t="s">
        <v>476</v>
      </c>
      <c r="B70" s="230" t="s">
        <v>500</v>
      </c>
      <c r="C70" s="230" t="s">
        <v>501</v>
      </c>
      <c r="D70" s="230" t="s">
        <v>502</v>
      </c>
      <c r="E70" s="230" t="s">
        <v>503</v>
      </c>
      <c r="F70" s="230" t="s">
        <v>504</v>
      </c>
      <c r="G70" s="230" t="s">
        <v>505</v>
      </c>
      <c r="H70" s="230" t="s">
        <v>506</v>
      </c>
      <c r="I70" s="230" t="s">
        <v>507</v>
      </c>
      <c r="J70" s="230" t="s">
        <v>508</v>
      </c>
      <c r="K70" s="561" t="s">
        <v>441</v>
      </c>
      <c r="L70" s="561"/>
      <c r="M70" s="561"/>
      <c r="N70" s="561"/>
      <c r="O70" s="570"/>
      <c r="P70" s="726" t="s">
        <v>434</v>
      </c>
      <c r="Q70" s="727"/>
      <c r="R70" s="16"/>
      <c r="S70" s="16"/>
      <c r="V70" s="16"/>
      <c r="W70" s="16"/>
      <c r="X70" s="16"/>
      <c r="Y70" s="16"/>
      <c r="Z70" s="16"/>
      <c r="AA70" s="16"/>
    </row>
    <row r="71" spans="1:30" ht="15.75" customHeight="1" thickTop="1">
      <c r="A71" s="319" t="s">
        <v>556</v>
      </c>
      <c r="B71" s="231" t="s">
        <v>243</v>
      </c>
      <c r="C71" s="232" t="s">
        <v>516</v>
      </c>
      <c r="D71" s="261">
        <v>1.5</v>
      </c>
      <c r="E71" s="245">
        <v>35</v>
      </c>
      <c r="F71" s="326">
        <f>D71*E71</f>
        <v>52.5</v>
      </c>
      <c r="G71" s="245">
        <v>2</v>
      </c>
      <c r="H71" s="332">
        <f>IF($B71= "","-",IF($B71= "External","Specify location tariff", INDEX(Constants!$3:$3,MATCH($B71,Constants!$2:$2,0))))</f>
        <v>67.5</v>
      </c>
      <c r="I71" s="333">
        <f t="shared" ref="I71:I82" si="3">IF($H71="-","-",IF($H71="Specify location tariff","-",$H71*$F71))</f>
        <v>3543.75</v>
      </c>
      <c r="J71" s="247"/>
      <c r="K71" s="562"/>
      <c r="L71" s="562"/>
      <c r="M71" s="562"/>
      <c r="N71" s="562"/>
      <c r="O71" s="562"/>
      <c r="P71" s="564" t="s">
        <v>511</v>
      </c>
      <c r="Q71" s="565"/>
      <c r="R71" s="16"/>
      <c r="S71" s="16"/>
      <c r="V71" s="16"/>
      <c r="W71" s="16"/>
      <c r="X71" s="16"/>
      <c r="Y71" s="16"/>
      <c r="Z71" s="16"/>
      <c r="AA71" s="16"/>
    </row>
    <row r="72" spans="1:30" ht="15.75" customHeight="1">
      <c r="A72" s="231" t="s">
        <v>563</v>
      </c>
      <c r="B72" s="231" t="s">
        <v>243</v>
      </c>
      <c r="C72" s="232" t="s">
        <v>512</v>
      </c>
      <c r="D72" s="261">
        <v>2</v>
      </c>
      <c r="E72" s="245">
        <v>35</v>
      </c>
      <c r="F72" s="326">
        <f t="shared" ref="F72:F75" si="4">D72*E72</f>
        <v>70</v>
      </c>
      <c r="G72" s="245">
        <v>1</v>
      </c>
      <c r="H72" s="332">
        <f>IF($B72= "","-",IF($B72= "External","Specify location tariff", INDEX(Constants!$3:$3,MATCH($B72,Constants!$2:$2,0))))</f>
        <v>67.5</v>
      </c>
      <c r="I72" s="333">
        <f t="shared" si="3"/>
        <v>4725</v>
      </c>
      <c r="J72" s="247"/>
      <c r="K72" s="562"/>
      <c r="L72" s="562"/>
      <c r="M72" s="562"/>
      <c r="N72" s="562"/>
      <c r="O72" s="562"/>
      <c r="P72" s="566"/>
      <c r="Q72" s="567"/>
      <c r="R72" s="16"/>
      <c r="S72" s="16"/>
      <c r="V72" s="16"/>
      <c r="W72" s="16"/>
      <c r="X72" s="16"/>
      <c r="Y72" s="16"/>
      <c r="Z72" s="16"/>
      <c r="AA72" s="16"/>
    </row>
    <row r="73" spans="1:30" ht="15.75" customHeight="1">
      <c r="A73" s="231" t="s">
        <v>611</v>
      </c>
      <c r="B73" s="231" t="s">
        <v>245</v>
      </c>
      <c r="C73" s="232" t="s">
        <v>612</v>
      </c>
      <c r="D73" s="261">
        <v>6</v>
      </c>
      <c r="E73" s="245">
        <v>10</v>
      </c>
      <c r="F73" s="326">
        <f t="shared" si="4"/>
        <v>60</v>
      </c>
      <c r="G73" s="245">
        <v>0</v>
      </c>
      <c r="H73" s="332">
        <f>IF($B73= "","-",IF($B73= "External","Specify location tariff", INDEX(Constants!$3:$3,MATCH($B73,Constants!$2:$2,0))))</f>
        <v>67.5</v>
      </c>
      <c r="I73" s="333">
        <f t="shared" si="3"/>
        <v>4050</v>
      </c>
      <c r="J73" s="247"/>
      <c r="K73" s="562"/>
      <c r="L73" s="562"/>
      <c r="M73" s="562"/>
      <c r="N73" s="562"/>
      <c r="O73" s="562"/>
      <c r="P73" s="566"/>
      <c r="Q73" s="567"/>
      <c r="R73" s="16"/>
      <c r="S73" s="16"/>
      <c r="V73" s="16"/>
      <c r="W73" s="16"/>
      <c r="X73" s="16"/>
      <c r="Y73" s="16"/>
      <c r="Z73" s="16"/>
      <c r="AA73" s="16"/>
    </row>
    <row r="74" spans="1:30" ht="15.75" customHeight="1">
      <c r="A74" s="231" t="s">
        <v>604</v>
      </c>
      <c r="B74" s="231" t="s">
        <v>260</v>
      </c>
      <c r="C74" s="232" t="s">
        <v>613</v>
      </c>
      <c r="D74" s="261">
        <v>3</v>
      </c>
      <c r="E74" s="245">
        <v>5</v>
      </c>
      <c r="F74" s="326">
        <f t="shared" si="4"/>
        <v>15</v>
      </c>
      <c r="G74" s="245">
        <v>5</v>
      </c>
      <c r="H74" s="332">
        <f>IF($B74= "","-",IF($B74= "External","Specify location tariff", INDEX(Constants!$3:$3,MATCH($B74,Constants!$2:$2,0))))</f>
        <v>75</v>
      </c>
      <c r="I74" s="333">
        <f t="shared" si="3"/>
        <v>1125</v>
      </c>
      <c r="J74" s="247"/>
      <c r="K74" s="562"/>
      <c r="L74" s="562"/>
      <c r="M74" s="562"/>
      <c r="N74" s="562"/>
      <c r="O74" s="562"/>
      <c r="P74" s="566"/>
      <c r="Q74" s="567"/>
      <c r="R74" s="16"/>
      <c r="S74" s="16"/>
      <c r="V74" s="16"/>
      <c r="W74" s="16"/>
      <c r="X74" s="16"/>
      <c r="Y74" s="16"/>
      <c r="Z74" s="16"/>
      <c r="AA74" s="16"/>
    </row>
    <row r="75" spans="1:30" ht="15.75" customHeight="1">
      <c r="A75" s="231" t="s">
        <v>604</v>
      </c>
      <c r="B75" s="231" t="s">
        <v>260</v>
      </c>
      <c r="C75" s="232" t="s">
        <v>516</v>
      </c>
      <c r="D75" s="261">
        <v>1.5</v>
      </c>
      <c r="E75" s="245">
        <v>4</v>
      </c>
      <c r="F75" s="326">
        <f t="shared" si="4"/>
        <v>6</v>
      </c>
      <c r="G75" s="245">
        <v>5</v>
      </c>
      <c r="H75" s="332">
        <f>IF($B75= "","-",IF($B75= "External","Specify location tariff", INDEX(Constants!$3:$3,MATCH($B75,Constants!$2:$2,0))))</f>
        <v>75</v>
      </c>
      <c r="I75" s="333">
        <f t="shared" si="3"/>
        <v>450</v>
      </c>
      <c r="J75" s="247"/>
      <c r="K75" s="562"/>
      <c r="L75" s="562"/>
      <c r="M75" s="562"/>
      <c r="N75" s="562"/>
      <c r="O75" s="562"/>
      <c r="P75" s="566"/>
      <c r="Q75" s="567"/>
      <c r="R75" s="16"/>
      <c r="S75" s="16"/>
      <c r="V75" s="16"/>
      <c r="W75" s="16"/>
      <c r="X75" s="16"/>
      <c r="Y75" s="16"/>
      <c r="Z75" s="16"/>
      <c r="AA75" s="16"/>
    </row>
    <row r="76" spans="1:30" ht="15.75" customHeight="1">
      <c r="A76" s="231"/>
      <c r="B76" s="231"/>
      <c r="C76" s="232"/>
      <c r="D76" s="261"/>
      <c r="E76" s="245"/>
      <c r="F76" s="326"/>
      <c r="G76" s="245"/>
      <c r="H76" s="332"/>
      <c r="I76" s="333">
        <f t="shared" si="3"/>
        <v>0</v>
      </c>
      <c r="J76" s="247"/>
      <c r="K76" s="562"/>
      <c r="L76" s="562"/>
      <c r="M76" s="562"/>
      <c r="N76" s="562"/>
      <c r="O76" s="562"/>
      <c r="P76" s="566"/>
      <c r="Q76" s="567"/>
      <c r="R76" s="16"/>
      <c r="S76" s="16"/>
      <c r="V76" s="16"/>
      <c r="W76" s="16"/>
      <c r="X76" s="16"/>
      <c r="Y76" s="16"/>
      <c r="Z76" s="16"/>
      <c r="AA76" s="16"/>
    </row>
    <row r="77" spans="1:30" ht="15.75" customHeight="1">
      <c r="A77" s="231"/>
      <c r="B77" s="231"/>
      <c r="C77" s="232"/>
      <c r="D77" s="261"/>
      <c r="E77" s="245"/>
      <c r="F77" s="326"/>
      <c r="G77" s="245"/>
      <c r="H77" s="332"/>
      <c r="I77" s="333">
        <f t="shared" si="3"/>
        <v>0</v>
      </c>
      <c r="J77" s="247"/>
      <c r="K77" s="562"/>
      <c r="L77" s="562"/>
      <c r="M77" s="562"/>
      <c r="N77" s="562"/>
      <c r="O77" s="562"/>
      <c r="P77" s="566"/>
      <c r="Q77" s="567"/>
      <c r="R77" s="16"/>
      <c r="S77" s="16"/>
      <c r="V77" s="16"/>
      <c r="W77" s="16"/>
      <c r="X77" s="16"/>
      <c r="Y77" s="16"/>
      <c r="Z77" s="16"/>
      <c r="AA77" s="16"/>
    </row>
    <row r="78" spans="1:30" ht="15.75" customHeight="1">
      <c r="A78" s="231"/>
      <c r="B78" s="231"/>
      <c r="C78" s="232"/>
      <c r="D78" s="261"/>
      <c r="E78" s="245"/>
      <c r="F78" s="326"/>
      <c r="G78" s="245"/>
      <c r="H78" s="332"/>
      <c r="I78" s="333">
        <f t="shared" si="3"/>
        <v>0</v>
      </c>
      <c r="J78" s="247"/>
      <c r="K78" s="562"/>
      <c r="L78" s="562"/>
      <c r="M78" s="562"/>
      <c r="N78" s="562"/>
      <c r="O78" s="562"/>
      <c r="P78" s="566"/>
      <c r="Q78" s="567"/>
      <c r="R78" s="16"/>
      <c r="S78" s="16"/>
      <c r="V78" s="16"/>
      <c r="W78" s="16"/>
      <c r="X78" s="16"/>
      <c r="Y78" s="16"/>
      <c r="Z78" s="16"/>
      <c r="AA78" s="16"/>
    </row>
    <row r="79" spans="1:30" ht="15.75" customHeight="1">
      <c r="A79" s="231"/>
      <c r="B79" s="231"/>
      <c r="C79" s="232"/>
      <c r="D79" s="261"/>
      <c r="E79" s="245"/>
      <c r="F79" s="326"/>
      <c r="G79" s="245"/>
      <c r="H79" s="332"/>
      <c r="I79" s="333">
        <f t="shared" si="3"/>
        <v>0</v>
      </c>
      <c r="J79" s="247"/>
      <c r="K79" s="562"/>
      <c r="L79" s="562"/>
      <c r="M79" s="562"/>
      <c r="N79" s="562"/>
      <c r="O79" s="562"/>
      <c r="P79" s="566"/>
      <c r="Q79" s="567"/>
      <c r="R79" s="16"/>
      <c r="S79" s="16"/>
      <c r="V79" s="16"/>
      <c r="W79" s="16"/>
      <c r="X79" s="16"/>
      <c r="Y79" s="16"/>
      <c r="Z79" s="16"/>
      <c r="AA79" s="16"/>
    </row>
    <row r="80" spans="1:30" ht="15.75" customHeight="1">
      <c r="A80" s="231"/>
      <c r="B80" s="231"/>
      <c r="C80" s="232"/>
      <c r="D80" s="261"/>
      <c r="E80" s="245"/>
      <c r="F80" s="326"/>
      <c r="G80" s="245"/>
      <c r="H80" s="332"/>
      <c r="I80" s="333">
        <f t="shared" si="3"/>
        <v>0</v>
      </c>
      <c r="J80" s="247"/>
      <c r="K80" s="562"/>
      <c r="L80" s="562"/>
      <c r="M80" s="562"/>
      <c r="N80" s="562"/>
      <c r="O80" s="562"/>
      <c r="P80" s="566"/>
      <c r="Q80" s="567"/>
      <c r="R80" s="16"/>
      <c r="S80" s="16"/>
      <c r="V80" s="16"/>
      <c r="W80" s="16"/>
      <c r="X80" s="16"/>
      <c r="Y80" s="16"/>
      <c r="Z80" s="16"/>
      <c r="AA80" s="16"/>
    </row>
    <row r="81" spans="1:30" ht="15.75" customHeight="1">
      <c r="A81" s="231"/>
      <c r="B81" s="231"/>
      <c r="C81" s="232"/>
      <c r="D81" s="261"/>
      <c r="E81" s="245"/>
      <c r="F81" s="326"/>
      <c r="G81" s="245"/>
      <c r="H81" s="332"/>
      <c r="I81" s="333">
        <f t="shared" si="3"/>
        <v>0</v>
      </c>
      <c r="J81" s="247"/>
      <c r="K81" s="562"/>
      <c r="L81" s="562"/>
      <c r="M81" s="562"/>
      <c r="N81" s="562"/>
      <c r="O81" s="562"/>
      <c r="P81" s="566"/>
      <c r="Q81" s="567"/>
      <c r="R81" s="16"/>
      <c r="S81" s="16"/>
      <c r="V81" s="16"/>
      <c r="W81" s="16"/>
      <c r="X81" s="16"/>
      <c r="Y81" s="16"/>
      <c r="Z81" s="16"/>
      <c r="AA81" s="16"/>
    </row>
    <row r="82" spans="1:30" ht="15.75" customHeight="1" thickBot="1">
      <c r="A82" s="231"/>
      <c r="B82" s="231"/>
      <c r="C82" s="232"/>
      <c r="D82" s="261"/>
      <c r="E82" s="245"/>
      <c r="F82" s="326"/>
      <c r="G82" s="245"/>
      <c r="H82" s="332"/>
      <c r="I82" s="333">
        <f t="shared" si="3"/>
        <v>0</v>
      </c>
      <c r="J82" s="247"/>
      <c r="K82" s="563"/>
      <c r="L82" s="563"/>
      <c r="M82" s="563"/>
      <c r="N82" s="563"/>
      <c r="O82" s="563"/>
      <c r="P82" s="568"/>
      <c r="Q82" s="569"/>
      <c r="R82" s="16"/>
      <c r="S82" s="16"/>
      <c r="V82" s="16"/>
      <c r="W82" s="16"/>
      <c r="X82" s="16"/>
      <c r="Y82" s="16"/>
      <c r="Z82" s="16"/>
      <c r="AA82" s="16"/>
    </row>
    <row r="83" spans="1:30" ht="15.75" customHeight="1" thickTop="1">
      <c r="A83" s="15"/>
      <c r="B83" s="16"/>
      <c r="C83" s="16"/>
      <c r="D83" s="16"/>
      <c r="E83" s="16"/>
      <c r="F83" s="16"/>
      <c r="G83" s="16"/>
      <c r="H83" s="16"/>
      <c r="I83" s="16"/>
      <c r="J83" s="16"/>
      <c r="K83" s="16"/>
      <c r="L83" s="16"/>
      <c r="M83" s="16"/>
      <c r="N83" s="16"/>
      <c r="O83" s="16">
        <v>0</v>
      </c>
      <c r="P83" s="16"/>
      <c r="Q83" s="16"/>
      <c r="R83" s="16"/>
      <c r="S83" s="16"/>
      <c r="T83" s="16"/>
      <c r="U83" s="16"/>
      <c r="V83" s="16"/>
      <c r="W83" s="16"/>
      <c r="X83" s="16"/>
      <c r="Y83" s="16"/>
      <c r="Z83" s="16"/>
      <c r="AA83" s="16"/>
      <c r="AB83" s="16"/>
      <c r="AC83" s="16"/>
      <c r="AD83" s="16"/>
    </row>
    <row r="84" spans="1:30" ht="15.75" customHeight="1">
      <c r="A84" s="15"/>
      <c r="B84" s="16"/>
      <c r="C84" s="16"/>
      <c r="D84" s="16"/>
      <c r="E84" s="16"/>
      <c r="F84" s="16"/>
      <c r="G84" s="16"/>
      <c r="H84" s="16"/>
      <c r="I84" s="16"/>
      <c r="J84" s="16"/>
      <c r="K84" s="16"/>
      <c r="L84" s="16"/>
      <c r="M84" s="16"/>
      <c r="N84" s="16"/>
      <c r="O84" s="16"/>
      <c r="P84" s="16"/>
      <c r="Q84" s="16"/>
      <c r="R84" s="16"/>
      <c r="S84" s="16"/>
      <c r="T84" s="16"/>
      <c r="U84" s="16"/>
      <c r="V84" s="16"/>
      <c r="W84" s="16"/>
      <c r="X84" s="16"/>
      <c r="Y84" s="16"/>
      <c r="Z84" s="16"/>
      <c r="AA84" s="16"/>
      <c r="AB84" s="16"/>
      <c r="AC84" s="16"/>
      <c r="AD84" s="16"/>
    </row>
    <row r="85" spans="1:30" ht="15.75" customHeight="1" thickBot="1">
      <c r="A85" s="186" t="s">
        <v>519</v>
      </c>
      <c r="B85" s="16"/>
      <c r="C85" s="128"/>
      <c r="D85" s="51"/>
      <c r="E85" s="51"/>
      <c r="F85" s="51"/>
      <c r="G85" s="51"/>
      <c r="H85" s="51"/>
      <c r="I85" s="51"/>
      <c r="J85" s="51"/>
      <c r="K85" s="51"/>
      <c r="L85" s="232"/>
      <c r="M85" s="231"/>
      <c r="N85" s="16"/>
      <c r="O85" s="16"/>
      <c r="P85" s="16"/>
      <c r="Q85" s="16"/>
      <c r="R85" s="16"/>
      <c r="S85" s="16"/>
      <c r="T85" s="16"/>
      <c r="U85" s="16"/>
      <c r="V85" s="16"/>
      <c r="W85" s="16"/>
      <c r="X85" s="16"/>
      <c r="Y85" s="16"/>
      <c r="Z85" s="16"/>
      <c r="AA85" s="16"/>
      <c r="AB85" s="16"/>
      <c r="AC85" s="16"/>
      <c r="AD85" s="16"/>
    </row>
    <row r="86" spans="1:30" ht="15" customHeight="1" thickTop="1" thickBot="1">
      <c r="A86" s="230" t="s">
        <v>438</v>
      </c>
      <c r="B86" s="230" t="s">
        <v>439</v>
      </c>
      <c r="C86" s="230" t="s">
        <v>520</v>
      </c>
      <c r="D86" s="230" t="s">
        <v>521</v>
      </c>
      <c r="E86" s="230" t="s">
        <v>522</v>
      </c>
      <c r="F86" s="230" t="s">
        <v>523</v>
      </c>
      <c r="G86" s="230" t="s">
        <v>508</v>
      </c>
      <c r="H86" s="721" t="s">
        <v>441</v>
      </c>
      <c r="I86" s="728"/>
      <c r="J86" s="729" t="s">
        <v>434</v>
      </c>
      <c r="K86" s="730"/>
      <c r="L86" s="16"/>
      <c r="M86" s="16"/>
      <c r="N86" s="16"/>
      <c r="O86" s="16"/>
      <c r="P86" s="117"/>
      <c r="Q86" s="15"/>
      <c r="R86" s="16"/>
      <c r="S86" s="130"/>
      <c r="T86" s="16"/>
      <c r="U86" s="16"/>
      <c r="V86" s="16"/>
      <c r="W86" s="241"/>
      <c r="X86" s="16"/>
      <c r="Y86" s="16"/>
      <c r="Z86" s="16"/>
      <c r="AA86" s="16"/>
      <c r="AB86" s="16"/>
    </row>
    <row r="87" spans="1:30" ht="14.25" customHeight="1">
      <c r="A87" s="244" t="s">
        <v>614</v>
      </c>
      <c r="B87" s="244" t="s">
        <v>528</v>
      </c>
      <c r="C87" s="339">
        <v>200</v>
      </c>
      <c r="D87" s="385">
        <v>45353</v>
      </c>
      <c r="E87" s="338">
        <v>10</v>
      </c>
      <c r="F87" s="372">
        <v>80</v>
      </c>
      <c r="G87" s="247"/>
      <c r="H87" s="558"/>
      <c r="I87" s="696"/>
      <c r="J87" s="559" t="s">
        <v>526</v>
      </c>
      <c r="K87" s="730"/>
      <c r="L87" s="16"/>
      <c r="M87" s="16"/>
      <c r="N87" s="16"/>
      <c r="O87" s="16"/>
      <c r="P87" s="16"/>
      <c r="Q87" s="133"/>
      <c r="R87" s="16"/>
      <c r="S87" s="16"/>
      <c r="T87" s="16"/>
      <c r="U87" s="16"/>
      <c r="V87" s="16"/>
      <c r="W87" s="16"/>
      <c r="X87" s="16"/>
      <c r="Y87" s="16"/>
      <c r="Z87" s="16"/>
      <c r="AA87" s="16"/>
      <c r="AB87" s="16"/>
    </row>
    <row r="88" spans="1:30" ht="15.75" customHeight="1">
      <c r="A88" s="244" t="s">
        <v>615</v>
      </c>
      <c r="B88" s="244" t="s">
        <v>528</v>
      </c>
      <c r="C88" s="339">
        <v>200</v>
      </c>
      <c r="D88" s="385">
        <v>45353</v>
      </c>
      <c r="E88" s="338">
        <v>10</v>
      </c>
      <c r="F88" s="372">
        <v>80</v>
      </c>
      <c r="G88" s="247"/>
      <c r="H88" s="696"/>
      <c r="I88" s="696"/>
      <c r="J88" s="731"/>
      <c r="K88" s="732"/>
      <c r="L88" s="16"/>
      <c r="M88" s="16"/>
      <c r="N88" s="16"/>
      <c r="O88" s="16"/>
      <c r="P88" s="16"/>
      <c r="Q88" s="16"/>
      <c r="R88" s="16"/>
      <c r="S88" s="16"/>
      <c r="T88" s="16"/>
      <c r="U88" s="16"/>
      <c r="V88" s="16"/>
      <c r="W88" s="16"/>
      <c r="X88" s="16"/>
      <c r="Y88" s="16"/>
      <c r="Z88" s="16"/>
      <c r="AA88" s="16"/>
      <c r="AB88" s="16"/>
    </row>
    <row r="89" spans="1:30" ht="15.75" customHeight="1">
      <c r="A89" s="231"/>
      <c r="B89" s="248"/>
      <c r="C89" s="246">
        <v>0</v>
      </c>
      <c r="D89" s="247"/>
      <c r="E89" s="245"/>
      <c r="F89" s="246">
        <v>0</v>
      </c>
      <c r="G89" s="247"/>
      <c r="H89" s="696"/>
      <c r="I89" s="696"/>
      <c r="J89" s="731"/>
      <c r="K89" s="732"/>
      <c r="L89" s="16"/>
      <c r="M89" s="16"/>
      <c r="N89" s="16"/>
      <c r="O89" s="16"/>
      <c r="P89" s="16"/>
      <c r="Q89" s="16"/>
      <c r="R89" s="16"/>
      <c r="S89" s="16"/>
      <c r="T89" s="16"/>
      <c r="U89" s="16"/>
      <c r="V89" s="16"/>
      <c r="W89" s="16"/>
      <c r="X89" s="16"/>
      <c r="Y89" s="16"/>
      <c r="Z89" s="16"/>
      <c r="AA89" s="16"/>
      <c r="AB89" s="16"/>
    </row>
    <row r="90" spans="1:30" ht="15.75" customHeight="1">
      <c r="A90" s="231"/>
      <c r="B90" s="248"/>
      <c r="C90" s="246">
        <v>0</v>
      </c>
      <c r="D90" s="247"/>
      <c r="E90" s="245"/>
      <c r="F90" s="246">
        <v>0</v>
      </c>
      <c r="G90" s="247"/>
      <c r="H90" s="696"/>
      <c r="I90" s="696"/>
      <c r="J90" s="731"/>
      <c r="K90" s="732"/>
      <c r="L90" s="16"/>
      <c r="M90" s="16"/>
      <c r="N90" s="16"/>
      <c r="O90" s="16"/>
      <c r="P90" s="16"/>
      <c r="Q90" s="16"/>
      <c r="R90" s="16"/>
      <c r="S90" s="16"/>
      <c r="T90" s="16"/>
      <c r="U90" s="16"/>
      <c r="V90" s="16"/>
      <c r="W90" s="16"/>
      <c r="X90" s="16"/>
      <c r="Y90" s="16"/>
      <c r="Z90" s="16"/>
      <c r="AA90" s="16"/>
      <c r="AB90" s="16"/>
    </row>
    <row r="91" spans="1:30" ht="15.75" customHeight="1">
      <c r="A91" s="231"/>
      <c r="B91" s="248"/>
      <c r="C91" s="246">
        <v>0</v>
      </c>
      <c r="D91" s="247"/>
      <c r="E91" s="245"/>
      <c r="F91" s="246">
        <v>0</v>
      </c>
      <c r="G91" s="247"/>
      <c r="H91" s="696"/>
      <c r="I91" s="696"/>
      <c r="J91" s="731"/>
      <c r="K91" s="732"/>
      <c r="L91" s="16"/>
      <c r="M91" s="16"/>
      <c r="N91" s="16"/>
      <c r="O91" s="16"/>
      <c r="P91" s="16"/>
      <c r="Q91" s="16"/>
      <c r="R91" s="16"/>
      <c r="S91" s="16"/>
      <c r="T91" s="16"/>
      <c r="U91" s="16"/>
      <c r="V91" s="16"/>
      <c r="W91" s="16"/>
      <c r="X91" s="16"/>
      <c r="Y91" s="16"/>
      <c r="Z91" s="16"/>
      <c r="AA91" s="16"/>
      <c r="AB91" s="16"/>
    </row>
    <row r="92" spans="1:30" ht="15.75" customHeight="1">
      <c r="A92" s="231"/>
      <c r="B92" s="248"/>
      <c r="C92" s="246">
        <v>0</v>
      </c>
      <c r="D92" s="247"/>
      <c r="E92" s="245"/>
      <c r="F92" s="246">
        <v>0</v>
      </c>
      <c r="G92" s="247"/>
      <c r="H92" s="696"/>
      <c r="I92" s="696"/>
      <c r="J92" s="731"/>
      <c r="K92" s="732"/>
      <c r="L92" s="16"/>
      <c r="M92" s="16"/>
      <c r="N92" s="16"/>
      <c r="O92" s="16"/>
      <c r="P92" s="16"/>
      <c r="Q92" s="16"/>
      <c r="R92" s="16"/>
      <c r="S92" s="16"/>
      <c r="T92" s="16"/>
      <c r="U92" s="16"/>
      <c r="V92" s="16"/>
      <c r="W92" s="16"/>
      <c r="X92" s="16"/>
      <c r="Y92" s="16"/>
      <c r="Z92" s="16"/>
      <c r="AA92" s="16"/>
      <c r="AB92" s="16"/>
    </row>
    <row r="93" spans="1:30" ht="15.75" customHeight="1">
      <c r="A93" s="231"/>
      <c r="B93" s="244"/>
      <c r="C93" s="246">
        <v>0</v>
      </c>
      <c r="D93" s="247"/>
      <c r="E93" s="245"/>
      <c r="F93" s="246">
        <v>0</v>
      </c>
      <c r="G93" s="247"/>
      <c r="H93" s="696"/>
      <c r="I93" s="696"/>
      <c r="J93" s="731"/>
      <c r="K93" s="732"/>
      <c r="L93" s="16"/>
      <c r="M93" s="16"/>
      <c r="N93" s="16"/>
      <c r="O93" s="16"/>
      <c r="P93" s="16"/>
      <c r="Q93" s="16"/>
      <c r="R93" s="16"/>
      <c r="S93" s="16"/>
      <c r="T93" s="16"/>
      <c r="U93" s="16"/>
      <c r="V93" s="16"/>
      <c r="W93" s="16"/>
      <c r="X93" s="16"/>
      <c r="Y93" s="16"/>
      <c r="Z93" s="16"/>
      <c r="AA93" s="16"/>
      <c r="AB93" s="16"/>
    </row>
    <row r="94" spans="1:30" ht="15.75" customHeight="1">
      <c r="A94" s="231"/>
      <c r="B94" s="244"/>
      <c r="C94" s="246">
        <v>0</v>
      </c>
      <c r="D94" s="247"/>
      <c r="E94" s="245"/>
      <c r="F94" s="246">
        <v>0</v>
      </c>
      <c r="G94" s="247"/>
      <c r="H94" s="696"/>
      <c r="I94" s="696"/>
      <c r="J94" s="731"/>
      <c r="K94" s="732"/>
      <c r="L94" s="16"/>
      <c r="M94" s="16"/>
      <c r="N94" s="16"/>
      <c r="O94" s="16"/>
      <c r="P94" s="16"/>
      <c r="Q94" s="16"/>
      <c r="R94" s="16"/>
      <c r="S94" s="16"/>
      <c r="T94" s="16"/>
      <c r="U94" s="16"/>
      <c r="V94" s="16"/>
      <c r="W94" s="16"/>
      <c r="X94" s="16"/>
      <c r="Y94" s="16"/>
      <c r="Z94" s="16"/>
      <c r="AA94" s="16"/>
      <c r="AB94" s="16"/>
    </row>
    <row r="95" spans="1:30" ht="15.75" customHeight="1">
      <c r="A95" s="231"/>
      <c r="B95" s="244"/>
      <c r="C95" s="246">
        <v>0</v>
      </c>
      <c r="D95" s="247"/>
      <c r="E95" s="245"/>
      <c r="F95" s="246">
        <v>0</v>
      </c>
      <c r="G95" s="247"/>
      <c r="H95" s="696"/>
      <c r="I95" s="696"/>
      <c r="J95" s="731"/>
      <c r="K95" s="732"/>
      <c r="L95" s="16"/>
      <c r="M95" s="16"/>
      <c r="N95" s="16"/>
      <c r="O95" s="16"/>
      <c r="P95" s="16"/>
      <c r="Q95" s="16"/>
      <c r="R95" s="16"/>
      <c r="S95" s="16"/>
      <c r="T95" s="16"/>
      <c r="U95" s="16"/>
      <c r="V95" s="16"/>
      <c r="W95" s="16"/>
      <c r="X95" s="16"/>
      <c r="Y95" s="16"/>
      <c r="Z95" s="16"/>
      <c r="AA95" s="16"/>
      <c r="AB95" s="16"/>
    </row>
    <row r="96" spans="1:30" ht="15.75" customHeight="1">
      <c r="A96" s="231"/>
      <c r="B96" s="244"/>
      <c r="C96" s="246">
        <v>0</v>
      </c>
      <c r="D96" s="247"/>
      <c r="E96" s="245"/>
      <c r="F96" s="246">
        <v>0</v>
      </c>
      <c r="G96" s="247"/>
      <c r="H96" s="696"/>
      <c r="I96" s="696"/>
      <c r="J96" s="731"/>
      <c r="K96" s="732"/>
      <c r="L96" s="16"/>
      <c r="M96" s="16"/>
      <c r="N96" s="16"/>
      <c r="O96" s="16"/>
      <c r="P96" s="16"/>
      <c r="Q96" s="16"/>
      <c r="R96" s="16"/>
      <c r="S96" s="16"/>
      <c r="T96" s="16"/>
      <c r="U96" s="16"/>
      <c r="V96" s="16"/>
      <c r="W96" s="16"/>
      <c r="X96" s="16"/>
      <c r="Y96" s="16"/>
      <c r="Z96" s="16"/>
      <c r="AA96" s="16"/>
      <c r="AB96" s="16"/>
    </row>
    <row r="97" spans="1:30" ht="15.75" customHeight="1">
      <c r="A97" s="231"/>
      <c r="B97" s="244"/>
      <c r="C97" s="246">
        <v>0</v>
      </c>
      <c r="D97" s="247"/>
      <c r="E97" s="245"/>
      <c r="F97" s="246">
        <v>0</v>
      </c>
      <c r="G97" s="247"/>
      <c r="H97" s="696"/>
      <c r="I97" s="696"/>
      <c r="J97" s="731"/>
      <c r="K97" s="732"/>
      <c r="L97" s="16"/>
      <c r="M97" s="16"/>
      <c r="N97" s="16"/>
      <c r="O97" s="16"/>
      <c r="P97" s="16"/>
      <c r="Q97" s="16"/>
      <c r="R97" s="16"/>
      <c r="S97" s="16"/>
      <c r="T97" s="16"/>
      <c r="U97" s="16"/>
      <c r="V97" s="16"/>
      <c r="W97" s="16"/>
      <c r="X97" s="16"/>
      <c r="Y97" s="16"/>
      <c r="Z97" s="16"/>
      <c r="AA97" s="16"/>
      <c r="AB97" s="16"/>
    </row>
    <row r="98" spans="1:30" ht="15.75" customHeight="1">
      <c r="A98" s="231"/>
      <c r="B98" s="244"/>
      <c r="C98" s="246">
        <v>0</v>
      </c>
      <c r="D98" s="247"/>
      <c r="E98" s="245"/>
      <c r="F98" s="246">
        <v>0</v>
      </c>
      <c r="G98" s="247"/>
      <c r="H98" s="696"/>
      <c r="I98" s="696"/>
      <c r="J98" s="731"/>
      <c r="K98" s="732"/>
      <c r="L98" s="16"/>
      <c r="M98" s="16"/>
      <c r="N98" s="16"/>
      <c r="O98" s="16"/>
      <c r="P98" s="16"/>
      <c r="Q98" s="16"/>
      <c r="R98" s="16"/>
      <c r="S98" s="16"/>
      <c r="T98" s="16"/>
      <c r="U98" s="16"/>
      <c r="V98" s="16"/>
      <c r="W98" s="16"/>
      <c r="X98" s="16"/>
      <c r="Y98" s="16"/>
      <c r="Z98" s="16"/>
      <c r="AA98" s="16"/>
      <c r="AB98" s="16"/>
    </row>
    <row r="99" spans="1:30" ht="15.75" customHeight="1">
      <c r="A99" s="231"/>
      <c r="B99" s="244"/>
      <c r="C99" s="246">
        <v>0</v>
      </c>
      <c r="D99" s="247"/>
      <c r="E99" s="245"/>
      <c r="F99" s="246">
        <v>0</v>
      </c>
      <c r="G99" s="247"/>
      <c r="H99" s="696"/>
      <c r="I99" s="696"/>
      <c r="J99" s="731"/>
      <c r="K99" s="732"/>
      <c r="L99" s="16"/>
      <c r="M99" s="16"/>
      <c r="N99" s="16"/>
      <c r="O99" s="16"/>
      <c r="P99" s="16"/>
      <c r="Q99" s="16"/>
      <c r="R99" s="16"/>
      <c r="S99" s="16"/>
      <c r="T99" s="16"/>
      <c r="U99" s="16"/>
      <c r="V99" s="16"/>
      <c r="W99" s="16"/>
      <c r="X99" s="16"/>
      <c r="Y99" s="16"/>
      <c r="Z99" s="16"/>
      <c r="AA99" s="16"/>
      <c r="AB99" s="16"/>
    </row>
    <row r="100" spans="1:30" ht="15.75" customHeight="1">
      <c r="A100" s="231"/>
      <c r="B100" s="244"/>
      <c r="C100" s="246">
        <v>0</v>
      </c>
      <c r="D100" s="247"/>
      <c r="E100" s="245"/>
      <c r="F100" s="246">
        <v>0</v>
      </c>
      <c r="G100" s="247"/>
      <c r="H100" s="724"/>
      <c r="I100" s="724"/>
      <c r="J100" s="733"/>
      <c r="K100" s="734"/>
      <c r="L100" s="16"/>
      <c r="M100" s="16"/>
      <c r="N100" s="16"/>
      <c r="O100" s="16"/>
      <c r="P100" s="16"/>
      <c r="Q100" s="16"/>
      <c r="R100" s="16"/>
      <c r="S100" s="16"/>
      <c r="T100" s="16"/>
      <c r="U100" s="16"/>
      <c r="V100" s="16"/>
      <c r="W100" s="16"/>
      <c r="X100" s="16"/>
      <c r="Y100" s="16"/>
      <c r="Z100" s="16"/>
      <c r="AA100" s="16"/>
      <c r="AB100" s="16"/>
    </row>
    <row r="101" spans="1:30" ht="15.75" customHeight="1">
      <c r="A101" s="15"/>
      <c r="B101" s="131"/>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c r="AA101" s="16"/>
      <c r="AB101" s="16"/>
      <c r="AC101" s="16"/>
      <c r="AD101" s="16"/>
    </row>
    <row r="102" spans="1:30" ht="15.75" customHeight="1">
      <c r="A102" s="15"/>
      <c r="B102" s="131"/>
      <c r="C102" s="16"/>
      <c r="D102" s="16"/>
      <c r="E102" s="16"/>
      <c r="F102" s="16"/>
      <c r="G102" s="16"/>
      <c r="I102" s="16"/>
      <c r="J102" s="16"/>
      <c r="K102" s="16"/>
      <c r="L102" s="16"/>
      <c r="M102" s="16"/>
      <c r="N102" s="16"/>
      <c r="O102" s="16"/>
      <c r="P102" s="16"/>
      <c r="Q102" s="16"/>
      <c r="R102" s="16"/>
      <c r="S102" s="16"/>
      <c r="T102" s="16"/>
      <c r="U102" s="16"/>
      <c r="V102" s="16"/>
      <c r="W102" s="16"/>
      <c r="X102" s="16"/>
      <c r="Y102" s="16"/>
      <c r="Z102" s="16"/>
      <c r="AA102" s="16"/>
      <c r="AB102" s="16"/>
      <c r="AC102" s="16"/>
      <c r="AD102" s="16"/>
    </row>
    <row r="103" spans="1:30" ht="15.75" customHeight="1">
      <c r="H103" s="51"/>
      <c r="I103" s="51"/>
      <c r="J103" s="51"/>
      <c r="K103" s="51"/>
      <c r="L103" s="16"/>
      <c r="M103" s="16"/>
      <c r="N103" s="16"/>
      <c r="O103" s="16"/>
      <c r="P103" s="16"/>
      <c r="Q103" s="16"/>
      <c r="R103" s="16"/>
      <c r="S103" s="16"/>
      <c r="T103" s="16"/>
      <c r="U103" s="16"/>
      <c r="V103" s="16"/>
      <c r="W103" s="16"/>
      <c r="X103" s="16"/>
      <c r="Y103" s="16"/>
      <c r="Z103" s="16"/>
      <c r="AA103" s="16"/>
      <c r="AB103" s="16"/>
      <c r="AC103" s="16"/>
      <c r="AD103" s="16"/>
    </row>
    <row r="104" spans="1:30" ht="15.75" customHeight="1">
      <c r="L104" s="16"/>
      <c r="M104" s="16"/>
      <c r="N104" s="16"/>
      <c r="O104" s="16"/>
      <c r="P104" s="16"/>
      <c r="Q104" s="16"/>
      <c r="R104" s="16"/>
      <c r="S104" s="16"/>
      <c r="T104" s="16"/>
      <c r="U104" s="16"/>
      <c r="V104" s="16"/>
      <c r="W104" s="16"/>
      <c r="X104" s="16"/>
      <c r="Y104" s="16"/>
      <c r="Z104" s="16"/>
      <c r="AA104" s="16"/>
      <c r="AB104" s="16"/>
      <c r="AC104" s="16"/>
      <c r="AD104" s="16"/>
    </row>
    <row r="105" spans="1:30" ht="15.75" customHeight="1">
      <c r="L105" s="16"/>
      <c r="M105" s="16"/>
      <c r="N105" s="16"/>
      <c r="O105" s="16"/>
      <c r="P105" s="16"/>
      <c r="Q105" s="16"/>
      <c r="R105" s="16"/>
      <c r="S105" s="16"/>
      <c r="T105" s="16"/>
      <c r="U105" s="16"/>
      <c r="V105" s="16"/>
      <c r="W105" s="16"/>
      <c r="X105" s="16"/>
      <c r="Y105" s="16"/>
      <c r="Z105" s="16"/>
      <c r="AA105" s="16"/>
      <c r="AB105" s="16"/>
      <c r="AC105" s="16"/>
      <c r="AD105" s="16"/>
    </row>
    <row r="106" spans="1:30" ht="15.75" customHeight="1">
      <c r="L106" s="16"/>
      <c r="M106" s="16"/>
      <c r="N106" s="16"/>
      <c r="O106" s="16"/>
      <c r="P106" s="16"/>
      <c r="Q106" s="16"/>
      <c r="R106" s="16"/>
      <c r="S106" s="16"/>
      <c r="T106" s="16"/>
      <c r="U106" s="16"/>
      <c r="V106" s="16"/>
      <c r="W106" s="16"/>
      <c r="X106" s="16"/>
      <c r="Y106" s="16"/>
      <c r="Z106" s="16"/>
      <c r="AA106" s="16"/>
      <c r="AB106" s="16"/>
      <c r="AC106" s="16"/>
      <c r="AD106" s="16"/>
    </row>
    <row r="107" spans="1:30" ht="15.75" customHeight="1">
      <c r="L107" s="16"/>
      <c r="M107" s="16"/>
      <c r="N107" s="16"/>
      <c r="O107" s="16"/>
      <c r="P107" s="16"/>
      <c r="Q107" s="16"/>
      <c r="R107" s="16"/>
      <c r="S107" s="16"/>
      <c r="T107" s="16"/>
      <c r="U107" s="16"/>
      <c r="V107" s="16"/>
      <c r="W107" s="16"/>
      <c r="X107" s="16"/>
      <c r="Y107" s="16"/>
      <c r="Z107" s="16"/>
      <c r="AA107" s="16"/>
      <c r="AB107" s="16"/>
      <c r="AC107" s="16"/>
      <c r="AD107" s="16"/>
    </row>
    <row r="108" spans="1:30" ht="15.75" customHeight="1">
      <c r="L108" s="16"/>
      <c r="M108" s="16"/>
      <c r="N108" s="16"/>
      <c r="O108" s="16"/>
      <c r="P108" s="16"/>
      <c r="Q108" s="16"/>
      <c r="R108" s="16"/>
      <c r="S108" s="16"/>
      <c r="T108" s="16"/>
      <c r="U108" s="16"/>
      <c r="V108" s="16"/>
      <c r="W108" s="16"/>
      <c r="X108" s="16"/>
      <c r="Y108" s="16"/>
      <c r="Z108" s="16"/>
      <c r="AA108" s="16"/>
      <c r="AB108" s="16"/>
      <c r="AC108" s="16"/>
      <c r="AD108" s="16"/>
    </row>
    <row r="109" spans="1:30" ht="15.75" customHeight="1">
      <c r="L109" s="16"/>
      <c r="M109" s="16"/>
      <c r="N109" s="16"/>
      <c r="O109" s="16"/>
      <c r="P109" s="16"/>
      <c r="Q109" s="16"/>
      <c r="R109" s="16"/>
      <c r="S109" s="16"/>
      <c r="T109" s="16"/>
      <c r="U109" s="16"/>
      <c r="V109" s="16"/>
      <c r="W109" s="16"/>
      <c r="X109" s="16"/>
      <c r="Y109" s="16"/>
      <c r="Z109" s="16"/>
      <c r="AA109" s="16"/>
      <c r="AB109" s="16"/>
      <c r="AC109" s="16"/>
      <c r="AD109" s="16"/>
    </row>
    <row r="110" spans="1:30" ht="15.75" customHeight="1">
      <c r="L110" s="16"/>
      <c r="M110" s="16"/>
      <c r="N110" s="16"/>
      <c r="O110" s="16"/>
      <c r="P110" s="735"/>
      <c r="Q110" s="696"/>
      <c r="R110" s="696"/>
      <c r="S110" s="16"/>
      <c r="T110" s="16"/>
      <c r="U110" s="16"/>
      <c r="V110" s="16"/>
      <c r="W110" s="16"/>
      <c r="X110" s="16"/>
      <c r="Y110" s="16"/>
      <c r="Z110" s="16"/>
      <c r="AA110" s="16"/>
      <c r="AB110" s="16"/>
      <c r="AC110" s="16"/>
      <c r="AD110" s="16"/>
    </row>
    <row r="111" spans="1:30" ht="15.75" customHeight="1">
      <c r="L111" s="16"/>
      <c r="M111" s="16"/>
      <c r="N111" s="16"/>
      <c r="O111" s="16"/>
      <c r="P111" s="735"/>
      <c r="Q111" s="696"/>
      <c r="R111" s="696"/>
      <c r="S111" s="16"/>
      <c r="T111" s="16"/>
      <c r="U111" s="16"/>
      <c r="V111" s="16"/>
      <c r="W111" s="16"/>
      <c r="X111" s="16"/>
      <c r="Y111" s="16"/>
      <c r="Z111" s="16"/>
      <c r="AA111" s="16"/>
      <c r="AB111" s="16"/>
      <c r="AC111" s="16"/>
      <c r="AD111" s="16"/>
    </row>
    <row r="112" spans="1:30" ht="15.75" customHeight="1">
      <c r="L112" s="16"/>
      <c r="M112" s="16"/>
      <c r="N112" s="16"/>
      <c r="O112" s="16"/>
      <c r="P112" s="735"/>
      <c r="Q112" s="696"/>
      <c r="R112" s="696"/>
      <c r="S112" s="16"/>
      <c r="T112" s="16"/>
      <c r="U112" s="16"/>
      <c r="V112" s="16"/>
      <c r="W112" s="16"/>
      <c r="X112" s="16"/>
      <c r="Y112" s="16"/>
      <c r="Z112" s="16"/>
      <c r="AA112" s="16"/>
      <c r="AB112" s="16"/>
      <c r="AC112" s="16"/>
      <c r="AD112" s="16"/>
    </row>
    <row r="113" spans="1:30" ht="15.75" customHeight="1">
      <c r="L113" s="16"/>
      <c r="M113" s="16"/>
      <c r="N113" s="16"/>
      <c r="O113" s="16"/>
      <c r="P113" s="735"/>
      <c r="Q113" s="696"/>
      <c r="R113" s="696"/>
      <c r="S113" s="16"/>
      <c r="T113" s="16"/>
      <c r="U113" s="16"/>
      <c r="V113" s="16"/>
      <c r="W113" s="16"/>
      <c r="X113" s="16"/>
      <c r="Y113" s="16"/>
      <c r="Z113" s="16"/>
      <c r="AA113" s="16"/>
      <c r="AB113" s="16"/>
      <c r="AC113" s="16"/>
      <c r="AD113" s="16"/>
    </row>
    <row r="114" spans="1:30" ht="15.75" customHeight="1">
      <c r="L114" s="16"/>
      <c r="M114" s="16"/>
      <c r="N114" s="16"/>
      <c r="O114" s="16"/>
      <c r="P114" s="735"/>
      <c r="Q114" s="696"/>
      <c r="R114" s="696"/>
      <c r="S114" s="16"/>
      <c r="T114" s="16"/>
      <c r="U114" s="16"/>
      <c r="V114" s="16"/>
      <c r="W114" s="16"/>
      <c r="X114" s="16"/>
      <c r="Y114" s="16"/>
      <c r="Z114" s="16"/>
      <c r="AA114" s="16"/>
      <c r="AB114" s="16"/>
      <c r="AC114" s="16"/>
      <c r="AD114" s="16"/>
    </row>
    <row r="115" spans="1:30" ht="15.75" customHeight="1">
      <c r="L115" s="16"/>
      <c r="M115" s="16"/>
      <c r="N115" s="16"/>
      <c r="O115" s="16"/>
      <c r="P115" s="735"/>
      <c r="Q115" s="696"/>
      <c r="R115" s="696"/>
      <c r="S115" s="16"/>
      <c r="T115" s="16"/>
      <c r="U115" s="16"/>
      <c r="V115" s="16"/>
      <c r="W115" s="16"/>
      <c r="X115" s="16"/>
      <c r="Y115" s="16"/>
      <c r="Z115" s="16"/>
      <c r="AA115" s="16"/>
      <c r="AB115" s="16"/>
      <c r="AC115" s="16"/>
      <c r="AD115" s="16"/>
    </row>
    <row r="116" spans="1:30" ht="15.75" customHeight="1">
      <c r="H116" s="248"/>
      <c r="I116" s="248"/>
      <c r="J116" s="228"/>
      <c r="K116" s="228"/>
      <c r="L116" s="16"/>
      <c r="M116" s="16"/>
      <c r="N116" s="16"/>
      <c r="O116" s="16"/>
      <c r="P116" s="735"/>
      <c r="Q116" s="696"/>
      <c r="R116" s="696"/>
      <c r="S116" s="16"/>
      <c r="T116" s="16"/>
      <c r="U116" s="16"/>
      <c r="V116" s="16"/>
      <c r="W116" s="16"/>
      <c r="X116" s="16"/>
      <c r="Y116" s="16"/>
      <c r="Z116" s="16"/>
      <c r="AA116" s="16"/>
      <c r="AB116" s="16"/>
      <c r="AC116" s="16"/>
      <c r="AD116" s="16"/>
    </row>
    <row r="117" spans="1:30" ht="15.75" customHeight="1">
      <c r="A117" s="231"/>
      <c r="B117" s="231"/>
      <c r="C117" s="246"/>
      <c r="D117" s="247"/>
      <c r="E117" s="245"/>
      <c r="F117" s="246"/>
      <c r="G117" s="247"/>
      <c r="H117" s="248"/>
      <c r="I117" s="248"/>
      <c r="J117" s="228"/>
      <c r="K117" s="228"/>
      <c r="L117" s="16"/>
      <c r="M117" s="16"/>
      <c r="N117" s="16"/>
      <c r="O117" s="16"/>
      <c r="P117" s="16"/>
      <c r="Q117" s="16"/>
      <c r="R117" s="16"/>
      <c r="S117" s="16"/>
      <c r="T117" s="16"/>
      <c r="U117" s="16"/>
      <c r="V117" s="16"/>
      <c r="W117" s="16"/>
      <c r="X117" s="16"/>
      <c r="Y117" s="16"/>
      <c r="Z117" s="16"/>
      <c r="AA117" s="16"/>
      <c r="AB117" s="16"/>
      <c r="AC117" s="16"/>
      <c r="AD117" s="16"/>
    </row>
    <row r="118" spans="1:30" ht="15.75" customHeight="1">
      <c r="A118" s="231"/>
      <c r="B118" s="16"/>
      <c r="C118" s="246"/>
      <c r="D118" s="247"/>
      <c r="E118" s="245"/>
      <c r="F118" s="246"/>
      <c r="G118" s="247"/>
      <c r="H118" s="228"/>
      <c r="I118" s="228"/>
      <c r="J118" s="228"/>
      <c r="K118" s="228"/>
      <c r="L118" s="16"/>
      <c r="M118" s="735"/>
      <c r="N118" s="696"/>
      <c r="O118" s="696"/>
      <c r="P118" s="735"/>
      <c r="Q118" s="696"/>
      <c r="R118" s="696"/>
      <c r="S118" s="696"/>
      <c r="T118" s="696"/>
      <c r="U118" s="16"/>
      <c r="V118" s="16"/>
      <c r="W118" s="16"/>
      <c r="X118" s="16"/>
      <c r="Y118" s="16"/>
      <c r="Z118" s="16"/>
      <c r="AA118" s="16"/>
      <c r="AB118" s="16"/>
      <c r="AC118" s="16"/>
      <c r="AD118" s="16"/>
    </row>
    <row r="119" spans="1:30" ht="15.75" customHeight="1">
      <c r="A119" s="16"/>
      <c r="B119" s="16"/>
      <c r="C119" s="16"/>
      <c r="D119" s="16"/>
      <c r="E119" s="16"/>
      <c r="F119" s="16"/>
      <c r="G119" s="16"/>
      <c r="H119" s="16"/>
      <c r="I119" s="16"/>
      <c r="J119" s="16"/>
      <c r="K119" s="16"/>
      <c r="L119" s="16"/>
      <c r="M119" s="735"/>
      <c r="N119" s="696"/>
      <c r="O119" s="696"/>
      <c r="P119" s="735"/>
      <c r="Q119" s="696"/>
      <c r="R119" s="696"/>
      <c r="S119" s="696"/>
      <c r="T119" s="696"/>
      <c r="U119" s="16"/>
      <c r="V119" s="16"/>
      <c r="W119" s="16"/>
      <c r="X119" s="16"/>
      <c r="Y119" s="16"/>
      <c r="Z119" s="16"/>
      <c r="AA119" s="16"/>
      <c r="AB119" s="16"/>
      <c r="AC119" s="16"/>
      <c r="AD119" s="16"/>
    </row>
    <row r="120" spans="1:30" ht="15.75" customHeight="1">
      <c r="A120" s="16"/>
      <c r="B120" s="16"/>
      <c r="C120" s="16"/>
      <c r="D120" s="16"/>
      <c r="E120" s="16"/>
      <c r="F120" s="16"/>
      <c r="G120" s="16"/>
      <c r="H120" s="16"/>
      <c r="I120" s="16"/>
      <c r="J120" s="16"/>
      <c r="K120" s="16"/>
      <c r="L120" s="16"/>
      <c r="M120" s="735"/>
      <c r="N120" s="696"/>
      <c r="O120" s="696"/>
      <c r="P120" s="696"/>
      <c r="Q120" s="696"/>
      <c r="R120" s="696"/>
      <c r="S120" s="696"/>
      <c r="T120" s="696"/>
      <c r="U120" s="16"/>
      <c r="V120" s="16"/>
      <c r="W120" s="16"/>
      <c r="X120" s="16"/>
      <c r="Y120" s="16"/>
      <c r="Z120" s="16"/>
      <c r="AA120" s="16"/>
      <c r="AB120" s="16"/>
      <c r="AC120" s="16"/>
      <c r="AD120" s="16"/>
    </row>
    <row r="121" spans="1:30" ht="15.75" customHeight="1">
      <c r="A121" s="16"/>
      <c r="B121" s="16"/>
      <c r="C121" s="16"/>
      <c r="D121" s="16"/>
      <c r="E121" s="16"/>
      <c r="F121" s="16"/>
      <c r="G121" s="16"/>
      <c r="H121" s="16"/>
      <c r="I121" s="16"/>
      <c r="J121" s="16"/>
      <c r="K121" s="16"/>
      <c r="L121" s="16"/>
      <c r="M121" s="735"/>
      <c r="N121" s="696"/>
      <c r="O121" s="696"/>
      <c r="P121" s="696"/>
      <c r="Q121" s="696"/>
      <c r="R121" s="696"/>
      <c r="S121" s="696"/>
      <c r="T121" s="696"/>
      <c r="U121" s="16"/>
      <c r="V121" s="16"/>
      <c r="W121" s="16"/>
      <c r="X121" s="16"/>
      <c r="Y121" s="16"/>
      <c r="Z121" s="16"/>
      <c r="AA121" s="16"/>
      <c r="AB121" s="16"/>
      <c r="AC121" s="16"/>
      <c r="AD121" s="16"/>
    </row>
    <row r="122" spans="1:30" ht="15.75" customHeight="1">
      <c r="A122" s="16"/>
      <c r="B122" s="16"/>
      <c r="C122" s="16"/>
      <c r="D122" s="16"/>
      <c r="E122" s="16"/>
      <c r="F122" s="16"/>
      <c r="G122" s="16"/>
      <c r="H122" s="16"/>
      <c r="I122" s="16"/>
      <c r="J122" s="16"/>
      <c r="K122" s="16"/>
      <c r="L122" s="16"/>
      <c r="M122" s="735"/>
      <c r="N122" s="696"/>
      <c r="O122" s="696"/>
      <c r="P122" s="696"/>
      <c r="Q122" s="696"/>
      <c r="R122" s="696"/>
      <c r="S122" s="696"/>
      <c r="T122" s="696"/>
      <c r="U122" s="16"/>
      <c r="V122" s="16"/>
      <c r="W122" s="16"/>
      <c r="X122" s="16"/>
      <c r="Y122" s="16"/>
      <c r="Z122" s="16"/>
      <c r="AA122" s="16"/>
      <c r="AB122" s="16"/>
      <c r="AC122" s="16"/>
      <c r="AD122" s="16"/>
    </row>
    <row r="123" spans="1:30" ht="15.75" customHeight="1">
      <c r="A123" s="16"/>
      <c r="B123" s="16"/>
      <c r="C123" s="16"/>
      <c r="D123" s="16"/>
      <c r="E123" s="16"/>
      <c r="F123" s="16"/>
      <c r="G123" s="16"/>
      <c r="H123" s="16"/>
      <c r="I123" s="16"/>
      <c r="J123" s="16"/>
      <c r="K123" s="16"/>
      <c r="L123" s="16"/>
      <c r="M123" s="735"/>
      <c r="N123" s="696"/>
      <c r="O123" s="696"/>
      <c r="P123" s="696"/>
      <c r="Q123" s="696"/>
      <c r="R123" s="696"/>
      <c r="S123" s="696"/>
      <c r="T123" s="696"/>
      <c r="U123" s="16"/>
      <c r="V123" s="16"/>
      <c r="W123" s="16"/>
      <c r="X123" s="16"/>
      <c r="Y123" s="16"/>
      <c r="Z123" s="16"/>
      <c r="AA123" s="16"/>
      <c r="AB123" s="16"/>
      <c r="AC123" s="16"/>
      <c r="AD123" s="16"/>
    </row>
    <row r="124" spans="1:30" ht="15.75" customHeight="1">
      <c r="A124" s="16"/>
      <c r="B124" s="16"/>
      <c r="C124" s="16"/>
      <c r="D124" s="16"/>
      <c r="E124" s="16"/>
      <c r="F124" s="16"/>
      <c r="G124" s="16"/>
      <c r="H124" s="16"/>
      <c r="I124" s="16"/>
      <c r="J124" s="16"/>
      <c r="K124" s="16"/>
      <c r="L124" s="16"/>
      <c r="M124" s="735"/>
      <c r="N124" s="696"/>
      <c r="O124" s="696"/>
      <c r="P124" s="696"/>
      <c r="Q124" s="696"/>
      <c r="R124" s="696"/>
      <c r="S124" s="696"/>
      <c r="T124" s="696"/>
      <c r="U124" s="16"/>
      <c r="V124" s="16"/>
      <c r="W124" s="16"/>
      <c r="X124" s="16"/>
      <c r="Y124" s="16"/>
      <c r="Z124" s="16"/>
      <c r="AA124" s="16"/>
      <c r="AB124" s="16"/>
      <c r="AC124" s="16"/>
      <c r="AD124" s="16"/>
    </row>
    <row r="125" spans="1:30" ht="15.75" customHeight="1">
      <c r="A125" s="16"/>
      <c r="B125" s="16"/>
      <c r="C125" s="16"/>
      <c r="D125" s="16"/>
      <c r="E125" s="16"/>
      <c r="F125" s="16"/>
      <c r="G125" s="16"/>
      <c r="H125" s="16"/>
      <c r="I125" s="16"/>
      <c r="J125" s="16"/>
      <c r="K125" s="16"/>
      <c r="L125" s="16"/>
      <c r="M125" s="735"/>
      <c r="N125" s="696"/>
      <c r="O125" s="696"/>
      <c r="P125" s="696"/>
      <c r="Q125" s="696"/>
      <c r="R125" s="696"/>
      <c r="S125" s="696"/>
      <c r="T125" s="696"/>
      <c r="U125" s="16"/>
      <c r="V125" s="16"/>
      <c r="W125" s="16"/>
      <c r="X125" s="16"/>
      <c r="Y125" s="16"/>
      <c r="Z125" s="16"/>
      <c r="AA125" s="16"/>
      <c r="AB125" s="16"/>
      <c r="AC125" s="16"/>
      <c r="AD125" s="16"/>
    </row>
    <row r="126" spans="1:30" ht="15.75" customHeight="1">
      <c r="A126" s="16"/>
      <c r="B126" s="16"/>
      <c r="C126" s="16"/>
      <c r="D126" s="16"/>
      <c r="E126" s="16"/>
      <c r="F126" s="16"/>
      <c r="G126" s="16"/>
      <c r="H126" s="16"/>
      <c r="I126" s="16"/>
      <c r="J126" s="16"/>
      <c r="K126" s="16"/>
      <c r="L126" s="16"/>
      <c r="M126" s="735"/>
      <c r="N126" s="696"/>
      <c r="O126" s="696"/>
      <c r="P126" s="696"/>
      <c r="Q126" s="696"/>
      <c r="R126" s="696"/>
      <c r="S126" s="696"/>
      <c r="T126" s="696"/>
      <c r="U126" s="16"/>
      <c r="V126" s="16"/>
      <c r="W126" s="16"/>
      <c r="X126" s="16"/>
      <c r="Y126" s="16"/>
      <c r="Z126" s="16"/>
      <c r="AA126" s="16"/>
      <c r="AB126" s="16"/>
      <c r="AC126" s="16"/>
      <c r="AD126" s="16"/>
    </row>
    <row r="127" spans="1:30" ht="15.75" customHeight="1">
      <c r="A127" s="16"/>
      <c r="B127" s="16"/>
      <c r="C127" s="16"/>
      <c r="D127" s="16"/>
      <c r="E127" s="16"/>
      <c r="F127" s="16"/>
      <c r="G127" s="16"/>
      <c r="H127" s="16"/>
      <c r="I127" s="16"/>
      <c r="J127" s="16"/>
      <c r="K127" s="16"/>
      <c r="L127" s="16"/>
      <c r="M127" s="735"/>
      <c r="N127" s="696"/>
      <c r="O127" s="696"/>
      <c r="P127" s="696"/>
      <c r="Q127" s="696"/>
      <c r="R127" s="696"/>
      <c r="S127" s="696"/>
      <c r="T127" s="696"/>
      <c r="U127" s="16"/>
      <c r="V127" s="16"/>
      <c r="W127" s="16"/>
      <c r="X127" s="16"/>
      <c r="Y127" s="16"/>
      <c r="Z127" s="16"/>
      <c r="AA127" s="16"/>
      <c r="AB127" s="16"/>
      <c r="AC127" s="16"/>
      <c r="AD127" s="16"/>
    </row>
    <row r="128" spans="1:30" ht="15.75" customHeight="1">
      <c r="A128" s="16"/>
      <c r="B128" s="16"/>
      <c r="C128" s="16"/>
      <c r="D128" s="16"/>
      <c r="E128" s="16"/>
      <c r="F128" s="16"/>
      <c r="G128" s="16"/>
      <c r="H128" s="16"/>
      <c r="I128" s="16"/>
      <c r="J128" s="16"/>
      <c r="K128" s="16"/>
      <c r="L128" s="16"/>
      <c r="M128" s="735"/>
      <c r="N128" s="696"/>
      <c r="O128" s="696"/>
      <c r="P128" s="696"/>
      <c r="Q128" s="696"/>
      <c r="R128" s="696"/>
      <c r="S128" s="696"/>
      <c r="T128" s="696"/>
      <c r="U128" s="16"/>
      <c r="V128" s="16"/>
      <c r="W128" s="16"/>
      <c r="X128" s="16"/>
      <c r="Y128" s="16"/>
      <c r="Z128" s="16"/>
      <c r="AA128" s="16"/>
      <c r="AB128" s="16"/>
      <c r="AC128" s="16"/>
      <c r="AD128" s="16"/>
    </row>
    <row r="129" spans="1:30" ht="15.75" customHeight="1">
      <c r="A129" s="16"/>
      <c r="B129" s="16"/>
      <c r="C129" s="16"/>
      <c r="D129" s="16"/>
      <c r="E129" s="16"/>
      <c r="F129" s="16"/>
      <c r="G129" s="16"/>
      <c r="H129" s="16"/>
      <c r="I129" s="16"/>
      <c r="J129" s="16"/>
      <c r="K129" s="16"/>
      <c r="L129" s="16"/>
      <c r="M129" s="735"/>
      <c r="N129" s="696"/>
      <c r="O129" s="696"/>
      <c r="P129" s="696"/>
      <c r="Q129" s="696"/>
      <c r="R129" s="696"/>
      <c r="S129" s="696"/>
      <c r="T129" s="696"/>
      <c r="U129" s="16"/>
      <c r="V129" s="16"/>
      <c r="W129" s="16"/>
      <c r="X129" s="16"/>
      <c r="Y129" s="16"/>
      <c r="Z129" s="16"/>
      <c r="AA129" s="16"/>
      <c r="AB129" s="16"/>
      <c r="AC129" s="16"/>
      <c r="AD129" s="16"/>
    </row>
    <row r="130" spans="1:30" ht="15.75" customHeight="1">
      <c r="A130" s="16"/>
      <c r="B130" s="16"/>
      <c r="C130" s="16"/>
      <c r="D130" s="16"/>
      <c r="E130" s="16"/>
      <c r="F130" s="16"/>
      <c r="G130" s="16"/>
      <c r="H130" s="16"/>
      <c r="I130" s="16"/>
      <c r="J130" s="16"/>
      <c r="K130" s="16"/>
      <c r="L130" s="16"/>
      <c r="M130" s="735"/>
      <c r="N130" s="696"/>
      <c r="O130" s="696"/>
      <c r="P130" s="696"/>
      <c r="Q130" s="696"/>
      <c r="R130" s="696"/>
      <c r="S130" s="696"/>
      <c r="T130" s="696"/>
      <c r="U130" s="16"/>
      <c r="V130" s="16"/>
      <c r="W130" s="16"/>
      <c r="X130" s="16"/>
      <c r="Y130" s="16"/>
      <c r="Z130" s="16"/>
      <c r="AA130" s="16"/>
      <c r="AB130" s="16"/>
      <c r="AC130" s="16"/>
      <c r="AD130" s="16"/>
    </row>
    <row r="131" spans="1:30" ht="15.75" customHeight="1">
      <c r="A131" s="16"/>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c r="AA131" s="16"/>
      <c r="AB131" s="16"/>
      <c r="AC131" s="16"/>
      <c r="AD131" s="16"/>
    </row>
    <row r="132" spans="1:30" ht="15.75" customHeight="1">
      <c r="A132" s="16"/>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c r="AA132" s="16"/>
      <c r="AB132" s="16"/>
      <c r="AC132" s="16"/>
      <c r="AD132" s="16"/>
    </row>
    <row r="133" spans="1:30" ht="15.75" customHeight="1">
      <c r="A133" s="16"/>
      <c r="B133" s="16"/>
      <c r="C133" s="16"/>
      <c r="D133" s="16"/>
      <c r="E133" s="16"/>
      <c r="F133" s="16"/>
      <c r="G133" s="16"/>
      <c r="H133" s="16"/>
      <c r="I133" s="16"/>
      <c r="J133" s="16"/>
      <c r="K133" s="16"/>
      <c r="L133" s="16"/>
      <c r="M133" s="735"/>
      <c r="N133" s="696"/>
      <c r="O133" s="696"/>
      <c r="P133" s="735"/>
      <c r="Q133" s="696"/>
      <c r="R133" s="696"/>
      <c r="S133" s="696"/>
      <c r="T133" s="696"/>
      <c r="U133" s="16"/>
      <c r="V133" s="16"/>
      <c r="W133" s="16"/>
      <c r="X133" s="16"/>
      <c r="Y133" s="16"/>
      <c r="Z133" s="16"/>
      <c r="AA133" s="16"/>
      <c r="AB133" s="16"/>
      <c r="AC133" s="16"/>
      <c r="AD133" s="16"/>
    </row>
    <row r="134" spans="1:30" ht="15.75" customHeight="1">
      <c r="A134" s="16"/>
      <c r="B134" s="16"/>
      <c r="C134" s="16"/>
      <c r="D134" s="16"/>
      <c r="E134" s="16"/>
      <c r="F134" s="16"/>
      <c r="G134" s="16"/>
      <c r="H134" s="16"/>
      <c r="I134" s="16"/>
      <c r="J134" s="16"/>
      <c r="K134" s="16"/>
      <c r="L134" s="16"/>
      <c r="M134" s="735"/>
      <c r="N134" s="696"/>
      <c r="O134" s="696"/>
      <c r="P134" s="735"/>
      <c r="Q134" s="696"/>
      <c r="R134" s="696"/>
      <c r="S134" s="696"/>
      <c r="T134" s="696"/>
      <c r="U134" s="16"/>
      <c r="V134" s="16"/>
      <c r="W134" s="16"/>
      <c r="X134" s="16"/>
      <c r="Y134" s="16"/>
      <c r="Z134" s="16"/>
      <c r="AA134" s="16"/>
      <c r="AB134" s="16"/>
      <c r="AC134" s="16"/>
      <c r="AD134" s="16"/>
    </row>
    <row r="135" spans="1:30" ht="15.75" customHeight="1">
      <c r="A135" s="16"/>
      <c r="B135" s="16"/>
      <c r="C135" s="16"/>
      <c r="D135" s="16"/>
      <c r="E135" s="16"/>
      <c r="F135" s="16"/>
      <c r="G135" s="16"/>
      <c r="H135" s="16"/>
      <c r="I135" s="16"/>
      <c r="J135" s="16"/>
      <c r="K135" s="16"/>
      <c r="L135" s="16"/>
      <c r="M135" s="735"/>
      <c r="N135" s="696"/>
      <c r="O135" s="696"/>
      <c r="P135" s="696"/>
      <c r="Q135" s="696"/>
      <c r="R135" s="696"/>
      <c r="S135" s="696"/>
      <c r="T135" s="696"/>
      <c r="U135" s="16"/>
      <c r="V135" s="16"/>
      <c r="W135" s="16"/>
      <c r="X135" s="16"/>
      <c r="Y135" s="16"/>
      <c r="Z135" s="16"/>
      <c r="AA135" s="16"/>
      <c r="AB135" s="16"/>
      <c r="AC135" s="16"/>
      <c r="AD135" s="16"/>
    </row>
    <row r="136" spans="1:30" ht="15.75" customHeight="1">
      <c r="A136" s="16"/>
      <c r="B136" s="16"/>
      <c r="C136" s="16"/>
      <c r="D136" s="16"/>
      <c r="E136" s="16"/>
      <c r="F136" s="16"/>
      <c r="G136" s="16"/>
      <c r="H136" s="16"/>
      <c r="I136" s="16"/>
      <c r="J136" s="16"/>
      <c r="K136" s="16"/>
      <c r="L136" s="16"/>
      <c r="M136" s="735"/>
      <c r="N136" s="696"/>
      <c r="O136" s="696"/>
      <c r="P136" s="696"/>
      <c r="Q136" s="696"/>
      <c r="R136" s="696"/>
      <c r="S136" s="696"/>
      <c r="T136" s="696"/>
      <c r="U136" s="16"/>
      <c r="V136" s="16"/>
      <c r="W136" s="16"/>
      <c r="X136" s="16"/>
      <c r="Y136" s="16"/>
      <c r="Z136" s="16"/>
      <c r="AA136" s="16"/>
      <c r="AB136" s="16"/>
      <c r="AC136" s="16"/>
      <c r="AD136" s="16"/>
    </row>
    <row r="137" spans="1:30" ht="15.75" customHeight="1">
      <c r="A137" s="16"/>
      <c r="B137" s="16"/>
      <c r="C137" s="16"/>
      <c r="D137" s="16"/>
      <c r="E137" s="16"/>
      <c r="F137" s="16"/>
      <c r="G137" s="16"/>
      <c r="H137" s="16"/>
      <c r="I137" s="16"/>
      <c r="J137" s="16"/>
      <c r="K137" s="16"/>
      <c r="L137" s="16"/>
      <c r="M137" s="735"/>
      <c r="N137" s="696"/>
      <c r="O137" s="696"/>
      <c r="P137" s="696"/>
      <c r="Q137" s="696"/>
      <c r="R137" s="696"/>
      <c r="S137" s="696"/>
      <c r="T137" s="696"/>
      <c r="U137" s="16"/>
      <c r="V137" s="16"/>
      <c r="W137" s="16"/>
      <c r="X137" s="16"/>
      <c r="Y137" s="16"/>
      <c r="Z137" s="16"/>
      <c r="AA137" s="16"/>
      <c r="AB137" s="16"/>
      <c r="AC137" s="16"/>
      <c r="AD137" s="16"/>
    </row>
    <row r="138" spans="1:30" ht="15.75" customHeight="1">
      <c r="A138" s="16"/>
      <c r="B138" s="16"/>
      <c r="C138" s="16"/>
      <c r="D138" s="16"/>
      <c r="E138" s="16"/>
      <c r="F138" s="16"/>
      <c r="G138" s="16"/>
      <c r="H138" s="16"/>
      <c r="I138" s="16"/>
      <c r="J138" s="16"/>
      <c r="K138" s="16"/>
      <c r="L138" s="16"/>
      <c r="M138" s="735"/>
      <c r="N138" s="696"/>
      <c r="O138" s="696"/>
      <c r="P138" s="696"/>
      <c r="Q138" s="696"/>
      <c r="R138" s="696"/>
      <c r="S138" s="696"/>
      <c r="T138" s="696"/>
      <c r="U138" s="16"/>
      <c r="V138" s="16"/>
      <c r="W138" s="16"/>
      <c r="X138" s="16"/>
      <c r="Y138" s="16"/>
      <c r="Z138" s="16"/>
      <c r="AA138" s="16"/>
      <c r="AB138" s="16"/>
      <c r="AC138" s="16"/>
      <c r="AD138" s="16"/>
    </row>
    <row r="139" spans="1:30" ht="15.75" customHeight="1">
      <c r="A139" s="16"/>
      <c r="B139" s="16"/>
      <c r="C139" s="16"/>
      <c r="D139" s="16"/>
      <c r="E139" s="16"/>
      <c r="F139" s="16"/>
      <c r="G139" s="16"/>
      <c r="H139" s="16"/>
      <c r="I139" s="16"/>
      <c r="J139" s="16"/>
      <c r="K139" s="16"/>
      <c r="L139" s="16"/>
      <c r="M139" s="735"/>
      <c r="N139" s="696"/>
      <c r="O139" s="696"/>
      <c r="P139" s="696"/>
      <c r="Q139" s="696"/>
      <c r="R139" s="696"/>
      <c r="S139" s="696"/>
      <c r="T139" s="696"/>
      <c r="U139" s="16"/>
      <c r="V139" s="16"/>
      <c r="W139" s="16"/>
      <c r="X139" s="16"/>
      <c r="Y139" s="16"/>
      <c r="Z139" s="16"/>
      <c r="AA139" s="16"/>
      <c r="AB139" s="16"/>
      <c r="AC139" s="16"/>
      <c r="AD139" s="16"/>
    </row>
    <row r="140" spans="1:30" ht="15.75" customHeight="1">
      <c r="A140" s="16"/>
      <c r="B140" s="16"/>
      <c r="C140" s="16"/>
      <c r="D140" s="16"/>
      <c r="E140" s="16"/>
      <c r="F140" s="16"/>
      <c r="G140" s="16"/>
      <c r="H140" s="16"/>
      <c r="I140" s="16"/>
      <c r="J140" s="16"/>
      <c r="K140" s="16"/>
      <c r="L140" s="16"/>
      <c r="M140" s="735"/>
      <c r="N140" s="696"/>
      <c r="O140" s="696"/>
      <c r="P140" s="696"/>
      <c r="Q140" s="696"/>
      <c r="R140" s="696"/>
      <c r="S140" s="696"/>
      <c r="T140" s="696"/>
      <c r="U140" s="16"/>
      <c r="V140" s="16"/>
      <c r="W140" s="16"/>
      <c r="X140" s="16"/>
      <c r="Y140" s="16"/>
      <c r="Z140" s="16"/>
      <c r="AA140" s="16"/>
      <c r="AB140" s="16"/>
      <c r="AC140" s="16"/>
      <c r="AD140" s="16"/>
    </row>
    <row r="141" spans="1:30" ht="15.75" customHeight="1">
      <c r="A141" s="16"/>
      <c r="B141" s="16"/>
      <c r="C141" s="16"/>
      <c r="D141" s="16"/>
      <c r="E141" s="16"/>
      <c r="F141" s="16"/>
      <c r="G141" s="16"/>
      <c r="H141" s="16"/>
      <c r="I141" s="16"/>
      <c r="J141" s="16"/>
      <c r="K141" s="16"/>
      <c r="L141" s="16"/>
      <c r="M141" s="735"/>
      <c r="N141" s="696"/>
      <c r="O141" s="696"/>
      <c r="P141" s="696"/>
      <c r="Q141" s="696"/>
      <c r="R141" s="696"/>
      <c r="S141" s="696"/>
      <c r="T141" s="696"/>
      <c r="U141" s="16"/>
      <c r="V141" s="16"/>
      <c r="W141" s="16"/>
      <c r="X141" s="16"/>
      <c r="Y141" s="16"/>
      <c r="Z141" s="16"/>
      <c r="AA141" s="16"/>
      <c r="AB141" s="16"/>
      <c r="AC141" s="16"/>
      <c r="AD141" s="16"/>
    </row>
    <row r="142" spans="1:30" ht="15.75" customHeight="1">
      <c r="A142" s="16"/>
      <c r="B142" s="16"/>
      <c r="C142" s="16"/>
      <c r="D142" s="16"/>
      <c r="E142" s="16"/>
      <c r="F142" s="16"/>
      <c r="G142" s="16"/>
      <c r="H142" s="16"/>
      <c r="I142" s="16"/>
      <c r="J142" s="16"/>
      <c r="K142" s="16"/>
      <c r="L142" s="16"/>
      <c r="M142" s="735"/>
      <c r="N142" s="696"/>
      <c r="O142" s="696"/>
      <c r="P142" s="696"/>
      <c r="Q142" s="696"/>
      <c r="R142" s="696"/>
      <c r="S142" s="696"/>
      <c r="T142" s="696"/>
      <c r="U142" s="16"/>
      <c r="V142" s="16"/>
      <c r="W142" s="16"/>
      <c r="X142" s="16"/>
      <c r="Y142" s="16"/>
      <c r="Z142" s="16"/>
      <c r="AA142" s="16"/>
      <c r="AB142" s="16"/>
      <c r="AC142" s="16"/>
      <c r="AD142" s="16"/>
    </row>
    <row r="143" spans="1:30" ht="15.75" customHeight="1">
      <c r="A143" s="16"/>
      <c r="B143" s="16"/>
      <c r="C143" s="16"/>
      <c r="D143" s="16"/>
      <c r="E143" s="16"/>
      <c r="F143" s="16"/>
      <c r="G143" s="16"/>
      <c r="H143" s="16"/>
      <c r="I143" s="16"/>
      <c r="J143" s="16"/>
      <c r="K143" s="16"/>
      <c r="L143" s="16"/>
      <c r="M143" s="735"/>
      <c r="N143" s="696"/>
      <c r="O143" s="696"/>
      <c r="P143" s="696"/>
      <c r="Q143" s="696"/>
      <c r="R143" s="696"/>
      <c r="S143" s="696"/>
      <c r="T143" s="696"/>
      <c r="U143" s="16"/>
      <c r="V143" s="16"/>
      <c r="W143" s="16"/>
      <c r="X143" s="16"/>
      <c r="Y143" s="16"/>
      <c r="Z143" s="16"/>
      <c r="AA143" s="16"/>
      <c r="AB143" s="16"/>
      <c r="AC143" s="16"/>
      <c r="AD143" s="16"/>
    </row>
    <row r="144" spans="1:30" ht="15.75" customHeight="1">
      <c r="A144" s="16"/>
      <c r="B144" s="16"/>
      <c r="C144" s="16"/>
      <c r="D144" s="16"/>
      <c r="E144" s="16"/>
      <c r="F144" s="16"/>
      <c r="G144" s="16"/>
      <c r="H144" s="16"/>
      <c r="I144" s="16"/>
      <c r="J144" s="16"/>
      <c r="K144" s="16"/>
      <c r="L144" s="16"/>
      <c r="M144" s="735"/>
      <c r="N144" s="696"/>
      <c r="O144" s="696"/>
      <c r="P144" s="696"/>
      <c r="Q144" s="696"/>
      <c r="R144" s="696"/>
      <c r="S144" s="696"/>
      <c r="T144" s="696"/>
      <c r="U144" s="16"/>
      <c r="V144" s="16"/>
      <c r="W144" s="16"/>
      <c r="X144" s="16"/>
      <c r="Y144" s="16"/>
      <c r="Z144" s="16"/>
      <c r="AA144" s="16"/>
      <c r="AB144" s="16"/>
      <c r="AC144" s="16"/>
      <c r="AD144" s="16"/>
    </row>
    <row r="145" spans="1:30" ht="15.75" customHeight="1">
      <c r="A145" s="16"/>
      <c r="B145" s="16"/>
      <c r="C145" s="16"/>
      <c r="D145" s="16"/>
      <c r="E145" s="16"/>
      <c r="F145" s="16"/>
      <c r="G145" s="16"/>
      <c r="H145" s="16"/>
      <c r="I145" s="16"/>
      <c r="J145" s="16"/>
      <c r="K145" s="16"/>
      <c r="L145" s="16"/>
      <c r="M145" s="735"/>
      <c r="N145" s="696"/>
      <c r="O145" s="696"/>
      <c r="P145" s="696"/>
      <c r="Q145" s="696"/>
      <c r="R145" s="696"/>
      <c r="S145" s="696"/>
      <c r="T145" s="696"/>
      <c r="U145" s="16"/>
      <c r="V145" s="16"/>
      <c r="W145" s="16"/>
      <c r="X145" s="16"/>
      <c r="Y145" s="16"/>
      <c r="Z145" s="16"/>
      <c r="AA145" s="16"/>
      <c r="AB145" s="16"/>
      <c r="AC145" s="16"/>
      <c r="AD145" s="16"/>
    </row>
    <row r="146" spans="1:30" ht="15.75" customHeight="1">
      <c r="A146" s="16"/>
      <c r="B146" s="16"/>
      <c r="C146" s="16"/>
      <c r="D146" s="16"/>
      <c r="E146" s="16"/>
      <c r="F146" s="16"/>
      <c r="G146" s="16"/>
      <c r="H146" s="16"/>
      <c r="I146" s="16"/>
      <c r="J146" s="16"/>
      <c r="K146" s="16"/>
      <c r="L146" s="16"/>
      <c r="M146" s="735"/>
      <c r="N146" s="696"/>
      <c r="O146" s="696"/>
      <c r="P146" s="696"/>
      <c r="Q146" s="696"/>
      <c r="R146" s="696"/>
      <c r="S146" s="696"/>
      <c r="T146" s="696"/>
      <c r="U146" s="16"/>
      <c r="V146" s="16"/>
      <c r="W146" s="16"/>
      <c r="X146" s="16"/>
      <c r="Y146" s="16"/>
      <c r="Z146" s="16"/>
      <c r="AA146" s="16"/>
      <c r="AB146" s="16"/>
      <c r="AC146" s="16"/>
      <c r="AD146" s="16"/>
    </row>
    <row r="147" spans="1:30" ht="15.75" customHeight="1">
      <c r="A147" s="16"/>
      <c r="B147" s="16"/>
      <c r="C147" s="16"/>
      <c r="D147" s="16"/>
      <c r="E147" s="16"/>
      <c r="F147" s="16"/>
      <c r="G147" s="16"/>
      <c r="H147" s="16"/>
      <c r="I147" s="16"/>
      <c r="J147" s="16"/>
      <c r="K147" s="16"/>
      <c r="L147" s="16"/>
      <c r="M147" s="735"/>
      <c r="N147" s="696"/>
      <c r="O147" s="696"/>
      <c r="P147" s="696"/>
      <c r="Q147" s="696"/>
      <c r="R147" s="696"/>
      <c r="S147" s="696"/>
      <c r="T147" s="696"/>
      <c r="U147" s="16"/>
      <c r="V147" s="16"/>
      <c r="W147" s="16"/>
      <c r="X147" s="16"/>
      <c r="Y147" s="16"/>
      <c r="Z147" s="16"/>
      <c r="AA147" s="16"/>
      <c r="AB147" s="16"/>
      <c r="AC147" s="16"/>
      <c r="AD147" s="16"/>
    </row>
    <row r="148" spans="1:30" ht="15.75" customHeight="1">
      <c r="A148" s="1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c r="AA148" s="16"/>
      <c r="AB148" s="16"/>
      <c r="AC148" s="16"/>
      <c r="AD148" s="16"/>
    </row>
    <row r="149" spans="1:30" ht="15.75" customHeight="1">
      <c r="A149" s="16"/>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c r="AA149" s="16"/>
      <c r="AB149" s="16"/>
      <c r="AC149" s="16"/>
      <c r="AD149" s="16"/>
    </row>
    <row r="150" spans="1:30" ht="15.75" customHeight="1">
      <c r="A150" s="16"/>
      <c r="B150" s="735"/>
      <c r="C150" s="696"/>
      <c r="D150" s="16"/>
      <c r="E150" s="16"/>
      <c r="F150" s="16"/>
      <c r="G150" s="16"/>
      <c r="H150" s="16"/>
      <c r="I150" s="16"/>
      <c r="J150" s="16"/>
      <c r="K150" s="16"/>
      <c r="L150" s="16"/>
      <c r="M150" s="735"/>
      <c r="N150" s="696"/>
      <c r="O150" s="696"/>
      <c r="P150" s="735"/>
      <c r="Q150" s="696"/>
      <c r="R150" s="696"/>
      <c r="S150" s="696"/>
      <c r="T150" s="696"/>
      <c r="U150" s="16"/>
      <c r="V150" s="16"/>
      <c r="W150" s="16"/>
      <c r="X150" s="16"/>
      <c r="Y150" s="16"/>
      <c r="Z150" s="16"/>
      <c r="AA150" s="16"/>
      <c r="AB150" s="16"/>
      <c r="AC150" s="16"/>
      <c r="AD150" s="16"/>
    </row>
    <row r="151" spans="1:30" ht="15.75" customHeight="1">
      <c r="A151" s="16"/>
      <c r="B151" s="735"/>
      <c r="C151" s="696"/>
      <c r="D151" s="16"/>
      <c r="E151" s="16"/>
      <c r="F151" s="16"/>
      <c r="G151" s="16"/>
      <c r="H151" s="16"/>
      <c r="I151" s="16"/>
      <c r="J151" s="16"/>
      <c r="K151" s="16"/>
      <c r="L151" s="16"/>
      <c r="M151" s="735"/>
      <c r="N151" s="696"/>
      <c r="O151" s="696"/>
      <c r="P151" s="735"/>
      <c r="Q151" s="696"/>
      <c r="R151" s="696"/>
      <c r="S151" s="696"/>
      <c r="T151" s="696"/>
      <c r="U151" s="16"/>
      <c r="V151" s="16"/>
      <c r="W151" s="16"/>
      <c r="X151" s="16"/>
      <c r="Y151" s="16"/>
      <c r="Z151" s="16"/>
      <c r="AA151" s="16"/>
      <c r="AB151" s="16"/>
      <c r="AC151" s="16"/>
      <c r="AD151" s="16"/>
    </row>
    <row r="152" spans="1:30" ht="15.75" customHeight="1">
      <c r="A152" s="16"/>
      <c r="B152" s="735"/>
      <c r="C152" s="696"/>
      <c r="D152" s="16"/>
      <c r="E152" s="16"/>
      <c r="F152" s="16"/>
      <c r="G152" s="16"/>
      <c r="H152" s="16"/>
      <c r="I152" s="16"/>
      <c r="J152" s="16"/>
      <c r="K152" s="16"/>
      <c r="L152" s="16"/>
      <c r="M152" s="735"/>
      <c r="N152" s="696"/>
      <c r="O152" s="696"/>
      <c r="P152" s="696"/>
      <c r="Q152" s="696"/>
      <c r="R152" s="696"/>
      <c r="S152" s="696"/>
      <c r="T152" s="696"/>
      <c r="U152" s="16"/>
      <c r="V152" s="16"/>
      <c r="W152" s="16"/>
      <c r="X152" s="16"/>
      <c r="Y152" s="16"/>
      <c r="Z152" s="16"/>
      <c r="AA152" s="16"/>
      <c r="AB152" s="16"/>
      <c r="AC152" s="16"/>
      <c r="AD152" s="16"/>
    </row>
    <row r="153" spans="1:30" ht="15.75" customHeight="1">
      <c r="A153" s="16"/>
      <c r="B153" s="735"/>
      <c r="C153" s="696"/>
      <c r="D153" s="16"/>
      <c r="E153" s="16"/>
      <c r="F153" s="16"/>
      <c r="G153" s="16"/>
      <c r="H153" s="16"/>
      <c r="I153" s="16"/>
      <c r="J153" s="16"/>
      <c r="K153" s="16"/>
      <c r="L153" s="16"/>
      <c r="M153" s="735"/>
      <c r="N153" s="696"/>
      <c r="O153" s="696"/>
      <c r="P153" s="696"/>
      <c r="Q153" s="696"/>
      <c r="R153" s="696"/>
      <c r="S153" s="696"/>
      <c r="T153" s="696"/>
      <c r="U153" s="16"/>
      <c r="V153" s="16"/>
      <c r="W153" s="16"/>
      <c r="X153" s="16"/>
      <c r="Y153" s="16"/>
      <c r="Z153" s="16"/>
      <c r="AA153" s="16"/>
      <c r="AB153" s="16"/>
      <c r="AC153" s="16"/>
      <c r="AD153" s="16"/>
    </row>
    <row r="154" spans="1:30" ht="15.75" customHeight="1">
      <c r="A154" s="16"/>
      <c r="B154" s="735"/>
      <c r="C154" s="696"/>
      <c r="D154" s="16"/>
      <c r="E154" s="16"/>
      <c r="F154" s="16"/>
      <c r="G154" s="16"/>
      <c r="H154" s="16"/>
      <c r="I154" s="16"/>
      <c r="J154" s="16"/>
      <c r="K154" s="16"/>
      <c r="L154" s="16"/>
      <c r="M154" s="735"/>
      <c r="N154" s="696"/>
      <c r="O154" s="696"/>
      <c r="P154" s="696"/>
      <c r="Q154" s="696"/>
      <c r="R154" s="696"/>
      <c r="S154" s="696"/>
      <c r="T154" s="696"/>
      <c r="U154" s="16"/>
      <c r="V154" s="16"/>
      <c r="W154" s="16"/>
      <c r="X154" s="16"/>
      <c r="Y154" s="16"/>
      <c r="Z154" s="16"/>
      <c r="AA154" s="16"/>
      <c r="AB154" s="16"/>
      <c r="AC154" s="16"/>
      <c r="AD154" s="16"/>
    </row>
    <row r="155" spans="1:30" ht="15.75" customHeight="1">
      <c r="A155" s="16"/>
      <c r="B155" s="735"/>
      <c r="C155" s="696"/>
      <c r="D155" s="16"/>
      <c r="E155" s="16"/>
      <c r="F155" s="16"/>
      <c r="G155" s="16"/>
      <c r="H155" s="16"/>
      <c r="I155" s="16"/>
      <c r="J155" s="16"/>
      <c r="K155" s="16"/>
      <c r="L155" s="16"/>
      <c r="M155" s="735"/>
      <c r="N155" s="696"/>
      <c r="O155" s="696"/>
      <c r="P155" s="696"/>
      <c r="Q155" s="696"/>
      <c r="R155" s="696"/>
      <c r="S155" s="696"/>
      <c r="T155" s="696"/>
      <c r="U155" s="16"/>
      <c r="V155" s="16"/>
      <c r="W155" s="16"/>
      <c r="X155" s="16"/>
      <c r="Y155" s="16"/>
      <c r="Z155" s="16"/>
      <c r="AA155" s="16"/>
      <c r="AB155" s="16"/>
      <c r="AC155" s="16"/>
      <c r="AD155" s="16"/>
    </row>
    <row r="156" spans="1:30" ht="15.75" customHeight="1">
      <c r="A156" s="16"/>
      <c r="B156" s="735"/>
      <c r="C156" s="696"/>
      <c r="D156" s="16"/>
      <c r="E156" s="16"/>
      <c r="F156" s="16"/>
      <c r="G156" s="16"/>
      <c r="H156" s="16"/>
      <c r="I156" s="16"/>
      <c r="J156" s="16"/>
      <c r="K156" s="16"/>
      <c r="L156" s="16"/>
      <c r="M156" s="735"/>
      <c r="N156" s="696"/>
      <c r="O156" s="696"/>
      <c r="P156" s="696"/>
      <c r="Q156" s="696"/>
      <c r="R156" s="696"/>
      <c r="S156" s="696"/>
      <c r="T156" s="696"/>
      <c r="U156" s="16"/>
      <c r="V156" s="16"/>
      <c r="W156" s="16"/>
      <c r="X156" s="16"/>
      <c r="Y156" s="16"/>
      <c r="Z156" s="16"/>
      <c r="AA156" s="16"/>
      <c r="AB156" s="16"/>
      <c r="AC156" s="16"/>
      <c r="AD156" s="16"/>
    </row>
    <row r="157" spans="1:30" ht="15.75" customHeight="1">
      <c r="A157" s="16"/>
      <c r="B157" s="735"/>
      <c r="C157" s="696"/>
      <c r="D157" s="16"/>
      <c r="E157" s="16"/>
      <c r="F157" s="16"/>
      <c r="G157" s="16"/>
      <c r="H157" s="16"/>
      <c r="I157" s="16"/>
      <c r="J157" s="16"/>
      <c r="K157" s="16"/>
      <c r="L157" s="16"/>
      <c r="M157" s="735"/>
      <c r="N157" s="696"/>
      <c r="O157" s="696"/>
      <c r="P157" s="696"/>
      <c r="Q157" s="696"/>
      <c r="R157" s="696"/>
      <c r="S157" s="696"/>
      <c r="T157" s="696"/>
      <c r="U157" s="16"/>
      <c r="V157" s="16"/>
      <c r="W157" s="16"/>
      <c r="X157" s="16"/>
      <c r="Y157" s="16"/>
      <c r="Z157" s="16"/>
      <c r="AA157" s="16"/>
      <c r="AB157" s="16"/>
      <c r="AC157" s="16"/>
      <c r="AD157" s="16"/>
    </row>
    <row r="158" spans="1:30" ht="15.75" customHeight="1">
      <c r="A158" s="16"/>
      <c r="B158" s="735"/>
      <c r="C158" s="696"/>
      <c r="D158" s="16"/>
      <c r="E158" s="16"/>
      <c r="F158" s="16"/>
      <c r="G158" s="16"/>
      <c r="H158" s="16"/>
      <c r="I158" s="16"/>
      <c r="J158" s="16"/>
      <c r="K158" s="16"/>
      <c r="L158" s="16"/>
      <c r="M158" s="735"/>
      <c r="N158" s="696"/>
      <c r="O158" s="696"/>
      <c r="P158" s="696"/>
      <c r="Q158" s="696"/>
      <c r="R158" s="696"/>
      <c r="S158" s="696"/>
      <c r="T158" s="696"/>
      <c r="U158" s="16"/>
      <c r="V158" s="16"/>
      <c r="W158" s="16"/>
      <c r="X158" s="16"/>
      <c r="Y158" s="16"/>
      <c r="Z158" s="16"/>
      <c r="AA158" s="16"/>
      <c r="AB158" s="16"/>
      <c r="AC158" s="16"/>
      <c r="AD158" s="16"/>
    </row>
    <row r="159" spans="1:30" ht="15.75" customHeight="1">
      <c r="A159" s="16"/>
      <c r="B159" s="735"/>
      <c r="C159" s="696"/>
      <c r="D159" s="16"/>
      <c r="E159" s="16"/>
      <c r="F159" s="16"/>
      <c r="G159" s="16"/>
      <c r="H159" s="16"/>
      <c r="I159" s="16"/>
      <c r="J159" s="16"/>
      <c r="K159" s="16"/>
      <c r="L159" s="16"/>
      <c r="M159" s="735"/>
      <c r="N159" s="696"/>
      <c r="O159" s="696"/>
      <c r="P159" s="696"/>
      <c r="Q159" s="696"/>
      <c r="R159" s="696"/>
      <c r="S159" s="696"/>
      <c r="T159" s="696"/>
      <c r="U159" s="16"/>
      <c r="V159" s="16"/>
      <c r="W159" s="16"/>
      <c r="X159" s="16"/>
      <c r="Y159" s="16"/>
      <c r="Z159" s="16"/>
      <c r="AA159" s="16"/>
      <c r="AB159" s="16"/>
      <c r="AC159" s="16"/>
      <c r="AD159" s="16"/>
    </row>
    <row r="160" spans="1:30" ht="15.75" customHeight="1">
      <c r="A160" s="16"/>
      <c r="B160" s="735"/>
      <c r="C160" s="696"/>
      <c r="D160" s="16"/>
      <c r="E160" s="16"/>
      <c r="F160" s="16"/>
      <c r="G160" s="16"/>
      <c r="H160" s="16"/>
      <c r="I160" s="16"/>
      <c r="J160" s="16"/>
      <c r="K160" s="16"/>
      <c r="L160" s="16"/>
      <c r="M160" s="735"/>
      <c r="N160" s="696"/>
      <c r="O160" s="696"/>
      <c r="P160" s="696"/>
      <c r="Q160" s="696"/>
      <c r="R160" s="696"/>
      <c r="S160" s="696"/>
      <c r="T160" s="696"/>
      <c r="U160" s="16"/>
      <c r="V160" s="16"/>
      <c r="W160" s="16"/>
      <c r="X160" s="16"/>
      <c r="Y160" s="16"/>
      <c r="Z160" s="16"/>
      <c r="AA160" s="16"/>
      <c r="AB160" s="16"/>
      <c r="AC160" s="16"/>
      <c r="AD160" s="16"/>
    </row>
    <row r="161" spans="1:30" ht="15.75" customHeight="1">
      <c r="A161" s="16"/>
      <c r="B161" s="735"/>
      <c r="C161" s="696"/>
      <c r="D161" s="16"/>
      <c r="E161" s="16"/>
      <c r="F161" s="16"/>
      <c r="G161" s="16"/>
      <c r="H161" s="16"/>
      <c r="I161" s="16"/>
      <c r="J161" s="16"/>
      <c r="K161" s="16"/>
      <c r="L161" s="16"/>
      <c r="M161" s="735"/>
      <c r="N161" s="696"/>
      <c r="O161" s="696"/>
      <c r="P161" s="696"/>
      <c r="Q161" s="696"/>
      <c r="R161" s="696"/>
      <c r="S161" s="696"/>
      <c r="T161" s="696"/>
      <c r="U161" s="16"/>
      <c r="V161" s="16"/>
      <c r="W161" s="16"/>
      <c r="X161" s="16"/>
      <c r="Y161" s="16"/>
      <c r="Z161" s="16"/>
      <c r="AA161" s="16"/>
      <c r="AB161" s="16"/>
      <c r="AC161" s="16"/>
      <c r="AD161" s="16"/>
    </row>
    <row r="162" spans="1:30" ht="15.75" customHeight="1">
      <c r="A162" s="16"/>
      <c r="B162" s="735"/>
      <c r="C162" s="696"/>
      <c r="D162" s="16"/>
      <c r="E162" s="16"/>
      <c r="F162" s="16"/>
      <c r="G162" s="16"/>
      <c r="H162" s="16"/>
      <c r="I162" s="16"/>
      <c r="J162" s="16"/>
      <c r="K162" s="16"/>
      <c r="L162" s="16"/>
      <c r="M162" s="735"/>
      <c r="N162" s="696"/>
      <c r="O162" s="696"/>
      <c r="P162" s="696"/>
      <c r="Q162" s="696"/>
      <c r="R162" s="696"/>
      <c r="S162" s="696"/>
      <c r="T162" s="696"/>
      <c r="U162" s="16"/>
      <c r="V162" s="16"/>
      <c r="W162" s="16"/>
      <c r="X162" s="16"/>
      <c r="Y162" s="16"/>
      <c r="Z162" s="16"/>
      <c r="AA162" s="16"/>
      <c r="AB162" s="16"/>
      <c r="AC162" s="16"/>
      <c r="AD162" s="16"/>
    </row>
    <row r="163" spans="1:30" ht="15.75" customHeight="1">
      <c r="A163" s="16"/>
      <c r="B163" s="735"/>
      <c r="C163" s="696"/>
      <c r="D163" s="16"/>
      <c r="E163" s="16"/>
      <c r="F163" s="16"/>
      <c r="G163" s="16"/>
      <c r="H163" s="16"/>
      <c r="I163" s="16"/>
      <c r="J163" s="16"/>
      <c r="K163" s="16"/>
      <c r="L163" s="16"/>
      <c r="M163" s="735"/>
      <c r="N163" s="696"/>
      <c r="O163" s="696"/>
      <c r="P163" s="696"/>
      <c r="Q163" s="696"/>
      <c r="R163" s="696"/>
      <c r="S163" s="696"/>
      <c r="T163" s="696"/>
      <c r="U163" s="16"/>
      <c r="V163" s="16"/>
      <c r="W163" s="16"/>
      <c r="X163" s="16"/>
      <c r="Y163" s="16"/>
      <c r="Z163" s="16"/>
      <c r="AA163" s="16"/>
      <c r="AB163" s="16"/>
      <c r="AC163" s="16"/>
      <c r="AD163" s="16"/>
    </row>
    <row r="164" spans="1:30" ht="15.75" customHeight="1">
      <c r="A164" s="16"/>
      <c r="B164" s="735"/>
      <c r="C164" s="696"/>
      <c r="D164" s="16"/>
      <c r="E164" s="16"/>
      <c r="F164" s="16"/>
      <c r="G164" s="16"/>
      <c r="H164" s="16"/>
      <c r="I164" s="16"/>
      <c r="J164" s="16"/>
      <c r="K164" s="16"/>
      <c r="L164" s="16"/>
      <c r="M164" s="735"/>
      <c r="N164" s="696"/>
      <c r="O164" s="696"/>
      <c r="P164" s="696"/>
      <c r="Q164" s="696"/>
      <c r="R164" s="696"/>
      <c r="S164" s="696"/>
      <c r="T164" s="696"/>
      <c r="U164" s="16"/>
      <c r="V164" s="16"/>
      <c r="W164" s="16"/>
      <c r="X164" s="16"/>
      <c r="Y164" s="16"/>
      <c r="Z164" s="16"/>
      <c r="AA164" s="16"/>
      <c r="AB164" s="16"/>
      <c r="AC164" s="16"/>
      <c r="AD164" s="16"/>
    </row>
    <row r="165" spans="1:30" ht="15.75" customHeight="1">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row>
    <row r="166" spans="1:30" ht="15.75" customHeight="1">
      <c r="A166" s="1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c r="AA166" s="16"/>
      <c r="AB166" s="16"/>
      <c r="AC166" s="16"/>
      <c r="AD166" s="16"/>
    </row>
    <row r="167" spans="1:30" ht="15.75" customHeight="1">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c r="AA167" s="16"/>
      <c r="AB167" s="16"/>
      <c r="AC167" s="16"/>
      <c r="AD167" s="16"/>
    </row>
    <row r="168" spans="1:30" ht="15.75" customHeight="1">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c r="AA168" s="16"/>
      <c r="AB168" s="16"/>
      <c r="AC168" s="16"/>
      <c r="AD168" s="16"/>
    </row>
    <row r="169" spans="1:30" ht="15.75" customHeight="1">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c r="AA169" s="16"/>
      <c r="AB169" s="16"/>
      <c r="AC169" s="16"/>
      <c r="AD169" s="16"/>
    </row>
    <row r="170" spans="1:30" ht="15.75" customHeight="1">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c r="AA170" s="16"/>
      <c r="AB170" s="16"/>
      <c r="AC170" s="16"/>
      <c r="AD170" s="16"/>
    </row>
    <row r="171" spans="1:30" ht="15.75" customHeight="1">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c r="AA171" s="16"/>
      <c r="AB171" s="16"/>
      <c r="AC171" s="16"/>
      <c r="AD171" s="16"/>
    </row>
    <row r="172" spans="1:30" ht="15.75" customHeight="1">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row>
    <row r="173" spans="1:30" ht="15.75" customHeight="1">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c r="AC173" s="16"/>
      <c r="AD173" s="16"/>
    </row>
    <row r="174" spans="1:30" ht="15.75" customHeight="1">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c r="AC174" s="16"/>
      <c r="AD174" s="16"/>
    </row>
    <row r="175" spans="1:30" ht="15.75" customHeight="1">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c r="AA175" s="16"/>
      <c r="AB175" s="16"/>
      <c r="AC175" s="16"/>
      <c r="AD175" s="16"/>
    </row>
    <row r="176" spans="1:30" ht="15.75" customHeight="1">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c r="AD176" s="16"/>
    </row>
    <row r="177" spans="1:30" ht="15.75" customHeight="1">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c r="AD177" s="16"/>
    </row>
    <row r="178" spans="1:30" ht="15.75" customHeight="1">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c r="AA178" s="16"/>
      <c r="AB178" s="16"/>
      <c r="AC178" s="16"/>
      <c r="AD178" s="16"/>
    </row>
    <row r="179" spans="1:30" ht="15.75" customHeight="1">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c r="AD179" s="16"/>
    </row>
    <row r="180" spans="1:30" ht="15.75" customHeight="1">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c r="AD180" s="16"/>
    </row>
    <row r="181" spans="1:30" ht="15.75" customHeight="1">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c r="AD181" s="16"/>
    </row>
    <row r="182" spans="1:30" ht="15.75" customHeight="1">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c r="AD182" s="16"/>
    </row>
    <row r="183" spans="1:30" ht="15.75" customHeight="1">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c r="AD183" s="16"/>
    </row>
    <row r="184" spans="1:30" ht="15.75" customHeight="1">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c r="AD184" s="16"/>
    </row>
    <row r="185" spans="1:30" ht="15.75" customHeight="1">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c r="AD185" s="16"/>
    </row>
    <row r="186" spans="1:30" ht="15.75" customHeight="1">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c r="AD186" s="16"/>
    </row>
    <row r="187" spans="1:30" ht="15.75" customHeight="1">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16"/>
      <c r="AB187" s="16"/>
      <c r="AC187" s="16"/>
      <c r="AD187" s="16"/>
    </row>
    <row r="188" spans="1:30" ht="15.75" customHeight="1">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c r="AD188" s="16"/>
    </row>
    <row r="189" spans="1:30" ht="15.75" customHeight="1">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c r="AD189" s="16"/>
    </row>
    <row r="190" spans="1:30" ht="15.75" customHeight="1">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c r="AD190" s="16"/>
    </row>
    <row r="191" spans="1:30" ht="15.75" customHeight="1">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c r="AD191" s="16"/>
    </row>
    <row r="192" spans="1:30" ht="15.75" customHeight="1">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c r="AD192" s="16"/>
    </row>
    <row r="193" spans="1:30" ht="15.75" customHeight="1">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c r="AA193" s="16"/>
      <c r="AB193" s="16"/>
      <c r="AC193" s="16"/>
      <c r="AD193" s="16"/>
    </row>
    <row r="194" spans="1:30" ht="15.75" customHeight="1">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c r="AA194" s="16"/>
      <c r="AB194" s="16"/>
      <c r="AC194" s="16"/>
      <c r="AD194" s="16"/>
    </row>
    <row r="195" spans="1:30" ht="15.75" customHeight="1">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c r="AA195" s="16"/>
      <c r="AB195" s="16"/>
      <c r="AC195" s="16"/>
      <c r="AD195" s="16"/>
    </row>
    <row r="196" spans="1:30" ht="15.75" customHeight="1">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c r="AA196" s="16"/>
      <c r="AB196" s="16"/>
      <c r="AC196" s="16"/>
      <c r="AD196" s="16"/>
    </row>
    <row r="197" spans="1:30" ht="15.75" customHeight="1">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c r="AD197" s="16"/>
    </row>
    <row r="198" spans="1:30" ht="15.75" customHeight="1">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c r="AD198" s="16"/>
    </row>
    <row r="199" spans="1:30" ht="15.75" customHeight="1">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c r="AA199" s="16"/>
      <c r="AB199" s="16"/>
      <c r="AC199" s="16"/>
      <c r="AD199" s="16"/>
    </row>
    <row r="200" spans="1:30" ht="15.75" customHeight="1">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c r="AA200" s="16"/>
      <c r="AB200" s="16"/>
      <c r="AC200" s="16"/>
      <c r="AD200" s="16"/>
    </row>
    <row r="201" spans="1:30" ht="15.75" customHeight="1">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c r="AD201" s="16"/>
    </row>
    <row r="202" spans="1:30" ht="15.75" customHeight="1">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c r="AD202" s="16"/>
    </row>
    <row r="203" spans="1:30" ht="15.75" customHeight="1">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c r="AA203" s="16"/>
      <c r="AB203" s="16"/>
      <c r="AC203" s="16"/>
      <c r="AD203" s="16"/>
    </row>
    <row r="204" spans="1:30" ht="15.75" customHeight="1">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c r="AA204" s="16"/>
      <c r="AB204" s="16"/>
      <c r="AC204" s="16"/>
      <c r="AD204" s="16"/>
    </row>
    <row r="205" spans="1:30" ht="15.75" customHeight="1">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c r="AD205" s="16"/>
    </row>
    <row r="206" spans="1:30" ht="15.75" customHeight="1">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row>
    <row r="207" spans="1:30" ht="15.75" customHeight="1">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c r="AD207" s="16"/>
    </row>
    <row r="208" spans="1:30" ht="15.75" customHeight="1">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c r="AD208" s="16"/>
    </row>
    <row r="209" spans="1:30" ht="15.75" customHeight="1">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c r="AD209" s="16"/>
    </row>
    <row r="210" spans="1:30" ht="15.75" customHeight="1">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c r="AD210" s="16"/>
    </row>
    <row r="211" spans="1:30" ht="15.75" customHeight="1">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row>
    <row r="212" spans="1:30" ht="15.75" customHeight="1">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c r="AD212" s="16"/>
    </row>
    <row r="213" spans="1:30" ht="15.75" customHeight="1">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c r="AD213" s="16"/>
    </row>
    <row r="214" spans="1:30" ht="15.75" customHeight="1">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row>
    <row r="215" spans="1:30" ht="15.75" customHeight="1">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c r="AD215" s="16"/>
    </row>
    <row r="216" spans="1:30" ht="15.75" customHeight="1">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c r="AD216" s="16"/>
    </row>
    <row r="217" spans="1:30" ht="15.75" customHeight="1">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c r="AD217" s="16"/>
    </row>
    <row r="218" spans="1:30" ht="15.75" customHeight="1">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c r="AD218" s="16"/>
    </row>
    <row r="219" spans="1:30" ht="15.75" customHeight="1">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c r="AD219" s="16"/>
    </row>
    <row r="220" spans="1:30" ht="15.75" customHeight="1">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c r="AD220" s="16"/>
    </row>
    <row r="221" spans="1:30" ht="15.75" customHeight="1">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row>
    <row r="222" spans="1:30" ht="15.75" customHeight="1">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row>
    <row r="223" spans="1:30" ht="15.75" customHeight="1">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c r="AD223" s="16"/>
    </row>
    <row r="224" spans="1:30" ht="15.75" customHeight="1">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c r="AD224" s="16"/>
    </row>
    <row r="225" spans="1:30" ht="15.75" customHeight="1">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16"/>
    </row>
    <row r="226" spans="1:30" ht="15.75" customHeight="1">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row>
    <row r="227" spans="1:30" ht="15.75" customHeight="1">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16"/>
    </row>
    <row r="228" spans="1:30" ht="15.75" customHeight="1">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c r="AD228" s="16"/>
    </row>
    <row r="229" spans="1:30" ht="15.75" customHeight="1">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c r="AD229" s="16"/>
    </row>
    <row r="230" spans="1:30" ht="15.75" customHeight="1">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row>
    <row r="231" spans="1:30" ht="15.75" customHeight="1">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c r="AD231" s="16"/>
    </row>
    <row r="232" spans="1:30" ht="15.75" customHeight="1">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c r="AD232" s="16"/>
    </row>
    <row r="233" spans="1:30" ht="15.75" customHeight="1">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c r="AD233" s="16"/>
    </row>
    <row r="234" spans="1:30" ht="15.75" customHeight="1">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c r="AD234" s="16"/>
    </row>
    <row r="235" spans="1:30" ht="15.75" customHeight="1">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row>
    <row r="236" spans="1:30" ht="15.75" customHeight="1">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c r="AD236" s="16"/>
    </row>
    <row r="237" spans="1:30" ht="15.75" customHeight="1">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c r="AD237" s="16"/>
    </row>
    <row r="238" spans="1:30" ht="15.75" customHeight="1">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c r="AD238" s="16"/>
    </row>
    <row r="239" spans="1:30" ht="15.75" customHeight="1">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c r="AD239" s="16"/>
    </row>
    <row r="240" spans="1:30" ht="15.75" customHeight="1">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c r="AD240" s="16"/>
    </row>
    <row r="241" spans="1:30" ht="15.75" customHeight="1">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c r="AD241" s="16"/>
    </row>
    <row r="242" spans="1:30" ht="15.75" customHeight="1">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c r="AD242" s="16"/>
    </row>
    <row r="243" spans="1:30" ht="15.75" customHeight="1">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c r="AD243" s="16"/>
    </row>
    <row r="244" spans="1:30" ht="15.75" customHeight="1">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16"/>
    </row>
    <row r="245" spans="1:30" ht="15.75" customHeight="1">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c r="AD245" s="16"/>
    </row>
    <row r="246" spans="1:30" ht="15.75" customHeight="1">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row>
    <row r="247" spans="1:30" ht="15.75" customHeight="1">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c r="AD247" s="16"/>
    </row>
    <row r="248" spans="1:30" ht="15.75" customHeight="1">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row>
    <row r="249" spans="1:30" ht="15.75" customHeight="1">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row>
    <row r="250" spans="1:30" ht="15.75" customHeight="1">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c r="AD250" s="16"/>
    </row>
    <row r="251" spans="1:30" ht="15.75" customHeight="1">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row>
    <row r="252" spans="1:30" ht="15.75" customHeight="1">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16"/>
    </row>
    <row r="253" spans="1:30" ht="15.75" customHeight="1">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c r="AD253" s="16"/>
    </row>
    <row r="254" spans="1:30" ht="15.75" customHeight="1">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row>
    <row r="255" spans="1:30" ht="15.75" customHeight="1">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c r="AD255" s="16"/>
    </row>
    <row r="256" spans="1:30" ht="15.75" customHeight="1">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row>
    <row r="257" spans="1:30" ht="15.75" customHeight="1">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c r="AD257" s="16"/>
    </row>
    <row r="258" spans="1:30" ht="15.75" customHeight="1">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c r="AD258" s="16"/>
    </row>
    <row r="259" spans="1:30" ht="15.75" customHeight="1">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row>
    <row r="260" spans="1:30" ht="15.75" customHeight="1">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row>
    <row r="261" spans="1:30" ht="15.75" customHeight="1">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c r="AD261" s="16"/>
    </row>
    <row r="262" spans="1:30" ht="15.75" customHeight="1">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row>
    <row r="263" spans="1:30" ht="15.75" customHeight="1">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row>
    <row r="264" spans="1:30" ht="15.75" customHeight="1">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c r="AD264" s="16"/>
    </row>
    <row r="265" spans="1:30" ht="15.75" customHeight="1">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row>
    <row r="266" spans="1:30" ht="15.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row>
    <row r="267" spans="1:30" ht="15.75" customHeight="1">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row>
    <row r="268" spans="1:30" ht="15.75" customHeight="1">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c r="AD268" s="16"/>
    </row>
    <row r="269" spans="1:30" ht="15.75" customHeight="1">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row>
    <row r="270" spans="1:30" ht="15.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row>
    <row r="271" spans="1:30" ht="15.75" customHeight="1">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c r="AD271" s="16"/>
    </row>
    <row r="272" spans="1:30" ht="15.75" customHeight="1">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c r="AD272" s="16"/>
    </row>
    <row r="273" spans="1:30" ht="15.75" customHeight="1">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c r="AD273" s="16"/>
    </row>
    <row r="274" spans="1:30" ht="15.75" customHeight="1">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c r="AD274" s="16"/>
    </row>
    <row r="275" spans="1:30" ht="15.75" customHeight="1">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c r="AD275" s="16"/>
    </row>
    <row r="276" spans="1:30" ht="15.75" customHeight="1">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row>
    <row r="277" spans="1:30" ht="15.75" customHeight="1">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16"/>
    </row>
    <row r="278" spans="1:30" ht="15.75" customHeight="1">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row>
    <row r="279" spans="1:30" ht="15.75" customHeight="1">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16"/>
    </row>
    <row r="280" spans="1:30" ht="15.75" customHeight="1">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c r="AD280" s="16"/>
    </row>
    <row r="281" spans="1:30" ht="15.75" customHeight="1">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c r="AD281" s="16"/>
    </row>
    <row r="282" spans="1:30" ht="15.75" customHeight="1">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c r="AD282" s="16"/>
    </row>
    <row r="283" spans="1:30" ht="15.75" customHeight="1">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c r="AD283" s="16"/>
    </row>
    <row r="284" spans="1:30" ht="15.75" customHeight="1">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c r="AD284" s="16"/>
    </row>
    <row r="285" spans="1:30" ht="15.75" customHeight="1">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c r="AD285" s="16"/>
    </row>
    <row r="286" spans="1:30" ht="15.75" customHeight="1">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row>
    <row r="287" spans="1:30" ht="15.75" customHeight="1">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row>
    <row r="288" spans="1:30" ht="15.75" customHeight="1">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row>
    <row r="289" spans="1:30" ht="15.75" customHeight="1">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row>
    <row r="290" spans="1:30" ht="15.75" customHeight="1">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row>
    <row r="291" spans="1:30" ht="15.75" customHeight="1">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c r="AD291" s="16"/>
    </row>
    <row r="292" spans="1:30" ht="15.75" customHeight="1">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row>
    <row r="293" spans="1:30" ht="15.75" customHeight="1">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row>
    <row r="294" spans="1:30" ht="15.75" customHeight="1">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row>
    <row r="295" spans="1:30" ht="15.75" customHeight="1">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row>
    <row r="296" spans="1:30" ht="15.75" customHeight="1">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row>
    <row r="297" spans="1:30" ht="15.75" customHeight="1">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row>
    <row r="298" spans="1:30" ht="15.75" customHeight="1">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row>
    <row r="299" spans="1:30" ht="15.75" customHeight="1">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row>
    <row r="300" spans="1:30" ht="15.75" customHeight="1">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row>
    <row r="301" spans="1:30" ht="15.75" customHeight="1"/>
    <row r="302" spans="1:30" ht="15.75" customHeight="1"/>
    <row r="303" spans="1:30" ht="15.75" customHeight="1"/>
    <row r="304" spans="1:30"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99">
    <mergeCell ref="K55:M67"/>
    <mergeCell ref="A30:F30"/>
    <mergeCell ref="A31:F31"/>
    <mergeCell ref="A32:F32"/>
    <mergeCell ref="A34:F34"/>
    <mergeCell ref="A29:F29"/>
    <mergeCell ref="A1:C1"/>
    <mergeCell ref="E1:H1"/>
    <mergeCell ref="D7:I7"/>
    <mergeCell ref="D8:I8"/>
    <mergeCell ref="A28:F28"/>
    <mergeCell ref="H87:I100"/>
    <mergeCell ref="J87:K100"/>
    <mergeCell ref="AG29:AH29"/>
    <mergeCell ref="AI29:AJ29"/>
    <mergeCell ref="AG30:AH40"/>
    <mergeCell ref="AI30:AJ40"/>
    <mergeCell ref="H37:J37"/>
    <mergeCell ref="K71:O82"/>
    <mergeCell ref="P71:Q82"/>
    <mergeCell ref="H86:I86"/>
    <mergeCell ref="J86:K86"/>
    <mergeCell ref="K70:O70"/>
    <mergeCell ref="H38:J42"/>
    <mergeCell ref="I45:K45"/>
    <mergeCell ref="I46:K50"/>
    <mergeCell ref="K54:M54"/>
    <mergeCell ref="P110:R110"/>
    <mergeCell ref="P70:Q70"/>
    <mergeCell ref="P111:R111"/>
    <mergeCell ref="P112:R112"/>
    <mergeCell ref="P113:R113"/>
    <mergeCell ref="P114:R114"/>
    <mergeCell ref="P115:R115"/>
    <mergeCell ref="M130:O130"/>
    <mergeCell ref="P116:R116"/>
    <mergeCell ref="M118:O118"/>
    <mergeCell ref="P118:T118"/>
    <mergeCell ref="M119:O119"/>
    <mergeCell ref="P119:T130"/>
    <mergeCell ref="M120:O120"/>
    <mergeCell ref="M121:O121"/>
    <mergeCell ref="M122:O122"/>
    <mergeCell ref="M123:O123"/>
    <mergeCell ref="M124:O124"/>
    <mergeCell ref="M125:O125"/>
    <mergeCell ref="M126:O126"/>
    <mergeCell ref="M127:O127"/>
    <mergeCell ref="M128:O128"/>
    <mergeCell ref="M129:O129"/>
    <mergeCell ref="M146:O146"/>
    <mergeCell ref="M133:O133"/>
    <mergeCell ref="P133:T133"/>
    <mergeCell ref="M134:O134"/>
    <mergeCell ref="P134:T147"/>
    <mergeCell ref="M135:O135"/>
    <mergeCell ref="M136:O136"/>
    <mergeCell ref="M137:O137"/>
    <mergeCell ref="M138:O138"/>
    <mergeCell ref="M139:O139"/>
    <mergeCell ref="M140:O140"/>
    <mergeCell ref="M141:O141"/>
    <mergeCell ref="M142:O142"/>
    <mergeCell ref="M143:O143"/>
    <mergeCell ref="M144:O144"/>
    <mergeCell ref="M145:O145"/>
    <mergeCell ref="P150:T150"/>
    <mergeCell ref="B151:C151"/>
    <mergeCell ref="M151:O151"/>
    <mergeCell ref="P151:T164"/>
    <mergeCell ref="B152:C152"/>
    <mergeCell ref="M152:O152"/>
    <mergeCell ref="B153:C153"/>
    <mergeCell ref="B156:C156"/>
    <mergeCell ref="M156:O156"/>
    <mergeCell ref="B155:C155"/>
    <mergeCell ref="M155:O155"/>
    <mergeCell ref="B157:C157"/>
    <mergeCell ref="M157:O157"/>
    <mergeCell ref="B158:C158"/>
    <mergeCell ref="M158:O158"/>
    <mergeCell ref="B159:C159"/>
    <mergeCell ref="M147:O147"/>
    <mergeCell ref="B150:C150"/>
    <mergeCell ref="M150:O150"/>
    <mergeCell ref="M153:O153"/>
    <mergeCell ref="B154:C154"/>
    <mergeCell ref="M154:O154"/>
    <mergeCell ref="M159:O159"/>
    <mergeCell ref="B163:C163"/>
    <mergeCell ref="M163:O163"/>
    <mergeCell ref="B164:C164"/>
    <mergeCell ref="M164:O164"/>
    <mergeCell ref="B160:C160"/>
    <mergeCell ref="M160:O160"/>
    <mergeCell ref="B161:C161"/>
    <mergeCell ref="M161:O161"/>
    <mergeCell ref="B162:C162"/>
    <mergeCell ref="M162:O162"/>
  </mergeCells>
  <phoneticPr fontId="31" type="noConversion"/>
  <conditionalFormatting sqref="I55:I66">
    <cfRule type="containsText" dxfId="753" priority="1" operator="containsText" text="5">
      <formula>NOT(ISERROR(SEARCH(("5"),(I55))))</formula>
    </cfRule>
    <cfRule type="containsText" dxfId="752" priority="2" operator="containsText" text="42">
      <formula>NOT(ISERROR(SEARCH(("42"),(I55))))</formula>
    </cfRule>
    <cfRule type="containsText" dxfId="751" priority="3" operator="containsText" text="Please fill in">
      <formula>NOT(ISERROR(SEARCH(("Please fill in"),(I55))))</formula>
    </cfRule>
  </conditionalFormatting>
  <dataValidations count="5">
    <dataValidation type="list" allowBlank="1" showErrorMessage="1" sqref="D48:D50 H67" xr:uid="{1F467178-2891-44EC-AC3A-B99F7A879D9F}">
      <formula1>Cabezota!TypesOfTrainers</formula1>
    </dataValidation>
    <dataValidation type="list" allowBlank="1" showErrorMessage="1" sqref="B9" xr:uid="{62653829-539C-40AA-AB7B-DE6C55754045}">
      <formula1>"yes,no,partial"</formula1>
    </dataValidation>
    <dataValidation type="list" allowBlank="1" sqref="G46:G50" xr:uid="{95B550CB-EE9C-4064-BD0B-F41DACD3A244}">
      <formula1>"yes,no"</formula1>
    </dataValidation>
    <dataValidation type="list" allowBlank="1" showErrorMessage="1" sqref="B71:B75" xr:uid="{435B1379-4F98-44F1-B269-6176BD01CDD8}">
      <formula1>'https://universiteittwente.sharepoint.com/sites/SportsCoordinatorsSUT/Gedeelde documenten/General/(WIP) FAM Sheets - Regulations 2025-28 - Version April 2025.xlsx'!LocationNames</formula1>
    </dataValidation>
    <dataValidation type="list" allowBlank="1" showErrorMessage="1" sqref="H55:H66" xr:uid="{119BFC72-F49B-400F-AC46-6FA5609C7A5B}">
      <formula1>'https://universiteittwente.sharepoint.com/sites/SportsCoordinatorsSUT/Gedeelde documenten/General/(WIP) FAM Sheets - Regulations 2025-28 - Version April 2025.xlsx'!TypesOfTrainers</formula1>
    </dataValidation>
  </dataValidations>
  <pageMargins left="0.7" right="0.7" top="0.75" bottom="0.75" header="0" footer="0"/>
  <pageSetup paperSize="9" orientation="portrait"/>
  <drawing r:id="rId1"/>
  <legacyDrawing r:id="rId2"/>
  <tableParts count="6">
    <tablePart r:id="rId3"/>
    <tablePart r:id="rId4"/>
    <tablePart r:id="rId5"/>
    <tablePart r:id="rId6"/>
    <tablePart r:id="rId7"/>
    <tablePart r:id="rId8"/>
  </tableParts>
  <extLst>
    <ext xmlns:x14="http://schemas.microsoft.com/office/spreadsheetml/2009/9/main" uri="{CCE6A557-97BC-4b89-ADB6-D9C93CAAB3DF}">
      <x14:dataValidations xmlns:xm="http://schemas.microsoft.com/office/excel/2006/main" count="4">
        <x14:dataValidation type="list" allowBlank="1" showInputMessage="1" showErrorMessage="1" xr:uid="{C3FC34E8-CA50-4B98-98BC-83A130957190}">
          <x14:formula1>
            <xm:f>Constants!$M$6:$M$7</xm:f>
          </x14:formula1>
          <xm:sqref>B89:B102</xm:sqref>
        </x14:dataValidation>
        <x14:dataValidation type="list" allowBlank="1" showInputMessage="1" showErrorMessage="1" xr:uid="{F5CCAD12-8B31-4213-BFE1-A4DFBC1BD0A4}">
          <x14:formula1>
            <xm:f>Constants!$C$55:$C$56</xm:f>
          </x14:formula1>
          <xm:sqref>B12</xm:sqref>
        </x14:dataValidation>
        <x14:dataValidation type="list" allowBlank="1" showErrorMessage="1" xr:uid="{3722270D-E01C-4724-80D0-F43425CD82DA}">
          <x14:formula1>
            <xm:f>Constants!$H$6:$H$13</xm:f>
          </x14:formula1>
          <xm:sqref>B55:B67</xm:sqref>
        </x14:dataValidation>
        <x14:dataValidation type="list" allowBlank="1" showErrorMessage="1" xr:uid="{1EB17F94-1566-4DCF-A40A-B66AC02B5ABA}">
          <x14:formula1>
            <xm:f>Constants!$A$2:$AD$2</xm:f>
          </x14:formula1>
          <xm:sqref>B76:B82</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0E3943-C816-BA47-A046-47CE917F5E49}">
  <dimension ref="A1:BG1056"/>
  <sheetViews>
    <sheetView topLeftCell="J30" zoomScaleNormal="100" workbookViewId="0">
      <selection activeCell="AF30" sqref="AF30"/>
    </sheetView>
  </sheetViews>
  <sheetFormatPr defaultColWidth="12.625" defaultRowHeight="15" customHeight="1"/>
  <cols>
    <col min="1" max="1" width="36.625" customWidth="1"/>
    <col min="2" max="2" width="28.125" customWidth="1"/>
    <col min="3" max="3" width="21" customWidth="1"/>
    <col min="4" max="4" width="17.5" customWidth="1"/>
    <col min="5" max="5" width="16.125" customWidth="1"/>
    <col min="6" max="6" width="21.5" customWidth="1"/>
    <col min="7" max="7" width="22.625" customWidth="1"/>
    <col min="8" max="8" width="18.625" customWidth="1"/>
    <col min="9" max="9" width="19.625" customWidth="1"/>
    <col min="10" max="10" width="18.875" customWidth="1"/>
    <col min="11" max="11" width="21.625" customWidth="1"/>
    <col min="12" max="12" width="17.375" customWidth="1"/>
    <col min="13" max="13" width="15.125" customWidth="1"/>
    <col min="14" max="14" width="15.625" customWidth="1"/>
    <col min="15" max="15" width="28.5" customWidth="1"/>
    <col min="16" max="16" width="13.125" customWidth="1"/>
    <col min="17" max="17" width="21.875" customWidth="1"/>
    <col min="18" max="18" width="27" customWidth="1"/>
    <col min="19" max="19" width="20.5" customWidth="1"/>
    <col min="20" max="22" width="7.625" customWidth="1"/>
    <col min="23" max="23" width="31.875" customWidth="1"/>
    <col min="24" max="24" width="7.625" customWidth="1"/>
    <col min="25" max="25" width="8.375" customWidth="1"/>
    <col min="26" max="26" width="21.625" customWidth="1"/>
    <col min="27" max="27" width="12" customWidth="1"/>
    <col min="28" max="28" width="16.5" customWidth="1"/>
    <col min="29" max="29" width="6" customWidth="1"/>
    <col min="30" max="30" width="13.625" customWidth="1"/>
  </cols>
  <sheetData>
    <row r="1" spans="1:59" ht="171" customHeight="1">
      <c r="A1" s="703"/>
      <c r="B1" s="704"/>
      <c r="C1" s="705"/>
      <c r="D1" s="16"/>
      <c r="E1" s="572" t="s">
        <v>83</v>
      </c>
      <c r="F1" s="704"/>
      <c r="G1" s="704"/>
      <c r="H1" s="705"/>
      <c r="I1" s="16"/>
      <c r="J1" s="16"/>
      <c r="K1" s="16"/>
      <c r="L1" s="16"/>
      <c r="M1" s="16"/>
      <c r="N1" s="16"/>
      <c r="O1" s="16"/>
      <c r="P1" s="16"/>
      <c r="Q1" s="16"/>
      <c r="R1" s="16"/>
      <c r="S1" s="16"/>
      <c r="T1" s="16"/>
      <c r="U1" s="16"/>
      <c r="V1" s="16"/>
      <c r="W1" s="16"/>
      <c r="X1" s="16"/>
      <c r="Y1" s="16"/>
      <c r="Z1" s="16"/>
      <c r="AA1" s="16"/>
      <c r="AB1" s="16"/>
      <c r="AC1" s="16"/>
      <c r="AD1" s="16"/>
    </row>
    <row r="2" spans="1:59">
      <c r="A2" s="58" t="s">
        <v>404</v>
      </c>
      <c r="B2" s="152" t="s">
        <v>405</v>
      </c>
      <c r="C2" s="59"/>
      <c r="D2" s="16"/>
      <c r="E2" s="60" t="s">
        <v>406</v>
      </c>
      <c r="F2" s="153" t="s">
        <v>616</v>
      </c>
      <c r="G2" s="154"/>
      <c r="H2" s="61"/>
      <c r="I2" s="16"/>
      <c r="J2" s="16"/>
      <c r="K2" s="16"/>
      <c r="L2" s="16"/>
      <c r="M2" s="16"/>
      <c r="N2" s="16"/>
      <c r="O2" s="16"/>
      <c r="P2" s="16"/>
      <c r="Q2" s="16"/>
      <c r="R2" s="16"/>
      <c r="S2" s="16"/>
      <c r="T2" s="16"/>
      <c r="U2" s="16"/>
      <c r="V2" s="16"/>
      <c r="W2" s="16"/>
      <c r="X2" s="16"/>
      <c r="Y2" s="16"/>
      <c r="Z2" s="15"/>
      <c r="AA2" s="15"/>
      <c r="AB2" s="15"/>
      <c r="AC2" s="15"/>
      <c r="AD2" s="16"/>
      <c r="AE2" s="16"/>
      <c r="AF2" s="16"/>
      <c r="AG2" s="16"/>
      <c r="AH2" s="16"/>
      <c r="AI2" s="17"/>
      <c r="AJ2" s="17"/>
      <c r="AK2" s="17"/>
      <c r="AL2" s="17"/>
      <c r="AM2" s="17"/>
      <c r="AN2" s="17"/>
      <c r="AO2" s="17"/>
      <c r="AP2" s="17"/>
      <c r="AQ2" s="17"/>
      <c r="AR2" s="18"/>
      <c r="AS2" s="17"/>
      <c r="AT2" s="17"/>
      <c r="AU2" s="16"/>
      <c r="AV2" s="16"/>
      <c r="AW2" s="16"/>
      <c r="AX2" s="16"/>
      <c r="AY2" s="16"/>
      <c r="AZ2" s="16"/>
      <c r="BA2" s="16"/>
    </row>
    <row r="3" spans="1:59">
      <c r="A3" s="62" t="s">
        <v>408</v>
      </c>
      <c r="B3" s="155">
        <v>4</v>
      </c>
      <c r="C3" s="156"/>
      <c r="D3" s="16"/>
      <c r="E3" s="63" t="s">
        <v>409</v>
      </c>
      <c r="F3" s="189">
        <v>45785</v>
      </c>
      <c r="G3" s="158"/>
      <c r="H3" s="159"/>
      <c r="I3" s="16"/>
      <c r="J3" s="16"/>
      <c r="K3" s="16"/>
      <c r="L3" s="16"/>
      <c r="M3" s="16"/>
      <c r="N3" s="16"/>
      <c r="O3" s="16"/>
      <c r="P3" s="16"/>
      <c r="Q3" s="16"/>
      <c r="R3" s="16"/>
      <c r="S3" s="16"/>
      <c r="T3" s="16"/>
      <c r="U3" s="16"/>
      <c r="V3" s="16"/>
      <c r="W3" s="16"/>
      <c r="X3" s="16"/>
      <c r="Y3" s="16"/>
      <c r="Z3" s="16"/>
      <c r="AA3" s="16"/>
      <c r="AB3" s="16"/>
      <c r="AC3" s="16"/>
      <c r="AD3" s="16"/>
    </row>
    <row r="4" spans="1:59">
      <c r="A4" s="160" t="s">
        <v>410</v>
      </c>
      <c r="B4" s="161">
        <v>45812</v>
      </c>
      <c r="C4" s="162"/>
      <c r="D4" s="16"/>
      <c r="E4" s="163"/>
      <c r="F4" s="164"/>
      <c r="G4" s="165"/>
      <c r="H4" s="166"/>
      <c r="I4" s="16"/>
      <c r="J4" s="16"/>
      <c r="K4" s="16"/>
      <c r="L4" s="16"/>
      <c r="M4" s="16"/>
      <c r="N4" s="16"/>
      <c r="O4" s="16"/>
      <c r="P4" s="16"/>
      <c r="Q4" s="16"/>
      <c r="R4" s="16"/>
      <c r="S4" s="16"/>
      <c r="T4" s="16"/>
      <c r="U4" s="16"/>
      <c r="V4" s="16"/>
      <c r="W4" s="16"/>
      <c r="X4" s="16"/>
      <c r="Y4" s="16"/>
      <c r="Z4" s="16"/>
      <c r="AA4" s="16"/>
      <c r="AB4" s="16"/>
      <c r="AC4" s="16"/>
      <c r="AD4" s="16"/>
    </row>
    <row r="5" spans="1:59">
      <c r="A5" s="167" t="s">
        <v>411</v>
      </c>
      <c r="B5" s="168"/>
      <c r="C5" s="167"/>
      <c r="D5" s="16"/>
      <c r="E5" s="169" t="s">
        <v>412</v>
      </c>
      <c r="F5" s="169"/>
      <c r="G5" s="158"/>
      <c r="H5" s="169"/>
      <c r="I5" s="16"/>
      <c r="J5" s="16"/>
      <c r="K5" s="16"/>
      <c r="L5" s="16"/>
      <c r="M5" s="16"/>
      <c r="N5" s="16"/>
      <c r="O5" s="16"/>
      <c r="P5" s="16"/>
      <c r="Q5" s="16"/>
      <c r="R5" s="16"/>
      <c r="S5" s="16"/>
      <c r="T5" s="16"/>
      <c r="U5" s="16"/>
      <c r="V5" s="16"/>
      <c r="W5" s="16"/>
      <c r="X5" s="16"/>
      <c r="Y5" s="16"/>
      <c r="Z5" s="16"/>
      <c r="AA5" s="16"/>
      <c r="AB5" s="16"/>
      <c r="AC5" s="16"/>
      <c r="AD5" s="16"/>
    </row>
    <row r="6" spans="1:59">
      <c r="A6" s="15"/>
      <c r="B6" s="64"/>
      <c r="C6" s="16"/>
      <c r="D6" s="16"/>
      <c r="E6" s="16"/>
      <c r="F6" s="16"/>
      <c r="G6" s="16"/>
      <c r="H6" s="16"/>
      <c r="I6" s="16"/>
      <c r="J6" s="64"/>
      <c r="K6" s="16"/>
      <c r="L6" s="16"/>
      <c r="M6" s="16"/>
      <c r="N6" s="16"/>
      <c r="O6" s="16"/>
      <c r="P6" s="16"/>
      <c r="Q6" s="16"/>
      <c r="R6" s="16"/>
      <c r="S6" s="16"/>
      <c r="T6" s="16"/>
      <c r="U6" s="16"/>
      <c r="V6" s="16"/>
      <c r="W6" s="16"/>
      <c r="X6" s="16"/>
      <c r="Y6" s="16"/>
      <c r="Z6" s="16"/>
      <c r="AA6" s="16"/>
      <c r="AB6" s="16"/>
      <c r="AC6" s="16"/>
      <c r="AD6" s="16"/>
    </row>
    <row r="7" spans="1:59">
      <c r="A7" s="170" t="s">
        <v>413</v>
      </c>
      <c r="B7" s="59">
        <v>248</v>
      </c>
      <c r="C7" s="16"/>
      <c r="D7" s="573" t="s">
        <v>414</v>
      </c>
      <c r="E7" s="701"/>
      <c r="F7" s="701"/>
      <c r="G7" s="701"/>
      <c r="H7" s="701"/>
      <c r="I7" s="701"/>
      <c r="J7" s="16"/>
      <c r="K7" s="16"/>
      <c r="L7" s="16"/>
      <c r="M7" s="16"/>
      <c r="N7" s="16"/>
      <c r="O7" s="16"/>
      <c r="P7" s="16"/>
      <c r="Q7" s="16"/>
      <c r="R7" s="16"/>
      <c r="S7" s="16"/>
      <c r="T7" s="16"/>
      <c r="U7" s="16"/>
      <c r="V7" s="16"/>
      <c r="W7" s="16"/>
      <c r="X7" s="16"/>
      <c r="Y7" s="16"/>
      <c r="Z7" s="16"/>
      <c r="AA7" s="16"/>
      <c r="AB7" s="16"/>
      <c r="AC7" s="16"/>
      <c r="AD7" s="16"/>
    </row>
    <row r="8" spans="1:59" ht="14.25" customHeight="1">
      <c r="A8" s="171" t="s">
        <v>415</v>
      </c>
      <c r="B8" s="172">
        <f ca="1">M21-M17</f>
        <v>20091.908362852933</v>
      </c>
      <c r="C8" s="16" t="s">
        <v>416</v>
      </c>
      <c r="D8" s="574" t="s">
        <v>417</v>
      </c>
      <c r="E8" s="704"/>
      <c r="F8" s="704"/>
      <c r="G8" s="704"/>
      <c r="H8" s="704"/>
      <c r="I8" s="704"/>
      <c r="J8" s="16"/>
      <c r="K8" s="16"/>
      <c r="L8" s="16"/>
      <c r="M8" s="16"/>
      <c r="N8" s="16"/>
      <c r="O8" s="16"/>
      <c r="P8" s="16"/>
      <c r="Q8" s="16"/>
      <c r="R8" s="16"/>
      <c r="S8" s="16"/>
      <c r="T8" s="16"/>
      <c r="U8" s="16"/>
      <c r="V8" s="16"/>
      <c r="W8" s="16"/>
      <c r="X8" s="16"/>
      <c r="Y8" s="16"/>
      <c r="Z8" s="16"/>
      <c r="AA8" s="16"/>
      <c r="AB8" s="16"/>
      <c r="AC8" s="16"/>
    </row>
    <row r="9" spans="1:59">
      <c r="A9" s="65" t="s">
        <v>418</v>
      </c>
      <c r="B9" s="173" t="s">
        <v>419</v>
      </c>
      <c r="C9" s="16"/>
      <c r="D9" s="16"/>
      <c r="E9" s="17"/>
      <c r="F9" s="17"/>
      <c r="G9" s="17"/>
      <c r="H9" s="17"/>
      <c r="I9" s="17"/>
      <c r="J9" s="17"/>
      <c r="K9" s="17"/>
      <c r="L9" s="17"/>
      <c r="M9" s="17"/>
      <c r="N9" s="17"/>
      <c r="O9" s="17"/>
      <c r="P9" s="17"/>
      <c r="Q9" s="16"/>
      <c r="R9" s="17"/>
      <c r="S9" s="17"/>
      <c r="T9" s="17"/>
      <c r="U9" s="17"/>
      <c r="V9" s="17"/>
      <c r="W9" s="17"/>
      <c r="X9" s="17"/>
      <c r="Y9" s="17"/>
      <c r="Z9" s="17"/>
      <c r="AA9" s="17"/>
      <c r="AB9" s="17"/>
      <c r="AC9" s="17"/>
      <c r="AD9" s="18" t="s">
        <v>242</v>
      </c>
    </row>
    <row r="10" spans="1:59">
      <c r="A10" s="174" t="s">
        <v>420</v>
      </c>
      <c r="B10" s="257">
        <f>COUNTA(A38:A54)</f>
        <v>15</v>
      </c>
      <c r="C10" s="16"/>
      <c r="D10" s="16"/>
      <c r="E10" s="17"/>
      <c r="F10" s="17"/>
      <c r="G10" s="17"/>
      <c r="H10" s="17"/>
      <c r="I10" s="17"/>
      <c r="J10" s="17"/>
      <c r="K10" s="17"/>
      <c r="L10" s="17"/>
      <c r="M10" s="17"/>
      <c r="N10" s="17"/>
      <c r="O10" s="17"/>
      <c r="P10" s="17"/>
      <c r="Q10" s="16"/>
      <c r="R10" s="17"/>
      <c r="S10" s="17"/>
      <c r="T10" s="17"/>
      <c r="U10" s="17"/>
      <c r="V10" s="17"/>
      <c r="W10" s="17"/>
      <c r="X10" s="17"/>
      <c r="Y10" s="17"/>
      <c r="Z10" s="17"/>
      <c r="AA10" s="17"/>
      <c r="AB10" s="17"/>
      <c r="AC10" s="17"/>
      <c r="AD10" s="18"/>
    </row>
    <row r="11" spans="1:59">
      <c r="A11" s="171" t="s">
        <v>421</v>
      </c>
      <c r="B11" s="256">
        <f>SUM(B38:B54)</f>
        <v>281</v>
      </c>
      <c r="C11" s="16"/>
      <c r="D11" s="16"/>
      <c r="E11" s="17"/>
      <c r="F11" s="17"/>
      <c r="G11" s="17"/>
      <c r="H11" s="17"/>
      <c r="I11" s="17"/>
      <c r="J11" s="17"/>
      <c r="K11" s="17"/>
      <c r="L11" s="17"/>
      <c r="M11" s="17"/>
      <c r="N11" s="17"/>
      <c r="O11" s="17"/>
      <c r="P11" s="17"/>
      <c r="Q11" s="16"/>
      <c r="R11" s="17"/>
      <c r="S11" s="17"/>
      <c r="T11" s="17"/>
      <c r="U11" s="17"/>
      <c r="V11" s="17"/>
      <c r="W11" s="17"/>
      <c r="X11" s="17"/>
      <c r="Y11" s="17"/>
      <c r="Z11" s="17"/>
      <c r="AA11" s="17"/>
      <c r="AB11" s="17"/>
      <c r="AC11" s="17"/>
      <c r="AD11" s="18"/>
    </row>
    <row r="12" spans="1:59">
      <c r="A12" s="239" t="s">
        <v>422</v>
      </c>
      <c r="B12" s="240" t="s">
        <v>319</v>
      </c>
      <c r="C12" s="16"/>
      <c r="D12" s="16"/>
      <c r="E12" s="17"/>
      <c r="F12" s="17"/>
      <c r="G12" s="17"/>
      <c r="H12" s="17"/>
      <c r="I12" s="17"/>
      <c r="J12" s="17"/>
      <c r="K12" s="17"/>
      <c r="L12" s="17"/>
      <c r="M12" s="17"/>
      <c r="N12" s="17"/>
      <c r="O12" s="17"/>
      <c r="P12" s="17"/>
      <c r="Q12" s="16"/>
      <c r="R12" s="17"/>
      <c r="S12" s="17"/>
      <c r="T12" s="17"/>
      <c r="U12" s="17"/>
      <c r="V12" s="17"/>
      <c r="W12" s="17"/>
      <c r="X12" s="17"/>
      <c r="Y12" s="17"/>
      <c r="Z12" s="17"/>
      <c r="AA12" s="17"/>
      <c r="AB12" s="17"/>
      <c r="AC12" s="17"/>
      <c r="AD12" s="18"/>
    </row>
    <row r="13" spans="1:59">
      <c r="A13" s="16"/>
      <c r="B13" s="16"/>
      <c r="C13" s="16"/>
      <c r="D13" s="16"/>
      <c r="E13" s="17"/>
      <c r="F13" s="17"/>
      <c r="G13" s="17"/>
      <c r="H13" s="17"/>
      <c r="I13" s="17"/>
      <c r="J13" s="17"/>
      <c r="K13" s="17"/>
      <c r="L13" s="17"/>
      <c r="M13" s="17"/>
      <c r="N13" s="17"/>
      <c r="O13" s="17"/>
      <c r="P13" s="17"/>
      <c r="Q13" s="16"/>
      <c r="R13" s="17"/>
      <c r="S13" s="17"/>
      <c r="T13" s="17"/>
      <c r="U13" s="17"/>
      <c r="V13" s="17"/>
      <c r="W13" s="17"/>
      <c r="X13" s="17"/>
      <c r="Y13" s="17"/>
      <c r="Z13" s="17"/>
      <c r="AA13" s="17"/>
      <c r="AB13" s="17"/>
      <c r="AC13" s="17"/>
      <c r="AD13" s="17" t="str" cm="1">
        <f t="array" ref="AD13:BF14">Constants!A2:AC3</f>
        <v>SC1</v>
      </c>
      <c r="AE13" s="17" t="str">
        <v>SC1 - Half</v>
      </c>
      <c r="AF13" s="17" t="str">
        <v>SC2</v>
      </c>
      <c r="AG13" s="17" t="str">
        <v>SC2 - Half</v>
      </c>
      <c r="AH13" s="17" t="str">
        <v>SC3</v>
      </c>
      <c r="AI13" s="17" t="str">
        <v>SC4</v>
      </c>
      <c r="AJ13" s="17" t="str">
        <v>SC5</v>
      </c>
      <c r="AK13" s="17" t="str">
        <v>SC6</v>
      </c>
      <c r="AL13" s="17" t="str">
        <v>Dojo</v>
      </c>
      <c r="AM13" s="17" t="str">
        <v>Boulder Wall</v>
      </c>
      <c r="AN13" s="17" t="str">
        <v>Climbing Wall</v>
      </c>
      <c r="AO13" s="17" t="str">
        <v>Artificial Hockey field</v>
      </c>
      <c r="AP13" s="17" t="str">
        <v>Artificial Hockey field - Half</v>
      </c>
      <c r="AQ13" s="17" t="str">
        <v>Artificial Soccer field</v>
      </c>
      <c r="AR13" s="17" t="str">
        <v>Artificial Soccer field - Half</v>
      </c>
      <c r="AS13" s="17" t="str">
        <v>Basketball</v>
      </c>
      <c r="AT13" s="17" t="str">
        <v>Bastille field</v>
      </c>
      <c r="AU13" s="17" t="str">
        <v>Beach fields</v>
      </c>
      <c r="AV13" s="17" t="str">
        <v>Shooting range</v>
      </c>
      <c r="AW13" s="17" t="str">
        <v>Multi/Lacrosse field</v>
      </c>
      <c r="AX13" s="17" t="str">
        <v>Multi/Lacrosse field - Half</v>
      </c>
      <c r="AY13" s="17" t="str">
        <v>Bootcamp field</v>
      </c>
      <c r="AZ13" s="17" t="str">
        <v>Multi/Baseball field</v>
      </c>
      <c r="BA13" s="17" t="str">
        <v>Tennis court</v>
      </c>
      <c r="BB13" s="17" t="str">
        <v>Utrack</v>
      </c>
      <c r="BC13" s="22" t="str">
        <v>Verreveld</v>
      </c>
      <c r="BD13" s="22" t="str">
        <v>Wsc</v>
      </c>
      <c r="BE13" s="22" t="str">
        <v>Indoor pool</v>
      </c>
      <c r="BF13" s="22" t="str">
        <v>Outdoor pool</v>
      </c>
      <c r="BG13" s="22" t="s">
        <v>270</v>
      </c>
    </row>
    <row r="14" spans="1:59" ht="15.95" thickBot="1">
      <c r="A14" s="175" t="s">
        <v>423</v>
      </c>
      <c r="B14" s="16"/>
      <c r="C14" s="16"/>
      <c r="D14" s="16"/>
      <c r="E14" s="16"/>
      <c r="F14" s="16"/>
      <c r="G14" s="175" t="s">
        <v>424</v>
      </c>
      <c r="I14" s="17"/>
      <c r="J14" s="17"/>
      <c r="K14" s="176" t="s">
        <v>425</v>
      </c>
      <c r="L14" s="17"/>
      <c r="M14" s="176" t="s">
        <v>426</v>
      </c>
      <c r="N14" s="17"/>
      <c r="O14" s="17"/>
      <c r="P14" s="17"/>
      <c r="Q14" s="17"/>
      <c r="R14" s="17"/>
      <c r="S14" s="16"/>
      <c r="T14" s="17"/>
      <c r="U14" s="17"/>
      <c r="V14" s="17"/>
      <c r="W14" s="17"/>
      <c r="X14" s="17"/>
      <c r="Y14" s="17"/>
      <c r="Z14" s="17"/>
      <c r="AA14" s="17"/>
      <c r="AB14" s="17"/>
      <c r="AC14" s="17"/>
      <c r="AD14" s="19">
        <v>67.5</v>
      </c>
      <c r="AE14" s="19">
        <v>35</v>
      </c>
      <c r="AF14" s="19">
        <v>67.5</v>
      </c>
      <c r="AG14" s="19">
        <v>35</v>
      </c>
      <c r="AH14" s="19">
        <v>40</v>
      </c>
      <c r="AI14" s="19">
        <v>40</v>
      </c>
      <c r="AJ14" s="19">
        <v>35</v>
      </c>
      <c r="AK14" s="19">
        <v>35</v>
      </c>
      <c r="AL14" s="19">
        <v>40</v>
      </c>
      <c r="AM14" s="19">
        <v>27.5</v>
      </c>
      <c r="AN14" s="19">
        <v>45</v>
      </c>
      <c r="AO14" s="19">
        <v>75</v>
      </c>
      <c r="AP14" s="19">
        <v>40</v>
      </c>
      <c r="AQ14" s="19">
        <v>75</v>
      </c>
      <c r="AR14" s="19">
        <v>40</v>
      </c>
      <c r="AS14" s="19">
        <v>30</v>
      </c>
      <c r="AT14" s="19">
        <v>50</v>
      </c>
      <c r="AU14" s="19">
        <v>75</v>
      </c>
      <c r="AV14" s="19">
        <v>40</v>
      </c>
      <c r="AW14" s="19">
        <v>75</v>
      </c>
      <c r="AX14" s="19">
        <v>40</v>
      </c>
      <c r="AY14" s="19">
        <v>50</v>
      </c>
      <c r="AZ14" s="19">
        <v>65</v>
      </c>
      <c r="BA14" s="19">
        <v>35</v>
      </c>
      <c r="BB14" s="19">
        <v>45</v>
      </c>
      <c r="BC14" s="19">
        <v>50</v>
      </c>
      <c r="BD14" s="19">
        <v>0</v>
      </c>
      <c r="BE14" s="19">
        <v>65</v>
      </c>
      <c r="BF14" s="20">
        <v>70</v>
      </c>
      <c r="BG14" s="20"/>
    </row>
    <row r="15" spans="1:59" ht="15.95" thickTop="1">
      <c r="A15" s="67"/>
      <c r="B15" s="68" t="str">
        <f>Constants!H6</f>
        <v>Performance training</v>
      </c>
      <c r="C15" s="68" t="str">
        <f>Constants!H7</f>
        <v>Performance coaching</v>
      </c>
      <c r="D15" s="68" t="str">
        <f>Constants!H8</f>
        <v>Dangerous</v>
      </c>
      <c r="E15" s="69" t="str">
        <f>Constants!H9</f>
        <v>Recreational</v>
      </c>
      <c r="F15" s="69" t="s">
        <v>290</v>
      </c>
      <c r="G15" s="70"/>
      <c r="H15" s="71" t="s">
        <v>427</v>
      </c>
      <c r="I15" s="72" t="s">
        <v>272</v>
      </c>
      <c r="J15" s="70" t="s">
        <v>5</v>
      </c>
      <c r="K15" s="72" t="s">
        <v>428</v>
      </c>
      <c r="L15" s="70" t="s">
        <v>429</v>
      </c>
      <c r="M15" s="73" cm="1">
        <f t="array" ref="M15">(SUM(IF($D$58:$D$62="PT",($F$58:$F$62)/1.5+IF($G$58:$G$62="yes",1)))+SUM(IF($D$58:$D$62="Extern",($F$58:$F$62)/1.5+IF($G$58:$G$62="yes",1)))+SUM(IF($D$58:$D$62="PT-ZZP",($F$58:$F$62)/1.5+IF($G$58:$G$62="yes",1))))*Constants!B10</f>
        <v>4000</v>
      </c>
      <c r="N15" s="17"/>
      <c r="O15" s="17"/>
      <c r="P15" s="17"/>
      <c r="Q15" s="17"/>
      <c r="R15" s="16"/>
      <c r="S15" s="17"/>
      <c r="T15" s="17"/>
      <c r="U15" s="17"/>
      <c r="V15" s="17"/>
      <c r="W15" s="17"/>
      <c r="X15" s="17"/>
      <c r="Y15" s="17"/>
      <c r="Z15" s="17"/>
      <c r="AA15" s="17"/>
      <c r="AB15" s="17"/>
      <c r="AC15" s="17"/>
      <c r="AD15" s="16">
        <f t="shared" ref="AD15:BF15" si="0">SUMIF($B$105:$B$120,AD13,$F$105:$F$120)</f>
        <v>0</v>
      </c>
      <c r="AE15" s="16">
        <f t="shared" si="0"/>
        <v>0</v>
      </c>
      <c r="AF15" s="16">
        <f t="shared" si="0"/>
        <v>48</v>
      </c>
      <c r="AG15" s="16">
        <f t="shared" si="0"/>
        <v>0</v>
      </c>
      <c r="AH15" s="16">
        <f t="shared" si="0"/>
        <v>0</v>
      </c>
      <c r="AI15" s="16">
        <f t="shared" si="0"/>
        <v>0</v>
      </c>
      <c r="AJ15" s="16">
        <f t="shared" si="0"/>
        <v>0</v>
      </c>
      <c r="AK15" s="16">
        <f t="shared" si="0"/>
        <v>0</v>
      </c>
      <c r="AL15" s="16">
        <f t="shared" si="0"/>
        <v>0</v>
      </c>
      <c r="AM15" s="16">
        <f t="shared" si="0"/>
        <v>0</v>
      </c>
      <c r="AN15" s="16">
        <f t="shared" si="0"/>
        <v>0</v>
      </c>
      <c r="AO15" s="16">
        <f t="shared" si="0"/>
        <v>484</v>
      </c>
      <c r="AP15" s="16">
        <f t="shared" si="0"/>
        <v>0</v>
      </c>
      <c r="AQ15" s="16">
        <f t="shared" si="0"/>
        <v>15</v>
      </c>
      <c r="AR15" s="16">
        <f t="shared" si="0"/>
        <v>0</v>
      </c>
      <c r="AS15" s="16">
        <f t="shared" si="0"/>
        <v>0</v>
      </c>
      <c r="AT15" s="16">
        <f t="shared" si="0"/>
        <v>0</v>
      </c>
      <c r="AU15" s="16">
        <f t="shared" si="0"/>
        <v>0</v>
      </c>
      <c r="AV15" s="16">
        <f t="shared" si="0"/>
        <v>0</v>
      </c>
      <c r="AW15" s="16">
        <f t="shared" si="0"/>
        <v>266</v>
      </c>
      <c r="AX15" s="16">
        <f t="shared" si="0"/>
        <v>0</v>
      </c>
      <c r="AY15" s="16">
        <f t="shared" si="0"/>
        <v>0</v>
      </c>
      <c r="AZ15" s="16">
        <f t="shared" si="0"/>
        <v>0</v>
      </c>
      <c r="BA15" s="16">
        <f t="shared" si="0"/>
        <v>0</v>
      </c>
      <c r="BB15" s="16">
        <f t="shared" si="0"/>
        <v>0</v>
      </c>
      <c r="BC15" s="16">
        <f t="shared" si="0"/>
        <v>0</v>
      </c>
      <c r="BD15" s="16">
        <f t="shared" si="0"/>
        <v>0</v>
      </c>
      <c r="BE15" s="16">
        <f t="shared" si="0"/>
        <v>0</v>
      </c>
      <c r="BF15" s="16">
        <f t="shared" si="0"/>
        <v>0</v>
      </c>
    </row>
    <row r="16" spans="1:59">
      <c r="A16" s="74" t="str">
        <f>Constants!E6</f>
        <v>PT</v>
      </c>
      <c r="B16">
        <f>SUMIFS(DHC!$F$67:$F$95,DHC!$B$67:$B$95, B$15,DHC!$H$67:$H$95,$A16)*(1+Constants!$B$7)</f>
        <v>453.59999999999997</v>
      </c>
      <c r="C16">
        <f>SUMIFS(DHC!$F$67:$F$95,DHC!$B$67:$B$95, C$15,DHC!$H$67:$H$95,$A16)</f>
        <v>280</v>
      </c>
      <c r="D16">
        <f>SUMIFS(DHC!$F$67:$F$95,DHC!$B$67:$B$95, D$15,DHC!$H$67:$H$95,$A16)*(1+Constants!$B$7)</f>
        <v>0</v>
      </c>
      <c r="E16">
        <f>SUMIFS(DHC!$F$67:$F$95,DHC!$B$67:$B$95, E$15,DHC!$H$67:$H$95,$A16)*(1+Constants!$B$7)</f>
        <v>0</v>
      </c>
      <c r="F16">
        <f>SUMIFS(DHC!$F$67:$F$95,DHC!$B$67:$B$95, F$15,DHC!$H$67:$H$95,$A16)*(1+Constants!$B$7)</f>
        <v>75.599999999999994</v>
      </c>
      <c r="G16" s="74" t="s">
        <v>430</v>
      </c>
      <c r="H16" s="16">
        <f>SUMIF(DHC!$B$99:$B$121,"&lt;&gt;External",DHC!$F$99:$F$121)</f>
        <v>1191</v>
      </c>
      <c r="I16" s="75">
        <f>SUMIF(DHC!$B$107:$B$121,"External",DHC!$F$107:$F$121)</f>
        <v>0</v>
      </c>
      <c r="J16" s="234">
        <f>SUM($F$124:$F$158)</f>
        <v>14109.667083333337</v>
      </c>
      <c r="K16" s="76">
        <f>IF(OR(ISBLANK(B7),ISBLANK(B9)), "ERROR",MAX(MIN(J16,B7*Constants!B15)-Constants!B14*B7,0)*IF(B9="yes",Constants!B16,IF(B9="no",Constants!B17,0)))</f>
        <v>9303.7336666666706</v>
      </c>
      <c r="L16" s="77" t="s">
        <v>360</v>
      </c>
      <c r="M16" s="76">
        <f>E16*Constants!B6+E17*Constants!B8+E22+E21</f>
        <v>0</v>
      </c>
      <c r="N16" s="17"/>
      <c r="O16" s="17"/>
      <c r="P16" s="17"/>
      <c r="Q16" s="17"/>
      <c r="R16" s="16"/>
      <c r="S16" s="17"/>
      <c r="T16" s="17"/>
      <c r="U16" s="17"/>
      <c r="V16" s="17"/>
      <c r="W16" s="17"/>
      <c r="X16" s="17"/>
      <c r="Y16" s="17"/>
      <c r="Z16" s="17"/>
      <c r="AA16" s="17"/>
      <c r="AB16" s="17"/>
      <c r="AC16" s="17"/>
      <c r="AD16" s="19">
        <f t="shared" ref="AD16:BF16" si="1">AD14*AD15</f>
        <v>0</v>
      </c>
      <c r="AE16" s="19">
        <f t="shared" si="1"/>
        <v>0</v>
      </c>
      <c r="AF16" s="19">
        <f t="shared" si="1"/>
        <v>3240</v>
      </c>
      <c r="AG16" s="19">
        <f t="shared" si="1"/>
        <v>0</v>
      </c>
      <c r="AH16" s="19">
        <f t="shared" si="1"/>
        <v>0</v>
      </c>
      <c r="AI16" s="19">
        <f t="shared" si="1"/>
        <v>0</v>
      </c>
      <c r="AJ16" s="19">
        <f t="shared" si="1"/>
        <v>0</v>
      </c>
      <c r="AK16" s="19">
        <f t="shared" si="1"/>
        <v>0</v>
      </c>
      <c r="AL16" s="19">
        <f t="shared" si="1"/>
        <v>0</v>
      </c>
      <c r="AM16" s="19">
        <f t="shared" si="1"/>
        <v>0</v>
      </c>
      <c r="AN16" s="19">
        <f t="shared" si="1"/>
        <v>0</v>
      </c>
      <c r="AO16" s="19">
        <f t="shared" si="1"/>
        <v>36300</v>
      </c>
      <c r="AP16" s="19">
        <f t="shared" si="1"/>
        <v>0</v>
      </c>
      <c r="AQ16" s="19">
        <f t="shared" si="1"/>
        <v>1125</v>
      </c>
      <c r="AR16" s="19">
        <f t="shared" si="1"/>
        <v>0</v>
      </c>
      <c r="AS16" s="19">
        <f t="shared" si="1"/>
        <v>0</v>
      </c>
      <c r="AT16" s="19">
        <f t="shared" si="1"/>
        <v>0</v>
      </c>
      <c r="AU16" s="19">
        <f t="shared" si="1"/>
        <v>0</v>
      </c>
      <c r="AV16" s="19">
        <f t="shared" si="1"/>
        <v>0</v>
      </c>
      <c r="AW16" s="19">
        <f t="shared" si="1"/>
        <v>19950</v>
      </c>
      <c r="AX16" s="19">
        <f t="shared" si="1"/>
        <v>0</v>
      </c>
      <c r="AY16" s="19">
        <f t="shared" si="1"/>
        <v>0</v>
      </c>
      <c r="AZ16" s="19">
        <f t="shared" si="1"/>
        <v>0</v>
      </c>
      <c r="BA16" s="19">
        <f t="shared" si="1"/>
        <v>0</v>
      </c>
      <c r="BB16" s="19">
        <f t="shared" si="1"/>
        <v>0</v>
      </c>
      <c r="BC16" s="19">
        <f t="shared" si="1"/>
        <v>0</v>
      </c>
      <c r="BD16" s="19">
        <f t="shared" si="1"/>
        <v>0</v>
      </c>
      <c r="BE16" s="19">
        <f t="shared" si="1"/>
        <v>0</v>
      </c>
      <c r="BF16" s="19">
        <f t="shared" si="1"/>
        <v>0</v>
      </c>
    </row>
    <row r="17" spans="1:36">
      <c r="A17" s="74" t="str">
        <f>Constants!E7</f>
        <v>PT-V</v>
      </c>
      <c r="B17">
        <f>SUMIFS(DHC!$F$67:$F$95,DHC!$B$67:$B$95, B$15,DHC!$H$67:$H$95,$A17)*(1+Constants!$B$9)</f>
        <v>0</v>
      </c>
      <c r="C17">
        <f>SUMIFS(DHC!$F$67:$F$95,DHC!$B$67:$B$95, C$15,DHC!$H$67:$H$95,$A17)</f>
        <v>0</v>
      </c>
      <c r="D17">
        <f>SUMIFS(DHC!$F$67:$F$95,DHC!$B$67:$B$95, D$15,DHC!$H$67:$H$95,$A17)*(1+Constants!$B$9)</f>
        <v>0</v>
      </c>
      <c r="E17">
        <f>SUMIFS(DHC!$F$67:$F$95,DHC!$B$67:$B$95, E$15,DHC!$H$67:$H$95,$A17)*(1+Constants!$B$9)</f>
        <v>0</v>
      </c>
      <c r="F17">
        <f>SUMIFS(DHC!$F$67:$F$95,DHC!$B$67:$B$95, F$15,DHC!$H$67:$H$95,$A17)</f>
        <v>0</v>
      </c>
      <c r="G17" s="74" t="s">
        <v>38</v>
      </c>
      <c r="H17" s="78">
        <f>SUM(AD16:BZ16)</f>
        <v>60615</v>
      </c>
      <c r="I17" s="76" cm="1">
        <f t="array" ref="I17">SUM(IF($B$99:$B$119="External",$F$99:$F$119*$H$99:$H$119,0))</f>
        <v>0</v>
      </c>
      <c r="J17" s="79"/>
      <c r="K17" s="80"/>
      <c r="L17" s="77" t="s">
        <v>63</v>
      </c>
      <c r="M17" s="76">
        <f>J16-K16</f>
        <v>4805.9334166666667</v>
      </c>
      <c r="N17" s="17"/>
      <c r="O17" s="17"/>
      <c r="P17" s="17"/>
      <c r="Q17" s="17"/>
      <c r="R17" s="16"/>
      <c r="S17" s="17"/>
      <c r="T17" s="17"/>
      <c r="U17" s="17"/>
      <c r="V17" s="17"/>
      <c r="W17" s="17"/>
      <c r="X17" s="17"/>
      <c r="Y17" s="17"/>
      <c r="Z17" s="17"/>
      <c r="AA17" s="17"/>
      <c r="AB17" s="17"/>
      <c r="AC17" s="17"/>
      <c r="AD17" s="17"/>
      <c r="AE17" s="17"/>
    </row>
    <row r="18" spans="1:36">
      <c r="A18" s="74" t="str">
        <f>Constants!E8</f>
        <v>PT-ZZP</v>
      </c>
      <c r="B18">
        <f>SUMIFS(DHC!$F$67:$F$95,DHC!$B$67:$B$95, B$15,DHC!$H$67:$H$95,$A18)*(1+Constants!$B$7)</f>
        <v>0</v>
      </c>
      <c r="C18">
        <f>SUMIFS(DHC!$F$67:$F$95,DHC!$B$67:$B$95, C$15,DHC!$H$67:$H$95,$A18)</f>
        <v>0</v>
      </c>
      <c r="D18">
        <f>SUMIFS(DHC!$F$67:$F$95,DHC!$B$67:$B$95, D$15,DHC!$H$67:$H$95,$A18)*(1+Constants!$B$7)</f>
        <v>0</v>
      </c>
      <c r="E18">
        <f>SUMIFS(DHC!$F$67:$F$95,DHC!$B$67:$B$95, E$15,DHC!$H$67:$H$95,$A18)*(1+Constants!$B$7)</f>
        <v>0</v>
      </c>
      <c r="F18">
        <f>SUMIFS(DHC!$F$67:$F$95,DHC!$B$67:$B$95, F$15,DHC!$H$67:$H$95,$A18)*(1+Constants!$B$7)</f>
        <v>0</v>
      </c>
      <c r="G18" s="74"/>
      <c r="H18" s="78"/>
      <c r="I18" s="76"/>
      <c r="J18" s="79"/>
      <c r="K18" s="80"/>
      <c r="L18" s="77" t="s">
        <v>60</v>
      </c>
      <c r="M18" s="76" t="str">
        <f>IF(I17-Constants!I17*$B$7&gt;0,$I$17-Constants!I17*$B$7,"-")</f>
        <v>-</v>
      </c>
      <c r="N18" s="17"/>
      <c r="O18" s="17"/>
      <c r="P18" s="17"/>
      <c r="Q18" s="17"/>
      <c r="R18" s="16"/>
      <c r="S18" s="17"/>
      <c r="T18" s="17"/>
      <c r="U18" s="17"/>
      <c r="V18" s="17"/>
      <c r="W18" s="17"/>
      <c r="X18" s="17"/>
      <c r="Y18" s="17"/>
      <c r="Z18" s="17"/>
      <c r="AA18" s="17"/>
      <c r="AB18" s="17"/>
      <c r="AC18" s="17"/>
      <c r="AD18" s="17"/>
      <c r="AE18" s="17"/>
    </row>
    <row r="19" spans="1:36">
      <c r="A19" s="74" t="str">
        <f>Constants!E9</f>
        <v>RT</v>
      </c>
      <c r="B19">
        <f>SUMIFS(DHC!$F$67:$F$95,DHC!$B$67:$B$95, B$15,DHC!$H$67:$H$95,$A19)</f>
        <v>266</v>
      </c>
      <c r="C19">
        <f>SUMIFS(DHC!$F$67:$F$95,DHC!$B$67:$B$95, C$15,DHC!$H$67:$H$95,$A19)</f>
        <v>0</v>
      </c>
      <c r="D19">
        <f>SUMIFS(DHC!$F$67:$F$95,DHC!$B$67:$B$95, D$15,DHC!$H$67:$H$95,$A19)</f>
        <v>0</v>
      </c>
      <c r="E19">
        <f>SUMIFS(DHC!$F$67:$F$95,DHC!$B$67:$B$95, E$15,DHC!$H$67:$H$95,$A19)</f>
        <v>883</v>
      </c>
      <c r="F19">
        <f>SUMIFS(DHC!$F$67:$F$95,DHC!$B$67:$B$95, F$15,DHC!$H$67:$H$95,$A19)</f>
        <v>0</v>
      </c>
      <c r="G19" s="74" t="s">
        <v>396</v>
      </c>
      <c r="H19" s="78"/>
      <c r="I19" s="76">
        <f>IF(B7*Constants!I17&lt;I17,B7*Constants!I17,I17)</f>
        <v>0</v>
      </c>
      <c r="J19" s="79"/>
      <c r="K19" s="80"/>
      <c r="L19" s="77" t="s">
        <v>431</v>
      </c>
      <c r="M19" s="255">
        <f ca="1">Constants!C31*B7+Data!L8</f>
        <v>16091.908362852932</v>
      </c>
      <c r="N19" s="17"/>
      <c r="O19" s="17"/>
      <c r="P19" s="17"/>
      <c r="Q19" s="17"/>
      <c r="R19" s="16"/>
      <c r="S19" s="17"/>
      <c r="T19" s="17"/>
      <c r="U19" s="17"/>
      <c r="V19" s="17"/>
      <c r="W19" s="17"/>
      <c r="X19" s="17"/>
      <c r="Y19" s="17"/>
      <c r="Z19" s="17"/>
      <c r="AA19" s="17"/>
      <c r="AB19" s="17"/>
      <c r="AC19" s="17"/>
      <c r="AD19" s="17"/>
      <c r="AE19" s="17"/>
    </row>
    <row r="20" spans="1:36">
      <c r="A20" s="74" t="str">
        <f>Constants!E10</f>
        <v>Extern</v>
      </c>
      <c r="B20">
        <f>SUMIFS(DHC!$F$67:$F$95,DHC!$B$67:$B$95, B$15,DHC!$H$67:$H$95,$A20)</f>
        <v>0</v>
      </c>
      <c r="C20">
        <f>SUMIFS(DHC!$F$67:$F$95,DHC!$B$67:$B$95, C$15,DHC!$H$67:$H$95,$A20)</f>
        <v>0</v>
      </c>
      <c r="D20">
        <f>SUMIFS(DHC!$F$67:$F$95,DHC!$B$67:$B$95, D$15,DHC!$H$67:$H$95,$A20)</f>
        <v>0</v>
      </c>
      <c r="E20">
        <f>SUMIFS(DHC!$F$67:$F$95,DHC!$B$67:$B$95, E$15,DHC!$H$67:$H$95,$A20)</f>
        <v>0</v>
      </c>
      <c r="F20">
        <f>SUMIFS(DHC!$F$67:$F$95,DHC!$B$67:$B$95, F$15,DHC!$H$67:$H$95,$A20)</f>
        <v>0</v>
      </c>
      <c r="G20" s="81"/>
      <c r="H20" s="16"/>
      <c r="I20" s="75"/>
      <c r="J20" s="79"/>
      <c r="K20" s="82"/>
      <c r="L20" s="83"/>
      <c r="M20" s="84"/>
      <c r="N20" s="17"/>
      <c r="O20" s="17"/>
      <c r="P20" s="17"/>
      <c r="Q20" s="17"/>
      <c r="R20" s="16"/>
      <c r="S20" s="17"/>
      <c r="T20" s="17"/>
      <c r="U20" s="17"/>
      <c r="V20" s="17"/>
      <c r="W20" s="17"/>
      <c r="X20" s="17"/>
      <c r="Y20" s="17"/>
      <c r="Z20" s="17"/>
      <c r="AA20" s="17"/>
      <c r="AB20" s="17"/>
      <c r="AC20" s="17"/>
      <c r="AD20" s="17"/>
      <c r="AE20" s="17"/>
    </row>
    <row r="21" spans="1:36">
      <c r="A21" s="74" t="str">
        <f>CONCATENATE(A18," Costs")</f>
        <v>PT-ZZP Costs</v>
      </c>
      <c r="B21" s="78">
        <f t="array" ref="B21">SUM(IF(DHC!$B$67:$B$95=B$15,IF(DHC!$H$67:$H$95="PT-ZZP",DHC!$F$67:$F$95*DHC!$I$67:$I$95*(1+Constants!$B$7),0),0))</f>
        <v>0</v>
      </c>
      <c r="C21" s="78">
        <f t="array" ref="C21">SUM(IF(DHC!$B$67:$B$95=C$15,IF(DHC!$H$67:$H$95="PT-ZZP",DHC!$F$67:$F$95*DHC!$I$67:$I$95,0),0))</f>
        <v>0</v>
      </c>
      <c r="D21" s="78">
        <f t="array" ref="D21">SUM(IF(DHC!$B$67:$B$95=D$15,IF(DHC!$H$67:$H$95="PT-ZZP",DHC!$F$67:$F$95*DHC!$I$67:$I$95*(1+Constants!$B$7),0),0))</f>
        <v>0</v>
      </c>
      <c r="E21" s="78">
        <f t="array" ref="E21">SUM(IF(DHC!$B$67:$B$95=E$15,IF(DHC!$H$67:$H$95="PT-ZZP",DHC!$F$67:$F$95*DHC!$I$67:$I$95*(1+Constants!$B$7),0),0))</f>
        <v>0</v>
      </c>
      <c r="F21" s="78">
        <f t="array" ref="F21">SUM(IF(DHC!$B$67:$B$95=F$15,IF(DHC!$H$67:$H$95="PT-ZZP",DHC!$F$67:$F$95*DHC!$I$67:$I$95*(1+Constants!$B$7),0),0))</f>
        <v>0</v>
      </c>
      <c r="G21" s="81"/>
      <c r="H21" s="16"/>
      <c r="I21" s="75"/>
      <c r="J21" s="79"/>
      <c r="K21" s="82"/>
      <c r="L21" s="77" t="s">
        <v>5</v>
      </c>
      <c r="M21" s="76">
        <f ca="1">SUM(M15:M20)</f>
        <v>24897.8417795196</v>
      </c>
      <c r="N21" s="17"/>
      <c r="O21" s="17"/>
      <c r="P21" s="17"/>
      <c r="Q21" s="17"/>
      <c r="R21" s="16"/>
      <c r="S21" s="17"/>
      <c r="T21" s="17"/>
      <c r="U21" s="17"/>
      <c r="V21" s="17"/>
      <c r="W21" s="17"/>
      <c r="X21" s="17"/>
      <c r="Y21" s="17"/>
      <c r="Z21" s="17"/>
      <c r="AA21" s="17"/>
      <c r="AB21" s="17"/>
      <c r="AC21" s="17"/>
      <c r="AD21" s="17"/>
      <c r="AE21" s="17"/>
    </row>
    <row r="22" spans="1:36" ht="15.75" customHeight="1" thickBot="1">
      <c r="A22" s="74" t="str">
        <f>CONCATENATE(A20," Costs")</f>
        <v>Extern Costs</v>
      </c>
      <c r="B22" s="78">
        <f t="array" ref="B22">SUM(IF(DHC!$B$67:$B$95=B$15,IF(DHC!$H$67:$H$95="Extern",DHC!$F$67:$F$95*DHC!$I$67:$I$95,0),0))</f>
        <v>0</v>
      </c>
      <c r="C22" s="78">
        <f t="array" ref="C22">SUM(IF(DHC!$B$67:$B$95=C$15,IF(DHC!$H$67:$H$95="Extern",DHC!$F$67:$F$95*DHC!$I$67:$I$95,0),0))</f>
        <v>0</v>
      </c>
      <c r="D22" s="78">
        <f t="array" ref="D22">SUM(IF(DHC!$B$67:$B$95=D$15,IF(DHC!$H$67:$H$95="Extern",DHC!$F$67:$F$95*DHC!$I$67:$I$95,0),0))</f>
        <v>0</v>
      </c>
      <c r="E22" s="78">
        <f t="array" ref="E22">SUM(IF(DHC!$B$67:$B$95=E$15,IF(DHC!$H$67:$H$95="Extern",DHC!$F$67:$F$95*DHC!$I$67:$I$95,0),0))</f>
        <v>0</v>
      </c>
      <c r="F22" s="76">
        <f t="array" ref="F22">SUM(IF(DHC!$B$67:$B$95=F$15,IF(DHC!$H$67:$H$95="Extern",DHC!$F$67:$F$95*DHC!$I$67:$I$95,0),0))</f>
        <v>0</v>
      </c>
      <c r="G22" s="85"/>
      <c r="H22" s="177"/>
      <c r="I22" s="86"/>
      <c r="J22" s="87"/>
      <c r="K22" s="88"/>
      <c r="L22" s="87"/>
      <c r="M22" s="88"/>
      <c r="N22" s="17"/>
      <c r="O22" s="17"/>
      <c r="P22" s="17"/>
      <c r="Q22" s="17"/>
      <c r="R22" s="16"/>
      <c r="S22" s="17"/>
      <c r="T22" s="17"/>
      <c r="U22" s="17"/>
      <c r="V22" s="17"/>
      <c r="W22" s="17"/>
      <c r="X22" s="17"/>
      <c r="Y22" s="17"/>
      <c r="Z22" s="17"/>
      <c r="AA22" s="17"/>
      <c r="AB22" s="17"/>
      <c r="AC22" s="17"/>
      <c r="AD22" s="17"/>
      <c r="AE22" s="17"/>
    </row>
    <row r="23" spans="1:36" ht="15" customHeight="1" thickTop="1">
      <c r="A23" s="74" t="s">
        <v>432</v>
      </c>
      <c r="B23" s="78"/>
      <c r="C23" s="78"/>
      <c r="D23" s="78"/>
      <c r="E23" s="78"/>
      <c r="F23" s="76">
        <f t="array" ref="F23">SUMIFS(DHC!$F$67:$F$95,DHC!$B$67:$B$95,"Mentorship",DHC!$H$67:$H$95,"PT-V")*Constants!B8+SUMIFS(DHC!$F$67:$F$95,DHC!$B$67:$B$95,"Mentorship",DHC!$H$67:$H$95,"PT")*Constants!B6+SUMPRODUCT(IF(DHC!$B$67:$B$95="Mentorship",IF(DHC!$H$67:$H$95="PT-ZZP",DHC!$F$67:$F$95*DHC!$I$67:$I$95,0)))</f>
        <v>3150</v>
      </c>
    </row>
    <row r="24" spans="1:36" ht="15" customHeight="1" thickBot="1">
      <c r="A24" s="89" t="s">
        <v>433</v>
      </c>
      <c r="B24" s="178"/>
      <c r="C24" s="178"/>
      <c r="D24" s="178"/>
      <c r="E24" s="267">
        <f>SUMIF(DHC!$B$67:$B$95,"External Trainer Course",DHC!$I$67:$I$95)</f>
        <v>0</v>
      </c>
      <c r="F24" s="90"/>
    </row>
    <row r="25" spans="1:36" ht="15.75" customHeight="1" thickTop="1">
      <c r="A25" s="16"/>
      <c r="B25" s="16"/>
      <c r="C25" s="16"/>
      <c r="D25" s="16"/>
      <c r="E25" s="17"/>
      <c r="F25" s="17"/>
      <c r="G25" s="17"/>
      <c r="H25" s="17"/>
      <c r="I25" s="17"/>
      <c r="J25" s="17"/>
      <c r="K25" s="17"/>
      <c r="L25" s="17"/>
      <c r="M25" s="17"/>
      <c r="N25" s="17"/>
      <c r="O25" s="17"/>
      <c r="P25" s="17"/>
      <c r="Q25" s="16"/>
      <c r="R25" s="17"/>
      <c r="S25" s="17"/>
      <c r="T25" s="17"/>
      <c r="U25" s="17"/>
      <c r="V25" s="17"/>
      <c r="W25" s="17"/>
      <c r="X25" s="17"/>
      <c r="Y25" s="17"/>
      <c r="Z25" s="17"/>
      <c r="AA25" s="17"/>
      <c r="AB25" s="17"/>
      <c r="AC25" s="17"/>
      <c r="AD25" s="17"/>
    </row>
    <row r="26" spans="1:36" ht="15.75" customHeight="1">
      <c r="A26" s="16"/>
      <c r="B26" s="16"/>
      <c r="C26" s="16"/>
      <c r="D26" s="16"/>
      <c r="E26" s="17"/>
      <c r="F26" s="17"/>
      <c r="G26" s="17"/>
      <c r="H26" s="17"/>
      <c r="I26" s="17"/>
      <c r="J26" s="17"/>
      <c r="K26" s="17"/>
      <c r="L26" s="17"/>
      <c r="M26" s="17"/>
      <c r="N26" s="17"/>
      <c r="O26" s="17"/>
      <c r="P26" s="17"/>
      <c r="Q26" s="16"/>
      <c r="R26" s="17"/>
      <c r="S26" s="17"/>
      <c r="T26" s="17"/>
      <c r="U26" s="17"/>
      <c r="V26" s="17"/>
      <c r="W26" s="17"/>
      <c r="X26" s="17"/>
      <c r="Y26" s="17"/>
      <c r="Z26" s="17"/>
      <c r="AA26" s="17"/>
      <c r="AB26" s="17"/>
      <c r="AC26" s="17"/>
      <c r="AD26" s="17"/>
    </row>
    <row r="27" spans="1:36" ht="15.75" customHeight="1" thickBot="1">
      <c r="A27" s="91" t="s">
        <v>434</v>
      </c>
      <c r="B27" s="17"/>
      <c r="C27" s="17"/>
      <c r="D27" s="17"/>
      <c r="E27" s="17"/>
      <c r="F27" s="17"/>
      <c r="G27" s="92"/>
      <c r="H27" s="19"/>
      <c r="I27" s="17"/>
      <c r="J27" s="17"/>
      <c r="K27" s="17"/>
      <c r="L27" s="17"/>
      <c r="M27" s="17"/>
      <c r="N27" s="17"/>
      <c r="O27" s="17"/>
      <c r="P27" s="17"/>
      <c r="Q27" s="16"/>
      <c r="R27" s="17"/>
      <c r="S27" s="17"/>
      <c r="T27" s="17"/>
      <c r="U27" s="17"/>
      <c r="V27" s="17"/>
      <c r="W27" s="17"/>
      <c r="X27" s="17"/>
      <c r="Y27" s="17"/>
      <c r="Z27" s="17"/>
      <c r="AA27" s="17"/>
      <c r="AB27" s="17"/>
      <c r="AC27" s="17"/>
      <c r="AD27" s="17"/>
    </row>
    <row r="28" spans="1:36" ht="15.75" customHeight="1" thickTop="1" thickBot="1">
      <c r="A28" s="706" t="s">
        <v>435</v>
      </c>
      <c r="B28" s="707"/>
      <c r="C28" s="707"/>
      <c r="D28" s="707"/>
      <c r="E28" s="707"/>
      <c r="F28" s="708"/>
      <c r="G28" s="15"/>
      <c r="H28" s="17"/>
      <c r="I28" s="17"/>
      <c r="J28" s="17"/>
      <c r="K28" s="17"/>
      <c r="L28" s="17"/>
      <c r="M28" s="17"/>
      <c r="N28" s="17"/>
      <c r="O28" s="17"/>
      <c r="P28" s="17"/>
      <c r="Q28" s="16"/>
      <c r="R28" s="17"/>
      <c r="S28" s="17"/>
      <c r="T28" s="17"/>
      <c r="U28" s="17"/>
      <c r="V28" s="17"/>
      <c r="W28" s="17"/>
      <c r="X28" s="17"/>
      <c r="Y28" s="17"/>
      <c r="Z28" s="17"/>
      <c r="AA28" s="17"/>
      <c r="AB28" s="17"/>
      <c r="AC28" s="17"/>
      <c r="AD28" s="242" t="s">
        <v>436</v>
      </c>
      <c r="AE28" s="16"/>
      <c r="AF28" s="128"/>
      <c r="AG28" s="51"/>
      <c r="AH28" s="51"/>
      <c r="AI28" s="51"/>
      <c r="AJ28" s="51"/>
    </row>
    <row r="29" spans="1:36" ht="15.75" customHeight="1" thickBot="1">
      <c r="A29" s="709" t="s">
        <v>437</v>
      </c>
      <c r="B29" s="696"/>
      <c r="C29" s="696"/>
      <c r="D29" s="696"/>
      <c r="E29" s="696"/>
      <c r="F29" s="710"/>
      <c r="G29" s="17"/>
      <c r="H29" s="17"/>
      <c r="I29" s="17"/>
      <c r="J29" s="17"/>
      <c r="K29" s="17"/>
      <c r="L29" s="17"/>
      <c r="M29" s="17"/>
      <c r="N29" s="17"/>
      <c r="O29" s="17"/>
      <c r="P29" s="17"/>
      <c r="Q29" s="16"/>
      <c r="R29" s="17"/>
      <c r="S29" s="17"/>
      <c r="T29" s="17"/>
      <c r="U29" s="17"/>
      <c r="V29" s="17"/>
      <c r="W29" s="17"/>
      <c r="X29" s="17"/>
      <c r="Y29" s="17"/>
      <c r="Z29" s="17"/>
      <c r="AA29" s="17"/>
      <c r="AB29" s="17"/>
      <c r="AC29" s="17"/>
      <c r="AD29" s="243" t="s">
        <v>438</v>
      </c>
      <c r="AE29" s="243" t="s">
        <v>439</v>
      </c>
      <c r="AF29" s="243" t="s">
        <v>440</v>
      </c>
      <c r="AG29" s="711" t="s">
        <v>441</v>
      </c>
      <c r="AH29" s="712"/>
      <c r="AI29" s="711" t="s">
        <v>434</v>
      </c>
      <c r="AJ29" s="712"/>
    </row>
    <row r="30" spans="1:36" ht="15.75" customHeight="1" thickBot="1">
      <c r="A30" s="709" t="s">
        <v>442</v>
      </c>
      <c r="B30" s="696"/>
      <c r="C30" s="696"/>
      <c r="D30" s="696"/>
      <c r="E30" s="696"/>
      <c r="F30" s="710"/>
      <c r="G30" s="17"/>
      <c r="H30" s="17"/>
      <c r="I30" s="17"/>
      <c r="J30" s="17"/>
      <c r="K30" s="17"/>
      <c r="L30" s="17"/>
      <c r="M30" s="17"/>
      <c r="N30" s="17"/>
      <c r="O30" s="17"/>
      <c r="P30" s="17"/>
      <c r="Q30" s="16"/>
      <c r="R30" s="17"/>
      <c r="S30" s="17"/>
      <c r="T30" s="17"/>
      <c r="U30" s="17"/>
      <c r="V30" s="17"/>
      <c r="W30" s="17"/>
      <c r="X30" s="17"/>
      <c r="Y30" s="17"/>
      <c r="Z30" s="17"/>
      <c r="AA30" s="17"/>
      <c r="AB30" s="17"/>
      <c r="AC30" s="17"/>
      <c r="AD30" s="244" t="str">
        <f>IF($B$12="individual",Constants!F55,Constants!L55)</f>
        <v>member count</v>
      </c>
      <c r="AE30" s="244">
        <f>B7</f>
        <v>248</v>
      </c>
      <c r="AF30" s="269">
        <f>IF(AE30&gt;=301,5,IF(AE30&gt;=176,4,IF(AE30&gt;=101,3,IF(AE30&gt;=51,2,1))))</f>
        <v>4</v>
      </c>
      <c r="AG30" s="560"/>
      <c r="AH30" s="560"/>
      <c r="AI30" s="560" t="s">
        <v>443</v>
      </c>
      <c r="AJ30" s="560"/>
    </row>
    <row r="31" spans="1:36" ht="15" customHeight="1" thickBot="1">
      <c r="A31" s="709" t="s">
        <v>444</v>
      </c>
      <c r="B31" s="696"/>
      <c r="C31" s="696"/>
      <c r="D31" s="696"/>
      <c r="E31" s="696"/>
      <c r="F31" s="710"/>
      <c r="G31" s="17"/>
      <c r="H31" s="17"/>
      <c r="I31" s="17"/>
      <c r="J31" s="17"/>
      <c r="K31" s="17"/>
      <c r="L31" s="17"/>
      <c r="M31" s="17"/>
      <c r="N31" s="17"/>
      <c r="O31" s="17"/>
      <c r="P31" s="17"/>
      <c r="Q31" s="16"/>
      <c r="R31" s="17"/>
      <c r="S31" s="17"/>
      <c r="T31" s="17"/>
      <c r="U31" s="17"/>
      <c r="V31" s="17"/>
      <c r="W31" s="17"/>
      <c r="X31" s="17"/>
      <c r="Y31" s="17"/>
      <c r="Z31" s="17"/>
      <c r="AA31" s="17"/>
      <c r="AB31" s="17"/>
      <c r="AC31" s="17"/>
      <c r="AD31" s="244" t="str">
        <f>IF($B$12="individual",Constants!F56,Constants!L56)</f>
        <v>number of trainings per week</v>
      </c>
      <c r="AE31" s="244" cm="1">
        <f t="array" ref="AE31">SUMPRODUCT(C67:C95*D67:D95)/42</f>
        <v>25.785714285714285</v>
      </c>
      <c r="AF31" s="270">
        <f>IF(AE31&gt;=4,3,IF(AE31&gt;=3,2,IF(AE31&gt;=2,1,0)))</f>
        <v>3</v>
      </c>
      <c r="AG31" s="560"/>
      <c r="AH31" s="560"/>
      <c r="AI31" s="560"/>
      <c r="AJ31" s="560"/>
    </row>
    <row r="32" spans="1:36" ht="15.75" customHeight="1" thickBot="1">
      <c r="A32" s="709" t="s">
        <v>445</v>
      </c>
      <c r="B32" s="696"/>
      <c r="C32" s="696"/>
      <c r="D32" s="696"/>
      <c r="E32" s="696"/>
      <c r="F32" s="710"/>
      <c r="G32" s="17"/>
      <c r="H32" s="16"/>
      <c r="I32" s="16"/>
      <c r="J32" s="16"/>
      <c r="K32" s="17"/>
      <c r="L32" s="17"/>
      <c r="M32" s="17"/>
      <c r="N32" s="17"/>
      <c r="O32" s="17"/>
      <c r="P32" s="17"/>
      <c r="Q32" s="16"/>
      <c r="R32" s="17"/>
      <c r="S32" s="17"/>
      <c r="T32" s="17"/>
      <c r="U32" s="17"/>
      <c r="V32" s="17"/>
      <c r="W32" s="17"/>
      <c r="X32" s="17"/>
      <c r="Y32" s="17"/>
      <c r="Z32" s="17"/>
      <c r="AA32" s="17"/>
      <c r="AB32" s="17"/>
      <c r="AC32" s="17"/>
      <c r="AD32" s="244" t="str">
        <f>IF($B$12="individual",Constants!F57,Constants!L57)</f>
        <v>number of trainings weeks per year</v>
      </c>
      <c r="AE32" s="266">
        <v>52</v>
      </c>
      <c r="AF32" s="250">
        <f>IF(AE32&gt;=40,3,IF(AE32&gt;=35,2,1))</f>
        <v>3</v>
      </c>
      <c r="AG32" s="560"/>
      <c r="AH32" s="560"/>
      <c r="AI32" s="560"/>
      <c r="AJ32" s="560"/>
    </row>
    <row r="33" spans="1:58" ht="15.75" customHeight="1" thickBot="1">
      <c r="A33" s="93" t="s">
        <v>446</v>
      </c>
      <c r="F33" s="94"/>
      <c r="G33" s="17"/>
      <c r="H33" s="16"/>
      <c r="I33" s="16"/>
      <c r="J33" s="16"/>
      <c r="K33" s="17"/>
      <c r="L33" s="17"/>
      <c r="M33" s="17"/>
      <c r="N33" s="17"/>
      <c r="O33" s="17"/>
      <c r="P33" s="17"/>
      <c r="Q33" s="16"/>
      <c r="R33" s="17"/>
      <c r="S33" s="17"/>
      <c r="T33" s="17"/>
      <c r="U33" s="17"/>
      <c r="V33" s="17"/>
      <c r="W33" s="17"/>
      <c r="X33" s="17"/>
      <c r="Y33" s="17"/>
      <c r="Z33" s="17"/>
      <c r="AA33" s="17"/>
      <c r="AB33" s="17"/>
      <c r="AC33" s="17"/>
      <c r="AD33" s="244" t="str">
        <f>IF($B$12="individual",Constants!F58,Constants!L58)</f>
        <v>number of training hours by RT / PT-V</v>
      </c>
      <c r="AE33" s="265">
        <f>(SUMIF(H67:H95,"RT",F67:F95)+SUMIF(H67:H95,"PT-V",F67:F95))/SUM(F67:F95)</f>
        <v>0.61443850267379674</v>
      </c>
      <c r="AF33" s="270">
        <f>IF(AE33&gt;0.9,3,IF(AE33&gt;0.6,2,IF(AE33&gt;0.3,1,0)))</f>
        <v>2</v>
      </c>
      <c r="AG33" s="560"/>
      <c r="AH33" s="560"/>
      <c r="AI33" s="560"/>
      <c r="AJ33" s="560"/>
    </row>
    <row r="34" spans="1:58" ht="15.75" customHeight="1" thickBot="1">
      <c r="A34" s="713" t="s">
        <v>447</v>
      </c>
      <c r="B34" s="714"/>
      <c r="C34" s="714"/>
      <c r="D34" s="714"/>
      <c r="E34" s="714"/>
      <c r="F34" s="715"/>
      <c r="G34" s="17"/>
      <c r="H34" s="16"/>
      <c r="I34" s="16"/>
      <c r="J34" s="16"/>
      <c r="K34" s="17"/>
      <c r="L34" s="17"/>
      <c r="M34" s="17"/>
      <c r="N34" s="17"/>
      <c r="O34" s="17"/>
      <c r="P34" s="17"/>
      <c r="Q34" s="16"/>
      <c r="R34" s="17"/>
      <c r="S34" s="17"/>
      <c r="T34" s="17"/>
      <c r="U34" s="17"/>
      <c r="V34" s="17"/>
      <c r="W34" s="17"/>
      <c r="X34" s="17"/>
      <c r="Y34" s="17"/>
      <c r="Z34" s="17"/>
      <c r="AA34" s="17"/>
      <c r="AB34" s="17"/>
      <c r="AC34" s="17"/>
      <c r="AD34" s="244" t="str">
        <f>IF($B$12="individual",Constants!F59,Constants!L59)</f>
        <v>number of training groups / teams</v>
      </c>
      <c r="AE34" s="244">
        <f>B10</f>
        <v>15</v>
      </c>
      <c r="AF34" s="271">
        <f>IF(AE34&gt;9,3,IF(AE34&gt;4,2,IF(AE34&gt;2,1,0)))</f>
        <v>3</v>
      </c>
      <c r="AG34" s="560"/>
      <c r="AH34" s="560"/>
      <c r="AI34" s="560"/>
      <c r="AJ34" s="560"/>
    </row>
    <row r="35" spans="1:58" ht="15.75" customHeight="1" thickTop="1" thickBot="1">
      <c r="A35" s="16"/>
      <c r="G35" s="17"/>
      <c r="H35" s="16"/>
      <c r="I35" s="16"/>
      <c r="J35" s="16"/>
      <c r="K35" s="17"/>
      <c r="L35" s="17"/>
      <c r="M35" s="17"/>
      <c r="N35" s="17"/>
      <c r="O35" s="17"/>
      <c r="P35" s="17"/>
      <c r="Q35" s="16"/>
      <c r="R35" s="17"/>
      <c r="S35" s="17"/>
      <c r="T35" s="17"/>
      <c r="U35" s="17"/>
      <c r="V35" s="17"/>
      <c r="W35" s="17"/>
      <c r="X35" s="17"/>
      <c r="Y35" s="17"/>
      <c r="Z35" s="17"/>
      <c r="AA35" s="17"/>
      <c r="AB35" s="17"/>
      <c r="AC35" s="17"/>
      <c r="AD35" s="244" t="str">
        <f>IF($B$12="individual",Constants!F60,Constants!L60)</f>
        <v>number of competitions organised</v>
      </c>
      <c r="AE35" s="249">
        <v>3</v>
      </c>
      <c r="AF35" s="271">
        <f>IF(AE35&gt;=4,5,IF(AE35&gt;=2,3,IF(AE35&gt;=1,1,0)))</f>
        <v>3</v>
      </c>
      <c r="AG35" s="560"/>
      <c r="AH35" s="560"/>
      <c r="AI35" s="560"/>
      <c r="AJ35" s="560"/>
    </row>
    <row r="36" spans="1:58" ht="15.75" customHeight="1" thickBot="1">
      <c r="A36" s="179" t="s">
        <v>448</v>
      </c>
      <c r="B36" s="16"/>
      <c r="C36" s="16"/>
      <c r="D36" s="16"/>
      <c r="E36" s="16"/>
      <c r="F36" s="16"/>
      <c r="G36" s="16"/>
      <c r="H36" s="16"/>
      <c r="I36" s="16"/>
      <c r="J36" s="16"/>
      <c r="K36" s="16"/>
      <c r="L36" s="16"/>
      <c r="M36" s="16"/>
      <c r="N36" s="16"/>
      <c r="O36" s="16"/>
      <c r="P36" s="16"/>
      <c r="Q36" s="16"/>
      <c r="R36" s="16"/>
      <c r="S36" s="16"/>
      <c r="T36" s="16"/>
      <c r="U36" s="16"/>
      <c r="V36" s="16"/>
      <c r="W36" s="16"/>
      <c r="X36" s="16"/>
      <c r="Y36" s="16"/>
      <c r="Z36" s="16"/>
      <c r="AA36" s="16"/>
      <c r="AB36" s="18"/>
      <c r="AC36" s="16"/>
      <c r="AD36" s="244" t="str">
        <f>IF($B$12="individual",Constants!F61,Constants!L61)</f>
        <v>number of social activities</v>
      </c>
      <c r="AE36" s="249">
        <v>42</v>
      </c>
      <c r="AF36" s="271">
        <f>IF(AE36&gt;=20,2,IF(AE36&gt;=10,1,0))</f>
        <v>2</v>
      </c>
      <c r="AG36" s="560"/>
      <c r="AH36" s="560"/>
      <c r="AI36" s="560"/>
      <c r="AJ36" s="560"/>
    </row>
    <row r="37" spans="1:58" ht="15" customHeight="1" thickTop="1" thickBot="1">
      <c r="A37" s="258" t="s">
        <v>449</v>
      </c>
      <c r="B37" s="259" t="s">
        <v>450</v>
      </c>
      <c r="C37" s="258" t="s">
        <v>451</v>
      </c>
      <c r="D37" s="258" t="s">
        <v>452</v>
      </c>
      <c r="E37" s="258" t="s">
        <v>453</v>
      </c>
      <c r="F37" s="258" t="s">
        <v>454</v>
      </c>
      <c r="G37" s="259" t="s">
        <v>455</v>
      </c>
      <c r="H37" s="609" t="s">
        <v>456</v>
      </c>
      <c r="I37" s="736"/>
      <c r="J37" s="737"/>
      <c r="K37" s="98"/>
      <c r="L37" s="98"/>
      <c r="M37" s="98"/>
      <c r="N37" s="98"/>
      <c r="O37" s="98"/>
      <c r="P37" s="98"/>
      <c r="Q37" s="98"/>
      <c r="R37" s="98"/>
      <c r="S37" s="98"/>
      <c r="T37" s="98"/>
      <c r="U37" s="96"/>
      <c r="V37" s="96"/>
      <c r="W37" s="96"/>
      <c r="X37" s="96"/>
      <c r="Y37" s="99"/>
      <c r="Z37" s="96"/>
      <c r="AA37" s="96"/>
      <c r="AB37" s="100"/>
      <c r="AC37" s="100"/>
      <c r="AD37" s="244" t="str">
        <f>IF($B$12="individual",Constants!F62,Constants!L62)</f>
        <v>number of bar days</v>
      </c>
      <c r="AE37" s="249">
        <v>0</v>
      </c>
      <c r="AF37" s="271">
        <f>IF(AE37&gt;=15,2,IF(AE37&gt;=8,1,0))</f>
        <v>0</v>
      </c>
      <c r="AG37" s="560"/>
      <c r="AH37" s="560"/>
      <c r="AI37" s="560"/>
      <c r="AJ37" s="560"/>
      <c r="AK37" s="100"/>
      <c r="AL37" s="100"/>
      <c r="AM37" s="100"/>
      <c r="AN37" s="100"/>
      <c r="AO37" s="100"/>
      <c r="AP37" s="100"/>
      <c r="AQ37" s="100"/>
      <c r="AR37" s="100"/>
      <c r="AS37" s="100"/>
      <c r="AT37" s="100"/>
      <c r="AU37" s="100"/>
      <c r="AV37" s="100"/>
      <c r="AW37" s="100"/>
      <c r="AX37" s="100"/>
      <c r="AY37" s="100"/>
      <c r="AZ37" s="100"/>
      <c r="BA37" s="100"/>
      <c r="BB37" s="100"/>
      <c r="BC37" s="100"/>
      <c r="BD37" s="100"/>
      <c r="BE37" s="100"/>
      <c r="BF37" s="100"/>
    </row>
    <row r="38" spans="1:58" ht="15" customHeight="1" thickTop="1" thickBot="1">
      <c r="A38" s="386" t="s">
        <v>617</v>
      </c>
      <c r="B38" s="323">
        <v>19</v>
      </c>
      <c r="C38" s="386">
        <v>2</v>
      </c>
      <c r="D38" s="386">
        <v>42</v>
      </c>
      <c r="E38" s="386" t="s">
        <v>57</v>
      </c>
      <c r="F38" s="327" t="s">
        <v>618</v>
      </c>
      <c r="G38" s="323" t="s">
        <v>619</v>
      </c>
      <c r="H38" s="589"/>
      <c r="I38" s="589"/>
      <c r="J38" s="590"/>
      <c r="K38" s="98"/>
      <c r="L38" s="98"/>
      <c r="M38" s="98"/>
      <c r="N38" s="98"/>
      <c r="O38" s="98"/>
      <c r="P38" s="98"/>
      <c r="Q38" s="98"/>
      <c r="R38" s="98"/>
      <c r="S38" s="98"/>
      <c r="T38" s="98"/>
      <c r="U38" s="96"/>
      <c r="V38" s="96"/>
      <c r="W38" s="96"/>
      <c r="X38" s="96"/>
      <c r="Y38" s="99"/>
      <c r="Z38" s="96"/>
      <c r="AA38" s="96"/>
      <c r="AB38" s="100"/>
      <c r="AC38" s="100"/>
      <c r="AD38" s="244" t="str">
        <f>IF($B$12="individual",Constants!F63,Constants!L63)</f>
        <v>own bar / extra location</v>
      </c>
      <c r="AE38" s="249">
        <v>1</v>
      </c>
      <c r="AF38" s="271">
        <v>2</v>
      </c>
      <c r="AG38" s="560"/>
      <c r="AH38" s="560"/>
      <c r="AI38" s="560"/>
      <c r="AJ38" s="560"/>
      <c r="AK38" s="100"/>
      <c r="AL38" s="100"/>
      <c r="AM38" s="100"/>
      <c r="AN38" s="100"/>
      <c r="AO38" s="100"/>
      <c r="AP38" s="100"/>
      <c r="AQ38" s="100"/>
      <c r="AR38" s="100"/>
      <c r="AS38" s="100"/>
      <c r="AT38" s="100"/>
      <c r="AU38" s="100"/>
      <c r="AV38" s="100"/>
      <c r="AW38" s="100"/>
      <c r="AX38" s="100"/>
      <c r="AY38" s="100"/>
      <c r="AZ38" s="100"/>
      <c r="BA38" s="100"/>
      <c r="BB38" s="100"/>
      <c r="BC38" s="100"/>
      <c r="BD38" s="100"/>
      <c r="BE38" s="100"/>
      <c r="BF38" s="100"/>
    </row>
    <row r="39" spans="1:58" ht="15" customHeight="1" thickBot="1">
      <c r="A39" s="386" t="s">
        <v>620</v>
      </c>
      <c r="B39" s="323">
        <v>20</v>
      </c>
      <c r="C39" s="386">
        <v>2</v>
      </c>
      <c r="D39" s="386">
        <v>42</v>
      </c>
      <c r="E39" s="386" t="s">
        <v>57</v>
      </c>
      <c r="F39" s="327" t="s">
        <v>621</v>
      </c>
      <c r="G39" s="323"/>
      <c r="H39" s="589"/>
      <c r="I39" s="589"/>
      <c r="J39" s="590"/>
      <c r="K39" s="98"/>
      <c r="L39" s="98"/>
      <c r="M39" s="98"/>
      <c r="N39" s="98"/>
      <c r="O39" s="98"/>
      <c r="P39" s="98"/>
      <c r="Q39" s="98"/>
      <c r="R39" s="98"/>
      <c r="S39" s="98"/>
      <c r="T39" s="98"/>
      <c r="U39" s="96"/>
      <c r="V39" s="96"/>
      <c r="W39" s="96"/>
      <c r="X39" s="96"/>
      <c r="Y39" s="99"/>
      <c r="Z39" s="96"/>
      <c r="AA39" s="96"/>
      <c r="AB39" s="100"/>
      <c r="AC39" s="100"/>
      <c r="AD39" s="244" t="str">
        <f>IF($B$12="individual",Constants!F65,Constants!L64)</f>
        <v>number of facilities used</v>
      </c>
      <c r="AE39" s="249">
        <v>3</v>
      </c>
      <c r="AF39" s="273">
        <f>IF(B12="individual", IF(AE39&gt;10, 5, IF(AE39&gt;6, 3, IF(AE39&gt;2, 1, 0))), IF(AE39&gt;3, 3, IF(AE39&gt;1, 2, 1)))</f>
        <v>2</v>
      </c>
      <c r="AG39" s="560"/>
      <c r="AH39" s="560"/>
      <c r="AI39" s="560"/>
      <c r="AJ39" s="560"/>
      <c r="AK39" s="100"/>
      <c r="AL39" s="100"/>
      <c r="AM39" s="100"/>
      <c r="AN39" s="100"/>
      <c r="AO39" s="100"/>
      <c r="AP39" s="100"/>
      <c r="AQ39" s="100"/>
      <c r="AR39" s="100"/>
      <c r="AS39" s="100"/>
      <c r="AT39" s="100"/>
      <c r="AU39" s="100"/>
      <c r="AV39" s="100"/>
      <c r="AW39" s="100"/>
      <c r="AX39" s="100"/>
      <c r="AY39" s="100"/>
      <c r="AZ39" s="100"/>
      <c r="BA39" s="100"/>
      <c r="BB39" s="100"/>
      <c r="BC39" s="100"/>
      <c r="BD39" s="100"/>
      <c r="BE39" s="100"/>
      <c r="BF39" s="100"/>
    </row>
    <row r="40" spans="1:58" ht="15" customHeight="1" thickBot="1">
      <c r="A40" s="386" t="s">
        <v>622</v>
      </c>
      <c r="B40" s="323">
        <v>22</v>
      </c>
      <c r="C40" s="386">
        <v>2</v>
      </c>
      <c r="D40" s="386">
        <v>42</v>
      </c>
      <c r="E40" s="386" t="s">
        <v>55</v>
      </c>
      <c r="F40" s="327" t="s">
        <v>623</v>
      </c>
      <c r="G40" s="323"/>
      <c r="H40" s="589"/>
      <c r="I40" s="589"/>
      <c r="J40" s="590"/>
      <c r="K40" s="98"/>
      <c r="L40" s="98"/>
      <c r="M40" s="98"/>
      <c r="N40" s="98"/>
      <c r="O40" s="98"/>
      <c r="P40" s="98"/>
      <c r="Q40" s="98"/>
      <c r="R40" s="98"/>
      <c r="S40" s="98"/>
      <c r="T40" s="98"/>
      <c r="U40" s="96"/>
      <c r="V40" s="96"/>
      <c r="W40" s="96"/>
      <c r="X40" s="96"/>
      <c r="Y40" s="99"/>
      <c r="Z40" s="96"/>
      <c r="AA40" s="96"/>
      <c r="AB40" s="100"/>
      <c r="AC40" s="100"/>
      <c r="AD40" s="231" t="str">
        <f>IF($B$12="individual",Constants!F64,Constants!L65)</f>
        <v>ratio of competing teams / training teams</v>
      </c>
      <c r="AE40" s="248">
        <f>IF(AD40="n/a","",COUNTA(A58:A62)/COUNTA(A38:A54))</f>
        <v>0.26666666666666666</v>
      </c>
      <c r="AF40" s="272">
        <f>IF(B12="group", IF(AE40&gt;0.15, 5, IF(AE40&gt;0.1, 3, IF(AE40&gt;0.05, 1, 0))), " ")</f>
        <v>5</v>
      </c>
      <c r="AG40" s="560"/>
      <c r="AH40" s="560"/>
      <c r="AI40" s="560"/>
      <c r="AJ40" s="560"/>
      <c r="AK40" s="100"/>
      <c r="AL40" s="100"/>
      <c r="AM40" s="100"/>
      <c r="AN40" s="100"/>
      <c r="AO40" s="100"/>
      <c r="AP40" s="100"/>
      <c r="AQ40" s="100"/>
      <c r="AR40" s="100"/>
      <c r="AS40" s="100"/>
      <c r="AT40" s="100"/>
      <c r="AU40" s="100"/>
      <c r="AV40" s="100"/>
      <c r="AW40" s="100"/>
      <c r="AX40" s="100"/>
      <c r="AY40" s="100"/>
      <c r="AZ40" s="100"/>
      <c r="BA40" s="100"/>
      <c r="BB40" s="100"/>
      <c r="BC40" s="100"/>
      <c r="BD40" s="100"/>
      <c r="BE40" s="100"/>
      <c r="BF40" s="100"/>
    </row>
    <row r="41" spans="1:58" ht="15" customHeight="1" thickBot="1">
      <c r="A41" s="386" t="s">
        <v>624</v>
      </c>
      <c r="B41" s="323">
        <v>24</v>
      </c>
      <c r="C41" s="386">
        <v>2</v>
      </c>
      <c r="D41" s="386">
        <v>42</v>
      </c>
      <c r="E41" s="386" t="s">
        <v>55</v>
      </c>
      <c r="F41" s="327" t="s">
        <v>625</v>
      </c>
      <c r="G41" s="323"/>
      <c r="H41" s="589"/>
      <c r="I41" s="589"/>
      <c r="J41" s="590"/>
      <c r="K41" s="98"/>
      <c r="L41" s="98"/>
      <c r="M41" s="98"/>
      <c r="N41" s="98"/>
      <c r="O41" s="98"/>
      <c r="P41" s="98"/>
      <c r="Q41" s="98"/>
      <c r="R41" s="98"/>
      <c r="S41" s="98"/>
      <c r="T41" s="98"/>
      <c r="U41" s="96"/>
      <c r="V41" s="96"/>
      <c r="W41" s="96"/>
      <c r="X41" s="96"/>
      <c r="Y41" s="99"/>
      <c r="Z41" s="96"/>
      <c r="AA41" s="96"/>
      <c r="AB41" s="100"/>
      <c r="AC41" s="100"/>
      <c r="AD41" s="16"/>
      <c r="AE41" s="275" t="s">
        <v>461</v>
      </c>
      <c r="AF41" s="277">
        <f>SUM(AF30:AF40)</f>
        <v>29</v>
      </c>
      <c r="AG41" s="247"/>
      <c r="AH41" s="245"/>
      <c r="AI41" s="246"/>
      <c r="AJ41" s="247"/>
      <c r="AK41" s="100"/>
      <c r="AL41" s="100"/>
      <c r="AM41" s="100"/>
      <c r="AN41" s="100"/>
      <c r="AO41" s="100"/>
      <c r="AP41" s="100"/>
      <c r="AQ41" s="100"/>
      <c r="AR41" s="100"/>
      <c r="AS41" s="100"/>
      <c r="AT41" s="100"/>
      <c r="AU41" s="100"/>
      <c r="AV41" s="100"/>
      <c r="AW41" s="100"/>
      <c r="AX41" s="100"/>
      <c r="AY41" s="100"/>
      <c r="AZ41" s="100"/>
      <c r="BA41" s="100"/>
      <c r="BB41" s="100"/>
      <c r="BC41" s="100"/>
      <c r="BD41" s="100"/>
      <c r="BE41" s="100"/>
      <c r="BF41" s="100"/>
    </row>
    <row r="42" spans="1:58" ht="15" customHeight="1">
      <c r="A42" s="386" t="s">
        <v>626</v>
      </c>
      <c r="B42" s="323">
        <v>19</v>
      </c>
      <c r="C42" s="386">
        <v>1</v>
      </c>
      <c r="D42" s="386">
        <v>42</v>
      </c>
      <c r="E42" s="386" t="s">
        <v>55</v>
      </c>
      <c r="F42" s="327" t="s">
        <v>621</v>
      </c>
      <c r="G42" s="323" t="s">
        <v>627</v>
      </c>
      <c r="H42" s="589"/>
      <c r="I42" s="589"/>
      <c r="J42" s="590"/>
      <c r="K42" s="98"/>
      <c r="L42" s="98"/>
      <c r="M42" s="98"/>
      <c r="N42" s="98"/>
      <c r="O42" s="98"/>
      <c r="P42" s="98"/>
      <c r="Q42" s="98"/>
      <c r="R42" s="98"/>
      <c r="S42" s="98"/>
      <c r="T42" s="98"/>
      <c r="U42" s="96"/>
      <c r="V42" s="96"/>
      <c r="W42" s="96"/>
      <c r="X42" s="96"/>
      <c r="Y42" s="99"/>
      <c r="Z42" s="96"/>
      <c r="AA42" s="96"/>
      <c r="AB42" s="100"/>
      <c r="AC42" s="100"/>
      <c r="AD42" s="100"/>
      <c r="AE42" s="100"/>
      <c r="AF42" s="100"/>
      <c r="AG42" s="100"/>
      <c r="AH42" s="100"/>
      <c r="AI42" s="100"/>
      <c r="AJ42" s="100"/>
      <c r="AK42" s="100"/>
      <c r="AL42" s="100"/>
      <c r="AM42" s="100"/>
      <c r="AN42" s="100"/>
      <c r="AO42" s="100"/>
      <c r="AP42" s="100"/>
      <c r="AQ42" s="100"/>
      <c r="AR42" s="100"/>
      <c r="AS42" s="100"/>
      <c r="AT42" s="100"/>
      <c r="AU42" s="100"/>
      <c r="AV42" s="100"/>
      <c r="AW42" s="100"/>
      <c r="AX42" s="100"/>
      <c r="AY42" s="100"/>
      <c r="AZ42" s="100"/>
      <c r="BA42" s="100"/>
      <c r="BB42" s="100"/>
      <c r="BC42" s="100"/>
      <c r="BD42" s="100"/>
      <c r="BE42" s="100"/>
      <c r="BF42" s="100"/>
    </row>
    <row r="43" spans="1:58" ht="15" customHeight="1">
      <c r="A43" s="386" t="s">
        <v>628</v>
      </c>
      <c r="B43" s="323">
        <v>10</v>
      </c>
      <c r="C43" s="386">
        <v>1</v>
      </c>
      <c r="D43" s="386">
        <v>42</v>
      </c>
      <c r="E43" s="386" t="s">
        <v>55</v>
      </c>
      <c r="F43" s="327" t="s">
        <v>629</v>
      </c>
      <c r="G43" s="323" t="s">
        <v>630</v>
      </c>
      <c r="H43" s="589"/>
      <c r="I43" s="589"/>
      <c r="J43" s="590"/>
      <c r="K43" s="98"/>
      <c r="L43" s="98"/>
      <c r="M43" s="98"/>
      <c r="N43" s="98"/>
      <c r="O43" s="98"/>
      <c r="P43" s="98"/>
      <c r="Q43" s="98"/>
      <c r="R43" s="98"/>
      <c r="S43" s="98"/>
      <c r="T43" s="98"/>
      <c r="U43" s="96"/>
      <c r="V43" s="96"/>
      <c r="W43" s="96"/>
      <c r="X43" s="96"/>
      <c r="Y43" s="99"/>
      <c r="Z43" s="96"/>
      <c r="AA43" s="96"/>
      <c r="AB43" s="100"/>
      <c r="AC43" s="100"/>
      <c r="AD43" s="100"/>
      <c r="AE43" s="100"/>
      <c r="AF43" s="100"/>
      <c r="AG43" s="100"/>
      <c r="AH43" s="100"/>
      <c r="AI43" s="100"/>
      <c r="AJ43" s="100"/>
      <c r="AK43" s="100"/>
      <c r="AL43" s="100"/>
      <c r="AM43" s="100"/>
      <c r="AN43" s="100"/>
      <c r="AO43" s="100"/>
      <c r="AP43" s="100"/>
      <c r="AQ43" s="100"/>
      <c r="AR43" s="100"/>
      <c r="AS43" s="100"/>
      <c r="AT43" s="100"/>
      <c r="AU43" s="100"/>
      <c r="AV43" s="100"/>
      <c r="AW43" s="100"/>
      <c r="AX43" s="100"/>
      <c r="AY43" s="100"/>
      <c r="AZ43" s="100"/>
      <c r="BA43" s="100"/>
      <c r="BB43" s="100"/>
      <c r="BC43" s="100"/>
      <c r="BD43" s="100"/>
      <c r="BE43" s="100"/>
      <c r="BF43" s="100"/>
    </row>
    <row r="44" spans="1:58" ht="15" customHeight="1">
      <c r="A44" s="386" t="s">
        <v>631</v>
      </c>
      <c r="B44" s="323">
        <v>18</v>
      </c>
      <c r="C44" s="386">
        <v>2</v>
      </c>
      <c r="D44" s="386">
        <v>42</v>
      </c>
      <c r="E44" s="386" t="s">
        <v>57</v>
      </c>
      <c r="F44" s="327" t="s">
        <v>632</v>
      </c>
      <c r="G44" s="323" t="s">
        <v>633</v>
      </c>
      <c r="H44" s="589"/>
      <c r="I44" s="589"/>
      <c r="J44" s="590"/>
      <c r="K44" s="98"/>
      <c r="L44" s="98"/>
      <c r="M44" s="98"/>
      <c r="N44" s="98"/>
      <c r="O44" s="98"/>
      <c r="P44" s="98"/>
      <c r="Q44" s="98"/>
      <c r="R44" s="98"/>
      <c r="S44" s="98"/>
      <c r="T44" s="98"/>
      <c r="U44" s="96"/>
      <c r="V44" s="96"/>
      <c r="W44" s="96"/>
      <c r="X44" s="96"/>
      <c r="Y44" s="99"/>
      <c r="Z44" s="96"/>
      <c r="AA44" s="96"/>
      <c r="AB44" s="100"/>
      <c r="AC44" s="100"/>
      <c r="AD44" s="100"/>
      <c r="AE44" s="100"/>
      <c r="AF44" s="100"/>
      <c r="AG44" s="100"/>
      <c r="AH44" s="100"/>
      <c r="AI44" s="100"/>
      <c r="AJ44" s="100"/>
      <c r="AK44" s="100"/>
      <c r="AL44" s="100"/>
      <c r="AM44" s="100"/>
      <c r="AN44" s="100"/>
      <c r="AO44" s="100"/>
      <c r="AP44" s="100"/>
      <c r="AQ44" s="100"/>
      <c r="AR44" s="100"/>
      <c r="AS44" s="100"/>
      <c r="AT44" s="100"/>
      <c r="AU44" s="100"/>
      <c r="AV44" s="100"/>
      <c r="AW44" s="100"/>
      <c r="AX44" s="100"/>
      <c r="AY44" s="100"/>
      <c r="AZ44" s="100"/>
      <c r="BA44" s="100"/>
      <c r="BB44" s="100"/>
      <c r="BC44" s="100"/>
      <c r="BD44" s="100"/>
      <c r="BE44" s="100"/>
      <c r="BF44" s="100"/>
    </row>
    <row r="45" spans="1:58" ht="15" customHeight="1">
      <c r="A45" s="386" t="s">
        <v>634</v>
      </c>
      <c r="B45" s="323">
        <v>22</v>
      </c>
      <c r="C45" s="386">
        <v>1</v>
      </c>
      <c r="D45" s="386">
        <v>42</v>
      </c>
      <c r="E45" s="386" t="s">
        <v>55</v>
      </c>
      <c r="F45" s="327" t="s">
        <v>629</v>
      </c>
      <c r="G45" s="323"/>
      <c r="H45" s="589"/>
      <c r="I45" s="589"/>
      <c r="J45" s="590"/>
      <c r="K45" s="98"/>
      <c r="L45" s="98"/>
      <c r="M45" s="98"/>
      <c r="N45" s="98"/>
      <c r="O45" s="98"/>
      <c r="P45" s="98"/>
      <c r="Q45" s="98"/>
      <c r="R45" s="98"/>
      <c r="S45" s="98"/>
      <c r="T45" s="98"/>
      <c r="U45" s="96"/>
      <c r="V45" s="96"/>
      <c r="W45" s="96"/>
      <c r="X45" s="96"/>
      <c r="Y45" s="99"/>
      <c r="Z45" s="96"/>
      <c r="AA45" s="96"/>
      <c r="AB45" s="100"/>
      <c r="AC45" s="100"/>
      <c r="AD45" s="100"/>
      <c r="AE45" s="100"/>
      <c r="AF45" s="100"/>
      <c r="AG45" s="100"/>
      <c r="AH45" s="100"/>
      <c r="AI45" s="100"/>
      <c r="AJ45" s="100"/>
      <c r="AK45" s="100"/>
      <c r="AL45" s="100"/>
      <c r="AM45" s="100"/>
      <c r="AN45" s="100"/>
      <c r="AO45" s="100"/>
      <c r="AP45" s="100"/>
      <c r="AQ45" s="100"/>
      <c r="AR45" s="100"/>
      <c r="AS45" s="100"/>
      <c r="AT45" s="100"/>
      <c r="AU45" s="100"/>
      <c r="AV45" s="100"/>
      <c r="AW45" s="100"/>
      <c r="AX45" s="100"/>
      <c r="AY45" s="100"/>
      <c r="AZ45" s="100"/>
      <c r="BA45" s="100"/>
      <c r="BB45" s="100"/>
      <c r="BC45" s="100"/>
      <c r="BD45" s="100"/>
      <c r="BE45" s="100"/>
      <c r="BF45" s="100"/>
    </row>
    <row r="46" spans="1:58" ht="15" customHeight="1">
      <c r="A46" s="386" t="s">
        <v>635</v>
      </c>
      <c r="B46" s="323">
        <v>21</v>
      </c>
      <c r="C46" s="386">
        <v>2</v>
      </c>
      <c r="D46" s="386">
        <v>42</v>
      </c>
      <c r="E46" s="386" t="s">
        <v>55</v>
      </c>
      <c r="F46" s="327" t="s">
        <v>623</v>
      </c>
      <c r="G46" s="323" t="s">
        <v>636</v>
      </c>
      <c r="H46" s="589"/>
      <c r="I46" s="589"/>
      <c r="J46" s="590"/>
      <c r="K46" s="98"/>
      <c r="L46" s="98"/>
      <c r="M46" s="98"/>
      <c r="N46" s="98"/>
      <c r="O46" s="98"/>
      <c r="P46" s="98"/>
      <c r="Q46" s="98"/>
      <c r="R46" s="98"/>
      <c r="S46" s="98"/>
      <c r="T46" s="98"/>
      <c r="U46" s="96"/>
      <c r="V46" s="96"/>
      <c r="W46" s="96"/>
      <c r="X46" s="96"/>
      <c r="Y46" s="99"/>
      <c r="Z46" s="96"/>
      <c r="AA46" s="96"/>
      <c r="AB46" s="100"/>
      <c r="AC46" s="100"/>
      <c r="AD46" s="100"/>
      <c r="AE46" s="100"/>
      <c r="AF46" s="100"/>
      <c r="AG46" s="100"/>
      <c r="AH46" s="100"/>
      <c r="AI46" s="100"/>
      <c r="AJ46" s="100"/>
      <c r="AK46" s="100"/>
      <c r="AL46" s="100"/>
      <c r="AM46" s="100"/>
      <c r="AN46" s="100"/>
      <c r="AO46" s="100"/>
      <c r="AP46" s="100"/>
      <c r="AQ46" s="100"/>
      <c r="AR46" s="100"/>
      <c r="AS46" s="100"/>
      <c r="AT46" s="100"/>
      <c r="AU46" s="100"/>
      <c r="AV46" s="100"/>
      <c r="AW46" s="100"/>
      <c r="AX46" s="100"/>
      <c r="AY46" s="100"/>
      <c r="AZ46" s="100"/>
      <c r="BA46" s="100"/>
      <c r="BB46" s="100"/>
      <c r="BC46" s="100"/>
      <c r="BD46" s="100"/>
      <c r="BE46" s="100"/>
      <c r="BF46" s="100"/>
    </row>
    <row r="47" spans="1:58" ht="15" customHeight="1">
      <c r="A47" s="386" t="s">
        <v>637</v>
      </c>
      <c r="B47" s="323">
        <v>15</v>
      </c>
      <c r="C47" s="386">
        <v>1</v>
      </c>
      <c r="D47" s="386">
        <v>42</v>
      </c>
      <c r="E47" s="386" t="s">
        <v>55</v>
      </c>
      <c r="F47" s="327" t="s">
        <v>638</v>
      </c>
      <c r="G47" s="323"/>
      <c r="H47" s="589"/>
      <c r="I47" s="589"/>
      <c r="J47" s="590"/>
      <c r="K47" s="98"/>
      <c r="L47" s="98"/>
      <c r="M47" s="98"/>
      <c r="N47" s="98"/>
      <c r="O47" s="98"/>
      <c r="P47" s="98"/>
      <c r="Q47" s="98"/>
      <c r="R47" s="98"/>
      <c r="S47" s="98"/>
      <c r="T47" s="98"/>
      <c r="U47" s="96"/>
      <c r="V47" s="96"/>
      <c r="W47" s="96"/>
      <c r="X47" s="96"/>
      <c r="Y47" s="99"/>
      <c r="Z47" s="96"/>
      <c r="AA47" s="96"/>
      <c r="AB47" s="100"/>
      <c r="AC47" s="100"/>
      <c r="AD47" s="100"/>
      <c r="AE47" s="100"/>
      <c r="AF47" s="100"/>
      <c r="AG47" s="100"/>
      <c r="AH47" s="100"/>
      <c r="AI47" s="100"/>
      <c r="AJ47" s="100"/>
      <c r="AK47" s="100"/>
      <c r="AL47" s="100"/>
      <c r="AM47" s="100"/>
      <c r="AN47" s="100"/>
      <c r="AO47" s="100"/>
      <c r="AP47" s="100"/>
      <c r="AQ47" s="100"/>
      <c r="AR47" s="100"/>
      <c r="AS47" s="100"/>
      <c r="AT47" s="100"/>
      <c r="AU47" s="100"/>
      <c r="AV47" s="100"/>
      <c r="AW47" s="100"/>
      <c r="AX47" s="100"/>
      <c r="AY47" s="100"/>
      <c r="AZ47" s="100"/>
      <c r="BA47" s="100"/>
      <c r="BB47" s="100"/>
      <c r="BC47" s="100"/>
      <c r="BD47" s="100"/>
      <c r="BE47" s="100"/>
      <c r="BF47" s="100"/>
    </row>
    <row r="48" spans="1:58" ht="15" customHeight="1">
      <c r="A48" s="386" t="s">
        <v>639</v>
      </c>
      <c r="B48" s="323">
        <v>22</v>
      </c>
      <c r="C48" s="386">
        <v>1</v>
      </c>
      <c r="D48" s="386">
        <v>42</v>
      </c>
      <c r="E48" s="386" t="s">
        <v>55</v>
      </c>
      <c r="F48" s="327" t="s">
        <v>638</v>
      </c>
      <c r="G48" s="248"/>
      <c r="H48" s="589"/>
      <c r="I48" s="589"/>
      <c r="J48" s="590"/>
      <c r="K48" s="98"/>
      <c r="L48" s="98"/>
      <c r="M48" s="98"/>
      <c r="N48" s="98"/>
      <c r="O48" s="98"/>
      <c r="P48" s="98"/>
      <c r="Q48" s="98"/>
      <c r="R48" s="98"/>
      <c r="S48" s="98"/>
      <c r="T48" s="98"/>
      <c r="U48" s="96"/>
      <c r="V48" s="96"/>
      <c r="W48" s="96"/>
      <c r="X48" s="96"/>
      <c r="Y48" s="99"/>
      <c r="Z48" s="96"/>
      <c r="AA48" s="96"/>
      <c r="AB48" s="100"/>
      <c r="AC48" s="100"/>
      <c r="AD48" s="100"/>
      <c r="AE48" s="100"/>
      <c r="AF48" s="100"/>
      <c r="AG48" s="100"/>
      <c r="AH48" s="100"/>
      <c r="AI48" s="100"/>
      <c r="AJ48" s="100"/>
      <c r="AK48" s="100"/>
      <c r="AL48" s="100"/>
      <c r="AM48" s="100"/>
      <c r="AN48" s="100"/>
      <c r="AO48" s="100"/>
      <c r="AP48" s="100"/>
      <c r="AQ48" s="100"/>
      <c r="AR48" s="100"/>
      <c r="AS48" s="100"/>
      <c r="AT48" s="100"/>
      <c r="AU48" s="100"/>
      <c r="AV48" s="100"/>
      <c r="AW48" s="100"/>
      <c r="AX48" s="100"/>
      <c r="AY48" s="100"/>
      <c r="AZ48" s="100"/>
      <c r="BA48" s="100"/>
      <c r="BB48" s="100"/>
      <c r="BC48" s="100"/>
      <c r="BD48" s="100"/>
      <c r="BE48" s="100"/>
      <c r="BF48" s="100"/>
    </row>
    <row r="49" spans="1:58" ht="15" customHeight="1">
      <c r="A49" s="386" t="s">
        <v>640</v>
      </c>
      <c r="B49" s="323">
        <v>24</v>
      </c>
      <c r="C49" s="386">
        <v>1</v>
      </c>
      <c r="D49" s="386">
        <v>42</v>
      </c>
      <c r="E49" s="386" t="s">
        <v>55</v>
      </c>
      <c r="F49" s="324" t="s">
        <v>638</v>
      </c>
      <c r="G49" s="323"/>
      <c r="H49" s="589"/>
      <c r="I49" s="589"/>
      <c r="J49" s="590"/>
      <c r="K49" s="98"/>
      <c r="L49" s="98"/>
      <c r="M49" s="98"/>
      <c r="N49" s="98"/>
      <c r="O49" s="98"/>
      <c r="P49" s="98"/>
      <c r="Q49" s="98"/>
      <c r="R49" s="98"/>
      <c r="S49" s="98"/>
      <c r="T49" s="98"/>
      <c r="U49" s="96"/>
      <c r="V49" s="96"/>
      <c r="W49" s="96"/>
      <c r="X49" s="96"/>
      <c r="Y49" s="99"/>
      <c r="Z49" s="96"/>
      <c r="AA49" s="96"/>
      <c r="AB49" s="100"/>
      <c r="AC49" s="100"/>
      <c r="AD49" s="100"/>
      <c r="AE49" s="100"/>
      <c r="AF49" s="100"/>
      <c r="AG49" s="100"/>
      <c r="AH49" s="100"/>
      <c r="AI49" s="100"/>
      <c r="AJ49" s="100"/>
      <c r="AK49" s="100"/>
      <c r="AL49" s="100"/>
      <c r="AM49" s="100"/>
      <c r="AN49" s="100"/>
      <c r="AO49" s="100"/>
      <c r="AP49" s="100"/>
      <c r="AQ49" s="100"/>
      <c r="AR49" s="100"/>
      <c r="AS49" s="100"/>
      <c r="AT49" s="100"/>
      <c r="AU49" s="100"/>
      <c r="AV49" s="100"/>
      <c r="AW49" s="100"/>
      <c r="AX49" s="100"/>
      <c r="AY49" s="100"/>
      <c r="AZ49" s="100"/>
      <c r="BA49" s="100"/>
      <c r="BB49" s="100"/>
      <c r="BC49" s="100"/>
      <c r="BD49" s="100"/>
      <c r="BE49" s="100"/>
      <c r="BF49" s="100"/>
    </row>
    <row r="50" spans="1:58" ht="14.25" customHeight="1">
      <c r="A50" s="386" t="s">
        <v>641</v>
      </c>
      <c r="B50" s="323">
        <v>25</v>
      </c>
      <c r="C50" s="386">
        <v>1</v>
      </c>
      <c r="D50" s="386">
        <v>42</v>
      </c>
      <c r="E50" s="328" t="s">
        <v>55</v>
      </c>
      <c r="F50" s="327" t="s">
        <v>638</v>
      </c>
      <c r="G50" s="323" t="s">
        <v>642</v>
      </c>
      <c r="H50" s="589"/>
      <c r="I50" s="589"/>
      <c r="J50" s="590"/>
      <c r="K50" s="16"/>
      <c r="L50" s="16"/>
      <c r="M50" s="16"/>
      <c r="N50" s="16"/>
      <c r="O50" s="16"/>
      <c r="P50" s="16"/>
      <c r="Q50" s="16"/>
      <c r="R50" s="16"/>
      <c r="S50" s="16"/>
      <c r="T50" s="16"/>
      <c r="U50" s="16"/>
      <c r="V50" s="16"/>
      <c r="W50" s="16"/>
      <c r="X50" s="16"/>
      <c r="Y50" s="17"/>
      <c r="Z50" s="16"/>
      <c r="AA50" s="16"/>
    </row>
    <row r="51" spans="1:58" ht="14.25" customHeight="1">
      <c r="A51" s="231" t="s">
        <v>643</v>
      </c>
      <c r="B51" s="323">
        <v>20</v>
      </c>
      <c r="C51" s="323">
        <v>1</v>
      </c>
      <c r="D51" s="323">
        <v>42</v>
      </c>
      <c r="E51" s="328" t="s">
        <v>55</v>
      </c>
      <c r="F51" s="327" t="s">
        <v>644</v>
      </c>
      <c r="G51" s="231"/>
      <c r="H51" s="589"/>
      <c r="I51" s="589"/>
      <c r="J51" s="590"/>
      <c r="K51" s="16"/>
      <c r="L51" s="16"/>
      <c r="M51" s="16"/>
      <c r="N51" s="16"/>
      <c r="O51" s="16"/>
      <c r="P51" s="16"/>
      <c r="Q51" s="16"/>
      <c r="R51" s="16"/>
      <c r="S51" s="16"/>
      <c r="T51" s="16"/>
      <c r="U51" s="16"/>
      <c r="V51" s="16"/>
      <c r="W51" s="16"/>
      <c r="X51" s="16"/>
      <c r="Y51" s="17"/>
      <c r="Z51" s="16"/>
      <c r="AA51" s="16"/>
    </row>
    <row r="52" spans="1:58" ht="15.75" customHeight="1">
      <c r="A52" s="231" t="s">
        <v>645</v>
      </c>
      <c r="B52" s="232"/>
      <c r="C52" s="323">
        <v>1</v>
      </c>
      <c r="D52" s="323">
        <v>42</v>
      </c>
      <c r="E52" s="328" t="s">
        <v>55</v>
      </c>
      <c r="F52" s="261"/>
      <c r="G52" s="231" t="s">
        <v>646</v>
      </c>
      <c r="H52" s="589"/>
      <c r="I52" s="589"/>
      <c r="J52" s="590"/>
      <c r="K52" s="16"/>
      <c r="L52" s="16"/>
      <c r="M52" s="16"/>
      <c r="N52" s="16"/>
      <c r="O52" s="16"/>
      <c r="P52" s="16"/>
      <c r="Q52" s="16"/>
      <c r="R52" s="16"/>
      <c r="S52" s="16"/>
      <c r="T52" s="16"/>
      <c r="U52" s="16"/>
      <c r="V52" s="16"/>
      <c r="W52" s="16"/>
      <c r="X52" s="16"/>
      <c r="Y52" s="16"/>
      <c r="Z52" s="16"/>
      <c r="AA52" s="16"/>
    </row>
    <row r="53" spans="1:58" ht="15.75" customHeight="1">
      <c r="A53" s="231"/>
      <c r="B53" s="232"/>
      <c r="C53" s="231"/>
      <c r="D53" s="232"/>
      <c r="E53" s="245"/>
      <c r="F53" s="261"/>
      <c r="G53" s="231"/>
      <c r="H53" s="589"/>
      <c r="I53" s="589"/>
      <c r="J53" s="590"/>
      <c r="K53" s="16"/>
      <c r="L53" s="16"/>
      <c r="M53" s="16"/>
      <c r="N53" s="16"/>
      <c r="O53" s="16"/>
      <c r="P53" s="16"/>
      <c r="Q53" s="16"/>
      <c r="R53" s="16"/>
      <c r="S53" s="16"/>
      <c r="T53" s="16"/>
      <c r="U53" s="16"/>
      <c r="V53" s="16"/>
      <c r="W53" s="16"/>
      <c r="X53" s="16"/>
      <c r="Y53" s="16"/>
      <c r="Z53" s="16"/>
      <c r="AA53" s="16"/>
    </row>
    <row r="54" spans="1:58" ht="15.75" customHeight="1" thickBot="1">
      <c r="A54" s="231"/>
      <c r="B54" s="326"/>
      <c r="C54" s="245"/>
      <c r="D54" s="232"/>
      <c r="E54" s="261"/>
      <c r="F54" s="261"/>
      <c r="G54" s="231"/>
      <c r="H54" s="591"/>
      <c r="I54" s="591"/>
      <c r="J54" s="592"/>
      <c r="K54" s="16"/>
      <c r="L54" s="16"/>
      <c r="M54" s="16"/>
      <c r="N54" s="16"/>
      <c r="O54" s="16"/>
      <c r="P54" s="16"/>
      <c r="Q54" s="16"/>
      <c r="R54" s="16"/>
      <c r="S54" s="16"/>
      <c r="T54" s="16"/>
      <c r="U54" s="16"/>
      <c r="V54" s="16"/>
      <c r="W54" s="16"/>
      <c r="X54" s="16"/>
      <c r="Y54" s="16"/>
      <c r="Z54" s="16"/>
      <c r="AA54" s="16"/>
    </row>
    <row r="55" spans="1:58" ht="15.75" customHeight="1" thickTop="1">
      <c r="A55" s="18"/>
      <c r="B55" s="18"/>
      <c r="C55" s="18"/>
      <c r="D55" s="18"/>
      <c r="E55" s="18"/>
      <c r="F55" s="18"/>
      <c r="G55" s="17"/>
      <c r="H55" s="17"/>
      <c r="I55" s="17"/>
      <c r="J55" s="17"/>
      <c r="K55" s="17"/>
      <c r="L55" s="17"/>
      <c r="M55" s="17"/>
      <c r="N55" s="17"/>
      <c r="O55" s="17"/>
      <c r="P55" s="17"/>
      <c r="Q55" s="16"/>
      <c r="R55" s="17"/>
      <c r="S55" s="17"/>
      <c r="T55" s="17"/>
      <c r="U55" s="17"/>
      <c r="V55" s="17"/>
      <c r="W55" s="17"/>
      <c r="X55" s="17"/>
      <c r="Y55" s="17"/>
      <c r="Z55" s="17"/>
      <c r="AA55" s="17"/>
      <c r="AB55" s="17"/>
      <c r="AC55" s="17"/>
      <c r="AD55" s="17"/>
    </row>
    <row r="56" spans="1:58" ht="15.75" customHeight="1" thickBot="1">
      <c r="A56" s="179" t="s">
        <v>462</v>
      </c>
      <c r="B56" s="169"/>
      <c r="C56" s="16"/>
      <c r="D56" s="16"/>
      <c r="E56" s="16"/>
      <c r="F56" s="16"/>
      <c r="G56" s="16"/>
      <c r="H56" s="16"/>
      <c r="I56" s="16"/>
      <c r="J56" s="16"/>
      <c r="K56" s="16"/>
      <c r="L56" s="16"/>
      <c r="M56" s="16"/>
      <c r="N56" s="16"/>
      <c r="O56" s="16"/>
      <c r="P56" s="16"/>
      <c r="Q56" s="16"/>
      <c r="R56" s="16"/>
      <c r="S56" s="16"/>
      <c r="T56" s="16"/>
      <c r="U56" s="16"/>
      <c r="V56" s="16"/>
      <c r="W56" s="16"/>
      <c r="X56" s="16"/>
      <c r="Y56" s="16"/>
      <c r="Z56" s="16"/>
      <c r="AA56" s="16"/>
      <c r="AB56" s="18"/>
      <c r="AC56" s="16"/>
      <c r="AD56" s="16"/>
    </row>
    <row r="57" spans="1:58" ht="15" customHeight="1" thickTop="1" thickBot="1">
      <c r="A57" s="258" t="s">
        <v>449</v>
      </c>
      <c r="B57" s="259" t="s">
        <v>450</v>
      </c>
      <c r="C57" s="258" t="s">
        <v>463</v>
      </c>
      <c r="D57" s="258" t="s">
        <v>464</v>
      </c>
      <c r="E57" s="258" t="s">
        <v>465</v>
      </c>
      <c r="F57" s="258" t="s">
        <v>466</v>
      </c>
      <c r="G57" s="258" t="s">
        <v>467</v>
      </c>
      <c r="H57" s="259" t="s">
        <v>455</v>
      </c>
      <c r="I57" s="609" t="s">
        <v>456</v>
      </c>
      <c r="J57" s="736"/>
      <c r="K57" s="737"/>
      <c r="L57" s="98"/>
      <c r="M57" s="98"/>
      <c r="N57" s="98"/>
      <c r="O57" s="98"/>
      <c r="P57" s="98"/>
      <c r="Q57" s="98"/>
      <c r="R57" s="98"/>
      <c r="S57" s="98"/>
      <c r="T57" s="98"/>
      <c r="U57" s="98"/>
      <c r="V57" s="96"/>
      <c r="W57" s="96"/>
      <c r="X57" s="96"/>
      <c r="Y57" s="96"/>
      <c r="Z57" s="99"/>
      <c r="AA57" s="96"/>
      <c r="AB57" s="96"/>
      <c r="AC57" s="100"/>
      <c r="AD57" s="100"/>
      <c r="AE57" s="100"/>
      <c r="AF57" s="100"/>
      <c r="AG57" s="100"/>
      <c r="AH57" s="100"/>
      <c r="AI57" s="100"/>
      <c r="AJ57" s="100"/>
      <c r="AK57" s="100"/>
      <c r="AL57" s="100"/>
      <c r="AM57" s="100"/>
      <c r="AN57" s="100"/>
      <c r="AO57" s="100"/>
      <c r="AP57" s="100"/>
      <c r="AQ57" s="100"/>
      <c r="AR57" s="100"/>
      <c r="AS57" s="100"/>
      <c r="AT57" s="100"/>
      <c r="AU57" s="100"/>
      <c r="AV57" s="100"/>
      <c r="AW57" s="100"/>
      <c r="AX57" s="100"/>
      <c r="AY57" s="100"/>
      <c r="AZ57" s="100"/>
      <c r="BA57" s="100"/>
      <c r="BB57" s="100"/>
      <c r="BC57" s="100"/>
      <c r="BD57" s="100"/>
      <c r="BE57" s="100"/>
      <c r="BF57" s="100"/>
    </row>
    <row r="58" spans="1:58" ht="14.25" customHeight="1" thickTop="1">
      <c r="A58" s="312" t="s">
        <v>617</v>
      </c>
      <c r="B58" s="323">
        <v>19</v>
      </c>
      <c r="C58" s="312" t="s">
        <v>607</v>
      </c>
      <c r="D58" s="312" t="s">
        <v>57</v>
      </c>
      <c r="E58" s="323">
        <v>2</v>
      </c>
      <c r="F58" s="327">
        <v>3</v>
      </c>
      <c r="G58" s="323" t="s">
        <v>419</v>
      </c>
      <c r="H58" s="325"/>
      <c r="I58" s="571"/>
      <c r="J58" s="696"/>
      <c r="K58" s="718"/>
      <c r="L58" s="16"/>
      <c r="M58" s="16"/>
      <c r="N58" s="16"/>
      <c r="O58" s="16"/>
      <c r="P58" s="16"/>
      <c r="Q58" s="16"/>
      <c r="R58" s="16"/>
      <c r="S58" s="16"/>
      <c r="T58" s="16"/>
      <c r="U58" s="16"/>
      <c r="V58" s="16"/>
      <c r="W58" s="16"/>
      <c r="X58" s="16"/>
      <c r="Y58" s="16"/>
      <c r="Z58" s="17"/>
      <c r="AA58" s="16"/>
      <c r="AB58" s="16"/>
    </row>
    <row r="59" spans="1:58" ht="14.25" customHeight="1">
      <c r="A59" s="312" t="s">
        <v>620</v>
      </c>
      <c r="B59" s="323">
        <v>20</v>
      </c>
      <c r="C59" s="312" t="s">
        <v>607</v>
      </c>
      <c r="D59" s="312" t="s">
        <v>57</v>
      </c>
      <c r="E59" s="323">
        <v>2</v>
      </c>
      <c r="F59" s="327">
        <v>3</v>
      </c>
      <c r="G59" s="323" t="s">
        <v>471</v>
      </c>
      <c r="H59" s="323" t="s">
        <v>647</v>
      </c>
      <c r="I59" s="696"/>
      <c r="J59" s="696"/>
      <c r="K59" s="718"/>
      <c r="L59" s="16"/>
      <c r="M59" s="16"/>
      <c r="N59" s="16"/>
      <c r="O59" s="16"/>
      <c r="P59" s="16"/>
      <c r="Q59" s="16"/>
      <c r="R59" s="16"/>
      <c r="S59" s="16"/>
      <c r="T59" s="16"/>
      <c r="U59" s="16"/>
      <c r="V59" s="16"/>
      <c r="W59" s="16"/>
      <c r="X59" s="16"/>
      <c r="Y59" s="16"/>
      <c r="Z59" s="17"/>
      <c r="AA59" s="16"/>
      <c r="AB59" s="16"/>
    </row>
    <row r="60" spans="1:58" ht="15.75" customHeight="1">
      <c r="A60" s="323" t="s">
        <v>631</v>
      </c>
      <c r="B60" s="323">
        <v>18</v>
      </c>
      <c r="C60" s="323" t="s">
        <v>648</v>
      </c>
      <c r="D60" s="312" t="s">
        <v>145</v>
      </c>
      <c r="E60" s="323">
        <v>2</v>
      </c>
      <c r="F60" s="327">
        <v>3</v>
      </c>
      <c r="G60" s="329" t="s">
        <v>419</v>
      </c>
      <c r="H60" s="323"/>
      <c r="I60" s="696"/>
      <c r="J60" s="696"/>
      <c r="K60" s="718"/>
      <c r="L60" s="16"/>
      <c r="M60" s="16"/>
      <c r="N60" s="16"/>
      <c r="O60" s="16"/>
      <c r="P60" s="16"/>
      <c r="Q60" s="16"/>
      <c r="R60" s="16"/>
      <c r="S60" s="16"/>
      <c r="T60" s="16"/>
      <c r="U60" s="16"/>
      <c r="V60" s="16"/>
      <c r="W60" s="16"/>
      <c r="X60" s="16"/>
      <c r="Y60" s="16"/>
      <c r="Z60" s="16"/>
      <c r="AA60" s="16"/>
      <c r="AB60" s="16"/>
    </row>
    <row r="61" spans="1:58" ht="15.75" customHeight="1">
      <c r="A61" s="323" t="s">
        <v>635</v>
      </c>
      <c r="B61" s="323">
        <v>21</v>
      </c>
      <c r="C61" s="323" t="s">
        <v>649</v>
      </c>
      <c r="D61" s="312" t="s">
        <v>55</v>
      </c>
      <c r="E61" s="323">
        <v>2</v>
      </c>
      <c r="F61" s="327">
        <v>3</v>
      </c>
      <c r="G61" s="329" t="s">
        <v>419</v>
      </c>
      <c r="H61" s="323" t="s">
        <v>650</v>
      </c>
      <c r="I61" s="696"/>
      <c r="J61" s="696"/>
      <c r="K61" s="718"/>
      <c r="L61" s="16"/>
      <c r="M61" s="16"/>
      <c r="N61" s="16"/>
      <c r="O61" s="16"/>
      <c r="P61" s="16"/>
      <c r="Q61" s="16"/>
      <c r="R61" s="16"/>
      <c r="S61" s="16"/>
      <c r="T61" s="16"/>
      <c r="U61" s="16"/>
      <c r="V61" s="16"/>
      <c r="W61" s="16"/>
      <c r="X61" s="16"/>
      <c r="Y61" s="16"/>
      <c r="Z61" s="16"/>
      <c r="AA61" s="16"/>
      <c r="AB61" s="16"/>
    </row>
    <row r="62" spans="1:58" ht="15.75" customHeight="1" thickBot="1">
      <c r="A62" s="231"/>
      <c r="B62" s="326"/>
      <c r="C62" s="245"/>
      <c r="D62" s="245"/>
      <c r="E62" s="261"/>
      <c r="F62" s="261"/>
      <c r="G62" s="263"/>
      <c r="H62" s="231"/>
      <c r="I62" s="719"/>
      <c r="J62" s="719"/>
      <c r="K62" s="720"/>
      <c r="L62" s="16"/>
      <c r="M62" s="16"/>
      <c r="N62" s="16"/>
      <c r="O62" s="16"/>
      <c r="P62" s="16"/>
      <c r="Q62" s="16"/>
      <c r="R62" s="16"/>
      <c r="S62" s="16"/>
      <c r="T62" s="16"/>
      <c r="U62" s="16"/>
      <c r="V62" s="16"/>
      <c r="W62" s="16"/>
      <c r="X62" s="16"/>
      <c r="Y62" s="16"/>
      <c r="Z62" s="16"/>
      <c r="AA62" s="16"/>
      <c r="AB62" s="16"/>
    </row>
    <row r="63" spans="1:58" ht="15.75" customHeight="1" thickTop="1">
      <c r="A63" s="15"/>
      <c r="B63" s="16"/>
      <c r="C63" s="16"/>
      <c r="D63" s="16"/>
      <c r="E63" s="16"/>
      <c r="F63" s="16"/>
      <c r="G63" s="16"/>
      <c r="H63" s="16"/>
      <c r="I63" s="16"/>
      <c r="J63" s="16"/>
      <c r="K63" s="16"/>
      <c r="L63" s="16"/>
      <c r="M63" s="16"/>
      <c r="N63" s="16"/>
      <c r="O63" s="16"/>
      <c r="P63" s="16"/>
      <c r="Q63" s="16"/>
      <c r="R63" s="16"/>
      <c r="S63" s="16"/>
      <c r="T63" s="16"/>
      <c r="U63" s="16"/>
      <c r="V63" s="16"/>
      <c r="W63" s="16"/>
      <c r="X63" s="16"/>
      <c r="Y63" s="16"/>
      <c r="Z63" s="16"/>
      <c r="AA63" s="16"/>
      <c r="AB63" s="16"/>
      <c r="AC63" s="16"/>
      <c r="AD63" s="16"/>
    </row>
    <row r="64" spans="1:58" ht="15.75" customHeight="1">
      <c r="A64" s="15"/>
      <c r="B64" s="16"/>
      <c r="C64" s="16"/>
      <c r="D64" s="16"/>
      <c r="E64" s="16"/>
      <c r="F64" s="16"/>
      <c r="G64" s="16"/>
      <c r="H64" s="16"/>
      <c r="I64" s="16"/>
      <c r="J64" s="16"/>
      <c r="K64" s="16"/>
      <c r="L64" s="16"/>
      <c r="M64" s="16"/>
      <c r="N64" s="16"/>
      <c r="O64" s="16"/>
      <c r="P64" s="16"/>
      <c r="Q64" s="16"/>
      <c r="W64" s="16"/>
      <c r="X64" s="16"/>
      <c r="Y64" s="16"/>
      <c r="Z64" s="16"/>
      <c r="AA64" s="16"/>
      <c r="AB64" s="16"/>
      <c r="AC64" s="16"/>
      <c r="AD64" s="16"/>
    </row>
    <row r="65" spans="1:30" ht="15.75" customHeight="1" thickBot="1">
      <c r="A65" s="186" t="s">
        <v>475</v>
      </c>
      <c r="B65" s="231"/>
      <c r="C65" s="231"/>
      <c r="D65" s="231"/>
      <c r="E65" s="231"/>
      <c r="F65" s="231"/>
      <c r="G65" s="231"/>
      <c r="H65" s="231"/>
      <c r="I65" s="231"/>
      <c r="J65" s="231"/>
      <c r="K65" s="16"/>
      <c r="L65" s="16"/>
      <c r="M65" s="16"/>
      <c r="N65" s="16"/>
      <c r="O65" s="16"/>
      <c r="P65" s="16"/>
      <c r="Q65" s="16"/>
      <c r="W65" s="16"/>
      <c r="X65" s="16"/>
      <c r="Y65" s="16"/>
      <c r="Z65" s="16"/>
      <c r="AA65" s="16"/>
      <c r="AB65" s="16"/>
      <c r="AC65" s="16"/>
      <c r="AD65" s="16"/>
    </row>
    <row r="66" spans="1:30" ht="15.75" customHeight="1" thickTop="1" thickBot="1">
      <c r="A66" s="230" t="s">
        <v>476</v>
      </c>
      <c r="B66" s="230" t="s">
        <v>477</v>
      </c>
      <c r="C66" s="230" t="s">
        <v>478</v>
      </c>
      <c r="D66" s="230" t="s">
        <v>479</v>
      </c>
      <c r="E66" s="230" t="s">
        <v>480</v>
      </c>
      <c r="F66" s="230" t="s">
        <v>481</v>
      </c>
      <c r="G66" s="230" t="s">
        <v>482</v>
      </c>
      <c r="H66" s="230" t="s">
        <v>453</v>
      </c>
      <c r="I66" s="230" t="s">
        <v>483</v>
      </c>
      <c r="J66" s="230" t="s">
        <v>484</v>
      </c>
      <c r="K66" s="740" t="s">
        <v>485</v>
      </c>
      <c r="L66" s="736"/>
      <c r="M66" s="737"/>
      <c r="N66" s="15"/>
      <c r="O66" s="16"/>
      <c r="P66" s="16"/>
      <c r="Q66" s="16"/>
      <c r="W66" s="16"/>
      <c r="X66" s="16"/>
      <c r="Y66" s="16"/>
      <c r="Z66" s="16"/>
      <c r="AA66" s="16"/>
      <c r="AB66" s="16"/>
    </row>
    <row r="67" spans="1:30" ht="15.75" customHeight="1" thickTop="1">
      <c r="A67" s="327" t="s">
        <v>617</v>
      </c>
      <c r="B67" s="327" t="s">
        <v>278</v>
      </c>
      <c r="C67" s="329">
        <v>34</v>
      </c>
      <c r="D67" s="329">
        <v>2</v>
      </c>
      <c r="E67" s="329">
        <v>3</v>
      </c>
      <c r="F67" s="327">
        <f>DHC!$E67*DHC!$C67</f>
        <v>102</v>
      </c>
      <c r="G67" s="384" t="s">
        <v>607</v>
      </c>
      <c r="H67" s="327" t="s">
        <v>57</v>
      </c>
      <c r="I67" s="331" t="str">
        <f t="shared" ref="I67:I78" si="2">IF(H67 = "PT-V","n/a",IF(H67 = "PT","n/a",IF(H67 = "RT","n/a",IF(OR(H67 = "Extern",H67 = "PT-ZZP"), "Please fill in", 0))))</f>
        <v>n/a</v>
      </c>
      <c r="J67" s="323"/>
      <c r="K67" s="589"/>
      <c r="L67" s="589"/>
      <c r="M67" s="608"/>
      <c r="N67" s="15"/>
      <c r="O67" s="16"/>
      <c r="P67" s="16"/>
      <c r="Q67" s="16"/>
      <c r="W67" s="16"/>
      <c r="X67" s="16"/>
      <c r="Y67" s="16"/>
      <c r="Z67" s="16"/>
      <c r="AA67" s="16"/>
      <c r="AB67" s="16"/>
    </row>
    <row r="68" spans="1:30" ht="15.75" customHeight="1">
      <c r="A68" s="323" t="s">
        <v>617</v>
      </c>
      <c r="B68" s="327" t="s">
        <v>278</v>
      </c>
      <c r="C68" s="329">
        <v>8</v>
      </c>
      <c r="D68" s="329">
        <v>1</v>
      </c>
      <c r="E68" s="329">
        <v>1.5</v>
      </c>
      <c r="F68" s="327">
        <f>DHC!$E68*DHC!$C68</f>
        <v>12</v>
      </c>
      <c r="G68" s="384" t="s">
        <v>607</v>
      </c>
      <c r="H68" s="327" t="s">
        <v>57</v>
      </c>
      <c r="I68" s="331" t="str">
        <f t="shared" si="2"/>
        <v>n/a</v>
      </c>
      <c r="J68" s="323" t="s">
        <v>651</v>
      </c>
      <c r="K68" s="589"/>
      <c r="L68" s="589"/>
      <c r="M68" s="608"/>
      <c r="N68" s="15"/>
      <c r="O68" s="16"/>
      <c r="P68" s="16"/>
      <c r="Q68" s="16"/>
      <c r="W68" s="16"/>
      <c r="X68" s="16"/>
      <c r="Y68" s="16"/>
      <c r="Z68" s="16"/>
      <c r="AA68" s="16"/>
      <c r="AB68" s="16"/>
    </row>
    <row r="69" spans="1:30" ht="15.75" customHeight="1">
      <c r="A69" s="327" t="s">
        <v>652</v>
      </c>
      <c r="B69" s="327" t="s">
        <v>278</v>
      </c>
      <c r="C69" s="329">
        <v>8</v>
      </c>
      <c r="D69" s="329">
        <v>1</v>
      </c>
      <c r="E69" s="329">
        <v>1.5</v>
      </c>
      <c r="F69" s="327">
        <f>DHC!$E69*DHC!$C69</f>
        <v>12</v>
      </c>
      <c r="G69" s="384" t="s">
        <v>607</v>
      </c>
      <c r="H69" s="327" t="s">
        <v>57</v>
      </c>
      <c r="I69" s="331" t="str">
        <f t="shared" si="2"/>
        <v>n/a</v>
      </c>
      <c r="J69" s="323"/>
      <c r="K69" s="589"/>
      <c r="L69" s="589"/>
      <c r="M69" s="608"/>
      <c r="N69" s="15"/>
      <c r="O69" s="16"/>
      <c r="P69" s="16"/>
      <c r="Q69" s="16"/>
      <c r="W69" s="16"/>
      <c r="X69" s="16"/>
      <c r="Y69" s="16"/>
      <c r="Z69" s="16"/>
      <c r="AA69" s="16"/>
      <c r="AB69" s="16"/>
    </row>
    <row r="70" spans="1:30" ht="15.75" customHeight="1">
      <c r="A70" s="327" t="s">
        <v>653</v>
      </c>
      <c r="B70" s="327" t="s">
        <v>282</v>
      </c>
      <c r="C70" s="329">
        <v>35</v>
      </c>
      <c r="D70" s="329">
        <v>1</v>
      </c>
      <c r="E70" s="329">
        <v>4</v>
      </c>
      <c r="F70" s="327">
        <f>DHC!$E70*DHC!$C70</f>
        <v>140</v>
      </c>
      <c r="G70" s="384" t="s">
        <v>607</v>
      </c>
      <c r="H70" s="327" t="s">
        <v>57</v>
      </c>
      <c r="I70" s="331" t="str">
        <f t="shared" si="2"/>
        <v>n/a</v>
      </c>
      <c r="J70" s="323" t="s">
        <v>654</v>
      </c>
      <c r="K70" s="589"/>
      <c r="L70" s="589"/>
      <c r="M70" s="608"/>
      <c r="N70" s="15"/>
      <c r="O70" s="16"/>
      <c r="P70" s="16"/>
      <c r="Q70" s="16"/>
      <c r="W70" s="16"/>
      <c r="X70" s="16"/>
      <c r="Y70" s="16"/>
      <c r="Z70" s="16"/>
      <c r="AA70" s="16"/>
      <c r="AB70" s="16"/>
    </row>
    <row r="71" spans="1:30" ht="15.75" customHeight="1">
      <c r="A71" s="327" t="s">
        <v>620</v>
      </c>
      <c r="B71" s="327" t="s">
        <v>278</v>
      </c>
      <c r="C71" s="329">
        <v>34</v>
      </c>
      <c r="D71" s="329">
        <v>2</v>
      </c>
      <c r="E71" s="329">
        <v>3</v>
      </c>
      <c r="F71" s="327">
        <f>DHC!$E71*DHC!$C71</f>
        <v>102</v>
      </c>
      <c r="G71" s="384" t="s">
        <v>607</v>
      </c>
      <c r="H71" s="327" t="s">
        <v>57</v>
      </c>
      <c r="I71" s="331" t="str">
        <f t="shared" si="2"/>
        <v>n/a</v>
      </c>
      <c r="J71" s="323"/>
      <c r="K71" s="589"/>
      <c r="L71" s="589"/>
      <c r="M71" s="608"/>
      <c r="N71" s="15"/>
      <c r="O71" s="16"/>
      <c r="P71" s="16"/>
      <c r="Q71" s="16"/>
      <c r="W71" s="16"/>
      <c r="X71" s="16"/>
      <c r="Y71" s="16"/>
      <c r="Z71" s="16"/>
      <c r="AA71" s="16"/>
      <c r="AB71" s="16"/>
    </row>
    <row r="72" spans="1:30" ht="15.75" customHeight="1">
      <c r="A72" s="327" t="s">
        <v>620</v>
      </c>
      <c r="B72" s="327" t="s">
        <v>278</v>
      </c>
      <c r="C72" s="329">
        <v>8</v>
      </c>
      <c r="D72" s="329">
        <v>1</v>
      </c>
      <c r="E72" s="329">
        <v>1.5</v>
      </c>
      <c r="F72" s="327">
        <f>DHC!$E72*DHC!$C72</f>
        <v>12</v>
      </c>
      <c r="G72" s="384" t="s">
        <v>607</v>
      </c>
      <c r="H72" s="327" t="s">
        <v>57</v>
      </c>
      <c r="I72" s="331" t="str">
        <f t="shared" si="2"/>
        <v>n/a</v>
      </c>
      <c r="J72" s="323" t="s">
        <v>651</v>
      </c>
      <c r="K72" s="589"/>
      <c r="L72" s="589"/>
      <c r="M72" s="608"/>
      <c r="N72" s="15"/>
      <c r="O72" s="16"/>
      <c r="P72" s="16"/>
      <c r="Q72" s="16"/>
      <c r="W72" s="16"/>
      <c r="X72" s="16"/>
      <c r="Y72" s="16"/>
      <c r="Z72" s="16"/>
      <c r="AA72" s="16"/>
      <c r="AB72" s="16"/>
    </row>
    <row r="73" spans="1:30" ht="15.75" customHeight="1">
      <c r="A73" s="327" t="s">
        <v>655</v>
      </c>
      <c r="B73" s="327" t="s">
        <v>278</v>
      </c>
      <c r="C73" s="329">
        <v>8</v>
      </c>
      <c r="D73" s="329">
        <v>1</v>
      </c>
      <c r="E73" s="329">
        <v>1.5</v>
      </c>
      <c r="F73" s="327">
        <f>DHC!$E73*DHC!$C73</f>
        <v>12</v>
      </c>
      <c r="G73" s="384" t="s">
        <v>607</v>
      </c>
      <c r="H73" s="327" t="s">
        <v>57</v>
      </c>
      <c r="I73" s="331" t="str">
        <f t="shared" si="2"/>
        <v>n/a</v>
      </c>
      <c r="J73" s="323"/>
      <c r="K73" s="589"/>
      <c r="L73" s="589"/>
      <c r="M73" s="608"/>
      <c r="N73" s="15"/>
      <c r="O73" s="16"/>
      <c r="P73" s="16"/>
      <c r="Q73" s="16"/>
      <c r="W73" s="16"/>
      <c r="X73" s="16"/>
      <c r="Y73" s="16"/>
      <c r="Z73" s="16"/>
      <c r="AA73" s="16"/>
      <c r="AB73" s="16"/>
    </row>
    <row r="74" spans="1:30" ht="15.75" customHeight="1">
      <c r="A74" s="327" t="s">
        <v>631</v>
      </c>
      <c r="B74" s="327" t="s">
        <v>278</v>
      </c>
      <c r="C74" s="329">
        <v>34</v>
      </c>
      <c r="D74" s="329">
        <v>2</v>
      </c>
      <c r="E74" s="329">
        <v>3</v>
      </c>
      <c r="F74" s="327">
        <f>DHC!$E74*DHC!$C74</f>
        <v>102</v>
      </c>
      <c r="G74" s="327" t="s">
        <v>648</v>
      </c>
      <c r="H74" s="327" t="s">
        <v>57</v>
      </c>
      <c r="I74" s="331" t="str">
        <f t="shared" si="2"/>
        <v>n/a</v>
      </c>
      <c r="J74" s="323"/>
      <c r="K74" s="589"/>
      <c r="L74" s="589"/>
      <c r="M74" s="608"/>
      <c r="N74" s="15"/>
      <c r="O74" s="16"/>
      <c r="P74" s="16"/>
      <c r="Q74" s="16"/>
      <c r="W74" s="16"/>
      <c r="X74" s="16"/>
      <c r="Y74" s="16"/>
      <c r="Z74" s="16"/>
      <c r="AA74" s="16"/>
      <c r="AB74" s="16"/>
    </row>
    <row r="75" spans="1:30" ht="15.75" customHeight="1">
      <c r="A75" s="327" t="s">
        <v>631</v>
      </c>
      <c r="B75" s="327" t="s">
        <v>278</v>
      </c>
      <c r="C75" s="329">
        <v>8</v>
      </c>
      <c r="D75" s="329">
        <v>1</v>
      </c>
      <c r="E75" s="329">
        <v>1.5</v>
      </c>
      <c r="F75" s="327">
        <f>DHC!$E75*DHC!$C75</f>
        <v>12</v>
      </c>
      <c r="G75" s="327" t="s">
        <v>648</v>
      </c>
      <c r="H75" s="327" t="s">
        <v>57</v>
      </c>
      <c r="I75" s="331" t="str">
        <f t="shared" si="2"/>
        <v>n/a</v>
      </c>
      <c r="J75" s="323" t="s">
        <v>651</v>
      </c>
      <c r="K75" s="589"/>
      <c r="L75" s="589"/>
      <c r="M75" s="608"/>
      <c r="N75" s="15"/>
      <c r="O75" s="16"/>
      <c r="P75" s="16"/>
      <c r="Q75" s="16"/>
      <c r="W75" s="16"/>
      <c r="X75" s="16"/>
      <c r="Y75" s="16"/>
      <c r="Z75" s="16"/>
      <c r="AA75" s="16"/>
      <c r="AB75" s="16"/>
    </row>
    <row r="76" spans="1:30" ht="15.75" customHeight="1">
      <c r="A76" s="327" t="s">
        <v>656</v>
      </c>
      <c r="B76" s="327" t="s">
        <v>278</v>
      </c>
      <c r="C76" s="329">
        <v>8</v>
      </c>
      <c r="D76" s="329">
        <v>1</v>
      </c>
      <c r="E76" s="329">
        <v>1.5</v>
      </c>
      <c r="F76" s="327">
        <f>DHC!$E76*DHC!$C76</f>
        <v>12</v>
      </c>
      <c r="G76" s="327" t="s">
        <v>648</v>
      </c>
      <c r="H76" s="327" t="s">
        <v>57</v>
      </c>
      <c r="I76" s="331" t="str">
        <f t="shared" si="2"/>
        <v>n/a</v>
      </c>
      <c r="J76" s="323"/>
      <c r="K76" s="589"/>
      <c r="L76" s="589"/>
      <c r="M76" s="608"/>
      <c r="N76" s="15"/>
      <c r="O76" s="16"/>
      <c r="P76" s="16"/>
      <c r="Q76" s="16"/>
      <c r="W76" s="16"/>
      <c r="X76" s="16"/>
      <c r="Y76" s="16"/>
      <c r="Z76" s="16"/>
      <c r="AA76" s="16"/>
      <c r="AB76" s="16"/>
    </row>
    <row r="77" spans="1:30" ht="15.75" customHeight="1">
      <c r="A77" s="327" t="s">
        <v>657</v>
      </c>
      <c r="B77" s="327" t="s">
        <v>282</v>
      </c>
      <c r="C77" s="329">
        <v>35</v>
      </c>
      <c r="D77" s="329">
        <v>1</v>
      </c>
      <c r="E77" s="329">
        <v>4</v>
      </c>
      <c r="F77" s="327">
        <f>DHC!$E77*DHC!$C77</f>
        <v>140</v>
      </c>
      <c r="G77" s="327" t="s">
        <v>648</v>
      </c>
      <c r="H77" s="327" t="s">
        <v>57</v>
      </c>
      <c r="I77" s="331" t="str">
        <f t="shared" si="2"/>
        <v>n/a</v>
      </c>
      <c r="J77" s="323"/>
      <c r="K77" s="589"/>
      <c r="L77" s="589"/>
      <c r="M77" s="608"/>
      <c r="N77" s="15"/>
      <c r="O77" s="16"/>
      <c r="P77" s="16"/>
      <c r="Q77" s="16"/>
      <c r="W77" s="16"/>
      <c r="X77" s="16"/>
      <c r="Y77" s="16"/>
      <c r="Z77" s="16"/>
      <c r="AA77" s="16"/>
      <c r="AB77" s="16"/>
    </row>
    <row r="78" spans="1:30" ht="15.75" customHeight="1">
      <c r="A78" s="327" t="s">
        <v>635</v>
      </c>
      <c r="B78" s="327" t="s">
        <v>278</v>
      </c>
      <c r="C78" s="329">
        <v>34</v>
      </c>
      <c r="D78" s="329">
        <v>2</v>
      </c>
      <c r="E78" s="329">
        <v>3</v>
      </c>
      <c r="F78" s="327">
        <f>DHC!$E78*DHC!$C78</f>
        <v>102</v>
      </c>
      <c r="G78" s="327" t="s">
        <v>658</v>
      </c>
      <c r="H78" s="327" t="s">
        <v>55</v>
      </c>
      <c r="I78" s="331" t="str">
        <f t="shared" si="2"/>
        <v>n/a</v>
      </c>
      <c r="J78" s="323"/>
      <c r="K78" s="589"/>
      <c r="L78" s="589"/>
      <c r="M78" s="608"/>
      <c r="N78" s="15"/>
      <c r="O78" s="16"/>
      <c r="P78" s="16"/>
      <c r="Q78" s="16"/>
      <c r="W78" s="16"/>
      <c r="X78" s="16"/>
      <c r="Y78" s="16"/>
      <c r="Z78" s="16"/>
      <c r="AA78" s="16"/>
      <c r="AB78" s="16"/>
    </row>
    <row r="79" spans="1:30" ht="15.75" customHeight="1">
      <c r="A79" s="327" t="s">
        <v>635</v>
      </c>
      <c r="B79" s="327" t="s">
        <v>278</v>
      </c>
      <c r="C79" s="329">
        <v>8</v>
      </c>
      <c r="D79" s="329">
        <v>1</v>
      </c>
      <c r="E79" s="329">
        <v>1.5</v>
      </c>
      <c r="F79" s="327">
        <f>DHC!$E79*DHC!$C79</f>
        <v>12</v>
      </c>
      <c r="G79" s="327" t="s">
        <v>658</v>
      </c>
      <c r="H79" s="327" t="s">
        <v>55</v>
      </c>
      <c r="I79" s="331" t="s">
        <v>328</v>
      </c>
      <c r="J79" s="323" t="s">
        <v>651</v>
      </c>
      <c r="K79" s="589"/>
      <c r="L79" s="589"/>
      <c r="M79" s="608"/>
      <c r="N79" s="15"/>
      <c r="O79" s="16"/>
      <c r="P79" s="16"/>
      <c r="Q79" s="16"/>
      <c r="W79" s="16"/>
      <c r="X79" s="16"/>
      <c r="Y79" s="16"/>
      <c r="Z79" s="16"/>
      <c r="AA79" s="16"/>
      <c r="AB79" s="16"/>
    </row>
    <row r="80" spans="1:30" ht="15.75" customHeight="1">
      <c r="A80" s="327" t="s">
        <v>659</v>
      </c>
      <c r="B80" s="327" t="s">
        <v>278</v>
      </c>
      <c r="C80" s="329">
        <v>8</v>
      </c>
      <c r="D80" s="329">
        <v>1</v>
      </c>
      <c r="E80" s="329">
        <v>1.5</v>
      </c>
      <c r="F80" s="327">
        <f>DHC!$E80*DHC!$C80</f>
        <v>12</v>
      </c>
      <c r="G80" s="327" t="s">
        <v>658</v>
      </c>
      <c r="H80" s="327" t="s">
        <v>55</v>
      </c>
      <c r="I80" s="331" t="s">
        <v>328</v>
      </c>
      <c r="J80" s="323"/>
      <c r="K80" s="589"/>
      <c r="L80" s="589"/>
      <c r="M80" s="608"/>
      <c r="N80" s="15"/>
      <c r="O80" s="16"/>
      <c r="P80" s="16"/>
      <c r="Q80" s="16"/>
      <c r="W80" s="16"/>
      <c r="X80" s="16"/>
      <c r="Y80" s="16"/>
      <c r="Z80" s="16"/>
      <c r="AA80" s="16"/>
      <c r="AB80" s="16"/>
    </row>
    <row r="81" spans="1:30" ht="15.75" customHeight="1">
      <c r="A81" s="327" t="s">
        <v>660</v>
      </c>
      <c r="B81" s="327" t="s">
        <v>278</v>
      </c>
      <c r="C81" s="329">
        <v>35</v>
      </c>
      <c r="D81" s="329">
        <v>1</v>
      </c>
      <c r="E81" s="329">
        <v>4</v>
      </c>
      <c r="F81" s="327">
        <f>DHC!$E81*DHC!$C81</f>
        <v>140</v>
      </c>
      <c r="G81" s="327" t="s">
        <v>658</v>
      </c>
      <c r="H81" s="327" t="s">
        <v>55</v>
      </c>
      <c r="I81" s="331"/>
      <c r="J81" s="323"/>
      <c r="K81" s="589"/>
      <c r="L81" s="589"/>
      <c r="M81" s="608"/>
      <c r="N81" s="15"/>
      <c r="O81" s="16"/>
      <c r="P81" s="16"/>
      <c r="Q81" s="16"/>
      <c r="W81" s="16"/>
      <c r="X81" s="16"/>
      <c r="Y81" s="16"/>
      <c r="Z81" s="16"/>
      <c r="AA81" s="16"/>
      <c r="AB81" s="16"/>
    </row>
    <row r="82" spans="1:30" ht="15.75" customHeight="1">
      <c r="A82" s="327" t="s">
        <v>622</v>
      </c>
      <c r="B82" s="327" t="s">
        <v>287</v>
      </c>
      <c r="C82" s="329">
        <v>42</v>
      </c>
      <c r="D82" s="329">
        <v>2</v>
      </c>
      <c r="E82" s="329">
        <v>3</v>
      </c>
      <c r="F82" s="327">
        <f>DHC!$E82*DHC!$C82</f>
        <v>126</v>
      </c>
      <c r="G82" s="327" t="s">
        <v>55</v>
      </c>
      <c r="H82" s="327" t="s">
        <v>55</v>
      </c>
      <c r="I82" s="331" t="str">
        <f t="shared" ref="I82:I86" si="3">IF(H82 = "PT-V","n/a",IF(H82 = "PT","n/a",IF(H82 = "RT","n/a",IF(OR(H82 = "Extern",H82 = "PT-ZZP"), "Please fill in", 0))))</f>
        <v>n/a</v>
      </c>
      <c r="J82" s="323"/>
      <c r="K82" s="589"/>
      <c r="L82" s="589"/>
      <c r="M82" s="608"/>
      <c r="N82" s="15"/>
      <c r="O82" s="16"/>
      <c r="P82" s="16"/>
      <c r="Q82" s="16"/>
      <c r="W82" s="16"/>
      <c r="X82" s="16"/>
      <c r="Y82" s="16"/>
      <c r="Z82" s="16"/>
      <c r="AA82" s="16"/>
      <c r="AB82" s="16"/>
    </row>
    <row r="83" spans="1:30" ht="15.75" customHeight="1">
      <c r="A83" s="327" t="s">
        <v>624</v>
      </c>
      <c r="B83" s="327" t="s">
        <v>287</v>
      </c>
      <c r="C83" s="329">
        <v>42</v>
      </c>
      <c r="D83" s="329">
        <v>2</v>
      </c>
      <c r="E83" s="329">
        <v>3</v>
      </c>
      <c r="F83" s="327">
        <f>DHC!$E83*DHC!$C83</f>
        <v>126</v>
      </c>
      <c r="G83" s="327" t="s">
        <v>55</v>
      </c>
      <c r="H83" s="327" t="s">
        <v>55</v>
      </c>
      <c r="I83" s="331" t="str">
        <f t="shared" si="3"/>
        <v>n/a</v>
      </c>
      <c r="J83" s="323"/>
      <c r="K83" s="589"/>
      <c r="L83" s="589"/>
      <c r="M83" s="608"/>
      <c r="N83" s="15"/>
      <c r="O83" s="16"/>
      <c r="P83" s="16"/>
      <c r="Q83" s="16"/>
      <c r="W83" s="16"/>
      <c r="X83" s="16"/>
      <c r="Y83" s="16"/>
      <c r="Z83" s="16"/>
      <c r="AA83" s="16"/>
      <c r="AB83" s="16"/>
    </row>
    <row r="84" spans="1:30" ht="15.75" customHeight="1">
      <c r="A84" s="327" t="s">
        <v>626</v>
      </c>
      <c r="B84" s="327" t="s">
        <v>287</v>
      </c>
      <c r="C84" s="329">
        <v>42</v>
      </c>
      <c r="D84" s="329">
        <v>1</v>
      </c>
      <c r="E84" s="329">
        <v>1.5</v>
      </c>
      <c r="F84" s="327">
        <f>DHC!$E84*DHC!$C84</f>
        <v>63</v>
      </c>
      <c r="G84" s="327" t="s">
        <v>644</v>
      </c>
      <c r="H84" s="327" t="s">
        <v>55</v>
      </c>
      <c r="I84" s="331" t="str">
        <f t="shared" si="3"/>
        <v>n/a</v>
      </c>
      <c r="J84" s="323"/>
      <c r="K84" s="589"/>
      <c r="L84" s="589"/>
      <c r="M84" s="608"/>
      <c r="N84" s="15"/>
      <c r="O84" s="16"/>
      <c r="P84" s="16"/>
      <c r="Q84" s="16"/>
      <c r="W84" s="16"/>
      <c r="X84" s="16"/>
      <c r="Y84" s="16"/>
      <c r="Z84" s="16"/>
      <c r="AA84" s="16"/>
      <c r="AB84" s="16"/>
    </row>
    <row r="85" spans="1:30" ht="15.75" customHeight="1">
      <c r="A85" s="323" t="s">
        <v>661</v>
      </c>
      <c r="B85" s="327" t="s">
        <v>287</v>
      </c>
      <c r="C85" s="329">
        <v>42</v>
      </c>
      <c r="D85" s="329">
        <v>1</v>
      </c>
      <c r="E85" s="329">
        <v>1.5</v>
      </c>
      <c r="F85" s="327">
        <f>DHC!$E85*DHC!$C85</f>
        <v>63</v>
      </c>
      <c r="G85" s="327"/>
      <c r="H85" s="327" t="s">
        <v>55</v>
      </c>
      <c r="I85" s="331" t="str">
        <f t="shared" si="3"/>
        <v>n/a</v>
      </c>
      <c r="J85" s="323"/>
      <c r="K85" s="589"/>
      <c r="L85" s="589"/>
      <c r="M85" s="608"/>
      <c r="N85" s="15"/>
      <c r="O85" s="16"/>
      <c r="P85" s="16"/>
      <c r="Q85" s="16"/>
      <c r="W85" s="16"/>
      <c r="X85" s="16"/>
      <c r="Y85" s="16"/>
      <c r="Z85" s="16"/>
      <c r="AA85" s="16"/>
      <c r="AB85" s="16"/>
    </row>
    <row r="86" spans="1:30" ht="15.75" customHeight="1">
      <c r="A86" s="327" t="s">
        <v>634</v>
      </c>
      <c r="B86" s="327" t="s">
        <v>287</v>
      </c>
      <c r="C86" s="329">
        <v>42</v>
      </c>
      <c r="D86" s="329">
        <v>1</v>
      </c>
      <c r="E86" s="329">
        <v>1.5</v>
      </c>
      <c r="F86" s="327">
        <f>DHC!$E86*DHC!$C86</f>
        <v>63</v>
      </c>
      <c r="G86" s="327"/>
      <c r="H86" s="327" t="s">
        <v>55</v>
      </c>
      <c r="I86" s="331" t="str">
        <f t="shared" si="3"/>
        <v>n/a</v>
      </c>
      <c r="J86" s="323"/>
      <c r="K86" s="589"/>
      <c r="L86" s="589"/>
      <c r="M86" s="608"/>
      <c r="N86" s="15"/>
      <c r="O86" s="16"/>
      <c r="P86" s="16"/>
      <c r="Q86" s="16"/>
      <c r="W86" s="16"/>
      <c r="X86" s="16"/>
      <c r="Y86" s="16"/>
      <c r="Z86" s="16"/>
      <c r="AA86" s="16"/>
      <c r="AB86" s="16"/>
    </row>
    <row r="87" spans="1:30" ht="15.75" customHeight="1">
      <c r="A87" s="327" t="s">
        <v>637</v>
      </c>
      <c r="B87" s="327" t="s">
        <v>287</v>
      </c>
      <c r="C87" s="329">
        <v>42</v>
      </c>
      <c r="D87" s="329">
        <v>1</v>
      </c>
      <c r="E87" s="329">
        <v>1.5</v>
      </c>
      <c r="F87" s="327">
        <f>DHC!$E87*DHC!$C87</f>
        <v>63</v>
      </c>
      <c r="G87" s="327"/>
      <c r="H87" s="327" t="s">
        <v>55</v>
      </c>
      <c r="I87" s="331"/>
      <c r="J87" s="323"/>
      <c r="K87" s="589"/>
      <c r="L87" s="589"/>
      <c r="M87" s="608"/>
      <c r="N87" s="15"/>
      <c r="O87" s="16"/>
      <c r="P87" s="16"/>
      <c r="Q87" s="16"/>
      <c r="W87" s="16"/>
      <c r="X87" s="16"/>
      <c r="Y87" s="16"/>
      <c r="Z87" s="16"/>
      <c r="AA87" s="16"/>
      <c r="AB87" s="16"/>
    </row>
    <row r="88" spans="1:30" ht="15.75" customHeight="1">
      <c r="A88" s="327" t="s">
        <v>639</v>
      </c>
      <c r="B88" s="327" t="s">
        <v>287</v>
      </c>
      <c r="C88" s="329">
        <v>42</v>
      </c>
      <c r="D88" s="329">
        <v>1</v>
      </c>
      <c r="E88" s="329">
        <v>1.5</v>
      </c>
      <c r="F88" s="327">
        <f>DHC!$E88*DHC!$C88</f>
        <v>63</v>
      </c>
      <c r="G88" s="327"/>
      <c r="H88" s="327" t="s">
        <v>55</v>
      </c>
      <c r="I88" s="331" t="str">
        <f t="shared" ref="I88:I90" si="4">IF(H88 = "PT-V","n/a",IF(H88 = "PT","n/a",IF(H88 = "RT","n/a",IF(OR(H88 = "Extern",H88 = "PT-ZZP"), "Please fill in", 0))))</f>
        <v>n/a</v>
      </c>
      <c r="J88" s="323"/>
      <c r="K88" s="589"/>
      <c r="L88" s="589"/>
      <c r="M88" s="608"/>
      <c r="N88" s="15"/>
      <c r="O88" s="16"/>
      <c r="P88" s="16"/>
      <c r="Q88" s="16"/>
      <c r="W88" s="16"/>
      <c r="X88" s="16"/>
      <c r="Y88" s="16"/>
      <c r="Z88" s="16"/>
      <c r="AA88" s="16"/>
      <c r="AB88" s="16"/>
    </row>
    <row r="89" spans="1:30" ht="15.75" customHeight="1">
      <c r="A89" s="327" t="s">
        <v>640</v>
      </c>
      <c r="B89" s="327" t="s">
        <v>287</v>
      </c>
      <c r="C89" s="329">
        <v>42</v>
      </c>
      <c r="D89" s="329">
        <v>1</v>
      </c>
      <c r="E89" s="329">
        <v>1.5</v>
      </c>
      <c r="F89" s="327">
        <f>DHC!$E89*DHC!$C89</f>
        <v>63</v>
      </c>
      <c r="G89" s="327"/>
      <c r="H89" s="327" t="s">
        <v>55</v>
      </c>
      <c r="I89" s="331" t="str">
        <f t="shared" si="4"/>
        <v>n/a</v>
      </c>
      <c r="J89" s="323"/>
      <c r="K89" s="589"/>
      <c r="L89" s="589"/>
      <c r="M89" s="608"/>
      <c r="N89" s="15"/>
      <c r="O89" s="16"/>
      <c r="P89" s="16"/>
      <c r="Q89" s="16"/>
      <c r="W89" s="16"/>
      <c r="X89" s="16"/>
      <c r="Y89" s="16"/>
      <c r="Z89" s="16"/>
      <c r="AA89" s="16"/>
      <c r="AB89" s="16"/>
    </row>
    <row r="90" spans="1:30" ht="15.75" customHeight="1">
      <c r="A90" s="323" t="s">
        <v>641</v>
      </c>
      <c r="B90" s="327" t="s">
        <v>287</v>
      </c>
      <c r="C90" s="329">
        <v>42</v>
      </c>
      <c r="D90" s="329">
        <v>1</v>
      </c>
      <c r="E90" s="329">
        <v>1.5</v>
      </c>
      <c r="F90" s="327">
        <f>DHC!$E90*DHC!$C90</f>
        <v>63</v>
      </c>
      <c r="G90" s="323"/>
      <c r="H90" s="327" t="s">
        <v>55</v>
      </c>
      <c r="I90" s="331" t="str">
        <f t="shared" si="4"/>
        <v>n/a</v>
      </c>
      <c r="J90" s="323"/>
      <c r="K90" s="589"/>
      <c r="L90" s="589"/>
      <c r="M90" s="608"/>
      <c r="N90" s="15"/>
      <c r="O90" s="16"/>
      <c r="P90" s="16"/>
      <c r="Q90" s="16"/>
      <c r="W90" s="16"/>
      <c r="X90" s="16"/>
      <c r="Y90" s="16"/>
      <c r="Z90" s="16"/>
      <c r="AA90" s="16"/>
      <c r="AB90" s="16"/>
    </row>
    <row r="91" spans="1:30" ht="15.75" customHeight="1">
      <c r="A91" s="323" t="s">
        <v>643</v>
      </c>
      <c r="B91" s="327" t="s">
        <v>287</v>
      </c>
      <c r="C91" s="329">
        <v>42</v>
      </c>
      <c r="D91" s="329">
        <v>1</v>
      </c>
      <c r="E91" s="329">
        <v>1.5</v>
      </c>
      <c r="F91" s="327">
        <f>DHC!$E91*DHC!$C91</f>
        <v>63</v>
      </c>
      <c r="G91" s="323"/>
      <c r="H91" s="327" t="s">
        <v>55</v>
      </c>
      <c r="I91" s="331" t="s">
        <v>328</v>
      </c>
      <c r="J91" s="323"/>
      <c r="K91" s="589"/>
      <c r="L91" s="589"/>
      <c r="M91" s="608"/>
      <c r="N91" s="15"/>
      <c r="O91" s="16"/>
      <c r="P91" s="16"/>
      <c r="Q91" s="16"/>
      <c r="W91" s="16"/>
      <c r="X91" s="16"/>
      <c r="Y91" s="16"/>
      <c r="Z91" s="16"/>
      <c r="AA91" s="16"/>
      <c r="AB91" s="16"/>
    </row>
    <row r="92" spans="1:30" ht="15.75" customHeight="1">
      <c r="A92" s="323" t="s">
        <v>662</v>
      </c>
      <c r="B92" s="327" t="s">
        <v>287</v>
      </c>
      <c r="C92" s="329">
        <v>42</v>
      </c>
      <c r="D92" s="329">
        <v>1</v>
      </c>
      <c r="E92" s="329">
        <v>1.5</v>
      </c>
      <c r="F92" s="327">
        <f>DHC!$E92*DHC!$C92</f>
        <v>63</v>
      </c>
      <c r="G92" s="323"/>
      <c r="H92" s="327" t="s">
        <v>55</v>
      </c>
      <c r="I92" s="331"/>
      <c r="J92" s="323"/>
      <c r="K92" s="589"/>
      <c r="L92" s="589"/>
      <c r="M92" s="608"/>
      <c r="N92" s="15"/>
      <c r="O92" s="16"/>
      <c r="P92" s="16"/>
      <c r="Q92" s="16"/>
      <c r="W92" s="16"/>
      <c r="X92" s="16"/>
      <c r="Y92" s="16"/>
      <c r="Z92" s="16"/>
      <c r="AA92" s="16"/>
      <c r="AB92" s="16"/>
    </row>
    <row r="93" spans="1:30" ht="15" customHeight="1">
      <c r="A93" s="323" t="s">
        <v>663</v>
      </c>
      <c r="B93" s="327" t="s">
        <v>287</v>
      </c>
      <c r="C93" s="329">
        <v>34</v>
      </c>
      <c r="D93" s="329">
        <v>1</v>
      </c>
      <c r="E93" s="329">
        <v>1</v>
      </c>
      <c r="F93" s="327">
        <f>DHC!$E93*DHC!$C93</f>
        <v>34</v>
      </c>
      <c r="G93" s="323"/>
      <c r="H93" s="327" t="s">
        <v>55</v>
      </c>
      <c r="I93" s="331" t="str">
        <f t="shared" ref="I93:I95" si="5">IF(H93 = "PT-V","n/a",IF(H93 = "PT","n/a",IF(H93 = "RT","n/a",IF(OR(H93 = "Extern",H93 = "PT-ZZP"), "Please fill in", 0))))</f>
        <v>n/a</v>
      </c>
      <c r="J93" s="323"/>
      <c r="K93" s="589"/>
      <c r="L93" s="589"/>
      <c r="M93" s="608"/>
      <c r="N93" s="16"/>
      <c r="O93" s="16"/>
      <c r="P93" s="16"/>
      <c r="Q93" s="16"/>
      <c r="W93" s="16"/>
      <c r="X93" s="16"/>
      <c r="Y93" s="16"/>
      <c r="Z93" s="16"/>
      <c r="AA93" s="16"/>
      <c r="AB93" s="16"/>
    </row>
    <row r="94" spans="1:30" ht="15.75" customHeight="1">
      <c r="A94" s="323" t="s">
        <v>664</v>
      </c>
      <c r="B94" s="327" t="s">
        <v>287</v>
      </c>
      <c r="C94" s="329">
        <v>10</v>
      </c>
      <c r="D94" s="329">
        <v>2</v>
      </c>
      <c r="E94" s="329">
        <v>3</v>
      </c>
      <c r="F94" s="327">
        <f>DHC!$E94*DHC!$C94</f>
        <v>30</v>
      </c>
      <c r="G94" s="323"/>
      <c r="H94" s="327" t="s">
        <v>55</v>
      </c>
      <c r="I94" s="331" t="str">
        <f t="shared" si="5"/>
        <v>n/a</v>
      </c>
      <c r="J94" s="323"/>
      <c r="K94" s="589"/>
      <c r="L94" s="589"/>
      <c r="M94" s="608"/>
      <c r="N94" s="16"/>
      <c r="O94" s="16"/>
      <c r="P94" s="16"/>
      <c r="Q94" s="16"/>
      <c r="W94" s="16"/>
      <c r="X94" s="16"/>
      <c r="Y94" s="16"/>
      <c r="Z94" s="16"/>
      <c r="AA94" s="16"/>
      <c r="AB94" s="16"/>
    </row>
    <row r="95" spans="1:30" ht="14.25" customHeight="1">
      <c r="A95" s="231" t="s">
        <v>290</v>
      </c>
      <c r="B95" s="319" t="s">
        <v>290</v>
      </c>
      <c r="C95" s="329">
        <v>42</v>
      </c>
      <c r="D95" s="329">
        <v>1</v>
      </c>
      <c r="E95" s="329">
        <v>1.5</v>
      </c>
      <c r="F95" s="327">
        <f>DHC!$E95*DHC!$C95</f>
        <v>63</v>
      </c>
      <c r="G95" s="263" t="s">
        <v>607</v>
      </c>
      <c r="H95" s="263" t="s">
        <v>57</v>
      </c>
      <c r="I95" s="264" t="str">
        <f t="shared" si="5"/>
        <v>n/a</v>
      </c>
      <c r="J95" s="231" t="s">
        <v>665</v>
      </c>
      <c r="K95" s="589"/>
      <c r="L95" s="589"/>
      <c r="M95" s="608"/>
      <c r="N95" s="16"/>
      <c r="O95" s="16"/>
      <c r="P95" s="16"/>
      <c r="Q95" s="16"/>
      <c r="W95" s="16"/>
      <c r="X95" s="16"/>
      <c r="Y95" s="16"/>
      <c r="Z95" s="16"/>
      <c r="AA95" s="16"/>
      <c r="AB95" s="16"/>
    </row>
    <row r="96" spans="1:30" ht="15.75" customHeight="1">
      <c r="A96" s="16"/>
      <c r="B96" s="16"/>
      <c r="C96" s="16"/>
      <c r="D96" s="16"/>
      <c r="E96" s="16"/>
      <c r="F96" s="16"/>
      <c r="G96" s="16"/>
      <c r="H96" s="16"/>
      <c r="I96" s="16"/>
      <c r="J96" s="16"/>
      <c r="K96" s="16"/>
      <c r="L96" s="16"/>
      <c r="M96" s="16"/>
      <c r="N96" s="16"/>
      <c r="O96" s="16"/>
      <c r="P96" s="16"/>
      <c r="Q96" s="16"/>
      <c r="W96" s="16"/>
      <c r="X96" s="16"/>
      <c r="Y96" s="16"/>
      <c r="Z96" s="16"/>
      <c r="AA96" s="16"/>
      <c r="AB96" s="16"/>
      <c r="AC96" s="16"/>
      <c r="AD96" s="16"/>
    </row>
    <row r="97" spans="1:30" ht="15.75" customHeight="1" thickBot="1">
      <c r="A97" s="186" t="s">
        <v>499</v>
      </c>
      <c r="B97" s="231"/>
      <c r="C97" s="231"/>
      <c r="D97" s="231"/>
      <c r="E97" s="231"/>
      <c r="F97" s="231"/>
      <c r="G97" s="231"/>
      <c r="H97" s="231"/>
      <c r="I97" s="231"/>
      <c r="J97" s="231"/>
      <c r="K97" s="123"/>
      <c r="L97" s="123"/>
      <c r="M97" s="16"/>
      <c r="N97" s="16"/>
      <c r="O97" s="16"/>
      <c r="P97" s="16"/>
      <c r="Q97" s="16"/>
      <c r="W97" s="16"/>
      <c r="X97" s="16"/>
      <c r="Y97" s="16"/>
      <c r="Z97" s="16"/>
      <c r="AA97" s="16"/>
      <c r="AB97" s="16"/>
      <c r="AC97" s="16"/>
      <c r="AD97" s="16"/>
    </row>
    <row r="98" spans="1:30" ht="15.75" customHeight="1" thickTop="1" thickBot="1">
      <c r="A98" s="230" t="s">
        <v>476</v>
      </c>
      <c r="B98" s="230" t="s">
        <v>500</v>
      </c>
      <c r="C98" s="230" t="s">
        <v>501</v>
      </c>
      <c r="D98" s="230" t="s">
        <v>502</v>
      </c>
      <c r="E98" s="230" t="s">
        <v>503</v>
      </c>
      <c r="F98" s="230" t="s">
        <v>504</v>
      </c>
      <c r="G98" s="230" t="s">
        <v>505</v>
      </c>
      <c r="H98" s="230" t="s">
        <v>506</v>
      </c>
      <c r="I98" s="230" t="s">
        <v>507</v>
      </c>
      <c r="J98" s="230" t="s">
        <v>508</v>
      </c>
      <c r="K98" s="561" t="s">
        <v>441</v>
      </c>
      <c r="L98" s="561"/>
      <c r="M98" s="561"/>
      <c r="N98" s="561"/>
      <c r="O98" s="570"/>
      <c r="P98" s="726" t="s">
        <v>434</v>
      </c>
      <c r="Q98" s="727"/>
      <c r="R98" s="16"/>
      <c r="S98" s="16"/>
      <c r="V98" s="16"/>
      <c r="W98" s="16"/>
      <c r="X98" s="16"/>
      <c r="Y98" s="16"/>
      <c r="Z98" s="16"/>
      <c r="AA98" s="16"/>
    </row>
    <row r="99" spans="1:30" ht="15.75" customHeight="1" thickTop="1">
      <c r="A99" s="327" t="s">
        <v>617</v>
      </c>
      <c r="B99" s="323" t="s">
        <v>254</v>
      </c>
      <c r="C99" s="323" t="s">
        <v>512</v>
      </c>
      <c r="D99" s="327">
        <v>1.5</v>
      </c>
      <c r="E99" s="328">
        <v>42</v>
      </c>
      <c r="F99" s="326">
        <f>DHC!$D99*DHC!$E99</f>
        <v>63</v>
      </c>
      <c r="G99" s="328">
        <v>1</v>
      </c>
      <c r="H99" s="332">
        <f>IF($B99= "","-",IF($B99= "External","Specify location tariff", INDEX(Constants!$3:$3,MATCH($B99,Constants!$2:$2,0))))</f>
        <v>75</v>
      </c>
      <c r="I99" s="333">
        <f t="shared" ref="I99:I104" si="6">IF($H99="-","-",IF($H99="Specify location tariff","-",$H99*$F99))</f>
        <v>4725</v>
      </c>
      <c r="J99" s="387" t="s">
        <v>666</v>
      </c>
      <c r="K99" s="594"/>
      <c r="L99" s="606"/>
      <c r="M99" s="606"/>
      <c r="N99" s="606"/>
      <c r="O99" s="595"/>
      <c r="P99" s="576" t="s">
        <v>511</v>
      </c>
      <c r="Q99" s="577"/>
      <c r="R99" s="16"/>
      <c r="S99" s="16"/>
      <c r="V99" s="16"/>
      <c r="W99" s="16"/>
      <c r="X99" s="16"/>
      <c r="Y99" s="16"/>
      <c r="Z99" s="16"/>
      <c r="AA99" s="16"/>
    </row>
    <row r="100" spans="1:30" ht="15.75" customHeight="1">
      <c r="A100" s="323" t="s">
        <v>617</v>
      </c>
      <c r="B100" s="323" t="s">
        <v>254</v>
      </c>
      <c r="C100" s="323" t="s">
        <v>516</v>
      </c>
      <c r="D100" s="327">
        <v>1.5</v>
      </c>
      <c r="E100" s="328">
        <v>42</v>
      </c>
      <c r="F100" s="326">
        <f>DHC!$D100*DHC!$E100</f>
        <v>63</v>
      </c>
      <c r="G100" s="328">
        <v>2</v>
      </c>
      <c r="H100" s="332">
        <f>IF($B100= "","-",IF($B100= "External","Specify location tariff", INDEX(Constants!$3:$3,MATCH($B100,Constants!$2:$2,0))))</f>
        <v>75</v>
      </c>
      <c r="I100" s="333">
        <f t="shared" si="6"/>
        <v>4725</v>
      </c>
      <c r="J100" s="388" t="s">
        <v>666</v>
      </c>
      <c r="K100" s="596"/>
      <c r="L100" s="589"/>
      <c r="M100" s="589"/>
      <c r="N100" s="589"/>
      <c r="O100" s="597"/>
      <c r="P100" s="578"/>
      <c r="Q100" s="579"/>
      <c r="R100" s="16"/>
      <c r="S100" s="16"/>
      <c r="V100" s="16"/>
      <c r="W100" s="16"/>
      <c r="X100" s="16"/>
      <c r="Y100" s="16"/>
      <c r="Z100" s="16"/>
      <c r="AA100" s="16"/>
    </row>
    <row r="101" spans="1:30" ht="15.75" customHeight="1">
      <c r="A101" s="323" t="s">
        <v>667</v>
      </c>
      <c r="B101" s="323" t="s">
        <v>254</v>
      </c>
      <c r="C101" s="389" t="s">
        <v>512</v>
      </c>
      <c r="D101" s="327">
        <v>1.5</v>
      </c>
      <c r="E101" s="328">
        <v>42</v>
      </c>
      <c r="F101" s="326">
        <f>DHC!$D101*DHC!$E101</f>
        <v>63</v>
      </c>
      <c r="G101" s="328">
        <v>1</v>
      </c>
      <c r="H101" s="332">
        <f>IF($B101= "","-",IF($B101= "External","Specify location tariff", INDEX(Constants!$3:$3,MATCH($B101,Constants!$2:$2,0))))</f>
        <v>75</v>
      </c>
      <c r="I101" s="333">
        <f t="shared" si="6"/>
        <v>4725</v>
      </c>
      <c r="J101" s="387" t="s">
        <v>668</v>
      </c>
      <c r="K101" s="596"/>
      <c r="L101" s="589"/>
      <c r="M101" s="589"/>
      <c r="N101" s="589"/>
      <c r="O101" s="597"/>
      <c r="P101" s="578"/>
      <c r="Q101" s="579"/>
      <c r="R101" s="16"/>
      <c r="S101" s="16"/>
      <c r="V101" s="16"/>
      <c r="W101" s="16"/>
      <c r="X101" s="16"/>
      <c r="Y101" s="16"/>
      <c r="Z101" s="16"/>
      <c r="AA101" s="16"/>
    </row>
    <row r="102" spans="1:30" ht="15.75" customHeight="1">
      <c r="A102" s="327" t="s">
        <v>631</v>
      </c>
      <c r="B102" s="323" t="s">
        <v>254</v>
      </c>
      <c r="C102" s="389" t="s">
        <v>516</v>
      </c>
      <c r="D102" s="327">
        <v>1.5</v>
      </c>
      <c r="E102" s="328">
        <v>42</v>
      </c>
      <c r="F102" s="326">
        <f>DHC!$D102*DHC!$E102</f>
        <v>63</v>
      </c>
      <c r="G102" s="328">
        <v>2</v>
      </c>
      <c r="H102" s="332">
        <f>IF($B102= "","-",IF($B102= "External","Specify location tariff", INDEX(Constants!$3:$3,MATCH($B102,Constants!$2:$2,0))))</f>
        <v>75</v>
      </c>
      <c r="I102" s="333">
        <f t="shared" si="6"/>
        <v>4725</v>
      </c>
      <c r="J102" s="388" t="s">
        <v>666</v>
      </c>
      <c r="K102" s="596"/>
      <c r="L102" s="589"/>
      <c r="M102" s="589"/>
      <c r="N102" s="589"/>
      <c r="O102" s="597"/>
      <c r="P102" s="578"/>
      <c r="Q102" s="579"/>
      <c r="R102" s="16"/>
      <c r="S102" s="16"/>
      <c r="V102" s="16"/>
      <c r="W102" s="16"/>
      <c r="X102" s="16"/>
      <c r="Y102" s="16"/>
      <c r="Z102" s="16"/>
      <c r="AA102" s="16"/>
    </row>
    <row r="103" spans="1:30" ht="15.75" customHeight="1">
      <c r="A103" s="323" t="s">
        <v>669</v>
      </c>
      <c r="B103" s="323" t="s">
        <v>254</v>
      </c>
      <c r="C103" s="389" t="s">
        <v>516</v>
      </c>
      <c r="D103" s="327">
        <v>1.5</v>
      </c>
      <c r="E103" s="328">
        <v>42</v>
      </c>
      <c r="F103" s="326">
        <f>DHC!$D103*DHC!$E103</f>
        <v>63</v>
      </c>
      <c r="G103" s="328">
        <v>1</v>
      </c>
      <c r="H103" s="332">
        <f>IF($B103= "","-",IF($B103= "External","Specify location tariff", INDEX(Constants!$3:$3,MATCH($B103,Constants!$2:$2,0))))</f>
        <v>75</v>
      </c>
      <c r="I103" s="333">
        <f t="shared" si="6"/>
        <v>4725</v>
      </c>
      <c r="J103" s="387" t="s">
        <v>668</v>
      </c>
      <c r="K103" s="596"/>
      <c r="L103" s="589"/>
      <c r="M103" s="589"/>
      <c r="N103" s="589"/>
      <c r="O103" s="597"/>
      <c r="P103" s="578"/>
      <c r="Q103" s="579"/>
      <c r="R103" s="16"/>
      <c r="S103" s="16"/>
      <c r="V103" s="16"/>
      <c r="W103" s="16"/>
      <c r="X103" s="16"/>
      <c r="Y103" s="16"/>
      <c r="Z103" s="16"/>
      <c r="AA103" s="16"/>
    </row>
    <row r="104" spans="1:30" ht="15.75" customHeight="1">
      <c r="A104" s="327" t="s">
        <v>635</v>
      </c>
      <c r="B104" s="323" t="s">
        <v>262</v>
      </c>
      <c r="C104" s="389" t="s">
        <v>512</v>
      </c>
      <c r="D104" s="327">
        <v>1.5</v>
      </c>
      <c r="E104" s="328">
        <v>42</v>
      </c>
      <c r="F104" s="326">
        <f>DHC!$D104*DHC!$E104</f>
        <v>63</v>
      </c>
      <c r="G104" s="328">
        <v>2</v>
      </c>
      <c r="H104" s="332">
        <f>IF($B104= "","-",IF($B104= "External","Specify location tariff", INDEX(Constants!$3:$3,MATCH($B104,Constants!$2:$2,0))))</f>
        <v>75</v>
      </c>
      <c r="I104" s="333">
        <f t="shared" si="6"/>
        <v>4725</v>
      </c>
      <c r="J104" s="388" t="s">
        <v>670</v>
      </c>
      <c r="K104" s="596"/>
      <c r="L104" s="589"/>
      <c r="M104" s="589"/>
      <c r="N104" s="589"/>
      <c r="O104" s="597"/>
      <c r="P104" s="578"/>
      <c r="Q104" s="579"/>
      <c r="R104" s="16"/>
      <c r="S104" s="16"/>
      <c r="V104" s="16"/>
      <c r="W104" s="16"/>
      <c r="X104" s="16"/>
      <c r="Y104" s="16"/>
      <c r="Z104" s="16"/>
      <c r="AA104" s="16"/>
    </row>
    <row r="105" spans="1:30" ht="15.75" customHeight="1">
      <c r="A105" s="323" t="s">
        <v>671</v>
      </c>
      <c r="B105" s="323" t="s">
        <v>254</v>
      </c>
      <c r="C105" s="323" t="s">
        <v>512</v>
      </c>
      <c r="D105" s="327">
        <v>1.5</v>
      </c>
      <c r="E105" s="328">
        <v>42</v>
      </c>
      <c r="F105" s="326">
        <f>DHC!$D105*DHC!$E105</f>
        <v>63</v>
      </c>
      <c r="G105" s="328">
        <v>3</v>
      </c>
      <c r="H105" s="332">
        <f>IF($B105= "","-",IF($B105= "External","Specify location tariff", INDEX(Constants!$3:$3,MATCH($B105,Constants!$2:$2,0))))</f>
        <v>75</v>
      </c>
      <c r="I105" s="333">
        <f t="shared" ref="I105:I119" si="7">IF($H105="-","-",IF($H105="Specify location tariff","-",$H105*$F105))</f>
        <v>4725</v>
      </c>
      <c r="J105" s="387" t="s">
        <v>672</v>
      </c>
      <c r="K105" s="596"/>
      <c r="L105" s="589"/>
      <c r="M105" s="589"/>
      <c r="N105" s="589"/>
      <c r="O105" s="597"/>
      <c r="P105" s="578"/>
      <c r="Q105" s="579"/>
      <c r="R105" s="16"/>
      <c r="S105" s="16"/>
      <c r="V105" s="16"/>
      <c r="W105" s="16"/>
      <c r="X105" s="16"/>
      <c r="Y105" s="16"/>
      <c r="Z105" s="16"/>
      <c r="AA105" s="16"/>
    </row>
    <row r="106" spans="1:30" ht="15.75" customHeight="1">
      <c r="A106" s="327" t="s">
        <v>622</v>
      </c>
      <c r="B106" s="323" t="s">
        <v>262</v>
      </c>
      <c r="C106" s="389" t="s">
        <v>516</v>
      </c>
      <c r="D106" s="327">
        <v>1.5</v>
      </c>
      <c r="E106" s="328">
        <v>42</v>
      </c>
      <c r="F106" s="326">
        <f>DHC!$D106*DHC!$E106</f>
        <v>63</v>
      </c>
      <c r="G106" s="328">
        <v>4</v>
      </c>
      <c r="H106" s="332">
        <f>IF($B106= "","-",IF($B106= "External","Specify location tariff", INDEX(Constants!$3:$3,MATCH($B106,Constants!$2:$2,0))))</f>
        <v>75</v>
      </c>
      <c r="I106" s="333">
        <f t="shared" si="7"/>
        <v>4725</v>
      </c>
      <c r="J106" s="388"/>
      <c r="K106" s="596"/>
      <c r="L106" s="589"/>
      <c r="M106" s="589"/>
      <c r="N106" s="589"/>
      <c r="O106" s="597"/>
      <c r="P106" s="578"/>
      <c r="Q106" s="579"/>
      <c r="R106" s="16"/>
      <c r="S106" s="16"/>
      <c r="V106" s="16"/>
      <c r="W106" s="16"/>
      <c r="X106" s="16"/>
      <c r="Y106" s="16"/>
      <c r="Z106" s="16"/>
      <c r="AA106" s="16"/>
    </row>
    <row r="107" spans="1:30" ht="15.75" customHeight="1">
      <c r="A107" s="323" t="s">
        <v>673</v>
      </c>
      <c r="B107" s="323" t="s">
        <v>262</v>
      </c>
      <c r="C107" s="389" t="s">
        <v>516</v>
      </c>
      <c r="D107" s="327">
        <v>1.5</v>
      </c>
      <c r="E107" s="328">
        <v>42</v>
      </c>
      <c r="F107" s="326">
        <f>DHC!$D107*DHC!$E107</f>
        <v>63</v>
      </c>
      <c r="G107" s="328">
        <v>3</v>
      </c>
      <c r="H107" s="332">
        <f>IF($B107= "","-",IF($B107= "External","Specify location tariff", INDEX(Constants!$3:$3,MATCH($B107,Constants!$2:$2,0))))</f>
        <v>75</v>
      </c>
      <c r="I107" s="333">
        <f t="shared" si="7"/>
        <v>4725</v>
      </c>
      <c r="J107" s="387" t="s">
        <v>672</v>
      </c>
      <c r="K107" s="596"/>
      <c r="L107" s="589"/>
      <c r="M107" s="589"/>
      <c r="N107" s="589"/>
      <c r="O107" s="597"/>
      <c r="P107" s="578"/>
      <c r="Q107" s="579"/>
      <c r="R107" s="16"/>
      <c r="S107" s="16"/>
      <c r="V107" s="16"/>
      <c r="W107" s="16"/>
      <c r="X107" s="16"/>
      <c r="Y107" s="16"/>
      <c r="Z107" s="16"/>
      <c r="AA107" s="16"/>
    </row>
    <row r="108" spans="1:30" ht="15.75" customHeight="1">
      <c r="A108" s="323" t="s">
        <v>674</v>
      </c>
      <c r="B108" s="323" t="s">
        <v>254</v>
      </c>
      <c r="C108" s="389" t="s">
        <v>512</v>
      </c>
      <c r="D108" s="327">
        <v>1.5</v>
      </c>
      <c r="E108" s="328">
        <v>42</v>
      </c>
      <c r="F108" s="326">
        <f>DHC!$D108*DHC!$E108</f>
        <v>63</v>
      </c>
      <c r="G108" s="328">
        <v>1</v>
      </c>
      <c r="H108" s="332">
        <f>IF($B108= "","-",IF($B108= "External","Specify location tariff", INDEX(Constants!$3:$3,MATCH($B108,Constants!$2:$2,0))))</f>
        <v>75</v>
      </c>
      <c r="I108" s="333">
        <f t="shared" si="7"/>
        <v>4725</v>
      </c>
      <c r="J108" s="388" t="s">
        <v>672</v>
      </c>
      <c r="K108" s="596"/>
      <c r="L108" s="589"/>
      <c r="M108" s="589"/>
      <c r="N108" s="589"/>
      <c r="O108" s="597"/>
      <c r="P108" s="578"/>
      <c r="Q108" s="579"/>
      <c r="R108" s="16"/>
      <c r="S108" s="16"/>
      <c r="V108" s="16"/>
      <c r="W108" s="16"/>
      <c r="X108" s="16"/>
      <c r="Y108" s="16"/>
      <c r="Z108" s="16"/>
      <c r="AA108" s="16"/>
    </row>
    <row r="109" spans="1:30" ht="15.75" customHeight="1">
      <c r="A109" s="323" t="s">
        <v>624</v>
      </c>
      <c r="B109" s="323" t="s">
        <v>254</v>
      </c>
      <c r="C109" s="323" t="s">
        <v>513</v>
      </c>
      <c r="D109" s="327">
        <v>1.5</v>
      </c>
      <c r="E109" s="328">
        <v>42</v>
      </c>
      <c r="F109" s="326">
        <f>DHC!$D109*DHC!$E109</f>
        <v>63</v>
      </c>
      <c r="G109" s="328">
        <v>1</v>
      </c>
      <c r="H109" s="332">
        <f>IF($B109= "","-",IF($B109= "External","Specify location tariff", INDEX(Constants!$3:$3,MATCH($B109,Constants!$2:$2,0))))</f>
        <v>75</v>
      </c>
      <c r="I109" s="333">
        <f t="shared" si="7"/>
        <v>4725</v>
      </c>
      <c r="J109" s="387"/>
      <c r="K109" s="596"/>
      <c r="L109" s="589"/>
      <c r="M109" s="589"/>
      <c r="N109" s="589"/>
      <c r="O109" s="597"/>
      <c r="P109" s="578"/>
      <c r="Q109" s="579"/>
      <c r="R109" s="16"/>
      <c r="S109" s="16"/>
      <c r="V109" s="16"/>
      <c r="W109" s="16"/>
      <c r="X109" s="16"/>
      <c r="Y109" s="16"/>
      <c r="Z109" s="16"/>
      <c r="AA109" s="16"/>
    </row>
    <row r="110" spans="1:30" ht="15.75" customHeight="1">
      <c r="A110" s="323" t="s">
        <v>675</v>
      </c>
      <c r="B110" s="323" t="s">
        <v>254</v>
      </c>
      <c r="C110" s="323" t="s">
        <v>513</v>
      </c>
      <c r="D110" s="327">
        <v>1.5</v>
      </c>
      <c r="E110" s="328">
        <v>42</v>
      </c>
      <c r="F110" s="326">
        <f>DHC!$D110*DHC!$E110</f>
        <v>63</v>
      </c>
      <c r="G110" s="328">
        <v>1</v>
      </c>
      <c r="H110" s="332">
        <f>IF($B110= "","-",IF($B110= "External","Specify location tariff", INDEX(Constants!$3:$3,MATCH($B110,Constants!$2:$2,0))))</f>
        <v>75</v>
      </c>
      <c r="I110" s="333">
        <f t="shared" si="7"/>
        <v>4725</v>
      </c>
      <c r="J110" s="388" t="s">
        <v>672</v>
      </c>
      <c r="K110" s="596"/>
      <c r="L110" s="589"/>
      <c r="M110" s="589"/>
      <c r="N110" s="589"/>
      <c r="O110" s="597"/>
      <c r="P110" s="578"/>
      <c r="Q110" s="579"/>
      <c r="R110" s="16"/>
      <c r="S110" s="16"/>
      <c r="V110" s="16"/>
      <c r="W110" s="16"/>
      <c r="X110" s="16"/>
      <c r="Y110" s="16"/>
      <c r="Z110" s="16"/>
      <c r="AA110" s="16"/>
    </row>
    <row r="111" spans="1:30" ht="15.75" customHeight="1">
      <c r="A111" s="323" t="s">
        <v>676</v>
      </c>
      <c r="B111" s="323" t="s">
        <v>254</v>
      </c>
      <c r="C111" s="323" t="s">
        <v>513</v>
      </c>
      <c r="D111" s="327">
        <v>1.5</v>
      </c>
      <c r="E111" s="328">
        <v>42</v>
      </c>
      <c r="F111" s="326">
        <f>DHC!$D111*DHC!$E111</f>
        <v>63</v>
      </c>
      <c r="G111" s="328">
        <v>1</v>
      </c>
      <c r="H111" s="332">
        <f>IF($B111= "","-",IF($B111= "External","Specify location tariff", INDEX(Constants!$3:$3,MATCH($B111,Constants!$2:$2,0))))</f>
        <v>75</v>
      </c>
      <c r="I111" s="333">
        <f t="shared" si="7"/>
        <v>4725</v>
      </c>
      <c r="J111" s="387" t="s">
        <v>672</v>
      </c>
      <c r="K111" s="596"/>
      <c r="L111" s="589"/>
      <c r="M111" s="589"/>
      <c r="N111" s="589"/>
      <c r="O111" s="597"/>
      <c r="P111" s="578"/>
      <c r="Q111" s="579"/>
      <c r="R111" s="16"/>
      <c r="S111" s="16"/>
      <c r="V111" s="16"/>
      <c r="W111" s="16"/>
      <c r="X111" s="16"/>
      <c r="Y111" s="16"/>
      <c r="Z111" s="16"/>
      <c r="AA111" s="16"/>
    </row>
    <row r="112" spans="1:30" ht="15.75" customHeight="1">
      <c r="A112" s="323" t="s">
        <v>677</v>
      </c>
      <c r="B112" s="323" t="s">
        <v>262</v>
      </c>
      <c r="C112" s="323" t="s">
        <v>513</v>
      </c>
      <c r="D112" s="327">
        <v>1.5</v>
      </c>
      <c r="E112" s="328">
        <v>42</v>
      </c>
      <c r="F112" s="326">
        <f>DHC!$D112*DHC!$E112</f>
        <v>63</v>
      </c>
      <c r="G112" s="328">
        <v>3</v>
      </c>
      <c r="H112" s="332">
        <f>IF($B112= "","-",IF($B112= "External","Specify location tariff", INDEX(Constants!$3:$3,MATCH($B112,Constants!$2:$2,0))))</f>
        <v>75</v>
      </c>
      <c r="I112" s="333">
        <f t="shared" si="7"/>
        <v>4725</v>
      </c>
      <c r="J112" s="388" t="s">
        <v>672</v>
      </c>
      <c r="K112" s="596"/>
      <c r="L112" s="589"/>
      <c r="M112" s="589"/>
      <c r="N112" s="589"/>
      <c r="O112" s="597"/>
      <c r="P112" s="578"/>
      <c r="Q112" s="579"/>
      <c r="R112" s="16"/>
      <c r="S112" s="16"/>
      <c r="V112" s="16"/>
      <c r="W112" s="16"/>
      <c r="X112" s="16"/>
      <c r="Y112" s="16"/>
      <c r="Z112" s="16"/>
      <c r="AA112" s="16"/>
    </row>
    <row r="113" spans="1:30" ht="15.75" customHeight="1">
      <c r="A113" s="323"/>
      <c r="B113" s="323"/>
      <c r="C113" s="323"/>
      <c r="D113" s="327"/>
      <c r="E113" s="328"/>
      <c r="F113" s="326">
        <f>DHC!$D113*DHC!$E113</f>
        <v>0</v>
      </c>
      <c r="G113" s="245"/>
      <c r="H113" s="332" t="str">
        <f>IF($B113= "","-",IF($B113= "External","Specify location tariff", INDEX(Constants!$3:$3,MATCH($B113,Constants!$2:$2,0))))</f>
        <v>-</v>
      </c>
      <c r="I113" s="333" t="str">
        <f t="shared" si="7"/>
        <v>-</v>
      </c>
      <c r="J113" s="387"/>
      <c r="K113" s="596"/>
      <c r="L113" s="589"/>
      <c r="M113" s="589"/>
      <c r="N113" s="589"/>
      <c r="O113" s="597"/>
      <c r="P113" s="578"/>
      <c r="Q113" s="579"/>
      <c r="R113" s="16"/>
      <c r="S113" s="16"/>
      <c r="V113" s="16"/>
      <c r="W113" s="16"/>
      <c r="X113" s="16"/>
      <c r="Y113" s="16"/>
      <c r="Z113" s="16"/>
      <c r="AA113" s="16"/>
    </row>
    <row r="114" spans="1:30" ht="15.75" customHeight="1">
      <c r="A114" s="323" t="s">
        <v>678</v>
      </c>
      <c r="B114" s="323" t="s">
        <v>245</v>
      </c>
      <c r="C114" s="323" t="s">
        <v>516</v>
      </c>
      <c r="D114" s="327">
        <v>3</v>
      </c>
      <c r="E114" s="328">
        <v>8</v>
      </c>
      <c r="F114" s="326">
        <f>DHC!$D114*DHC!$E114</f>
        <v>24</v>
      </c>
      <c r="G114" s="245"/>
      <c r="H114" s="332">
        <f>IF($B114= "","-",IF($B114= "External","Specify location tariff", INDEX(Constants!$3:$3,MATCH($B114,Constants!$2:$2,0))))</f>
        <v>67.5</v>
      </c>
      <c r="I114" s="333">
        <f t="shared" si="7"/>
        <v>1620</v>
      </c>
      <c r="J114" s="388" t="s">
        <v>679</v>
      </c>
      <c r="K114" s="596"/>
      <c r="L114" s="589"/>
      <c r="M114" s="589"/>
      <c r="N114" s="589"/>
      <c r="O114" s="597"/>
      <c r="P114" s="578"/>
      <c r="Q114" s="579"/>
      <c r="R114" s="16"/>
      <c r="S114" s="16"/>
      <c r="V114" s="16"/>
      <c r="W114" s="16"/>
      <c r="X114" s="16"/>
      <c r="Y114" s="16"/>
      <c r="Z114" s="16"/>
      <c r="AA114" s="16"/>
    </row>
    <row r="115" spans="1:30" ht="15.75" customHeight="1">
      <c r="A115" s="323" t="s">
        <v>678</v>
      </c>
      <c r="B115" s="323" t="s">
        <v>245</v>
      </c>
      <c r="C115" s="323" t="s">
        <v>514</v>
      </c>
      <c r="D115" s="327">
        <v>3</v>
      </c>
      <c r="E115" s="328">
        <v>8</v>
      </c>
      <c r="F115" s="326">
        <f>DHC!$D115*DHC!$E115</f>
        <v>24</v>
      </c>
      <c r="G115" s="245"/>
      <c r="H115" s="332">
        <f>IF($B115= "","-",IF($B115= "External","Specify location tariff", INDEX(Constants!$3:$3,MATCH($B115,Constants!$2:$2,0))))</f>
        <v>67.5</v>
      </c>
      <c r="I115" s="333">
        <f t="shared" si="7"/>
        <v>1620</v>
      </c>
      <c r="J115" s="387" t="s">
        <v>680</v>
      </c>
      <c r="K115" s="596"/>
      <c r="L115" s="589"/>
      <c r="M115" s="589"/>
      <c r="N115" s="589"/>
      <c r="O115" s="597"/>
      <c r="P115" s="578"/>
      <c r="Q115" s="579"/>
      <c r="R115" s="16"/>
      <c r="S115" s="16"/>
      <c r="V115" s="16"/>
      <c r="W115" s="16"/>
      <c r="X115" s="16"/>
      <c r="Y115" s="16"/>
      <c r="Z115" s="16"/>
      <c r="AA115" s="16"/>
    </row>
    <row r="116" spans="1:30" ht="15.75" customHeight="1">
      <c r="A116" s="323" t="s">
        <v>577</v>
      </c>
      <c r="B116" s="323" t="s">
        <v>254</v>
      </c>
      <c r="C116" s="323" t="s">
        <v>681</v>
      </c>
      <c r="D116" s="327">
        <v>7</v>
      </c>
      <c r="E116" s="328">
        <v>22</v>
      </c>
      <c r="F116" s="326">
        <f>DHC!$D116*DHC!$E116</f>
        <v>154</v>
      </c>
      <c r="G116" s="245"/>
      <c r="H116" s="332">
        <f>IF($B116= "","-",IF($B116= "External","Specify location tariff", INDEX(Constants!$3:$3,MATCH($B116,Constants!$2:$2,0))))</f>
        <v>75</v>
      </c>
      <c r="I116" s="333">
        <f t="shared" si="7"/>
        <v>11550</v>
      </c>
      <c r="J116" s="388" t="s">
        <v>682</v>
      </c>
      <c r="K116" s="596"/>
      <c r="L116" s="589"/>
      <c r="M116" s="589"/>
      <c r="N116" s="589"/>
      <c r="O116" s="597"/>
      <c r="P116" s="578"/>
      <c r="Q116" s="579"/>
      <c r="R116" s="16"/>
      <c r="S116" s="16"/>
      <c r="V116" s="16"/>
      <c r="W116" s="16"/>
      <c r="X116" s="16"/>
      <c r="Y116" s="16"/>
      <c r="Z116" s="16"/>
      <c r="AA116" s="16"/>
    </row>
    <row r="117" spans="1:30" ht="15.75" customHeight="1">
      <c r="A117" s="323" t="s">
        <v>577</v>
      </c>
      <c r="B117" s="323" t="s">
        <v>262</v>
      </c>
      <c r="C117" s="323" t="s">
        <v>681</v>
      </c>
      <c r="D117" s="327">
        <v>3.5</v>
      </c>
      <c r="E117" s="328">
        <v>22</v>
      </c>
      <c r="F117" s="326">
        <f>DHC!$D117*DHC!$E117</f>
        <v>77</v>
      </c>
      <c r="G117" s="245"/>
      <c r="H117" s="332">
        <f>IF($B117= "","-",IF($B117= "External","Specify location tariff", INDEX(Constants!$3:$3,MATCH($B117,Constants!$2:$2,0))))</f>
        <v>75</v>
      </c>
      <c r="I117" s="333">
        <f t="shared" si="7"/>
        <v>5775</v>
      </c>
      <c r="J117" s="387" t="s">
        <v>683</v>
      </c>
      <c r="K117" s="596"/>
      <c r="L117" s="589"/>
      <c r="M117" s="589"/>
      <c r="N117" s="589"/>
      <c r="O117" s="597"/>
      <c r="P117" s="578"/>
      <c r="Q117" s="579"/>
      <c r="R117" s="16"/>
      <c r="S117" s="16"/>
      <c r="V117" s="16"/>
      <c r="W117" s="16"/>
      <c r="X117" s="16"/>
      <c r="Y117" s="16"/>
      <c r="Z117" s="16"/>
      <c r="AA117" s="16"/>
    </row>
    <row r="118" spans="1:30" ht="15.75" customHeight="1">
      <c r="A118" s="323" t="s">
        <v>684</v>
      </c>
      <c r="B118" s="323" t="s">
        <v>256</v>
      </c>
      <c r="C118" s="323" t="s">
        <v>513</v>
      </c>
      <c r="D118" s="327">
        <v>1.5</v>
      </c>
      <c r="E118" s="328">
        <v>10</v>
      </c>
      <c r="F118" s="326">
        <f>DHC!$D118*DHC!$E118</f>
        <v>15</v>
      </c>
      <c r="G118" s="245"/>
      <c r="H118" s="332">
        <f>IF($B118= "","-",IF($B118= "External","Specify location tariff", INDEX(Constants!$3:$3,MATCH($B118,Constants!$2:$2,0))))</f>
        <v>75</v>
      </c>
      <c r="I118" s="333">
        <f t="shared" si="7"/>
        <v>1125</v>
      </c>
      <c r="J118" s="247"/>
      <c r="K118" s="596"/>
      <c r="L118" s="589"/>
      <c r="M118" s="589"/>
      <c r="N118" s="589"/>
      <c r="O118" s="597"/>
      <c r="P118" s="578"/>
      <c r="Q118" s="579"/>
      <c r="R118" s="16"/>
      <c r="S118" s="16"/>
      <c r="V118" s="16"/>
      <c r="W118" s="16"/>
      <c r="X118" s="16"/>
      <c r="Y118" s="16"/>
      <c r="Z118" s="16"/>
      <c r="AA118" s="16"/>
    </row>
    <row r="119" spans="1:30" ht="15.75" customHeight="1" thickBot="1">
      <c r="A119" s="323" t="s">
        <v>684</v>
      </c>
      <c r="B119" s="323" t="s">
        <v>254</v>
      </c>
      <c r="C119" s="323" t="s">
        <v>685</v>
      </c>
      <c r="D119" s="327">
        <v>1.5</v>
      </c>
      <c r="E119" s="328">
        <v>10</v>
      </c>
      <c r="F119" s="326">
        <f>DHC!$D119*DHC!$E119</f>
        <v>15</v>
      </c>
      <c r="G119" s="245"/>
      <c r="H119" s="332">
        <f>IF($B119= "","-",IF($B119= "External","Specify location tariff", INDEX(Constants!$3:$3,MATCH($B119,Constants!$2:$2,0))))</f>
        <v>75</v>
      </c>
      <c r="I119" s="333">
        <f t="shared" si="7"/>
        <v>1125</v>
      </c>
      <c r="J119" s="247"/>
      <c r="K119" s="598"/>
      <c r="L119" s="607"/>
      <c r="M119" s="607"/>
      <c r="N119" s="607"/>
      <c r="O119" s="599"/>
      <c r="P119" s="580"/>
      <c r="Q119" s="581"/>
      <c r="R119" s="16"/>
      <c r="S119" s="16"/>
      <c r="V119" s="16"/>
      <c r="W119" s="16"/>
      <c r="X119" s="16"/>
      <c r="Y119" s="16"/>
      <c r="Z119" s="16"/>
      <c r="AA119" s="16"/>
    </row>
    <row r="120" spans="1:30" ht="15.75" customHeight="1" thickTop="1">
      <c r="A120" s="15"/>
      <c r="B120" s="16"/>
      <c r="C120" s="16"/>
      <c r="D120" s="16"/>
      <c r="E120" s="16"/>
      <c r="F120" s="16"/>
      <c r="G120" s="16"/>
      <c r="H120" s="16"/>
      <c r="I120" s="16"/>
      <c r="J120" s="16"/>
      <c r="K120" s="16"/>
      <c r="L120" s="16"/>
      <c r="M120" s="16"/>
      <c r="N120" s="16"/>
      <c r="O120" s="16">
        <v>0</v>
      </c>
      <c r="P120" s="16"/>
      <c r="Q120" s="16"/>
      <c r="R120" s="16"/>
      <c r="S120" s="16"/>
      <c r="T120" s="16"/>
      <c r="U120" s="16"/>
      <c r="V120" s="16"/>
      <c r="W120" s="16"/>
      <c r="X120" s="16"/>
      <c r="Y120" s="16"/>
      <c r="Z120" s="16"/>
      <c r="AA120" s="16"/>
      <c r="AB120" s="16"/>
      <c r="AC120" s="16"/>
      <c r="AD120" s="16"/>
    </row>
    <row r="121" spans="1:30" ht="15.75" customHeight="1">
      <c r="A121" s="15"/>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c r="AA121" s="16"/>
      <c r="AB121" s="16"/>
      <c r="AC121" s="16"/>
      <c r="AD121" s="16"/>
    </row>
    <row r="122" spans="1:30" ht="15.75" customHeight="1" thickBot="1">
      <c r="A122" s="186" t="s">
        <v>519</v>
      </c>
      <c r="B122" s="16"/>
      <c r="C122" s="128"/>
      <c r="D122" s="51"/>
      <c r="E122" s="51"/>
      <c r="F122" s="51"/>
      <c r="G122" s="51"/>
      <c r="H122" s="51"/>
      <c r="I122" s="51"/>
      <c r="J122" s="51"/>
      <c r="K122" s="51"/>
      <c r="L122" s="232"/>
      <c r="M122" s="231"/>
      <c r="N122" s="16"/>
      <c r="O122" s="16"/>
      <c r="P122" s="16"/>
      <c r="Q122" s="16"/>
      <c r="R122" s="16"/>
      <c r="S122" s="16"/>
      <c r="T122" s="16"/>
      <c r="U122" s="16"/>
      <c r="V122" s="16"/>
      <c r="W122" s="16"/>
      <c r="X122" s="16"/>
      <c r="Y122" s="16"/>
      <c r="Z122" s="16"/>
      <c r="AA122" s="16"/>
      <c r="AB122" s="16"/>
      <c r="AC122" s="16"/>
      <c r="AD122" s="16"/>
    </row>
    <row r="123" spans="1:30" ht="15" customHeight="1" thickTop="1" thickBot="1">
      <c r="A123" s="230" t="s">
        <v>438</v>
      </c>
      <c r="B123" s="230" t="s">
        <v>439</v>
      </c>
      <c r="C123" s="230" t="s">
        <v>520</v>
      </c>
      <c r="D123" s="230" t="s">
        <v>521</v>
      </c>
      <c r="E123" s="230" t="s">
        <v>522</v>
      </c>
      <c r="F123" s="230" t="s">
        <v>523</v>
      </c>
      <c r="G123" s="230" t="s">
        <v>508</v>
      </c>
      <c r="H123" s="740" t="s">
        <v>441</v>
      </c>
      <c r="I123" s="737"/>
      <c r="J123" s="729" t="s">
        <v>434</v>
      </c>
      <c r="K123" s="730"/>
      <c r="L123" s="16"/>
      <c r="M123" s="16"/>
      <c r="N123" s="16"/>
      <c r="O123" s="16"/>
      <c r="P123" s="117"/>
      <c r="Q123" s="15"/>
      <c r="R123" s="16"/>
      <c r="S123" s="130"/>
      <c r="T123" s="16"/>
      <c r="U123" s="16"/>
      <c r="V123" s="16"/>
      <c r="W123" s="241"/>
      <c r="X123" s="16"/>
      <c r="Y123" s="16"/>
      <c r="Z123" s="16"/>
      <c r="AA123" s="16"/>
      <c r="AB123" s="16"/>
    </row>
    <row r="124" spans="1:30" ht="15" customHeight="1" thickTop="1">
      <c r="A124" s="244" t="s">
        <v>686</v>
      </c>
      <c r="B124" s="244" t="s">
        <v>687</v>
      </c>
      <c r="C124" s="339">
        <v>259.99</v>
      </c>
      <c r="D124" s="390">
        <v>2</v>
      </c>
      <c r="E124" s="338">
        <v>14</v>
      </c>
      <c r="F124" s="246">
        <f>Table_6170268[[#This Row],[Amount]]*Table_6170268[[#This Row],[Purchase / Running costs]]/Table_6170268[[#This Row],[Depreciation period]]</f>
        <v>1819.93</v>
      </c>
      <c r="G124" s="247"/>
      <c r="H124" s="594"/>
      <c r="I124" s="595"/>
      <c r="J124" s="600" t="s">
        <v>526</v>
      </c>
      <c r="K124" s="601"/>
      <c r="L124" s="16"/>
      <c r="M124" s="16"/>
      <c r="N124" s="16"/>
      <c r="O124" s="16"/>
      <c r="P124" s="117"/>
      <c r="Q124" s="15"/>
      <c r="R124" s="16"/>
      <c r="S124" s="130"/>
      <c r="T124" s="16"/>
      <c r="U124" s="16"/>
      <c r="V124" s="16"/>
      <c r="W124" s="241"/>
      <c r="X124" s="16"/>
      <c r="Y124" s="16"/>
      <c r="Z124" s="16"/>
      <c r="AA124" s="16"/>
      <c r="AB124" s="16"/>
    </row>
    <row r="125" spans="1:30" ht="15" customHeight="1">
      <c r="A125" s="244" t="s">
        <v>688</v>
      </c>
      <c r="B125" s="244" t="s">
        <v>687</v>
      </c>
      <c r="C125" s="339">
        <v>399.99</v>
      </c>
      <c r="D125" s="390">
        <v>2</v>
      </c>
      <c r="E125" s="338">
        <v>14</v>
      </c>
      <c r="F125" s="246">
        <f>Table_6170268[[#This Row],[Amount]]*Table_6170268[[#This Row],[Purchase / Running costs]]/Table_6170268[[#This Row],[Depreciation period]]</f>
        <v>2799.9300000000003</v>
      </c>
      <c r="G125" s="247"/>
      <c r="H125" s="596"/>
      <c r="I125" s="597"/>
      <c r="J125" s="602"/>
      <c r="K125" s="603"/>
      <c r="L125" s="16"/>
      <c r="M125" s="16"/>
      <c r="N125" s="16"/>
      <c r="O125" s="16"/>
      <c r="P125" s="117"/>
      <c r="Q125" s="15"/>
      <c r="R125" s="16"/>
      <c r="S125" s="130"/>
      <c r="T125" s="16"/>
      <c r="U125" s="16"/>
      <c r="V125" s="16"/>
      <c r="W125" s="241"/>
      <c r="X125" s="16"/>
      <c r="Y125" s="16"/>
      <c r="Z125" s="16"/>
      <c r="AA125" s="16"/>
      <c r="AB125" s="16"/>
    </row>
    <row r="126" spans="1:30" ht="15" customHeight="1">
      <c r="A126" s="244" t="s">
        <v>689</v>
      </c>
      <c r="B126" s="244" t="s">
        <v>687</v>
      </c>
      <c r="C126" s="339">
        <v>169.99</v>
      </c>
      <c r="D126" s="390">
        <v>2</v>
      </c>
      <c r="E126" s="338">
        <v>14</v>
      </c>
      <c r="F126" s="246">
        <f>Table_6170268[[#This Row],[Amount]]*Table_6170268[[#This Row],[Purchase / Running costs]]/Table_6170268[[#This Row],[Depreciation period]]</f>
        <v>1189.93</v>
      </c>
      <c r="G126" s="247"/>
      <c r="H126" s="596"/>
      <c r="I126" s="597"/>
      <c r="J126" s="602"/>
      <c r="K126" s="603"/>
      <c r="L126" s="16"/>
      <c r="M126" s="16"/>
      <c r="N126" s="16"/>
      <c r="O126" s="16"/>
      <c r="P126" s="117"/>
      <c r="Q126" s="15"/>
      <c r="R126" s="16"/>
      <c r="S126" s="130"/>
      <c r="T126" s="16"/>
      <c r="U126" s="16"/>
      <c r="V126" s="16"/>
      <c r="W126" s="241"/>
      <c r="X126" s="16"/>
      <c r="Y126" s="16"/>
      <c r="Z126" s="16"/>
      <c r="AA126" s="16"/>
      <c r="AB126" s="16"/>
    </row>
    <row r="127" spans="1:30" ht="15" customHeight="1">
      <c r="A127" s="244" t="s">
        <v>690</v>
      </c>
      <c r="B127" s="244" t="s">
        <v>687</v>
      </c>
      <c r="C127" s="339">
        <v>199.99</v>
      </c>
      <c r="D127" s="390">
        <v>2</v>
      </c>
      <c r="E127" s="338">
        <v>14</v>
      </c>
      <c r="F127" s="246">
        <f>Table_6170268[[#This Row],[Amount]]*Table_6170268[[#This Row],[Purchase / Running costs]]/Table_6170268[[#This Row],[Depreciation period]]</f>
        <v>1399.93</v>
      </c>
      <c r="G127" s="247"/>
      <c r="H127" s="596"/>
      <c r="I127" s="597"/>
      <c r="J127" s="602"/>
      <c r="K127" s="603"/>
      <c r="L127" s="16"/>
      <c r="M127" s="16"/>
      <c r="N127" s="16"/>
      <c r="O127" s="16"/>
      <c r="P127" s="117"/>
      <c r="Q127" s="15"/>
      <c r="R127" s="16"/>
      <c r="S127" s="130"/>
      <c r="T127" s="16"/>
      <c r="U127" s="16"/>
      <c r="V127" s="16"/>
      <c r="W127" s="241"/>
      <c r="X127" s="16"/>
      <c r="Y127" s="16"/>
      <c r="Z127" s="16"/>
      <c r="AA127" s="16"/>
      <c r="AB127" s="16"/>
    </row>
    <row r="128" spans="1:30" ht="15" customHeight="1">
      <c r="A128" s="244" t="s">
        <v>691</v>
      </c>
      <c r="B128" s="244" t="s">
        <v>687</v>
      </c>
      <c r="C128" s="339">
        <v>149.99</v>
      </c>
      <c r="D128" s="390">
        <v>2.5</v>
      </c>
      <c r="E128" s="338">
        <v>14</v>
      </c>
      <c r="F128" s="246">
        <f>Table_6170268[[#This Row],[Amount]]*Table_6170268[[#This Row],[Purchase / Running costs]]/Table_6170268[[#This Row],[Depreciation period]]</f>
        <v>839.94400000000007</v>
      </c>
      <c r="G128" s="247"/>
      <c r="H128" s="596"/>
      <c r="I128" s="597"/>
      <c r="J128" s="602"/>
      <c r="K128" s="603"/>
      <c r="L128" s="16"/>
      <c r="M128" s="16"/>
      <c r="N128" s="16"/>
      <c r="O128" s="16"/>
      <c r="P128" s="117"/>
      <c r="Q128" s="15"/>
      <c r="R128" s="16"/>
      <c r="S128" s="130"/>
      <c r="T128" s="16"/>
      <c r="U128" s="16"/>
      <c r="V128" s="16"/>
      <c r="W128" s="241"/>
      <c r="X128" s="16"/>
      <c r="Y128" s="16"/>
      <c r="Z128" s="16"/>
      <c r="AA128" s="16"/>
      <c r="AB128" s="16"/>
    </row>
    <row r="129" spans="1:28" ht="15" customHeight="1">
      <c r="A129" s="244" t="s">
        <v>692</v>
      </c>
      <c r="B129" s="244" t="s">
        <v>687</v>
      </c>
      <c r="C129" s="339">
        <v>59.99</v>
      </c>
      <c r="D129" s="390">
        <v>3</v>
      </c>
      <c r="E129" s="338">
        <v>14</v>
      </c>
      <c r="F129" s="246">
        <f>Table_6170268[[#This Row],[Amount]]*Table_6170268[[#This Row],[Purchase / Running costs]]/Table_6170268[[#This Row],[Depreciation period]]</f>
        <v>279.95333333333332</v>
      </c>
      <c r="G129" s="247"/>
      <c r="H129" s="596"/>
      <c r="I129" s="597"/>
      <c r="J129" s="602"/>
      <c r="K129" s="603"/>
      <c r="L129" s="16"/>
      <c r="M129" s="16"/>
      <c r="N129" s="16"/>
      <c r="O129" s="16"/>
      <c r="P129" s="117"/>
      <c r="Q129" s="15"/>
      <c r="R129" s="16"/>
      <c r="S129" s="130"/>
      <c r="T129" s="16"/>
      <c r="U129" s="16"/>
      <c r="V129" s="16"/>
      <c r="W129" s="241"/>
      <c r="X129" s="16"/>
      <c r="Y129" s="16"/>
      <c r="Z129" s="16"/>
      <c r="AA129" s="16"/>
      <c r="AB129" s="16"/>
    </row>
    <row r="130" spans="1:28" ht="15" customHeight="1">
      <c r="A130" s="244" t="s">
        <v>693</v>
      </c>
      <c r="B130" s="244" t="s">
        <v>687</v>
      </c>
      <c r="C130" s="339">
        <v>179.99</v>
      </c>
      <c r="D130" s="390">
        <v>3</v>
      </c>
      <c r="E130" s="338">
        <v>14</v>
      </c>
      <c r="F130" s="246">
        <f>Table_6170268[[#This Row],[Amount]]*Table_6170268[[#This Row],[Purchase / Running costs]]/Table_6170268[[#This Row],[Depreciation period]]</f>
        <v>839.95333333333338</v>
      </c>
      <c r="G130" s="247"/>
      <c r="H130" s="596"/>
      <c r="I130" s="597"/>
      <c r="J130" s="602"/>
      <c r="K130" s="603"/>
      <c r="L130" s="16"/>
      <c r="M130" s="16"/>
      <c r="N130" s="16"/>
      <c r="O130" s="16"/>
      <c r="P130" s="117"/>
      <c r="Q130" s="15"/>
      <c r="R130" s="16"/>
      <c r="S130" s="130"/>
      <c r="T130" s="16"/>
      <c r="U130" s="16"/>
      <c r="V130" s="16"/>
      <c r="W130" s="241"/>
      <c r="X130" s="16"/>
      <c r="Y130" s="16"/>
      <c r="Z130" s="16"/>
      <c r="AA130" s="16"/>
      <c r="AB130" s="16"/>
    </row>
    <row r="131" spans="1:28" ht="15" customHeight="1">
      <c r="A131" s="244" t="s">
        <v>694</v>
      </c>
      <c r="B131" s="244" t="s">
        <v>687</v>
      </c>
      <c r="C131" s="339">
        <v>59.99</v>
      </c>
      <c r="D131" s="390">
        <v>2</v>
      </c>
      <c r="E131" s="338">
        <v>14</v>
      </c>
      <c r="F131" s="246">
        <f>Table_6170268[[#This Row],[Amount]]*Table_6170268[[#This Row],[Purchase / Running costs]]/Table_6170268[[#This Row],[Depreciation period]]</f>
        <v>419.93</v>
      </c>
      <c r="G131" s="247"/>
      <c r="H131" s="596"/>
      <c r="I131" s="597"/>
      <c r="J131" s="602"/>
      <c r="K131" s="603"/>
      <c r="L131" s="16"/>
      <c r="M131" s="16"/>
      <c r="N131" s="16"/>
      <c r="O131" s="16"/>
      <c r="P131" s="117"/>
      <c r="Q131" s="15"/>
      <c r="R131" s="16"/>
      <c r="S131" s="130"/>
      <c r="T131" s="16"/>
      <c r="U131" s="16"/>
      <c r="V131" s="16"/>
      <c r="W131" s="241"/>
      <c r="X131" s="16"/>
      <c r="Y131" s="16"/>
      <c r="Z131" s="16"/>
      <c r="AA131" s="16"/>
      <c r="AB131" s="16"/>
    </row>
    <row r="132" spans="1:28" ht="15" customHeight="1">
      <c r="A132" s="244" t="s">
        <v>695</v>
      </c>
      <c r="B132" s="244" t="s">
        <v>687</v>
      </c>
      <c r="C132" s="339">
        <v>49.99</v>
      </c>
      <c r="D132" s="390">
        <v>3</v>
      </c>
      <c r="E132" s="338">
        <v>14</v>
      </c>
      <c r="F132" s="246">
        <f>Table_6170268[[#This Row],[Amount]]*Table_6170268[[#This Row],[Purchase / Running costs]]/Table_6170268[[#This Row],[Depreciation period]]</f>
        <v>233.28666666666666</v>
      </c>
      <c r="G132" s="247"/>
      <c r="H132" s="596"/>
      <c r="I132" s="597"/>
      <c r="J132" s="602"/>
      <c r="K132" s="603"/>
      <c r="L132" s="16"/>
      <c r="M132" s="16"/>
      <c r="N132" s="16"/>
      <c r="O132" s="16"/>
      <c r="P132" s="117"/>
      <c r="Q132" s="15"/>
      <c r="R132" s="16"/>
      <c r="S132" s="130"/>
      <c r="T132" s="16"/>
      <c r="U132" s="16"/>
      <c r="V132" s="16"/>
      <c r="W132" s="241"/>
      <c r="X132" s="16"/>
      <c r="Y132" s="16"/>
      <c r="Z132" s="16"/>
      <c r="AA132" s="16"/>
      <c r="AB132" s="16"/>
    </row>
    <row r="133" spans="1:28" ht="15" customHeight="1">
      <c r="A133" s="244" t="s">
        <v>696</v>
      </c>
      <c r="B133" s="244" t="s">
        <v>687</v>
      </c>
      <c r="C133" s="339">
        <v>129.99</v>
      </c>
      <c r="D133" s="390">
        <v>2</v>
      </c>
      <c r="E133" s="338">
        <v>14</v>
      </c>
      <c r="F133" s="246">
        <f>Table_6170268[[#This Row],[Amount]]*Table_6170268[[#This Row],[Purchase / Running costs]]/Table_6170268[[#This Row],[Depreciation period]]</f>
        <v>909.93000000000006</v>
      </c>
      <c r="G133" s="247"/>
      <c r="H133" s="596"/>
      <c r="I133" s="597"/>
      <c r="J133" s="602"/>
      <c r="K133" s="603"/>
      <c r="L133" s="16"/>
      <c r="M133" s="16"/>
      <c r="N133" s="16"/>
      <c r="O133" s="16"/>
      <c r="P133" s="117"/>
      <c r="Q133" s="15"/>
      <c r="R133" s="16"/>
      <c r="S133" s="130"/>
      <c r="T133" s="16"/>
      <c r="U133" s="16"/>
      <c r="V133" s="16"/>
      <c r="W133" s="241"/>
      <c r="X133" s="16"/>
      <c r="Y133" s="16"/>
      <c r="Z133" s="16"/>
      <c r="AA133" s="16"/>
      <c r="AB133" s="16"/>
    </row>
    <row r="134" spans="1:28" ht="15" customHeight="1">
      <c r="A134" s="244" t="s">
        <v>697</v>
      </c>
      <c r="B134" s="244" t="s">
        <v>687</v>
      </c>
      <c r="C134" s="339">
        <v>69.989999999999995</v>
      </c>
      <c r="D134" s="390">
        <v>3</v>
      </c>
      <c r="E134" s="338">
        <v>14</v>
      </c>
      <c r="F134" s="246">
        <f>Table_6170268[[#This Row],[Amount]]*Table_6170268[[#This Row],[Purchase / Running costs]]/Table_6170268[[#This Row],[Depreciation period]]</f>
        <v>326.61999999999995</v>
      </c>
      <c r="G134" s="247"/>
      <c r="H134" s="596"/>
      <c r="I134" s="597"/>
      <c r="J134" s="602"/>
      <c r="K134" s="603"/>
      <c r="L134" s="16"/>
      <c r="M134" s="16"/>
      <c r="N134" s="16"/>
      <c r="O134" s="16"/>
      <c r="P134" s="117"/>
      <c r="Q134" s="15"/>
      <c r="R134" s="16"/>
      <c r="S134" s="130"/>
      <c r="T134" s="16"/>
      <c r="U134" s="16"/>
      <c r="V134" s="16"/>
      <c r="W134" s="241"/>
      <c r="X134" s="16"/>
      <c r="Y134" s="16"/>
      <c r="Z134" s="16"/>
      <c r="AA134" s="16"/>
      <c r="AB134" s="16"/>
    </row>
    <row r="135" spans="1:28" ht="15" customHeight="1">
      <c r="A135" s="244" t="s">
        <v>698</v>
      </c>
      <c r="B135" s="244" t="s">
        <v>699</v>
      </c>
      <c r="C135" s="339">
        <v>10.8</v>
      </c>
      <c r="D135" s="390">
        <v>1</v>
      </c>
      <c r="E135" s="338">
        <v>14</v>
      </c>
      <c r="F135" s="246">
        <f>Table_6170268[[#This Row],[Amount]]*Table_6170268[[#This Row],[Purchase / Running costs]]/Table_6170268[[#This Row],[Depreciation period]]</f>
        <v>151.20000000000002</v>
      </c>
      <c r="G135" s="247"/>
      <c r="H135" s="596"/>
      <c r="I135" s="597"/>
      <c r="J135" s="602"/>
      <c r="K135" s="603"/>
      <c r="L135" s="16"/>
      <c r="M135" s="16"/>
      <c r="N135" s="16"/>
      <c r="O135" s="16"/>
      <c r="P135" s="117"/>
      <c r="Q135" s="15"/>
      <c r="R135" s="16"/>
      <c r="S135" s="130"/>
      <c r="T135" s="16"/>
      <c r="U135" s="16"/>
      <c r="V135" s="16"/>
      <c r="W135" s="241"/>
      <c r="X135" s="16"/>
      <c r="Y135" s="16"/>
      <c r="Z135" s="16"/>
      <c r="AA135" s="16"/>
      <c r="AB135" s="16"/>
    </row>
    <row r="136" spans="1:28" ht="15" customHeight="1">
      <c r="A136" s="244" t="s">
        <v>700</v>
      </c>
      <c r="B136" s="244" t="s">
        <v>699</v>
      </c>
      <c r="C136" s="339">
        <v>34.99</v>
      </c>
      <c r="D136" s="390">
        <v>4</v>
      </c>
      <c r="E136" s="338">
        <v>8</v>
      </c>
      <c r="F136" s="246">
        <f>Table_6170268[[#This Row],[Amount]]*Table_6170268[[#This Row],[Purchase / Running costs]]/Table_6170268[[#This Row],[Depreciation period]]</f>
        <v>69.98</v>
      </c>
      <c r="G136" s="247"/>
      <c r="H136" s="596"/>
      <c r="I136" s="597"/>
      <c r="J136" s="602"/>
      <c r="K136" s="603"/>
      <c r="L136" s="16"/>
      <c r="M136" s="16"/>
      <c r="N136" s="16"/>
      <c r="O136" s="16"/>
      <c r="P136" s="117"/>
      <c r="Q136" s="15"/>
      <c r="R136" s="16"/>
      <c r="S136" s="130"/>
      <c r="T136" s="16"/>
      <c r="U136" s="16"/>
      <c r="V136" s="16"/>
      <c r="W136" s="241"/>
      <c r="X136" s="16"/>
      <c r="Y136" s="16"/>
      <c r="Z136" s="16"/>
      <c r="AA136" s="16"/>
      <c r="AB136" s="16"/>
    </row>
    <row r="137" spans="1:28" ht="15" customHeight="1">
      <c r="A137" s="244" t="s">
        <v>701</v>
      </c>
      <c r="B137" s="244" t="s">
        <v>699</v>
      </c>
      <c r="C137" s="339">
        <v>16.989999999999998</v>
      </c>
      <c r="D137" s="390">
        <v>4</v>
      </c>
      <c r="E137" s="338">
        <v>2</v>
      </c>
      <c r="F137" s="246">
        <f>Table_6170268[[#This Row],[Amount]]*Table_6170268[[#This Row],[Purchase / Running costs]]/Table_6170268[[#This Row],[Depreciation period]]</f>
        <v>8.4949999999999992</v>
      </c>
      <c r="G137" s="247"/>
      <c r="H137" s="596"/>
      <c r="I137" s="597"/>
      <c r="J137" s="602"/>
      <c r="K137" s="603"/>
      <c r="L137" s="16"/>
      <c r="M137" s="16"/>
      <c r="N137" s="16"/>
      <c r="O137" s="16"/>
      <c r="P137" s="117"/>
      <c r="Q137" s="15"/>
      <c r="R137" s="16"/>
      <c r="S137" s="130"/>
      <c r="T137" s="16"/>
      <c r="U137" s="16"/>
      <c r="V137" s="16"/>
      <c r="W137" s="241"/>
      <c r="X137" s="16"/>
      <c r="Y137" s="16"/>
      <c r="Z137" s="16"/>
      <c r="AA137" s="16"/>
      <c r="AB137" s="16"/>
    </row>
    <row r="138" spans="1:28" ht="15" customHeight="1">
      <c r="A138" s="244" t="s">
        <v>702</v>
      </c>
      <c r="B138" s="244" t="s">
        <v>687</v>
      </c>
      <c r="C138" s="339">
        <v>49.99</v>
      </c>
      <c r="D138" s="390">
        <v>5</v>
      </c>
      <c r="E138" s="338">
        <v>6</v>
      </c>
      <c r="F138" s="246">
        <f>Table_6170268[[#This Row],[Amount]]*Table_6170268[[#This Row],[Purchase / Running costs]]/Table_6170268[[#This Row],[Depreciation period]]</f>
        <v>59.988</v>
      </c>
      <c r="G138" s="247"/>
      <c r="H138" s="596"/>
      <c r="I138" s="597"/>
      <c r="J138" s="602"/>
      <c r="K138" s="603"/>
      <c r="L138" s="16"/>
      <c r="M138" s="16"/>
      <c r="N138" s="16"/>
      <c r="O138" s="16"/>
      <c r="P138" s="117"/>
      <c r="Q138" s="15"/>
      <c r="R138" s="16"/>
      <c r="S138" s="130"/>
      <c r="T138" s="16"/>
      <c r="U138" s="16"/>
      <c r="V138" s="16"/>
      <c r="W138" s="241"/>
      <c r="X138" s="16"/>
      <c r="Y138" s="16"/>
      <c r="Z138" s="16"/>
      <c r="AA138" s="16"/>
      <c r="AB138" s="16"/>
    </row>
    <row r="139" spans="1:28" ht="15" customHeight="1">
      <c r="A139" s="244" t="s">
        <v>703</v>
      </c>
      <c r="B139" s="244" t="s">
        <v>687</v>
      </c>
      <c r="C139" s="339">
        <v>129.99</v>
      </c>
      <c r="D139" s="390">
        <v>3</v>
      </c>
      <c r="E139" s="338">
        <v>14</v>
      </c>
      <c r="F139" s="246">
        <f>Table_6170268[[#This Row],[Amount]]*Table_6170268[[#This Row],[Purchase / Running costs]]/Table_6170268[[#This Row],[Depreciation period]]</f>
        <v>606.62</v>
      </c>
      <c r="G139" s="247"/>
      <c r="H139" s="596"/>
      <c r="I139" s="597"/>
      <c r="J139" s="602"/>
      <c r="K139" s="603"/>
      <c r="L139" s="16"/>
      <c r="M139" s="16"/>
      <c r="N139" s="16"/>
      <c r="O139" s="16"/>
      <c r="P139" s="117"/>
      <c r="Q139" s="15"/>
      <c r="R139" s="16"/>
      <c r="S139" s="130"/>
      <c r="T139" s="16"/>
      <c r="U139" s="16"/>
      <c r="V139" s="16"/>
      <c r="W139" s="241"/>
      <c r="X139" s="16"/>
      <c r="Y139" s="16"/>
      <c r="Z139" s="16"/>
      <c r="AA139" s="16"/>
      <c r="AB139" s="16"/>
    </row>
    <row r="140" spans="1:28" ht="15" customHeight="1">
      <c r="A140" s="244" t="s">
        <v>704</v>
      </c>
      <c r="B140" s="244" t="s">
        <v>687</v>
      </c>
      <c r="C140" s="339">
        <v>34.99</v>
      </c>
      <c r="D140" s="390">
        <v>4</v>
      </c>
      <c r="E140" s="338">
        <v>24</v>
      </c>
      <c r="F140" s="246">
        <f>Table_6170268[[#This Row],[Amount]]*Table_6170268[[#This Row],[Purchase / Running costs]]/Table_6170268[[#This Row],[Depreciation period]]</f>
        <v>209.94</v>
      </c>
      <c r="G140" s="247"/>
      <c r="H140" s="596"/>
      <c r="I140" s="597"/>
      <c r="J140" s="602"/>
      <c r="K140" s="603"/>
      <c r="L140" s="16"/>
      <c r="M140" s="16"/>
      <c r="N140" s="16"/>
      <c r="O140" s="16"/>
      <c r="P140" s="117"/>
      <c r="Q140" s="15"/>
      <c r="R140" s="16"/>
      <c r="S140" s="130"/>
      <c r="T140" s="16"/>
      <c r="U140" s="16"/>
      <c r="V140" s="16"/>
      <c r="W140" s="241"/>
      <c r="X140" s="16"/>
      <c r="Y140" s="16"/>
      <c r="Z140" s="16"/>
      <c r="AA140" s="16"/>
      <c r="AB140" s="16"/>
    </row>
    <row r="141" spans="1:28" ht="15" customHeight="1">
      <c r="A141" s="244" t="s">
        <v>705</v>
      </c>
      <c r="B141" s="244" t="s">
        <v>687</v>
      </c>
      <c r="C141" s="339">
        <v>5.99</v>
      </c>
      <c r="D141" s="250">
        <v>4</v>
      </c>
      <c r="E141" s="338">
        <v>700</v>
      </c>
      <c r="F141" s="246">
        <f>Table_6170268[[#This Row],[Amount]]*Table_6170268[[#This Row],[Purchase / Running costs]]/Table_6170268[[#This Row],[Depreciation period]]</f>
        <v>1048.25</v>
      </c>
      <c r="G141" s="247"/>
      <c r="H141" s="596"/>
      <c r="I141" s="597"/>
      <c r="J141" s="602"/>
      <c r="K141" s="603"/>
      <c r="L141" s="16"/>
      <c r="M141" s="16"/>
      <c r="N141" s="16"/>
      <c r="O141" s="16"/>
      <c r="P141" s="117"/>
      <c r="Q141" s="15"/>
      <c r="R141" s="16"/>
      <c r="S141" s="130"/>
      <c r="T141" s="16"/>
      <c r="U141" s="16"/>
      <c r="V141" s="16"/>
      <c r="W141" s="241"/>
      <c r="X141" s="16"/>
      <c r="Y141" s="16"/>
      <c r="Z141" s="16"/>
      <c r="AA141" s="16"/>
      <c r="AB141" s="16"/>
    </row>
    <row r="142" spans="1:28" ht="15" customHeight="1">
      <c r="A142" s="244" t="s">
        <v>706</v>
      </c>
      <c r="B142" s="244" t="s">
        <v>687</v>
      </c>
      <c r="C142" s="339">
        <v>5.99</v>
      </c>
      <c r="D142" s="250">
        <v>8</v>
      </c>
      <c r="E142" s="338">
        <v>105</v>
      </c>
      <c r="F142" s="246">
        <f>Table_6170268[[#This Row],[Amount]]*Table_6170268[[#This Row],[Purchase / Running costs]]/Table_6170268[[#This Row],[Depreciation period]]</f>
        <v>78.618750000000006</v>
      </c>
      <c r="G142" s="247"/>
      <c r="H142" s="596"/>
      <c r="I142" s="597"/>
      <c r="J142" s="602"/>
      <c r="K142" s="603"/>
      <c r="L142" s="16"/>
      <c r="M142" s="16"/>
      <c r="N142" s="16"/>
      <c r="O142" s="16"/>
      <c r="P142" s="117"/>
      <c r="Q142" s="15"/>
      <c r="R142" s="16"/>
      <c r="S142" s="130"/>
      <c r="T142" s="16"/>
      <c r="U142" s="16"/>
      <c r="V142" s="16"/>
      <c r="W142" s="241"/>
      <c r="X142" s="16"/>
      <c r="Y142" s="16"/>
      <c r="Z142" s="16"/>
      <c r="AA142" s="16"/>
      <c r="AB142" s="16"/>
    </row>
    <row r="143" spans="1:28" ht="15" customHeight="1">
      <c r="A143" s="244" t="s">
        <v>707</v>
      </c>
      <c r="B143" s="244" t="s">
        <v>687</v>
      </c>
      <c r="C143" s="339">
        <v>39.99</v>
      </c>
      <c r="D143" s="250">
        <v>10</v>
      </c>
      <c r="E143" s="338">
        <v>30</v>
      </c>
      <c r="F143" s="246">
        <f>Table_6170268[[#This Row],[Amount]]*Table_6170268[[#This Row],[Purchase / Running costs]]/Table_6170268[[#This Row],[Depreciation period]]</f>
        <v>119.97</v>
      </c>
      <c r="G143" s="247"/>
      <c r="H143" s="596"/>
      <c r="I143" s="597"/>
      <c r="J143" s="602"/>
      <c r="K143" s="603"/>
      <c r="L143" s="16"/>
      <c r="M143" s="16"/>
      <c r="N143" s="16"/>
      <c r="O143" s="16"/>
      <c r="P143" s="117"/>
      <c r="Q143" s="15"/>
      <c r="R143" s="16"/>
      <c r="S143" s="130"/>
      <c r="T143" s="16"/>
      <c r="U143" s="16"/>
      <c r="V143" s="16"/>
      <c r="W143" s="241"/>
      <c r="X143" s="16"/>
      <c r="Y143" s="16"/>
      <c r="Z143" s="16"/>
      <c r="AA143" s="16"/>
      <c r="AB143" s="16"/>
    </row>
    <row r="144" spans="1:28" ht="15" customHeight="1">
      <c r="A144" s="244" t="s">
        <v>708</v>
      </c>
      <c r="B144" s="244" t="s">
        <v>687</v>
      </c>
      <c r="C144" s="391">
        <v>64.989999999999995</v>
      </c>
      <c r="D144" s="250">
        <v>10</v>
      </c>
      <c r="E144" s="250">
        <v>5</v>
      </c>
      <c r="F144" s="246">
        <f>Table_6170268[[#This Row],[Amount]]*Table_6170268[[#This Row],[Purchase / Running costs]]/Table_6170268[[#This Row],[Depreciation period]]</f>
        <v>32.494999999999997</v>
      </c>
      <c r="G144" s="247"/>
      <c r="H144" s="596"/>
      <c r="I144" s="597"/>
      <c r="J144" s="602"/>
      <c r="K144" s="603"/>
      <c r="L144" s="16"/>
      <c r="M144" s="16"/>
      <c r="N144" s="16"/>
      <c r="O144" s="16"/>
      <c r="P144" s="117"/>
      <c r="Q144" s="15"/>
      <c r="R144" s="16"/>
      <c r="S144" s="130"/>
      <c r="T144" s="16"/>
      <c r="U144" s="16"/>
      <c r="V144" s="16"/>
      <c r="W144" s="241"/>
      <c r="X144" s="16"/>
      <c r="Y144" s="16"/>
      <c r="Z144" s="16"/>
      <c r="AA144" s="16"/>
      <c r="AB144" s="16"/>
    </row>
    <row r="145" spans="1:30" ht="14.25" customHeight="1">
      <c r="A145" s="244" t="s">
        <v>709</v>
      </c>
      <c r="B145" s="244" t="s">
        <v>687</v>
      </c>
      <c r="C145" s="391">
        <v>39.99</v>
      </c>
      <c r="D145" s="250">
        <v>2.5</v>
      </c>
      <c r="E145" s="250">
        <v>14</v>
      </c>
      <c r="F145" s="246">
        <f>Table_6170268[[#This Row],[Amount]]*Table_6170268[[#This Row],[Purchase / Running costs]]/Table_6170268[[#This Row],[Depreciation period]]</f>
        <v>223.94400000000002</v>
      </c>
      <c r="G145" s="247"/>
      <c r="H145" s="596"/>
      <c r="I145" s="597"/>
      <c r="J145" s="602"/>
      <c r="K145" s="603"/>
      <c r="L145" s="16"/>
      <c r="M145" s="16"/>
      <c r="N145" s="16"/>
      <c r="O145" s="16"/>
      <c r="P145" s="16"/>
      <c r="Q145" s="133"/>
      <c r="R145" s="16"/>
      <c r="S145" s="16"/>
      <c r="T145" s="16"/>
      <c r="U145" s="16"/>
      <c r="V145" s="16"/>
      <c r="W145" s="16"/>
      <c r="X145" s="16"/>
      <c r="Y145" s="16"/>
      <c r="Z145" s="16"/>
      <c r="AA145" s="16"/>
      <c r="AB145" s="16"/>
    </row>
    <row r="146" spans="1:30" ht="15.75" customHeight="1">
      <c r="A146" s="244" t="s">
        <v>710</v>
      </c>
      <c r="B146" s="244" t="s">
        <v>687</v>
      </c>
      <c r="C146" s="391">
        <v>6.99</v>
      </c>
      <c r="D146" s="250">
        <v>4</v>
      </c>
      <c r="E146" s="250">
        <v>156</v>
      </c>
      <c r="F146" s="246">
        <f>Table_6170268[[#This Row],[Amount]]*Table_6170268[[#This Row],[Purchase / Running costs]]/Table_6170268[[#This Row],[Depreciation period]]</f>
        <v>272.61</v>
      </c>
      <c r="G146" s="247"/>
      <c r="H146" s="596"/>
      <c r="I146" s="597"/>
      <c r="J146" s="602"/>
      <c r="K146" s="603"/>
      <c r="L146" s="16"/>
      <c r="M146" s="16"/>
      <c r="N146" s="16"/>
      <c r="O146" s="16"/>
      <c r="P146" s="16"/>
      <c r="Q146" s="16"/>
      <c r="R146" s="16"/>
      <c r="S146" s="16"/>
      <c r="T146" s="16"/>
      <c r="U146" s="16"/>
      <c r="V146" s="16"/>
      <c r="W146" s="16"/>
      <c r="X146" s="16"/>
      <c r="Y146" s="16"/>
      <c r="Z146" s="16"/>
      <c r="AA146" s="16"/>
      <c r="AB146" s="16"/>
    </row>
    <row r="147" spans="1:30" ht="15.75" customHeight="1">
      <c r="A147" s="244" t="s">
        <v>711</v>
      </c>
      <c r="B147" s="244" t="s">
        <v>687</v>
      </c>
      <c r="C147" s="391">
        <v>499</v>
      </c>
      <c r="D147" s="250">
        <v>10</v>
      </c>
      <c r="E147" s="250">
        <v>2</v>
      </c>
      <c r="F147" s="246">
        <f>Table_6170268[[#This Row],[Amount]]*Table_6170268[[#This Row],[Purchase / Running costs]]/Table_6170268[[#This Row],[Depreciation period]]</f>
        <v>99.8</v>
      </c>
      <c r="G147" s="247"/>
      <c r="H147" s="596"/>
      <c r="I147" s="597"/>
      <c r="J147" s="602"/>
      <c r="K147" s="603"/>
      <c r="L147" s="16"/>
      <c r="M147" s="16"/>
      <c r="N147" s="16"/>
      <c r="O147" s="16"/>
      <c r="P147" s="16"/>
      <c r="Q147" s="16"/>
      <c r="R147" s="16"/>
      <c r="S147" s="16"/>
      <c r="T147" s="16"/>
      <c r="U147" s="16"/>
      <c r="V147" s="16"/>
      <c r="W147" s="16"/>
      <c r="X147" s="16"/>
      <c r="Y147" s="16"/>
      <c r="Z147" s="16"/>
      <c r="AA147" s="16"/>
      <c r="AB147" s="16"/>
    </row>
    <row r="148" spans="1:30" ht="15.75" customHeight="1">
      <c r="A148" s="244" t="s">
        <v>712</v>
      </c>
      <c r="B148" s="244" t="s">
        <v>687</v>
      </c>
      <c r="C148" s="391">
        <v>149</v>
      </c>
      <c r="D148" s="250">
        <v>10</v>
      </c>
      <c r="E148" s="250">
        <v>1</v>
      </c>
      <c r="F148" s="246">
        <f>Table_6170268[[#This Row],[Amount]]*Table_6170268[[#This Row],[Purchase / Running costs]]/Table_6170268[[#This Row],[Depreciation period]]</f>
        <v>14.9</v>
      </c>
      <c r="G148" s="247"/>
      <c r="H148" s="596"/>
      <c r="I148" s="597"/>
      <c r="J148" s="602"/>
      <c r="K148" s="603"/>
      <c r="L148" s="16"/>
      <c r="M148" s="16"/>
      <c r="N148" s="16"/>
      <c r="O148" s="16"/>
      <c r="P148" s="16"/>
      <c r="Q148" s="16"/>
      <c r="R148" s="16"/>
      <c r="S148" s="16"/>
      <c r="T148" s="16"/>
      <c r="U148" s="16"/>
      <c r="V148" s="16"/>
      <c r="W148" s="16"/>
      <c r="X148" s="16"/>
      <c r="Y148" s="16"/>
      <c r="Z148" s="16"/>
      <c r="AA148" s="16"/>
      <c r="AB148" s="16"/>
    </row>
    <row r="149" spans="1:30" ht="15.75" customHeight="1">
      <c r="A149" s="244" t="s">
        <v>713</v>
      </c>
      <c r="B149" s="244" t="s">
        <v>687</v>
      </c>
      <c r="C149" s="391">
        <v>99</v>
      </c>
      <c r="D149" s="250">
        <v>10</v>
      </c>
      <c r="E149" s="250">
        <v>1</v>
      </c>
      <c r="F149" s="246">
        <f>Table_6170268[[#This Row],[Amount]]*Table_6170268[[#This Row],[Purchase / Running costs]]/Table_6170268[[#This Row],[Depreciation period]]</f>
        <v>9.9</v>
      </c>
      <c r="G149" s="247"/>
      <c r="H149" s="596"/>
      <c r="I149" s="597"/>
      <c r="J149" s="602"/>
      <c r="K149" s="603"/>
      <c r="L149" s="16"/>
      <c r="M149" s="16"/>
      <c r="N149" s="16"/>
      <c r="O149" s="16"/>
      <c r="P149" s="16"/>
      <c r="Q149" s="16"/>
      <c r="R149" s="16"/>
      <c r="S149" s="16"/>
      <c r="T149" s="16"/>
      <c r="U149" s="16"/>
      <c r="V149" s="16"/>
      <c r="W149" s="16"/>
      <c r="X149" s="16"/>
      <c r="Y149" s="16"/>
      <c r="Z149" s="16"/>
      <c r="AA149" s="16"/>
      <c r="AB149" s="16"/>
    </row>
    <row r="150" spans="1:30" ht="15.75" customHeight="1">
      <c r="A150" s="244" t="s">
        <v>714</v>
      </c>
      <c r="B150" s="244" t="s">
        <v>687</v>
      </c>
      <c r="C150" s="391">
        <v>24.99</v>
      </c>
      <c r="D150" s="250">
        <v>5</v>
      </c>
      <c r="E150" s="250">
        <v>3</v>
      </c>
      <c r="F150" s="246">
        <f>Table_6170268[[#This Row],[Amount]]*Table_6170268[[#This Row],[Purchase / Running costs]]/Table_6170268[[#This Row],[Depreciation period]]</f>
        <v>14.994</v>
      </c>
      <c r="G150" s="247"/>
      <c r="H150" s="596"/>
      <c r="I150" s="597"/>
      <c r="J150" s="602"/>
      <c r="K150" s="603"/>
      <c r="L150" s="16"/>
      <c r="M150" s="16"/>
      <c r="N150" s="16"/>
      <c r="O150" s="16"/>
      <c r="P150" s="16"/>
      <c r="Q150" s="16"/>
      <c r="R150" s="16"/>
      <c r="S150" s="16"/>
      <c r="T150" s="16"/>
      <c r="U150" s="16"/>
      <c r="V150" s="16"/>
      <c r="W150" s="16"/>
      <c r="X150" s="16"/>
      <c r="Y150" s="16"/>
      <c r="Z150" s="16"/>
      <c r="AA150" s="16"/>
      <c r="AB150" s="16"/>
    </row>
    <row r="151" spans="1:30" ht="15.75" customHeight="1">
      <c r="A151" s="244" t="s">
        <v>715</v>
      </c>
      <c r="B151" s="244" t="s">
        <v>687</v>
      </c>
      <c r="C151" s="391">
        <v>229</v>
      </c>
      <c r="D151" s="250">
        <v>8</v>
      </c>
      <c r="E151" s="250">
        <v>1</v>
      </c>
      <c r="F151" s="246">
        <f>Table_6170268[[#This Row],[Amount]]*Table_6170268[[#This Row],[Purchase / Running costs]]/Table_6170268[[#This Row],[Depreciation period]]</f>
        <v>28.625</v>
      </c>
      <c r="G151" s="247"/>
      <c r="H151" s="596"/>
      <c r="I151" s="597"/>
      <c r="J151" s="602"/>
      <c r="K151" s="603"/>
      <c r="L151" s="16"/>
      <c r="M151" s="16"/>
      <c r="N151" s="16"/>
      <c r="O151" s="16"/>
      <c r="P151" s="16"/>
      <c r="Q151" s="16"/>
      <c r="R151" s="16"/>
      <c r="S151" s="16"/>
      <c r="T151" s="16"/>
      <c r="U151" s="16"/>
      <c r="V151" s="16"/>
      <c r="W151" s="16"/>
      <c r="X151" s="16"/>
      <c r="Y151" s="16"/>
      <c r="Z151" s="16"/>
      <c r="AA151" s="16"/>
      <c r="AB151" s="16"/>
    </row>
    <row r="152" spans="1:30" ht="15.75" customHeight="1">
      <c r="A152" s="231"/>
      <c r="B152" s="244"/>
      <c r="C152" s="246">
        <v>0</v>
      </c>
      <c r="D152" s="247"/>
      <c r="E152" s="245"/>
      <c r="F152" s="246">
        <v>0</v>
      </c>
      <c r="G152" s="247"/>
      <c r="H152" s="596"/>
      <c r="I152" s="597"/>
      <c r="J152" s="602"/>
      <c r="K152" s="603"/>
      <c r="L152" s="16"/>
      <c r="M152" s="16"/>
      <c r="N152" s="16"/>
      <c r="O152" s="16"/>
      <c r="P152" s="16"/>
      <c r="Q152" s="16"/>
      <c r="R152" s="16"/>
      <c r="S152" s="16"/>
      <c r="T152" s="16"/>
      <c r="U152" s="16"/>
      <c r="V152" s="16"/>
      <c r="W152" s="16"/>
      <c r="X152" s="16"/>
      <c r="Y152" s="16"/>
      <c r="Z152" s="16"/>
      <c r="AA152" s="16"/>
      <c r="AB152" s="16"/>
    </row>
    <row r="153" spans="1:30" ht="15.75" customHeight="1">
      <c r="A153" s="231"/>
      <c r="B153" s="244"/>
      <c r="C153" s="246">
        <v>0</v>
      </c>
      <c r="D153" s="247"/>
      <c r="E153" s="245"/>
      <c r="F153" s="246">
        <v>0</v>
      </c>
      <c r="G153" s="247"/>
      <c r="H153" s="596"/>
      <c r="I153" s="597"/>
      <c r="J153" s="602"/>
      <c r="K153" s="603"/>
      <c r="L153" s="16"/>
      <c r="M153" s="16"/>
      <c r="N153" s="16"/>
      <c r="O153" s="16"/>
      <c r="P153" s="16"/>
      <c r="Q153" s="16"/>
      <c r="R153" s="16"/>
      <c r="S153" s="16"/>
      <c r="T153" s="16"/>
      <c r="U153" s="16"/>
      <c r="V153" s="16"/>
      <c r="W153" s="16"/>
      <c r="X153" s="16"/>
      <c r="Y153" s="16"/>
      <c r="Z153" s="16"/>
      <c r="AA153" s="16"/>
      <c r="AB153" s="16"/>
    </row>
    <row r="154" spans="1:30" ht="15.75" customHeight="1">
      <c r="A154" s="231"/>
      <c r="B154" s="244"/>
      <c r="C154" s="246">
        <v>0</v>
      </c>
      <c r="D154" s="247"/>
      <c r="E154" s="245"/>
      <c r="F154" s="246">
        <v>0</v>
      </c>
      <c r="G154" s="247"/>
      <c r="H154" s="596"/>
      <c r="I154" s="597"/>
      <c r="J154" s="602"/>
      <c r="K154" s="603"/>
      <c r="L154" s="16"/>
      <c r="M154" s="16"/>
      <c r="N154" s="16"/>
      <c r="O154" s="16"/>
      <c r="P154" s="16"/>
      <c r="Q154" s="16"/>
      <c r="R154" s="16"/>
      <c r="S154" s="16"/>
      <c r="T154" s="16"/>
      <c r="U154" s="16"/>
      <c r="V154" s="16"/>
      <c r="W154" s="16"/>
      <c r="X154" s="16"/>
      <c r="Y154" s="16"/>
      <c r="Z154" s="16"/>
      <c r="AA154" s="16"/>
      <c r="AB154" s="16"/>
    </row>
    <row r="155" spans="1:30" ht="15.75" customHeight="1">
      <c r="A155" s="231"/>
      <c r="B155" s="244"/>
      <c r="C155" s="246">
        <v>0</v>
      </c>
      <c r="D155" s="247"/>
      <c r="E155" s="245"/>
      <c r="F155" s="246">
        <v>0</v>
      </c>
      <c r="G155" s="247"/>
      <c r="H155" s="596"/>
      <c r="I155" s="597"/>
      <c r="J155" s="602"/>
      <c r="K155" s="603"/>
      <c r="L155" s="16"/>
      <c r="M155" s="16"/>
      <c r="N155" s="16"/>
      <c r="O155" s="16"/>
      <c r="P155" s="16"/>
      <c r="Q155" s="16"/>
      <c r="R155" s="16"/>
      <c r="S155" s="16"/>
      <c r="T155" s="16"/>
      <c r="U155" s="16"/>
      <c r="V155" s="16"/>
      <c r="W155" s="16"/>
      <c r="X155" s="16"/>
      <c r="Y155" s="16"/>
      <c r="Z155" s="16"/>
      <c r="AA155" s="16"/>
      <c r="AB155" s="16"/>
    </row>
    <row r="156" spans="1:30" ht="15.75" customHeight="1">
      <c r="A156" s="231"/>
      <c r="B156" s="244"/>
      <c r="C156" s="246">
        <v>0</v>
      </c>
      <c r="D156" s="247"/>
      <c r="E156" s="245"/>
      <c r="F156" s="246">
        <v>0</v>
      </c>
      <c r="G156" s="247"/>
      <c r="H156" s="596"/>
      <c r="I156" s="597"/>
      <c r="J156" s="602"/>
      <c r="K156" s="603"/>
      <c r="L156" s="16"/>
      <c r="M156" s="16"/>
      <c r="N156" s="16"/>
      <c r="O156" s="16"/>
      <c r="P156" s="16"/>
      <c r="Q156" s="16"/>
      <c r="R156" s="16"/>
      <c r="S156" s="16"/>
      <c r="T156" s="16"/>
      <c r="U156" s="16"/>
      <c r="V156" s="16"/>
      <c r="W156" s="16"/>
      <c r="X156" s="16"/>
      <c r="Y156" s="16"/>
      <c r="Z156" s="16"/>
      <c r="AA156" s="16"/>
      <c r="AB156" s="16"/>
    </row>
    <row r="157" spans="1:30" ht="15.75" customHeight="1">
      <c r="A157" s="231"/>
      <c r="B157" s="244"/>
      <c r="C157" s="246">
        <v>0</v>
      </c>
      <c r="D157" s="247"/>
      <c r="E157" s="245"/>
      <c r="F157" s="246">
        <v>0</v>
      </c>
      <c r="G157" s="247"/>
      <c r="H157" s="596"/>
      <c r="I157" s="597"/>
      <c r="J157" s="602"/>
      <c r="K157" s="603"/>
      <c r="L157" s="16"/>
      <c r="M157" s="16"/>
      <c r="N157" s="16"/>
      <c r="O157" s="16"/>
      <c r="P157" s="16"/>
      <c r="Q157" s="16"/>
      <c r="R157" s="16"/>
      <c r="S157" s="16"/>
      <c r="T157" s="16"/>
      <c r="U157" s="16"/>
      <c r="V157" s="16"/>
      <c r="W157" s="16"/>
      <c r="X157" s="16"/>
      <c r="Y157" s="16"/>
      <c r="Z157" s="16"/>
      <c r="AA157" s="16"/>
      <c r="AB157" s="16"/>
    </row>
    <row r="158" spans="1:30" ht="15.75" customHeight="1" thickBot="1">
      <c r="A158" s="231"/>
      <c r="B158" s="244"/>
      <c r="C158" s="246">
        <v>0</v>
      </c>
      <c r="D158" s="247"/>
      <c r="E158" s="245"/>
      <c r="F158" s="246">
        <v>0</v>
      </c>
      <c r="G158" s="247"/>
      <c r="H158" s="598"/>
      <c r="I158" s="599"/>
      <c r="J158" s="604"/>
      <c r="K158" s="605"/>
      <c r="L158" s="16"/>
      <c r="M158" s="16"/>
      <c r="N158" s="16"/>
      <c r="O158" s="16"/>
      <c r="P158" s="16"/>
      <c r="Q158" s="16"/>
      <c r="R158" s="16"/>
      <c r="S158" s="16"/>
      <c r="T158" s="16"/>
      <c r="U158" s="16"/>
      <c r="V158" s="16"/>
      <c r="W158" s="16"/>
      <c r="X158" s="16"/>
      <c r="Y158" s="16"/>
      <c r="Z158" s="16"/>
      <c r="AA158" s="16"/>
      <c r="AB158" s="16"/>
    </row>
    <row r="159" spans="1:30" ht="15.75" customHeight="1" thickTop="1">
      <c r="A159" s="15"/>
      <c r="B159" s="131"/>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c r="AD159" s="16"/>
    </row>
    <row r="160" spans="1:30" ht="15.75" customHeight="1">
      <c r="A160" s="15"/>
      <c r="B160" s="131"/>
      <c r="C160" s="16"/>
      <c r="D160" s="16"/>
      <c r="E160" s="16"/>
      <c r="F160" s="16"/>
      <c r="G160" s="16"/>
      <c r="I160" s="16"/>
      <c r="J160" s="16"/>
      <c r="K160" s="16"/>
      <c r="L160" s="16"/>
      <c r="M160" s="16"/>
      <c r="N160" s="16"/>
      <c r="O160" s="16"/>
      <c r="P160" s="16"/>
      <c r="Q160" s="16"/>
      <c r="R160" s="16"/>
      <c r="S160" s="16"/>
      <c r="T160" s="16"/>
      <c r="U160" s="16"/>
      <c r="V160" s="16"/>
      <c r="W160" s="16"/>
      <c r="X160" s="16"/>
      <c r="Y160" s="16"/>
      <c r="Z160" s="16"/>
      <c r="AA160" s="16"/>
      <c r="AB160" s="16"/>
      <c r="AC160" s="16"/>
      <c r="AD160" s="16"/>
    </row>
    <row r="161" spans="1:30" ht="15.75" customHeight="1">
      <c r="H161" s="51"/>
      <c r="I161" s="51"/>
      <c r="J161" s="51"/>
      <c r="K161" s="51"/>
      <c r="L161" s="16"/>
      <c r="M161" s="16"/>
      <c r="N161" s="16"/>
      <c r="O161" s="16"/>
      <c r="P161" s="16"/>
      <c r="Q161" s="16"/>
      <c r="R161" s="16"/>
      <c r="S161" s="16"/>
      <c r="T161" s="16"/>
      <c r="U161" s="16"/>
      <c r="V161" s="16"/>
      <c r="W161" s="16"/>
      <c r="X161" s="16"/>
      <c r="Y161" s="16"/>
      <c r="Z161" s="16"/>
      <c r="AA161" s="16"/>
      <c r="AB161" s="16"/>
      <c r="AC161" s="16"/>
      <c r="AD161" s="16"/>
    </row>
    <row r="162" spans="1:30" ht="15.75" customHeight="1">
      <c r="L162" s="16"/>
      <c r="M162" s="16"/>
      <c r="N162" s="16"/>
      <c r="O162" s="16"/>
      <c r="P162" s="16"/>
      <c r="Q162" s="16"/>
      <c r="R162" s="16"/>
      <c r="S162" s="16"/>
      <c r="T162" s="16"/>
      <c r="U162" s="16"/>
      <c r="V162" s="16"/>
      <c r="W162" s="16"/>
      <c r="X162" s="16"/>
      <c r="Y162" s="16"/>
      <c r="Z162" s="16"/>
      <c r="AA162" s="16"/>
      <c r="AB162" s="16"/>
      <c r="AC162" s="16"/>
      <c r="AD162" s="16"/>
    </row>
    <row r="163" spans="1:30" ht="15.75" customHeight="1">
      <c r="L163" s="16"/>
      <c r="M163" s="16"/>
      <c r="N163" s="16"/>
      <c r="O163" s="16"/>
      <c r="P163" s="16"/>
      <c r="Q163" s="16"/>
      <c r="R163" s="16"/>
      <c r="S163" s="16"/>
      <c r="T163" s="16"/>
      <c r="U163" s="16"/>
      <c r="V163" s="16"/>
      <c r="W163" s="16"/>
      <c r="X163" s="16"/>
      <c r="Y163" s="16"/>
      <c r="Z163" s="16"/>
      <c r="AA163" s="16"/>
      <c r="AB163" s="16"/>
      <c r="AC163" s="16"/>
      <c r="AD163" s="16"/>
    </row>
    <row r="164" spans="1:30" ht="15.75" customHeight="1">
      <c r="L164" s="16"/>
      <c r="M164" s="16"/>
      <c r="N164" s="16"/>
      <c r="O164" s="16"/>
      <c r="P164" s="16"/>
      <c r="Q164" s="16"/>
      <c r="R164" s="16"/>
      <c r="S164" s="16"/>
      <c r="T164" s="16"/>
      <c r="U164" s="16"/>
      <c r="V164" s="16"/>
      <c r="W164" s="16"/>
      <c r="X164" s="16"/>
      <c r="Y164" s="16"/>
      <c r="Z164" s="16"/>
      <c r="AA164" s="16"/>
      <c r="AB164" s="16"/>
      <c r="AC164" s="16"/>
      <c r="AD164" s="16"/>
    </row>
    <row r="165" spans="1:30" ht="15.75" customHeight="1">
      <c r="L165" s="16"/>
      <c r="M165" s="16"/>
      <c r="N165" s="16"/>
      <c r="O165" s="16"/>
      <c r="P165" s="16"/>
      <c r="Q165" s="16"/>
      <c r="R165" s="16"/>
      <c r="S165" s="16"/>
      <c r="T165" s="16"/>
      <c r="U165" s="16"/>
      <c r="V165" s="16"/>
      <c r="W165" s="16"/>
      <c r="X165" s="16"/>
      <c r="Y165" s="16"/>
      <c r="Z165" s="16"/>
      <c r="AA165" s="16"/>
      <c r="AB165" s="16"/>
      <c r="AC165" s="16"/>
      <c r="AD165" s="16"/>
    </row>
    <row r="166" spans="1:30" ht="15.75" customHeight="1">
      <c r="L166" s="16"/>
      <c r="M166" s="16"/>
      <c r="N166" s="16"/>
      <c r="O166" s="16"/>
      <c r="P166" s="16"/>
      <c r="Q166" s="16"/>
      <c r="R166" s="16"/>
      <c r="S166" s="16"/>
      <c r="T166" s="16"/>
      <c r="U166" s="16"/>
      <c r="V166" s="16"/>
      <c r="W166" s="16"/>
      <c r="X166" s="16"/>
      <c r="Y166" s="16"/>
      <c r="Z166" s="16"/>
      <c r="AA166" s="16"/>
      <c r="AB166" s="16"/>
      <c r="AC166" s="16"/>
      <c r="AD166" s="16"/>
    </row>
    <row r="167" spans="1:30" ht="15.75" customHeight="1">
      <c r="L167" s="16"/>
      <c r="M167" s="16"/>
      <c r="N167" s="16"/>
      <c r="O167" s="16"/>
      <c r="P167" s="16"/>
      <c r="Q167" s="16"/>
      <c r="R167" s="16"/>
      <c r="S167" s="16"/>
      <c r="T167" s="16"/>
      <c r="U167" s="16"/>
      <c r="V167" s="16"/>
      <c r="W167" s="16"/>
      <c r="X167" s="16"/>
      <c r="Y167" s="16"/>
      <c r="Z167" s="16"/>
      <c r="AA167" s="16"/>
      <c r="AB167" s="16"/>
      <c r="AC167" s="16"/>
      <c r="AD167" s="16"/>
    </row>
    <row r="168" spans="1:30" ht="15.75" customHeight="1">
      <c r="L168" s="16"/>
      <c r="M168" s="16"/>
      <c r="N168" s="16"/>
      <c r="O168" s="16"/>
      <c r="P168" s="735"/>
      <c r="Q168" s="696"/>
      <c r="R168" s="696"/>
      <c r="S168" s="16"/>
      <c r="T168" s="16"/>
      <c r="U168" s="16"/>
      <c r="V168" s="16"/>
      <c r="W168" s="16"/>
      <c r="X168" s="16"/>
      <c r="Y168" s="16"/>
      <c r="Z168" s="16"/>
      <c r="AA168" s="16"/>
      <c r="AB168" s="16"/>
      <c r="AC168" s="16"/>
      <c r="AD168" s="16"/>
    </row>
    <row r="169" spans="1:30" ht="15.75" customHeight="1">
      <c r="L169" s="16"/>
      <c r="M169" s="16"/>
      <c r="N169" s="16"/>
      <c r="O169" s="16"/>
      <c r="P169" s="735"/>
      <c r="Q169" s="696"/>
      <c r="R169" s="696"/>
      <c r="S169" s="16"/>
      <c r="T169" s="16"/>
      <c r="U169" s="16"/>
      <c r="V169" s="16"/>
      <c r="W169" s="16"/>
      <c r="X169" s="16"/>
      <c r="Y169" s="16"/>
      <c r="Z169" s="16"/>
      <c r="AA169" s="16"/>
      <c r="AB169" s="16"/>
      <c r="AC169" s="16"/>
      <c r="AD169" s="16"/>
    </row>
    <row r="170" spans="1:30" ht="15.75" customHeight="1">
      <c r="L170" s="16"/>
      <c r="M170" s="16"/>
      <c r="N170" s="16"/>
      <c r="O170" s="16"/>
      <c r="P170" s="735"/>
      <c r="Q170" s="696"/>
      <c r="R170" s="696"/>
      <c r="S170" s="16"/>
      <c r="T170" s="16"/>
      <c r="U170" s="16"/>
      <c r="V170" s="16"/>
      <c r="W170" s="16"/>
      <c r="X170" s="16"/>
      <c r="Y170" s="16"/>
      <c r="Z170" s="16"/>
      <c r="AA170" s="16"/>
      <c r="AB170" s="16"/>
      <c r="AC170" s="16"/>
      <c r="AD170" s="16"/>
    </row>
    <row r="171" spans="1:30" ht="15.75" customHeight="1">
      <c r="L171" s="16"/>
      <c r="M171" s="16"/>
      <c r="N171" s="16"/>
      <c r="O171" s="16"/>
      <c r="P171" s="735"/>
      <c r="Q171" s="696"/>
      <c r="R171" s="696"/>
      <c r="S171" s="16"/>
      <c r="T171" s="16"/>
      <c r="U171" s="16"/>
      <c r="V171" s="16"/>
      <c r="W171" s="16"/>
      <c r="X171" s="16"/>
      <c r="Y171" s="16"/>
      <c r="Z171" s="16"/>
      <c r="AA171" s="16"/>
      <c r="AB171" s="16"/>
      <c r="AC171" s="16"/>
      <c r="AD171" s="16"/>
    </row>
    <row r="172" spans="1:30" ht="15.75" customHeight="1">
      <c r="L172" s="16"/>
      <c r="M172" s="16"/>
      <c r="N172" s="16"/>
      <c r="O172" s="16"/>
      <c r="P172" s="735"/>
      <c r="Q172" s="696"/>
      <c r="R172" s="696"/>
      <c r="S172" s="16"/>
      <c r="T172" s="16"/>
      <c r="U172" s="16"/>
      <c r="V172" s="16"/>
      <c r="W172" s="16"/>
      <c r="X172" s="16"/>
      <c r="Y172" s="16"/>
      <c r="Z172" s="16"/>
      <c r="AA172" s="16"/>
      <c r="AB172" s="16"/>
      <c r="AC172" s="16"/>
      <c r="AD172" s="16"/>
    </row>
    <row r="173" spans="1:30" ht="15.75" customHeight="1">
      <c r="L173" s="16"/>
      <c r="M173" s="16"/>
      <c r="N173" s="16"/>
      <c r="O173" s="16"/>
      <c r="P173" s="735"/>
      <c r="Q173" s="696"/>
      <c r="R173" s="696"/>
      <c r="S173" s="16"/>
      <c r="T173" s="16"/>
      <c r="U173" s="16"/>
      <c r="V173" s="16"/>
      <c r="W173" s="16"/>
      <c r="X173" s="16"/>
      <c r="Y173" s="16"/>
      <c r="Z173" s="16"/>
      <c r="AA173" s="16"/>
      <c r="AB173" s="16"/>
      <c r="AC173" s="16"/>
      <c r="AD173" s="16"/>
    </row>
    <row r="174" spans="1:30" ht="15.75" customHeight="1">
      <c r="H174" s="248"/>
      <c r="I174" s="248"/>
      <c r="J174" s="228"/>
      <c r="K174" s="228"/>
      <c r="L174" s="16"/>
      <c r="M174" s="16"/>
      <c r="N174" s="16"/>
      <c r="O174" s="16"/>
      <c r="P174" s="735"/>
      <c r="Q174" s="696"/>
      <c r="R174" s="696"/>
      <c r="S174" s="16"/>
      <c r="T174" s="16"/>
      <c r="U174" s="16"/>
      <c r="V174" s="16"/>
      <c r="W174" s="16"/>
      <c r="X174" s="16"/>
      <c r="Y174" s="16"/>
      <c r="Z174" s="16"/>
      <c r="AA174" s="16"/>
      <c r="AB174" s="16"/>
      <c r="AC174" s="16"/>
      <c r="AD174" s="16"/>
    </row>
    <row r="175" spans="1:30" ht="15.75" customHeight="1">
      <c r="A175" s="231"/>
      <c r="B175" s="231"/>
      <c r="C175" s="246"/>
      <c r="D175" s="247"/>
      <c r="E175" s="245"/>
      <c r="F175" s="246"/>
      <c r="G175" s="247"/>
      <c r="H175" s="248"/>
      <c r="I175" s="248"/>
      <c r="J175" s="228"/>
      <c r="K175" s="228"/>
      <c r="L175" s="16"/>
      <c r="M175" s="16"/>
      <c r="N175" s="16"/>
      <c r="O175" s="16"/>
      <c r="P175" s="16"/>
      <c r="Q175" s="16"/>
      <c r="R175" s="16"/>
      <c r="S175" s="16"/>
      <c r="T175" s="16"/>
      <c r="U175" s="16"/>
      <c r="V175" s="16"/>
      <c r="W175" s="16"/>
      <c r="X175" s="16"/>
      <c r="Y175" s="16"/>
      <c r="Z175" s="16"/>
      <c r="AA175" s="16"/>
      <c r="AB175" s="16"/>
      <c r="AC175" s="16"/>
      <c r="AD175" s="16"/>
    </row>
    <row r="176" spans="1:30" ht="15.75" customHeight="1">
      <c r="A176" s="231"/>
      <c r="B176" s="16"/>
      <c r="C176" s="246"/>
      <c r="D176" s="247"/>
      <c r="E176" s="245"/>
      <c r="F176" s="246"/>
      <c r="G176" s="247"/>
      <c r="H176" s="228"/>
      <c r="I176" s="228"/>
      <c r="J176" s="228"/>
      <c r="K176" s="228"/>
      <c r="L176" s="16"/>
      <c r="M176" s="735"/>
      <c r="N176" s="696"/>
      <c r="O176" s="696"/>
      <c r="P176" s="735"/>
      <c r="Q176" s="696"/>
      <c r="R176" s="696"/>
      <c r="S176" s="696"/>
      <c r="T176" s="696"/>
      <c r="U176" s="16"/>
      <c r="V176" s="16"/>
      <c r="W176" s="16"/>
      <c r="X176" s="16"/>
      <c r="Y176" s="16"/>
      <c r="Z176" s="16"/>
      <c r="AA176" s="16"/>
      <c r="AB176" s="16"/>
      <c r="AC176" s="16"/>
      <c r="AD176" s="16"/>
    </row>
    <row r="177" spans="1:30" ht="15.75" customHeight="1">
      <c r="A177" s="16"/>
      <c r="B177" s="16"/>
      <c r="C177" s="16"/>
      <c r="D177" s="16"/>
      <c r="E177" s="16"/>
      <c r="F177" s="16"/>
      <c r="G177" s="16"/>
      <c r="H177" s="16"/>
      <c r="I177" s="16"/>
      <c r="J177" s="16"/>
      <c r="K177" s="16"/>
      <c r="L177" s="16"/>
      <c r="M177" s="735"/>
      <c r="N177" s="696"/>
      <c r="O177" s="696"/>
      <c r="P177" s="735"/>
      <c r="Q177" s="696"/>
      <c r="R177" s="696"/>
      <c r="S177" s="696"/>
      <c r="T177" s="696"/>
      <c r="U177" s="16"/>
      <c r="V177" s="16"/>
      <c r="W177" s="16"/>
      <c r="X177" s="16"/>
      <c r="Y177" s="16"/>
      <c r="Z177" s="16"/>
      <c r="AA177" s="16"/>
      <c r="AB177" s="16"/>
      <c r="AC177" s="16"/>
      <c r="AD177" s="16"/>
    </row>
    <row r="178" spans="1:30" ht="15.75" customHeight="1">
      <c r="A178" s="16"/>
      <c r="B178" s="16"/>
      <c r="C178" s="16"/>
      <c r="D178" s="16"/>
      <c r="E178" s="16"/>
      <c r="F178" s="16"/>
      <c r="G178" s="16"/>
      <c r="H178" s="16"/>
      <c r="I178" s="16"/>
      <c r="J178" s="16"/>
      <c r="K178" s="16"/>
      <c r="L178" s="16"/>
      <c r="M178" s="735"/>
      <c r="N178" s="696"/>
      <c r="O178" s="696"/>
      <c r="P178" s="696"/>
      <c r="Q178" s="696"/>
      <c r="R178" s="696"/>
      <c r="S178" s="696"/>
      <c r="T178" s="696"/>
      <c r="U178" s="16"/>
      <c r="V178" s="16"/>
      <c r="W178" s="16"/>
      <c r="X178" s="16"/>
      <c r="Y178" s="16"/>
      <c r="Z178" s="16"/>
      <c r="AA178" s="16"/>
      <c r="AB178" s="16"/>
      <c r="AC178" s="16"/>
      <c r="AD178" s="16"/>
    </row>
    <row r="179" spans="1:30" ht="15.75" customHeight="1">
      <c r="A179" s="16"/>
      <c r="B179" s="16"/>
      <c r="C179" s="16"/>
      <c r="D179" s="16"/>
      <c r="E179" s="16"/>
      <c r="F179" s="16"/>
      <c r="G179" s="16"/>
      <c r="H179" s="16"/>
      <c r="I179" s="16"/>
      <c r="J179" s="16"/>
      <c r="K179" s="16"/>
      <c r="L179" s="16"/>
      <c r="M179" s="735"/>
      <c r="N179" s="696"/>
      <c r="O179" s="696"/>
      <c r="P179" s="696"/>
      <c r="Q179" s="696"/>
      <c r="R179" s="696"/>
      <c r="S179" s="696"/>
      <c r="T179" s="696"/>
      <c r="U179" s="16"/>
      <c r="V179" s="16"/>
      <c r="W179" s="16"/>
      <c r="X179" s="16"/>
      <c r="Y179" s="16"/>
      <c r="Z179" s="16"/>
      <c r="AA179" s="16"/>
      <c r="AB179" s="16"/>
      <c r="AC179" s="16"/>
      <c r="AD179" s="16"/>
    </row>
    <row r="180" spans="1:30" ht="15.75" customHeight="1">
      <c r="A180" s="16"/>
      <c r="B180" s="16"/>
      <c r="C180" s="16"/>
      <c r="D180" s="16"/>
      <c r="E180" s="16"/>
      <c r="F180" s="16"/>
      <c r="G180" s="16"/>
      <c r="H180" s="16"/>
      <c r="I180" s="16"/>
      <c r="J180" s="16"/>
      <c r="K180" s="16"/>
      <c r="L180" s="16"/>
      <c r="M180" s="735"/>
      <c r="N180" s="696"/>
      <c r="O180" s="696"/>
      <c r="P180" s="696"/>
      <c r="Q180" s="696"/>
      <c r="R180" s="696"/>
      <c r="S180" s="696"/>
      <c r="T180" s="696"/>
      <c r="U180" s="16"/>
      <c r="V180" s="16"/>
      <c r="W180" s="16"/>
      <c r="X180" s="16"/>
      <c r="Y180" s="16"/>
      <c r="Z180" s="16"/>
      <c r="AA180" s="16"/>
      <c r="AB180" s="16"/>
      <c r="AC180" s="16"/>
      <c r="AD180" s="16"/>
    </row>
    <row r="181" spans="1:30" ht="15.75" customHeight="1">
      <c r="A181" s="16"/>
      <c r="B181" s="16"/>
      <c r="C181" s="16"/>
      <c r="D181" s="16"/>
      <c r="E181" s="16"/>
      <c r="F181" s="16"/>
      <c r="G181" s="16"/>
      <c r="H181" s="16"/>
      <c r="I181" s="16"/>
      <c r="J181" s="16"/>
      <c r="K181" s="16"/>
      <c r="L181" s="16"/>
      <c r="M181" s="735"/>
      <c r="N181" s="696"/>
      <c r="O181" s="696"/>
      <c r="P181" s="696"/>
      <c r="Q181" s="696"/>
      <c r="R181" s="696"/>
      <c r="S181" s="696"/>
      <c r="T181" s="696"/>
      <c r="U181" s="16"/>
      <c r="V181" s="16"/>
      <c r="W181" s="16"/>
      <c r="X181" s="16"/>
      <c r="Y181" s="16"/>
      <c r="Z181" s="16"/>
      <c r="AA181" s="16"/>
      <c r="AB181" s="16"/>
      <c r="AC181" s="16"/>
      <c r="AD181" s="16"/>
    </row>
    <row r="182" spans="1:30" ht="15.75" customHeight="1">
      <c r="A182" s="16"/>
      <c r="B182" s="16"/>
      <c r="C182" s="16"/>
      <c r="D182" s="16"/>
      <c r="E182" s="16"/>
      <c r="F182" s="16"/>
      <c r="G182" s="16"/>
      <c r="H182" s="16"/>
      <c r="I182" s="16"/>
      <c r="J182" s="16"/>
      <c r="K182" s="16"/>
      <c r="L182" s="16"/>
      <c r="M182" s="735"/>
      <c r="N182" s="696"/>
      <c r="O182" s="696"/>
      <c r="P182" s="696"/>
      <c r="Q182" s="696"/>
      <c r="R182" s="696"/>
      <c r="S182" s="696"/>
      <c r="T182" s="696"/>
      <c r="U182" s="16"/>
      <c r="V182" s="16"/>
      <c r="W182" s="16"/>
      <c r="X182" s="16"/>
      <c r="Y182" s="16"/>
      <c r="Z182" s="16"/>
      <c r="AA182" s="16"/>
      <c r="AB182" s="16"/>
      <c r="AC182" s="16"/>
      <c r="AD182" s="16"/>
    </row>
    <row r="183" spans="1:30" ht="15.75" customHeight="1">
      <c r="A183" s="16"/>
      <c r="B183" s="16"/>
      <c r="C183" s="16"/>
      <c r="D183" s="16"/>
      <c r="E183" s="16"/>
      <c r="F183" s="16"/>
      <c r="G183" s="16"/>
      <c r="H183" s="16"/>
      <c r="I183" s="16"/>
      <c r="J183" s="16"/>
      <c r="K183" s="16"/>
      <c r="L183" s="16"/>
      <c r="M183" s="735"/>
      <c r="N183" s="696"/>
      <c r="O183" s="696"/>
      <c r="P183" s="696"/>
      <c r="Q183" s="696"/>
      <c r="R183" s="696"/>
      <c r="S183" s="696"/>
      <c r="T183" s="696"/>
      <c r="U183" s="16"/>
      <c r="V183" s="16"/>
      <c r="W183" s="16"/>
      <c r="X183" s="16"/>
      <c r="Y183" s="16"/>
      <c r="Z183" s="16"/>
      <c r="AA183" s="16"/>
      <c r="AB183" s="16"/>
      <c r="AC183" s="16"/>
      <c r="AD183" s="16"/>
    </row>
    <row r="184" spans="1:30" ht="15.75" customHeight="1">
      <c r="A184" s="16"/>
      <c r="B184" s="16"/>
      <c r="C184" s="16"/>
      <c r="D184" s="16"/>
      <c r="E184" s="16"/>
      <c r="F184" s="16"/>
      <c r="G184" s="16"/>
      <c r="H184" s="16"/>
      <c r="I184" s="16"/>
      <c r="J184" s="16"/>
      <c r="K184" s="16"/>
      <c r="L184" s="16"/>
      <c r="M184" s="735"/>
      <c r="N184" s="696"/>
      <c r="O184" s="696"/>
      <c r="P184" s="696"/>
      <c r="Q184" s="696"/>
      <c r="R184" s="696"/>
      <c r="S184" s="696"/>
      <c r="T184" s="696"/>
      <c r="U184" s="16"/>
      <c r="V184" s="16"/>
      <c r="W184" s="16"/>
      <c r="X184" s="16"/>
      <c r="Y184" s="16"/>
      <c r="Z184" s="16"/>
      <c r="AA184" s="16"/>
      <c r="AB184" s="16"/>
      <c r="AC184" s="16"/>
      <c r="AD184" s="16"/>
    </row>
    <row r="185" spans="1:30" ht="15.75" customHeight="1">
      <c r="A185" s="16"/>
      <c r="B185" s="16"/>
      <c r="C185" s="16"/>
      <c r="D185" s="16"/>
      <c r="E185" s="16"/>
      <c r="F185" s="16"/>
      <c r="G185" s="16"/>
      <c r="H185" s="16"/>
      <c r="I185" s="16"/>
      <c r="J185" s="16"/>
      <c r="K185" s="16"/>
      <c r="L185" s="16"/>
      <c r="M185" s="735"/>
      <c r="N185" s="696"/>
      <c r="O185" s="696"/>
      <c r="P185" s="696"/>
      <c r="Q185" s="696"/>
      <c r="R185" s="696"/>
      <c r="S185" s="696"/>
      <c r="T185" s="696"/>
      <c r="U185" s="16"/>
      <c r="V185" s="16"/>
      <c r="W185" s="16"/>
      <c r="X185" s="16"/>
      <c r="Y185" s="16"/>
      <c r="Z185" s="16"/>
      <c r="AA185" s="16"/>
      <c r="AB185" s="16"/>
      <c r="AC185" s="16"/>
      <c r="AD185" s="16"/>
    </row>
    <row r="186" spans="1:30" ht="15.75" customHeight="1">
      <c r="A186" s="16"/>
      <c r="B186" s="16"/>
      <c r="C186" s="16"/>
      <c r="D186" s="16"/>
      <c r="E186" s="16"/>
      <c r="F186" s="16"/>
      <c r="G186" s="16"/>
      <c r="H186" s="16"/>
      <c r="I186" s="16"/>
      <c r="J186" s="16"/>
      <c r="K186" s="16"/>
      <c r="L186" s="16"/>
      <c r="M186" s="735"/>
      <c r="N186" s="696"/>
      <c r="O186" s="696"/>
      <c r="P186" s="696"/>
      <c r="Q186" s="696"/>
      <c r="R186" s="696"/>
      <c r="S186" s="696"/>
      <c r="T186" s="696"/>
      <c r="U186" s="16"/>
      <c r="V186" s="16"/>
      <c r="W186" s="16"/>
      <c r="X186" s="16"/>
      <c r="Y186" s="16"/>
      <c r="Z186" s="16"/>
      <c r="AA186" s="16"/>
      <c r="AB186" s="16"/>
      <c r="AC186" s="16"/>
      <c r="AD186" s="16"/>
    </row>
    <row r="187" spans="1:30" ht="15.75" customHeight="1">
      <c r="A187" s="16"/>
      <c r="B187" s="16"/>
      <c r="C187" s="16"/>
      <c r="D187" s="16"/>
      <c r="E187" s="16"/>
      <c r="F187" s="16"/>
      <c r="G187" s="16"/>
      <c r="H187" s="16"/>
      <c r="I187" s="16"/>
      <c r="J187" s="16"/>
      <c r="K187" s="16"/>
      <c r="L187" s="16"/>
      <c r="M187" s="735"/>
      <c r="N187" s="696"/>
      <c r="O187" s="696"/>
      <c r="P187" s="696"/>
      <c r="Q187" s="696"/>
      <c r="R187" s="696"/>
      <c r="S187" s="696"/>
      <c r="T187" s="696"/>
      <c r="U187" s="16"/>
      <c r="V187" s="16"/>
      <c r="W187" s="16"/>
      <c r="X187" s="16"/>
      <c r="Y187" s="16"/>
      <c r="Z187" s="16"/>
      <c r="AA187" s="16"/>
      <c r="AB187" s="16"/>
      <c r="AC187" s="16"/>
      <c r="AD187" s="16"/>
    </row>
    <row r="188" spans="1:30" ht="15.75" customHeight="1">
      <c r="A188" s="16"/>
      <c r="B188" s="16"/>
      <c r="C188" s="16"/>
      <c r="D188" s="16"/>
      <c r="E188" s="16"/>
      <c r="F188" s="16"/>
      <c r="G188" s="16"/>
      <c r="H188" s="16"/>
      <c r="I188" s="16"/>
      <c r="J188" s="16"/>
      <c r="K188" s="16"/>
      <c r="L188" s="16"/>
      <c r="M188" s="735"/>
      <c r="N188" s="696"/>
      <c r="O188" s="696"/>
      <c r="P188" s="696"/>
      <c r="Q188" s="696"/>
      <c r="R188" s="696"/>
      <c r="S188" s="696"/>
      <c r="T188" s="696"/>
      <c r="U188" s="16"/>
      <c r="V188" s="16"/>
      <c r="W188" s="16"/>
      <c r="X188" s="16"/>
      <c r="Y188" s="16"/>
      <c r="Z188" s="16"/>
      <c r="AA188" s="16"/>
      <c r="AB188" s="16"/>
      <c r="AC188" s="16"/>
      <c r="AD188" s="16"/>
    </row>
    <row r="189" spans="1:30" ht="15.75" customHeight="1">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c r="AD189" s="16"/>
    </row>
    <row r="190" spans="1:30" ht="15.75" customHeight="1">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c r="AD190" s="16"/>
    </row>
    <row r="191" spans="1:30" ht="15.75" customHeight="1">
      <c r="A191" s="16"/>
      <c r="B191" s="16"/>
      <c r="C191" s="16"/>
      <c r="D191" s="16"/>
      <c r="E191" s="16"/>
      <c r="F191" s="16"/>
      <c r="G191" s="16"/>
      <c r="H191" s="16"/>
      <c r="I191" s="16"/>
      <c r="J191" s="16"/>
      <c r="K191" s="16"/>
      <c r="L191" s="16"/>
      <c r="M191" s="735"/>
      <c r="N191" s="696"/>
      <c r="O191" s="696"/>
      <c r="P191" s="735"/>
      <c r="Q191" s="696"/>
      <c r="R191" s="696"/>
      <c r="S191" s="696"/>
      <c r="T191" s="696"/>
      <c r="U191" s="16"/>
      <c r="V191" s="16"/>
      <c r="W191" s="16"/>
      <c r="X191" s="16"/>
      <c r="Y191" s="16"/>
      <c r="Z191" s="16"/>
      <c r="AA191" s="16"/>
      <c r="AB191" s="16"/>
      <c r="AC191" s="16"/>
      <c r="AD191" s="16"/>
    </row>
    <row r="192" spans="1:30" ht="15.75" customHeight="1">
      <c r="A192" s="16"/>
      <c r="B192" s="16"/>
      <c r="C192" s="16"/>
      <c r="D192" s="16"/>
      <c r="E192" s="16"/>
      <c r="F192" s="16"/>
      <c r="G192" s="16"/>
      <c r="H192" s="16"/>
      <c r="I192" s="16"/>
      <c r="J192" s="16"/>
      <c r="K192" s="16"/>
      <c r="L192" s="16"/>
      <c r="M192" s="735"/>
      <c r="N192" s="696"/>
      <c r="O192" s="696"/>
      <c r="P192" s="735"/>
      <c r="Q192" s="696"/>
      <c r="R192" s="696"/>
      <c r="S192" s="696"/>
      <c r="T192" s="696"/>
      <c r="U192" s="16"/>
      <c r="V192" s="16"/>
      <c r="W192" s="16"/>
      <c r="X192" s="16"/>
      <c r="Y192" s="16"/>
      <c r="Z192" s="16"/>
      <c r="AA192" s="16"/>
      <c r="AB192" s="16"/>
      <c r="AC192" s="16"/>
      <c r="AD192" s="16"/>
    </row>
    <row r="193" spans="1:30" ht="15.75" customHeight="1">
      <c r="A193" s="16"/>
      <c r="B193" s="16"/>
      <c r="C193" s="16"/>
      <c r="D193" s="16"/>
      <c r="E193" s="16"/>
      <c r="F193" s="16"/>
      <c r="G193" s="16"/>
      <c r="H193" s="16"/>
      <c r="I193" s="16"/>
      <c r="J193" s="16"/>
      <c r="K193" s="16"/>
      <c r="L193" s="16"/>
      <c r="M193" s="735"/>
      <c r="N193" s="696"/>
      <c r="O193" s="696"/>
      <c r="P193" s="696"/>
      <c r="Q193" s="696"/>
      <c r="R193" s="696"/>
      <c r="S193" s="696"/>
      <c r="T193" s="696"/>
      <c r="U193" s="16"/>
      <c r="V193" s="16"/>
      <c r="W193" s="16"/>
      <c r="X193" s="16"/>
      <c r="Y193" s="16"/>
      <c r="Z193" s="16"/>
      <c r="AA193" s="16"/>
      <c r="AB193" s="16"/>
      <c r="AC193" s="16"/>
      <c r="AD193" s="16"/>
    </row>
    <row r="194" spans="1:30" ht="15.75" customHeight="1">
      <c r="A194" s="16"/>
      <c r="B194" s="16"/>
      <c r="C194" s="16"/>
      <c r="D194" s="16"/>
      <c r="E194" s="16"/>
      <c r="F194" s="16"/>
      <c r="G194" s="16"/>
      <c r="H194" s="16"/>
      <c r="I194" s="16"/>
      <c r="J194" s="16"/>
      <c r="K194" s="16"/>
      <c r="L194" s="16"/>
      <c r="M194" s="735"/>
      <c r="N194" s="696"/>
      <c r="O194" s="696"/>
      <c r="P194" s="696"/>
      <c r="Q194" s="696"/>
      <c r="R194" s="696"/>
      <c r="S194" s="696"/>
      <c r="T194" s="696"/>
      <c r="U194" s="16"/>
      <c r="V194" s="16"/>
      <c r="W194" s="16"/>
      <c r="X194" s="16"/>
      <c r="Y194" s="16"/>
      <c r="Z194" s="16"/>
      <c r="AA194" s="16"/>
      <c r="AB194" s="16"/>
      <c r="AC194" s="16"/>
      <c r="AD194" s="16"/>
    </row>
    <row r="195" spans="1:30" ht="15.75" customHeight="1">
      <c r="A195" s="16"/>
      <c r="B195" s="16"/>
      <c r="C195" s="16"/>
      <c r="D195" s="16"/>
      <c r="E195" s="16"/>
      <c r="F195" s="16"/>
      <c r="G195" s="16"/>
      <c r="H195" s="16"/>
      <c r="I195" s="16"/>
      <c r="J195" s="16"/>
      <c r="K195" s="16"/>
      <c r="L195" s="16"/>
      <c r="M195" s="735"/>
      <c r="N195" s="696"/>
      <c r="O195" s="696"/>
      <c r="P195" s="696"/>
      <c r="Q195" s="696"/>
      <c r="R195" s="696"/>
      <c r="S195" s="696"/>
      <c r="T195" s="696"/>
      <c r="U195" s="16"/>
      <c r="V195" s="16"/>
      <c r="W195" s="16"/>
      <c r="X195" s="16"/>
      <c r="Y195" s="16"/>
      <c r="Z195" s="16"/>
      <c r="AA195" s="16"/>
      <c r="AB195" s="16"/>
      <c r="AC195" s="16"/>
      <c r="AD195" s="16"/>
    </row>
    <row r="196" spans="1:30" ht="15.75" customHeight="1">
      <c r="A196" s="16"/>
      <c r="B196" s="16"/>
      <c r="C196" s="16"/>
      <c r="D196" s="16"/>
      <c r="E196" s="16"/>
      <c r="F196" s="16"/>
      <c r="G196" s="16"/>
      <c r="H196" s="16"/>
      <c r="I196" s="16"/>
      <c r="J196" s="16"/>
      <c r="K196" s="16"/>
      <c r="L196" s="16"/>
      <c r="M196" s="735"/>
      <c r="N196" s="696"/>
      <c r="O196" s="696"/>
      <c r="P196" s="696"/>
      <c r="Q196" s="696"/>
      <c r="R196" s="696"/>
      <c r="S196" s="696"/>
      <c r="T196" s="696"/>
      <c r="U196" s="16"/>
      <c r="V196" s="16"/>
      <c r="W196" s="16"/>
      <c r="X196" s="16"/>
      <c r="Y196" s="16"/>
      <c r="Z196" s="16"/>
      <c r="AA196" s="16"/>
      <c r="AB196" s="16"/>
      <c r="AC196" s="16"/>
      <c r="AD196" s="16"/>
    </row>
    <row r="197" spans="1:30" ht="15.75" customHeight="1">
      <c r="A197" s="16"/>
      <c r="B197" s="16"/>
      <c r="C197" s="16"/>
      <c r="D197" s="16"/>
      <c r="E197" s="16"/>
      <c r="F197" s="16"/>
      <c r="G197" s="16"/>
      <c r="H197" s="16"/>
      <c r="I197" s="16"/>
      <c r="J197" s="16"/>
      <c r="K197" s="16"/>
      <c r="L197" s="16"/>
      <c r="M197" s="735"/>
      <c r="N197" s="696"/>
      <c r="O197" s="696"/>
      <c r="P197" s="696"/>
      <c r="Q197" s="696"/>
      <c r="R197" s="696"/>
      <c r="S197" s="696"/>
      <c r="T197" s="696"/>
      <c r="U197" s="16"/>
      <c r="V197" s="16"/>
      <c r="W197" s="16"/>
      <c r="X197" s="16"/>
      <c r="Y197" s="16"/>
      <c r="Z197" s="16"/>
      <c r="AA197" s="16"/>
      <c r="AB197" s="16"/>
      <c r="AC197" s="16"/>
      <c r="AD197" s="16"/>
    </row>
    <row r="198" spans="1:30" ht="15.75" customHeight="1">
      <c r="A198" s="16"/>
      <c r="B198" s="16"/>
      <c r="C198" s="16"/>
      <c r="D198" s="16"/>
      <c r="E198" s="16"/>
      <c r="F198" s="16"/>
      <c r="G198" s="16"/>
      <c r="H198" s="16"/>
      <c r="I198" s="16"/>
      <c r="J198" s="16"/>
      <c r="K198" s="16"/>
      <c r="L198" s="16"/>
      <c r="M198" s="735"/>
      <c r="N198" s="696"/>
      <c r="O198" s="696"/>
      <c r="P198" s="696"/>
      <c r="Q198" s="696"/>
      <c r="R198" s="696"/>
      <c r="S198" s="696"/>
      <c r="T198" s="696"/>
      <c r="U198" s="16"/>
      <c r="V198" s="16"/>
      <c r="W198" s="16"/>
      <c r="X198" s="16"/>
      <c r="Y198" s="16"/>
      <c r="Z198" s="16"/>
      <c r="AA198" s="16"/>
      <c r="AB198" s="16"/>
      <c r="AC198" s="16"/>
      <c r="AD198" s="16"/>
    </row>
    <row r="199" spans="1:30" ht="15.75" customHeight="1">
      <c r="A199" s="16"/>
      <c r="B199" s="16"/>
      <c r="C199" s="16"/>
      <c r="D199" s="16"/>
      <c r="E199" s="16"/>
      <c r="F199" s="16"/>
      <c r="G199" s="16"/>
      <c r="H199" s="16"/>
      <c r="I199" s="16"/>
      <c r="J199" s="16"/>
      <c r="K199" s="16"/>
      <c r="L199" s="16"/>
      <c r="M199" s="735"/>
      <c r="N199" s="696"/>
      <c r="O199" s="696"/>
      <c r="P199" s="696"/>
      <c r="Q199" s="696"/>
      <c r="R199" s="696"/>
      <c r="S199" s="696"/>
      <c r="T199" s="696"/>
      <c r="U199" s="16"/>
      <c r="V199" s="16"/>
      <c r="W199" s="16"/>
      <c r="X199" s="16"/>
      <c r="Y199" s="16"/>
      <c r="Z199" s="16"/>
      <c r="AA199" s="16"/>
      <c r="AB199" s="16"/>
      <c r="AC199" s="16"/>
      <c r="AD199" s="16"/>
    </row>
    <row r="200" spans="1:30" ht="15.75" customHeight="1">
      <c r="A200" s="16"/>
      <c r="B200" s="16"/>
      <c r="C200" s="16"/>
      <c r="D200" s="16"/>
      <c r="E200" s="16"/>
      <c r="F200" s="16"/>
      <c r="G200" s="16"/>
      <c r="H200" s="16"/>
      <c r="I200" s="16"/>
      <c r="J200" s="16"/>
      <c r="K200" s="16"/>
      <c r="L200" s="16"/>
      <c r="M200" s="735"/>
      <c r="N200" s="696"/>
      <c r="O200" s="696"/>
      <c r="P200" s="696"/>
      <c r="Q200" s="696"/>
      <c r="R200" s="696"/>
      <c r="S200" s="696"/>
      <c r="T200" s="696"/>
      <c r="U200" s="16"/>
      <c r="V200" s="16"/>
      <c r="W200" s="16"/>
      <c r="X200" s="16"/>
      <c r="Y200" s="16"/>
      <c r="Z200" s="16"/>
      <c r="AA200" s="16"/>
      <c r="AB200" s="16"/>
      <c r="AC200" s="16"/>
      <c r="AD200" s="16"/>
    </row>
    <row r="201" spans="1:30" ht="15.75" customHeight="1">
      <c r="A201" s="16"/>
      <c r="B201" s="16"/>
      <c r="C201" s="16"/>
      <c r="D201" s="16"/>
      <c r="E201" s="16"/>
      <c r="F201" s="16"/>
      <c r="G201" s="16"/>
      <c r="H201" s="16"/>
      <c r="I201" s="16"/>
      <c r="J201" s="16"/>
      <c r="K201" s="16"/>
      <c r="L201" s="16"/>
      <c r="M201" s="735"/>
      <c r="N201" s="696"/>
      <c r="O201" s="696"/>
      <c r="P201" s="696"/>
      <c r="Q201" s="696"/>
      <c r="R201" s="696"/>
      <c r="S201" s="696"/>
      <c r="T201" s="696"/>
      <c r="U201" s="16"/>
      <c r="V201" s="16"/>
      <c r="W201" s="16"/>
      <c r="X201" s="16"/>
      <c r="Y201" s="16"/>
      <c r="Z201" s="16"/>
      <c r="AA201" s="16"/>
      <c r="AB201" s="16"/>
      <c r="AC201" s="16"/>
      <c r="AD201" s="16"/>
    </row>
    <row r="202" spans="1:30" ht="15.75" customHeight="1">
      <c r="A202" s="16"/>
      <c r="B202" s="16"/>
      <c r="C202" s="16"/>
      <c r="D202" s="16"/>
      <c r="E202" s="16"/>
      <c r="F202" s="16"/>
      <c r="G202" s="16"/>
      <c r="H202" s="16"/>
      <c r="I202" s="16"/>
      <c r="J202" s="16"/>
      <c r="K202" s="16"/>
      <c r="L202" s="16"/>
      <c r="M202" s="735"/>
      <c r="N202" s="696"/>
      <c r="O202" s="696"/>
      <c r="P202" s="696"/>
      <c r="Q202" s="696"/>
      <c r="R202" s="696"/>
      <c r="S202" s="696"/>
      <c r="T202" s="696"/>
      <c r="U202" s="16"/>
      <c r="V202" s="16"/>
      <c r="W202" s="16"/>
      <c r="X202" s="16"/>
      <c r="Y202" s="16"/>
      <c r="Z202" s="16"/>
      <c r="AA202" s="16"/>
      <c r="AB202" s="16"/>
      <c r="AC202" s="16"/>
      <c r="AD202" s="16"/>
    </row>
    <row r="203" spans="1:30" ht="15.75" customHeight="1">
      <c r="A203" s="16"/>
      <c r="B203" s="16"/>
      <c r="C203" s="16"/>
      <c r="D203" s="16"/>
      <c r="E203" s="16"/>
      <c r="F203" s="16"/>
      <c r="G203" s="16"/>
      <c r="H203" s="16"/>
      <c r="I203" s="16"/>
      <c r="J203" s="16"/>
      <c r="K203" s="16"/>
      <c r="L203" s="16"/>
      <c r="M203" s="735"/>
      <c r="N203" s="696"/>
      <c r="O203" s="696"/>
      <c r="P203" s="696"/>
      <c r="Q203" s="696"/>
      <c r="R203" s="696"/>
      <c r="S203" s="696"/>
      <c r="T203" s="696"/>
      <c r="U203" s="16"/>
      <c r="V203" s="16"/>
      <c r="W203" s="16"/>
      <c r="X203" s="16"/>
      <c r="Y203" s="16"/>
      <c r="Z203" s="16"/>
      <c r="AA203" s="16"/>
      <c r="AB203" s="16"/>
      <c r="AC203" s="16"/>
      <c r="AD203" s="16"/>
    </row>
    <row r="204" spans="1:30" ht="15.75" customHeight="1">
      <c r="A204" s="16"/>
      <c r="B204" s="16"/>
      <c r="C204" s="16"/>
      <c r="D204" s="16"/>
      <c r="E204" s="16"/>
      <c r="F204" s="16"/>
      <c r="G204" s="16"/>
      <c r="H204" s="16"/>
      <c r="I204" s="16"/>
      <c r="J204" s="16"/>
      <c r="K204" s="16"/>
      <c r="L204" s="16"/>
      <c r="M204" s="735"/>
      <c r="N204" s="696"/>
      <c r="O204" s="696"/>
      <c r="P204" s="696"/>
      <c r="Q204" s="696"/>
      <c r="R204" s="696"/>
      <c r="S204" s="696"/>
      <c r="T204" s="696"/>
      <c r="U204" s="16"/>
      <c r="V204" s="16"/>
      <c r="W204" s="16"/>
      <c r="X204" s="16"/>
      <c r="Y204" s="16"/>
      <c r="Z204" s="16"/>
      <c r="AA204" s="16"/>
      <c r="AB204" s="16"/>
      <c r="AC204" s="16"/>
      <c r="AD204" s="16"/>
    </row>
    <row r="205" spans="1:30" ht="15.75" customHeight="1">
      <c r="A205" s="16"/>
      <c r="B205" s="16"/>
      <c r="C205" s="16"/>
      <c r="D205" s="16"/>
      <c r="E205" s="16"/>
      <c r="F205" s="16"/>
      <c r="G205" s="16"/>
      <c r="H205" s="16"/>
      <c r="I205" s="16"/>
      <c r="J205" s="16"/>
      <c r="K205" s="16"/>
      <c r="L205" s="16"/>
      <c r="M205" s="735"/>
      <c r="N205" s="696"/>
      <c r="O205" s="696"/>
      <c r="P205" s="696"/>
      <c r="Q205" s="696"/>
      <c r="R205" s="696"/>
      <c r="S205" s="696"/>
      <c r="T205" s="696"/>
      <c r="U205" s="16"/>
      <c r="V205" s="16"/>
      <c r="W205" s="16"/>
      <c r="X205" s="16"/>
      <c r="Y205" s="16"/>
      <c r="Z205" s="16"/>
      <c r="AA205" s="16"/>
      <c r="AB205" s="16"/>
      <c r="AC205" s="16"/>
      <c r="AD205" s="16"/>
    </row>
    <row r="206" spans="1:30" ht="15.75" customHeight="1">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row>
    <row r="207" spans="1:30" ht="15.75" customHeight="1">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c r="AD207" s="16"/>
    </row>
    <row r="208" spans="1:30" ht="15.75" customHeight="1">
      <c r="A208" s="16"/>
      <c r="B208" s="735"/>
      <c r="C208" s="696"/>
      <c r="D208" s="16"/>
      <c r="E208" s="16"/>
      <c r="F208" s="16"/>
      <c r="G208" s="16"/>
      <c r="H208" s="16"/>
      <c r="I208" s="16"/>
      <c r="J208" s="16"/>
      <c r="K208" s="16"/>
      <c r="L208" s="16"/>
      <c r="M208" s="735"/>
      <c r="N208" s="696"/>
      <c r="O208" s="696"/>
      <c r="P208" s="735"/>
      <c r="Q208" s="696"/>
      <c r="R208" s="696"/>
      <c r="S208" s="696"/>
      <c r="T208" s="696"/>
      <c r="U208" s="16"/>
      <c r="V208" s="16"/>
      <c r="W208" s="16"/>
      <c r="X208" s="16"/>
      <c r="Y208" s="16"/>
      <c r="Z208" s="16"/>
      <c r="AA208" s="16"/>
      <c r="AB208" s="16"/>
      <c r="AC208" s="16"/>
      <c r="AD208" s="16"/>
    </row>
    <row r="209" spans="1:30" ht="15.75" customHeight="1">
      <c r="A209" s="16"/>
      <c r="B209" s="735"/>
      <c r="C209" s="696"/>
      <c r="D209" s="16"/>
      <c r="E209" s="16"/>
      <c r="F209" s="16"/>
      <c r="G209" s="16"/>
      <c r="H209" s="16"/>
      <c r="I209" s="16"/>
      <c r="J209" s="16"/>
      <c r="K209" s="16"/>
      <c r="L209" s="16"/>
      <c r="M209" s="735"/>
      <c r="N209" s="696"/>
      <c r="O209" s="696"/>
      <c r="P209" s="735"/>
      <c r="Q209" s="696"/>
      <c r="R209" s="696"/>
      <c r="S209" s="696"/>
      <c r="T209" s="696"/>
      <c r="U209" s="16"/>
      <c r="V209" s="16"/>
      <c r="W209" s="16"/>
      <c r="X209" s="16"/>
      <c r="Y209" s="16"/>
      <c r="Z209" s="16"/>
      <c r="AA209" s="16"/>
      <c r="AB209" s="16"/>
      <c r="AC209" s="16"/>
      <c r="AD209" s="16"/>
    </row>
    <row r="210" spans="1:30" ht="15.75" customHeight="1">
      <c r="A210" s="16"/>
      <c r="B210" s="735"/>
      <c r="C210" s="696"/>
      <c r="D210" s="16"/>
      <c r="E210" s="16"/>
      <c r="F210" s="16"/>
      <c r="G210" s="16"/>
      <c r="H210" s="16"/>
      <c r="I210" s="16"/>
      <c r="J210" s="16"/>
      <c r="K210" s="16"/>
      <c r="L210" s="16"/>
      <c r="M210" s="735"/>
      <c r="N210" s="696"/>
      <c r="O210" s="696"/>
      <c r="P210" s="696"/>
      <c r="Q210" s="696"/>
      <c r="R210" s="696"/>
      <c r="S210" s="696"/>
      <c r="T210" s="696"/>
      <c r="U210" s="16"/>
      <c r="V210" s="16"/>
      <c r="W210" s="16"/>
      <c r="X210" s="16"/>
      <c r="Y210" s="16"/>
      <c r="Z210" s="16"/>
      <c r="AA210" s="16"/>
      <c r="AB210" s="16"/>
      <c r="AC210" s="16"/>
      <c r="AD210" s="16"/>
    </row>
    <row r="211" spans="1:30" ht="15.75" customHeight="1">
      <c r="A211" s="16"/>
      <c r="B211" s="735"/>
      <c r="C211" s="696"/>
      <c r="D211" s="16"/>
      <c r="E211" s="16"/>
      <c r="F211" s="16"/>
      <c r="G211" s="16"/>
      <c r="H211" s="16"/>
      <c r="I211" s="16"/>
      <c r="J211" s="16"/>
      <c r="K211" s="16"/>
      <c r="L211" s="16"/>
      <c r="M211" s="735"/>
      <c r="N211" s="696"/>
      <c r="O211" s="696"/>
      <c r="P211" s="696"/>
      <c r="Q211" s="696"/>
      <c r="R211" s="696"/>
      <c r="S211" s="696"/>
      <c r="T211" s="696"/>
      <c r="U211" s="16"/>
      <c r="V211" s="16"/>
      <c r="W211" s="16"/>
      <c r="X211" s="16"/>
      <c r="Y211" s="16"/>
      <c r="Z211" s="16"/>
      <c r="AA211" s="16"/>
      <c r="AB211" s="16"/>
      <c r="AC211" s="16"/>
      <c r="AD211" s="16"/>
    </row>
    <row r="212" spans="1:30" ht="15.75" customHeight="1">
      <c r="A212" s="16"/>
      <c r="B212" s="735"/>
      <c r="C212" s="696"/>
      <c r="D212" s="16"/>
      <c r="E212" s="16"/>
      <c r="F212" s="16"/>
      <c r="G212" s="16"/>
      <c r="H212" s="16"/>
      <c r="I212" s="16"/>
      <c r="J212" s="16"/>
      <c r="K212" s="16"/>
      <c r="L212" s="16"/>
      <c r="M212" s="735"/>
      <c r="N212" s="696"/>
      <c r="O212" s="696"/>
      <c r="P212" s="696"/>
      <c r="Q212" s="696"/>
      <c r="R212" s="696"/>
      <c r="S212" s="696"/>
      <c r="T212" s="696"/>
      <c r="U212" s="16"/>
      <c r="V212" s="16"/>
      <c r="W212" s="16"/>
      <c r="X212" s="16"/>
      <c r="Y212" s="16"/>
      <c r="Z212" s="16"/>
      <c r="AA212" s="16"/>
      <c r="AB212" s="16"/>
      <c r="AC212" s="16"/>
      <c r="AD212" s="16"/>
    </row>
    <row r="213" spans="1:30" ht="15.75" customHeight="1">
      <c r="A213" s="16"/>
      <c r="B213" s="735"/>
      <c r="C213" s="696"/>
      <c r="D213" s="16"/>
      <c r="E213" s="16"/>
      <c r="F213" s="16"/>
      <c r="G213" s="16"/>
      <c r="H213" s="16"/>
      <c r="I213" s="16"/>
      <c r="J213" s="16"/>
      <c r="K213" s="16"/>
      <c r="L213" s="16"/>
      <c r="M213" s="735"/>
      <c r="N213" s="696"/>
      <c r="O213" s="696"/>
      <c r="P213" s="696"/>
      <c r="Q213" s="696"/>
      <c r="R213" s="696"/>
      <c r="S213" s="696"/>
      <c r="T213" s="696"/>
      <c r="U213" s="16"/>
      <c r="V213" s="16"/>
      <c r="W213" s="16"/>
      <c r="X213" s="16"/>
      <c r="Y213" s="16"/>
      <c r="Z213" s="16"/>
      <c r="AA213" s="16"/>
      <c r="AB213" s="16"/>
      <c r="AC213" s="16"/>
      <c r="AD213" s="16"/>
    </row>
    <row r="214" spans="1:30" ht="15.75" customHeight="1">
      <c r="A214" s="16"/>
      <c r="B214" s="735"/>
      <c r="C214" s="696"/>
      <c r="D214" s="16"/>
      <c r="E214" s="16"/>
      <c r="F214" s="16"/>
      <c r="G214" s="16"/>
      <c r="H214" s="16"/>
      <c r="I214" s="16"/>
      <c r="J214" s="16"/>
      <c r="K214" s="16"/>
      <c r="L214" s="16"/>
      <c r="M214" s="735"/>
      <c r="N214" s="696"/>
      <c r="O214" s="696"/>
      <c r="P214" s="696"/>
      <c r="Q214" s="696"/>
      <c r="R214" s="696"/>
      <c r="S214" s="696"/>
      <c r="T214" s="696"/>
      <c r="U214" s="16"/>
      <c r="V214" s="16"/>
      <c r="W214" s="16"/>
      <c r="X214" s="16"/>
      <c r="Y214" s="16"/>
      <c r="Z214" s="16"/>
      <c r="AA214" s="16"/>
      <c r="AB214" s="16"/>
      <c r="AC214" s="16"/>
      <c r="AD214" s="16"/>
    </row>
    <row r="215" spans="1:30" ht="15.75" customHeight="1">
      <c r="A215" s="16"/>
      <c r="B215" s="735"/>
      <c r="C215" s="696"/>
      <c r="D215" s="16"/>
      <c r="E215" s="16"/>
      <c r="F215" s="16"/>
      <c r="G215" s="16"/>
      <c r="H215" s="16"/>
      <c r="I215" s="16"/>
      <c r="J215" s="16"/>
      <c r="K215" s="16"/>
      <c r="L215" s="16"/>
      <c r="M215" s="735"/>
      <c r="N215" s="696"/>
      <c r="O215" s="696"/>
      <c r="P215" s="696"/>
      <c r="Q215" s="696"/>
      <c r="R215" s="696"/>
      <c r="S215" s="696"/>
      <c r="T215" s="696"/>
      <c r="U215" s="16"/>
      <c r="V215" s="16"/>
      <c r="W215" s="16"/>
      <c r="X215" s="16"/>
      <c r="Y215" s="16"/>
      <c r="Z215" s="16"/>
      <c r="AA215" s="16"/>
      <c r="AB215" s="16"/>
      <c r="AC215" s="16"/>
      <c r="AD215" s="16"/>
    </row>
    <row r="216" spans="1:30" ht="15.75" customHeight="1">
      <c r="A216" s="16"/>
      <c r="B216" s="735"/>
      <c r="C216" s="696"/>
      <c r="D216" s="16"/>
      <c r="E216" s="16"/>
      <c r="F216" s="16"/>
      <c r="G216" s="16"/>
      <c r="H216" s="16"/>
      <c r="I216" s="16"/>
      <c r="J216" s="16"/>
      <c r="K216" s="16"/>
      <c r="L216" s="16"/>
      <c r="M216" s="735"/>
      <c r="N216" s="696"/>
      <c r="O216" s="696"/>
      <c r="P216" s="696"/>
      <c r="Q216" s="696"/>
      <c r="R216" s="696"/>
      <c r="S216" s="696"/>
      <c r="T216" s="696"/>
      <c r="U216" s="16"/>
      <c r="V216" s="16"/>
      <c r="W216" s="16"/>
      <c r="X216" s="16"/>
      <c r="Y216" s="16"/>
      <c r="Z216" s="16"/>
      <c r="AA216" s="16"/>
      <c r="AB216" s="16"/>
      <c r="AC216" s="16"/>
      <c r="AD216" s="16"/>
    </row>
    <row r="217" spans="1:30" ht="15.75" customHeight="1">
      <c r="A217" s="16"/>
      <c r="B217" s="735"/>
      <c r="C217" s="696"/>
      <c r="D217" s="16"/>
      <c r="E217" s="16"/>
      <c r="F217" s="16"/>
      <c r="G217" s="16"/>
      <c r="H217" s="16"/>
      <c r="I217" s="16"/>
      <c r="J217" s="16"/>
      <c r="K217" s="16"/>
      <c r="L217" s="16"/>
      <c r="M217" s="735"/>
      <c r="N217" s="696"/>
      <c r="O217" s="696"/>
      <c r="P217" s="696"/>
      <c r="Q217" s="696"/>
      <c r="R217" s="696"/>
      <c r="S217" s="696"/>
      <c r="T217" s="696"/>
      <c r="U217" s="16"/>
      <c r="V217" s="16"/>
      <c r="W217" s="16"/>
      <c r="X217" s="16"/>
      <c r="Y217" s="16"/>
      <c r="Z217" s="16"/>
      <c r="AA217" s="16"/>
      <c r="AB217" s="16"/>
      <c r="AC217" s="16"/>
      <c r="AD217" s="16"/>
    </row>
    <row r="218" spans="1:30" ht="15.75" customHeight="1">
      <c r="A218" s="16"/>
      <c r="B218" s="735"/>
      <c r="C218" s="696"/>
      <c r="D218" s="16"/>
      <c r="E218" s="16"/>
      <c r="F218" s="16"/>
      <c r="G218" s="16"/>
      <c r="H218" s="16"/>
      <c r="I218" s="16"/>
      <c r="J218" s="16"/>
      <c r="K218" s="16"/>
      <c r="L218" s="16"/>
      <c r="M218" s="735"/>
      <c r="N218" s="696"/>
      <c r="O218" s="696"/>
      <c r="P218" s="696"/>
      <c r="Q218" s="696"/>
      <c r="R218" s="696"/>
      <c r="S218" s="696"/>
      <c r="T218" s="696"/>
      <c r="U218" s="16"/>
      <c r="V218" s="16"/>
      <c r="W218" s="16"/>
      <c r="X218" s="16"/>
      <c r="Y218" s="16"/>
      <c r="Z218" s="16"/>
      <c r="AA218" s="16"/>
      <c r="AB218" s="16"/>
      <c r="AC218" s="16"/>
      <c r="AD218" s="16"/>
    </row>
    <row r="219" spans="1:30" ht="15.75" customHeight="1">
      <c r="A219" s="16"/>
      <c r="B219" s="735"/>
      <c r="C219" s="696"/>
      <c r="D219" s="16"/>
      <c r="E219" s="16"/>
      <c r="F219" s="16"/>
      <c r="G219" s="16"/>
      <c r="H219" s="16"/>
      <c r="I219" s="16"/>
      <c r="J219" s="16"/>
      <c r="K219" s="16"/>
      <c r="L219" s="16"/>
      <c r="M219" s="735"/>
      <c r="N219" s="696"/>
      <c r="O219" s="696"/>
      <c r="P219" s="696"/>
      <c r="Q219" s="696"/>
      <c r="R219" s="696"/>
      <c r="S219" s="696"/>
      <c r="T219" s="696"/>
      <c r="U219" s="16"/>
      <c r="V219" s="16"/>
      <c r="W219" s="16"/>
      <c r="X219" s="16"/>
      <c r="Y219" s="16"/>
      <c r="Z219" s="16"/>
      <c r="AA219" s="16"/>
      <c r="AB219" s="16"/>
      <c r="AC219" s="16"/>
      <c r="AD219" s="16"/>
    </row>
    <row r="220" spans="1:30" ht="15.75" customHeight="1">
      <c r="A220" s="16"/>
      <c r="B220" s="735"/>
      <c r="C220" s="696"/>
      <c r="D220" s="16"/>
      <c r="E220" s="16"/>
      <c r="F220" s="16"/>
      <c r="G220" s="16"/>
      <c r="H220" s="16"/>
      <c r="I220" s="16"/>
      <c r="J220" s="16"/>
      <c r="K220" s="16"/>
      <c r="L220" s="16"/>
      <c r="M220" s="735"/>
      <c r="N220" s="696"/>
      <c r="O220" s="696"/>
      <c r="P220" s="696"/>
      <c r="Q220" s="696"/>
      <c r="R220" s="696"/>
      <c r="S220" s="696"/>
      <c r="T220" s="696"/>
      <c r="U220" s="16"/>
      <c r="V220" s="16"/>
      <c r="W220" s="16"/>
      <c r="X220" s="16"/>
      <c r="Y220" s="16"/>
      <c r="Z220" s="16"/>
      <c r="AA220" s="16"/>
      <c r="AB220" s="16"/>
      <c r="AC220" s="16"/>
      <c r="AD220" s="16"/>
    </row>
    <row r="221" spans="1:30" ht="15.75" customHeight="1">
      <c r="A221" s="16"/>
      <c r="B221" s="735"/>
      <c r="C221" s="696"/>
      <c r="D221" s="16"/>
      <c r="E221" s="16"/>
      <c r="F221" s="16"/>
      <c r="G221" s="16"/>
      <c r="H221" s="16"/>
      <c r="I221" s="16"/>
      <c r="J221" s="16"/>
      <c r="K221" s="16"/>
      <c r="L221" s="16"/>
      <c r="M221" s="735"/>
      <c r="N221" s="696"/>
      <c r="O221" s="696"/>
      <c r="P221" s="696"/>
      <c r="Q221" s="696"/>
      <c r="R221" s="696"/>
      <c r="S221" s="696"/>
      <c r="T221" s="696"/>
      <c r="U221" s="16"/>
      <c r="V221" s="16"/>
      <c r="W221" s="16"/>
      <c r="X221" s="16"/>
      <c r="Y221" s="16"/>
      <c r="Z221" s="16"/>
      <c r="AA221" s="16"/>
      <c r="AB221" s="16"/>
      <c r="AC221" s="16"/>
      <c r="AD221" s="16"/>
    </row>
    <row r="222" spans="1:30" ht="15.75" customHeight="1">
      <c r="A222" s="16"/>
      <c r="B222" s="735"/>
      <c r="C222" s="696"/>
      <c r="D222" s="16"/>
      <c r="E222" s="16"/>
      <c r="F222" s="16"/>
      <c r="G222" s="16"/>
      <c r="H222" s="16"/>
      <c r="I222" s="16"/>
      <c r="J222" s="16"/>
      <c r="K222" s="16"/>
      <c r="L222" s="16"/>
      <c r="M222" s="735"/>
      <c r="N222" s="696"/>
      <c r="O222" s="696"/>
      <c r="P222" s="696"/>
      <c r="Q222" s="696"/>
      <c r="R222" s="696"/>
      <c r="S222" s="696"/>
      <c r="T222" s="696"/>
      <c r="U222" s="16"/>
      <c r="V222" s="16"/>
      <c r="W222" s="16"/>
      <c r="X222" s="16"/>
      <c r="Y222" s="16"/>
      <c r="Z222" s="16"/>
      <c r="AA222" s="16"/>
      <c r="AB222" s="16"/>
      <c r="AC222" s="16"/>
      <c r="AD222" s="16"/>
    </row>
    <row r="223" spans="1:30" ht="15.75" customHeight="1">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c r="AD223" s="16"/>
    </row>
    <row r="224" spans="1:30" ht="15.75" customHeight="1">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c r="AD224" s="16"/>
    </row>
    <row r="225" spans="1:30" ht="15.75" customHeight="1">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16"/>
    </row>
    <row r="226" spans="1:30" ht="15.75" customHeight="1">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row>
    <row r="227" spans="1:30" ht="15.75" customHeight="1">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16"/>
    </row>
    <row r="228" spans="1:30" ht="15.75" customHeight="1">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c r="AD228" s="16"/>
    </row>
    <row r="229" spans="1:30" ht="15.75" customHeight="1">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c r="AD229" s="16"/>
    </row>
    <row r="230" spans="1:30" ht="15.75" customHeight="1">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row>
    <row r="231" spans="1:30" ht="15.75" customHeight="1">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c r="AD231" s="16"/>
    </row>
    <row r="232" spans="1:30" ht="15.75" customHeight="1">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c r="AD232" s="16"/>
    </row>
    <row r="233" spans="1:30" ht="15.75" customHeight="1">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c r="AD233" s="16"/>
    </row>
    <row r="234" spans="1:30" ht="15.75" customHeight="1">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c r="AD234" s="16"/>
    </row>
    <row r="235" spans="1:30" ht="15.75" customHeight="1">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row>
    <row r="236" spans="1:30" ht="15.75" customHeight="1">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c r="AD236" s="16"/>
    </row>
    <row r="237" spans="1:30" ht="15.75" customHeight="1">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c r="AD237" s="16"/>
    </row>
    <row r="238" spans="1:30" ht="15.75" customHeight="1">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c r="AD238" s="16"/>
    </row>
    <row r="239" spans="1:30" ht="15.75" customHeight="1">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c r="AD239" s="16"/>
    </row>
    <row r="240" spans="1:30" ht="15.75" customHeight="1">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c r="AD240" s="16"/>
    </row>
    <row r="241" spans="1:30" ht="15.75" customHeight="1">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c r="AD241" s="16"/>
    </row>
    <row r="242" spans="1:30" ht="15.75" customHeight="1">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c r="AD242" s="16"/>
    </row>
    <row r="243" spans="1:30" ht="15.75" customHeight="1">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c r="AD243" s="16"/>
    </row>
    <row r="244" spans="1:30" ht="15.75" customHeight="1">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16"/>
    </row>
    <row r="245" spans="1:30" ht="15.75" customHeight="1">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c r="AD245" s="16"/>
    </row>
    <row r="246" spans="1:30" ht="15.75" customHeight="1">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row>
    <row r="247" spans="1:30" ht="15.75" customHeight="1">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c r="AD247" s="16"/>
    </row>
    <row r="248" spans="1:30" ht="15.75" customHeight="1">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row>
    <row r="249" spans="1:30" ht="15.75" customHeight="1">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row>
    <row r="250" spans="1:30" ht="15.75" customHeight="1">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c r="AD250" s="16"/>
    </row>
    <row r="251" spans="1:30" ht="15.75" customHeight="1">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row>
    <row r="252" spans="1:30" ht="15.75" customHeight="1">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16"/>
    </row>
    <row r="253" spans="1:30" ht="15.75" customHeight="1">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c r="AD253" s="16"/>
    </row>
    <row r="254" spans="1:30" ht="15.75" customHeight="1">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row>
    <row r="255" spans="1:30" ht="15.75" customHeight="1">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c r="AD255" s="16"/>
    </row>
    <row r="256" spans="1:30" ht="15.75" customHeight="1">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row>
    <row r="257" spans="1:30" ht="15.75" customHeight="1">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c r="AD257" s="16"/>
    </row>
    <row r="258" spans="1:30" ht="15.75" customHeight="1">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c r="AD258" s="16"/>
    </row>
    <row r="259" spans="1:30" ht="15.75" customHeight="1">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row>
    <row r="260" spans="1:30" ht="15.75" customHeight="1">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row>
    <row r="261" spans="1:30" ht="15.75" customHeight="1">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c r="AD261" s="16"/>
    </row>
    <row r="262" spans="1:30" ht="15.75" customHeight="1">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row>
    <row r="263" spans="1:30" ht="15.75" customHeight="1">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row>
    <row r="264" spans="1:30" ht="15.75" customHeight="1">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c r="AD264" s="16"/>
    </row>
    <row r="265" spans="1:30" ht="15.75" customHeight="1">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row>
    <row r="266" spans="1:30" ht="15.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row>
    <row r="267" spans="1:30" ht="15.75" customHeight="1">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row>
    <row r="268" spans="1:30" ht="15.75" customHeight="1">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c r="AD268" s="16"/>
    </row>
    <row r="269" spans="1:30" ht="15.75" customHeight="1">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row>
    <row r="270" spans="1:30" ht="15.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row>
    <row r="271" spans="1:30" ht="15.75" customHeight="1">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c r="AD271" s="16"/>
    </row>
    <row r="272" spans="1:30" ht="15.75" customHeight="1">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c r="AD272" s="16"/>
    </row>
    <row r="273" spans="1:30" ht="15.75" customHeight="1">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c r="AD273" s="16"/>
    </row>
    <row r="274" spans="1:30" ht="15.75" customHeight="1">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c r="AD274" s="16"/>
    </row>
    <row r="275" spans="1:30" ht="15.75" customHeight="1">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c r="AD275" s="16"/>
    </row>
    <row r="276" spans="1:30" ht="15.75" customHeight="1">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row>
    <row r="277" spans="1:30" ht="15.75" customHeight="1">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16"/>
    </row>
    <row r="278" spans="1:30" ht="15.75" customHeight="1">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row>
    <row r="279" spans="1:30" ht="15.75" customHeight="1">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16"/>
    </row>
    <row r="280" spans="1:30" ht="15.75" customHeight="1">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c r="AD280" s="16"/>
    </row>
    <row r="281" spans="1:30" ht="15.75" customHeight="1">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c r="AD281" s="16"/>
    </row>
    <row r="282" spans="1:30" ht="15.75" customHeight="1">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c r="AD282" s="16"/>
    </row>
    <row r="283" spans="1:30" ht="15.75" customHeight="1">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c r="AD283" s="16"/>
    </row>
    <row r="284" spans="1:30" ht="15.75" customHeight="1">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c r="AD284" s="16"/>
    </row>
    <row r="285" spans="1:30" ht="15.75" customHeight="1">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c r="AD285" s="16"/>
    </row>
    <row r="286" spans="1:30" ht="15.75" customHeight="1">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row>
    <row r="287" spans="1:30" ht="15.75" customHeight="1">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row>
    <row r="288" spans="1:30" ht="15.75" customHeight="1">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row>
    <row r="289" spans="1:30" ht="15.75" customHeight="1">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row>
    <row r="290" spans="1:30" ht="15.75" customHeight="1">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row>
    <row r="291" spans="1:30" ht="15.75" customHeight="1">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c r="AD291" s="16"/>
    </row>
    <row r="292" spans="1:30" ht="15.75" customHeight="1">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row>
    <row r="293" spans="1:30" ht="15.75" customHeight="1">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row>
    <row r="294" spans="1:30" ht="15.75" customHeight="1">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row>
    <row r="295" spans="1:30" ht="15.75" customHeight="1">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row>
    <row r="296" spans="1:30" ht="15.75" customHeight="1">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row>
    <row r="297" spans="1:30" ht="15.75" customHeight="1">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row>
    <row r="298" spans="1:30" ht="15.75" customHeight="1">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row>
    <row r="299" spans="1:30" ht="15.75" customHeight="1">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row>
    <row r="300" spans="1:30" ht="15.75" customHeight="1">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row>
    <row r="301" spans="1:30" ht="15.75" customHeight="1">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c r="AD301" s="16"/>
    </row>
    <row r="302" spans="1:30" ht="15.75" customHeight="1">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c r="AD302" s="16"/>
    </row>
    <row r="303" spans="1:30" ht="15.75" customHeight="1">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row>
    <row r="304" spans="1:30" ht="15.75" customHeight="1">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c r="AD304" s="16"/>
    </row>
    <row r="305" spans="1:30" ht="15.75" customHeight="1">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c r="AD305" s="16"/>
    </row>
    <row r="306" spans="1:30" ht="15.75" customHeight="1">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c r="AA306" s="16"/>
      <c r="AB306" s="16"/>
      <c r="AC306" s="16"/>
      <c r="AD306" s="16"/>
    </row>
    <row r="307" spans="1:30" ht="15.75" customHeight="1">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c r="AA307" s="16"/>
      <c r="AB307" s="16"/>
      <c r="AC307" s="16"/>
      <c r="AD307" s="16"/>
    </row>
    <row r="308" spans="1:30" ht="15.75" customHeight="1">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c r="AA308" s="16"/>
      <c r="AB308" s="16"/>
      <c r="AC308" s="16"/>
      <c r="AD308" s="16"/>
    </row>
    <row r="309" spans="1:30" ht="15.75" customHeight="1">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c r="AA309" s="16"/>
      <c r="AB309" s="16"/>
      <c r="AC309" s="16"/>
      <c r="AD309" s="16"/>
    </row>
    <row r="310" spans="1:30" ht="15.75" customHeight="1">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c r="AA310" s="16"/>
      <c r="AB310" s="16"/>
      <c r="AC310" s="16"/>
      <c r="AD310" s="16"/>
    </row>
    <row r="311" spans="1:30" ht="15.75" customHeight="1">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c r="AA311" s="16"/>
      <c r="AB311" s="16"/>
      <c r="AC311" s="16"/>
      <c r="AD311" s="16"/>
    </row>
    <row r="312" spans="1:30" ht="15.75" customHeight="1">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c r="AA312" s="16"/>
      <c r="AB312" s="16"/>
      <c r="AC312" s="16"/>
      <c r="AD312" s="16"/>
    </row>
    <row r="313" spans="1:30" ht="15.75" customHeight="1">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c r="AA313" s="16"/>
      <c r="AB313" s="16"/>
      <c r="AC313" s="16"/>
      <c r="AD313" s="16"/>
    </row>
    <row r="314" spans="1:30" ht="15.75" customHeight="1">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c r="AA314" s="16"/>
      <c r="AB314" s="16"/>
      <c r="AC314" s="16"/>
      <c r="AD314" s="16"/>
    </row>
    <row r="315" spans="1:30" ht="15.75" customHeight="1">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c r="AA315" s="16"/>
      <c r="AB315" s="16"/>
      <c r="AC315" s="16"/>
      <c r="AD315" s="16"/>
    </row>
    <row r="316" spans="1:30" ht="15.75" customHeight="1">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c r="AA316" s="16"/>
      <c r="AB316" s="16"/>
      <c r="AC316" s="16"/>
      <c r="AD316" s="16"/>
    </row>
    <row r="317" spans="1:30" ht="15.75" customHeight="1">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c r="AA317" s="16"/>
      <c r="AB317" s="16"/>
      <c r="AC317" s="16"/>
      <c r="AD317" s="16"/>
    </row>
    <row r="318" spans="1:30" ht="15.75" customHeight="1">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c r="AA318" s="16"/>
      <c r="AB318" s="16"/>
      <c r="AC318" s="16"/>
      <c r="AD318" s="16"/>
    </row>
    <row r="319" spans="1:30" ht="15.75" customHeight="1">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c r="AA319" s="16"/>
      <c r="AB319" s="16"/>
      <c r="AC319" s="16"/>
      <c r="AD319" s="16"/>
    </row>
    <row r="320" spans="1:30" ht="15.75" customHeight="1">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c r="AA320" s="16"/>
      <c r="AB320" s="16"/>
      <c r="AC320" s="16"/>
      <c r="AD320" s="16"/>
    </row>
    <row r="321" spans="1:30" ht="15.75" customHeight="1">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c r="AA321" s="16"/>
      <c r="AB321" s="16"/>
      <c r="AC321" s="16"/>
      <c r="AD321" s="16"/>
    </row>
    <row r="322" spans="1:30" ht="15.75" customHeight="1">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c r="AA322" s="16"/>
      <c r="AB322" s="16"/>
      <c r="AC322" s="16"/>
      <c r="AD322" s="16"/>
    </row>
    <row r="323" spans="1:30" ht="15.75" customHeight="1">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c r="AA323" s="16"/>
      <c r="AB323" s="16"/>
      <c r="AC323" s="16"/>
      <c r="AD323" s="16"/>
    </row>
    <row r="324" spans="1:30" ht="15.75" customHeight="1">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c r="AA324" s="16"/>
      <c r="AB324" s="16"/>
      <c r="AC324" s="16"/>
      <c r="AD324" s="16"/>
    </row>
    <row r="325" spans="1:30" ht="15.75" customHeight="1">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c r="AA325" s="16"/>
      <c r="AB325" s="16"/>
      <c r="AC325" s="16"/>
      <c r="AD325" s="16"/>
    </row>
    <row r="326" spans="1:30" ht="15.75" customHeight="1">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c r="AA326" s="16"/>
      <c r="AB326" s="16"/>
      <c r="AC326" s="16"/>
      <c r="AD326" s="16"/>
    </row>
    <row r="327" spans="1:30" ht="15.75" customHeight="1">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c r="AA327" s="16"/>
      <c r="AB327" s="16"/>
      <c r="AC327" s="16"/>
      <c r="AD327" s="16"/>
    </row>
    <row r="328" spans="1:30" ht="15.75" customHeight="1">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c r="AA328" s="16"/>
      <c r="AB328" s="16"/>
      <c r="AC328" s="16"/>
      <c r="AD328" s="16"/>
    </row>
    <row r="329" spans="1:30" ht="15.75" customHeight="1">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c r="AA329" s="16"/>
      <c r="AB329" s="16"/>
      <c r="AC329" s="16"/>
      <c r="AD329" s="16"/>
    </row>
    <row r="330" spans="1:30" ht="15.75" customHeight="1">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c r="AA330" s="16"/>
      <c r="AB330" s="16"/>
      <c r="AC330" s="16"/>
      <c r="AD330" s="16"/>
    </row>
    <row r="331" spans="1:30" ht="15.75" customHeight="1">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c r="AA331" s="16"/>
      <c r="AB331" s="16"/>
      <c r="AC331" s="16"/>
      <c r="AD331" s="16"/>
    </row>
    <row r="332" spans="1:30" ht="15.75" customHeight="1">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c r="AA332" s="16"/>
      <c r="AB332" s="16"/>
      <c r="AC332" s="16"/>
      <c r="AD332" s="16"/>
    </row>
    <row r="333" spans="1:30" ht="15.75" customHeight="1">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c r="AA333" s="16"/>
      <c r="AB333" s="16"/>
      <c r="AC333" s="16"/>
      <c r="AD333" s="16"/>
    </row>
    <row r="334" spans="1:30" ht="15.75" customHeight="1">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c r="AA334" s="16"/>
      <c r="AB334" s="16"/>
      <c r="AC334" s="16"/>
      <c r="AD334" s="16"/>
    </row>
    <row r="335" spans="1:30" ht="15.75" customHeight="1">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c r="AA335" s="16"/>
      <c r="AB335" s="16"/>
      <c r="AC335" s="16"/>
      <c r="AD335" s="16"/>
    </row>
    <row r="336" spans="1:30" ht="15.75" customHeight="1">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c r="AA336" s="16"/>
      <c r="AB336" s="16"/>
      <c r="AC336" s="16"/>
      <c r="AD336" s="16"/>
    </row>
    <row r="337" spans="1:30" ht="15.75" customHeight="1">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c r="AA337" s="16"/>
      <c r="AB337" s="16"/>
      <c r="AC337" s="16"/>
      <c r="AD337" s="16"/>
    </row>
    <row r="338" spans="1:30" ht="15.75" customHeight="1">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c r="AA338" s="16"/>
      <c r="AB338" s="16"/>
      <c r="AC338" s="16"/>
      <c r="AD338" s="16"/>
    </row>
    <row r="339" spans="1:30" ht="15.75" customHeight="1">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c r="AA339" s="16"/>
      <c r="AB339" s="16"/>
      <c r="AC339" s="16"/>
      <c r="AD339" s="16"/>
    </row>
    <row r="340" spans="1:30" ht="15.75" customHeight="1">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c r="AA340" s="16"/>
      <c r="AB340" s="16"/>
      <c r="AC340" s="16"/>
      <c r="AD340" s="16"/>
    </row>
    <row r="341" spans="1:30" ht="15.75" customHeight="1">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c r="AA341" s="16"/>
      <c r="AB341" s="16"/>
      <c r="AC341" s="16"/>
      <c r="AD341" s="16"/>
    </row>
    <row r="342" spans="1:30" ht="15.75" customHeight="1">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c r="AA342" s="16"/>
      <c r="AB342" s="16"/>
      <c r="AC342" s="16"/>
      <c r="AD342" s="16"/>
    </row>
    <row r="343" spans="1:30" ht="15.75" customHeight="1">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c r="AA343" s="16"/>
      <c r="AB343" s="16"/>
      <c r="AC343" s="16"/>
      <c r="AD343" s="16"/>
    </row>
    <row r="344" spans="1:30" ht="15.75" customHeight="1">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c r="AA344" s="16"/>
      <c r="AB344" s="16"/>
      <c r="AC344" s="16"/>
      <c r="AD344" s="16"/>
    </row>
    <row r="345" spans="1:30" ht="15.75" customHeight="1">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c r="AA345" s="16"/>
      <c r="AB345" s="16"/>
      <c r="AC345" s="16"/>
      <c r="AD345" s="16"/>
    </row>
    <row r="346" spans="1:30" ht="15.75" customHeight="1">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c r="AA346" s="16"/>
      <c r="AB346" s="16"/>
      <c r="AC346" s="16"/>
      <c r="AD346" s="16"/>
    </row>
    <row r="347" spans="1:30" ht="15.75" customHeight="1">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c r="AA347" s="16"/>
      <c r="AB347" s="16"/>
      <c r="AC347" s="16"/>
      <c r="AD347" s="16"/>
    </row>
    <row r="348" spans="1:30" ht="15.75" customHeight="1">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c r="AA348" s="16"/>
      <c r="AB348" s="16"/>
      <c r="AC348" s="16"/>
      <c r="AD348" s="16"/>
    </row>
    <row r="349" spans="1:30" ht="15.75" customHeight="1">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c r="AA349" s="16"/>
      <c r="AB349" s="16"/>
      <c r="AC349" s="16"/>
      <c r="AD349" s="16"/>
    </row>
    <row r="350" spans="1:30" ht="15.75" customHeight="1">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c r="AA350" s="16"/>
      <c r="AB350" s="16"/>
      <c r="AC350" s="16"/>
      <c r="AD350" s="16"/>
    </row>
    <row r="351" spans="1:30" ht="15.75" customHeight="1">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c r="AA351" s="16"/>
      <c r="AB351" s="16"/>
      <c r="AC351" s="16"/>
      <c r="AD351" s="16"/>
    </row>
    <row r="352" spans="1:30" ht="15.75" customHeight="1">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c r="AA352" s="16"/>
      <c r="AB352" s="16"/>
      <c r="AC352" s="16"/>
      <c r="AD352" s="16"/>
    </row>
    <row r="353" spans="1:30" ht="15.75" customHeight="1">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c r="AA353" s="16"/>
      <c r="AB353" s="16"/>
      <c r="AC353" s="16"/>
      <c r="AD353" s="16"/>
    </row>
    <row r="354" spans="1:30" ht="15.75" customHeight="1">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c r="AA354" s="16"/>
      <c r="AB354" s="16"/>
      <c r="AC354" s="16"/>
      <c r="AD354" s="16"/>
    </row>
    <row r="355" spans="1:30" ht="15.75" customHeight="1">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c r="AA355" s="16"/>
      <c r="AB355" s="16"/>
      <c r="AC355" s="16"/>
      <c r="AD355" s="16"/>
    </row>
    <row r="356" spans="1:30" ht="15.75" customHeight="1">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c r="AA356" s="16"/>
      <c r="AB356" s="16"/>
      <c r="AC356" s="16"/>
      <c r="AD356" s="16"/>
    </row>
    <row r="357" spans="1:30" ht="15.75" customHeight="1">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c r="AA357" s="16"/>
      <c r="AB357" s="16"/>
      <c r="AC357" s="16"/>
      <c r="AD357" s="16"/>
    </row>
    <row r="358" spans="1:30" ht="15.75" customHeight="1">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c r="AA358" s="16"/>
      <c r="AB358" s="16"/>
      <c r="AC358" s="16"/>
      <c r="AD358" s="16"/>
    </row>
    <row r="359" spans="1:30" ht="15.75" customHeight="1"/>
    <row r="360" spans="1:30" ht="15.75" customHeight="1"/>
    <row r="361" spans="1:30" ht="15.75" customHeight="1"/>
    <row r="362" spans="1:30" ht="15.75" customHeight="1"/>
    <row r="363" spans="1:30" ht="15.75" customHeight="1"/>
    <row r="364" spans="1:30" ht="15.75" customHeight="1"/>
    <row r="365" spans="1:30" ht="15.75" customHeight="1"/>
    <row r="366" spans="1:30" ht="15.75" customHeight="1"/>
    <row r="367" spans="1:30" ht="15.75" customHeight="1"/>
    <row r="368" spans="1:30"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sheetData>
  <mergeCells count="99">
    <mergeCell ref="H38:J54"/>
    <mergeCell ref="A1:C1"/>
    <mergeCell ref="E1:H1"/>
    <mergeCell ref="D7:I7"/>
    <mergeCell ref="D8:I8"/>
    <mergeCell ref="A28:F28"/>
    <mergeCell ref="A29:F29"/>
    <mergeCell ref="A30:F30"/>
    <mergeCell ref="A31:F31"/>
    <mergeCell ref="A32:F32"/>
    <mergeCell ref="A34:F34"/>
    <mergeCell ref="H37:J37"/>
    <mergeCell ref="I57:K57"/>
    <mergeCell ref="I58:K62"/>
    <mergeCell ref="K66:M66"/>
    <mergeCell ref="K98:O98"/>
    <mergeCell ref="P98:Q98"/>
    <mergeCell ref="H123:I123"/>
    <mergeCell ref="J123:K123"/>
    <mergeCell ref="K99:O119"/>
    <mergeCell ref="P99:Q119"/>
    <mergeCell ref="K67:M95"/>
    <mergeCell ref="AG29:AH29"/>
    <mergeCell ref="AI29:AJ29"/>
    <mergeCell ref="AG30:AH40"/>
    <mergeCell ref="AI30:AJ40"/>
    <mergeCell ref="P168:R168"/>
    <mergeCell ref="P169:R169"/>
    <mergeCell ref="P170:R170"/>
    <mergeCell ref="P171:R171"/>
    <mergeCell ref="P172:R172"/>
    <mergeCell ref="P173:R173"/>
    <mergeCell ref="M188:O188"/>
    <mergeCell ref="P174:R174"/>
    <mergeCell ref="M176:O176"/>
    <mergeCell ref="P176:T176"/>
    <mergeCell ref="M177:O177"/>
    <mergeCell ref="P177:T188"/>
    <mergeCell ref="M178:O178"/>
    <mergeCell ref="M179:O179"/>
    <mergeCell ref="M180:O180"/>
    <mergeCell ref="M181:O181"/>
    <mergeCell ref="M182:O182"/>
    <mergeCell ref="M183:O183"/>
    <mergeCell ref="M184:O184"/>
    <mergeCell ref="M185:O185"/>
    <mergeCell ref="M186:O186"/>
    <mergeCell ref="M187:O187"/>
    <mergeCell ref="P191:T191"/>
    <mergeCell ref="M192:O192"/>
    <mergeCell ref="P192:T205"/>
    <mergeCell ref="M193:O193"/>
    <mergeCell ref="M194:O194"/>
    <mergeCell ref="M195:O195"/>
    <mergeCell ref="M196:O196"/>
    <mergeCell ref="M197:O197"/>
    <mergeCell ref="M198:O198"/>
    <mergeCell ref="M199:O199"/>
    <mergeCell ref="M200:O200"/>
    <mergeCell ref="M201:O201"/>
    <mergeCell ref="M202:O202"/>
    <mergeCell ref="M203:O203"/>
    <mergeCell ref="M214:O214"/>
    <mergeCell ref="B221:C221"/>
    <mergeCell ref="M221:O221"/>
    <mergeCell ref="M204:O204"/>
    <mergeCell ref="M191:O191"/>
    <mergeCell ref="B222:C222"/>
    <mergeCell ref="M222:O222"/>
    <mergeCell ref="B220:C220"/>
    <mergeCell ref="M220:O220"/>
    <mergeCell ref="P208:T208"/>
    <mergeCell ref="B209:C209"/>
    <mergeCell ref="M209:O209"/>
    <mergeCell ref="P209:T222"/>
    <mergeCell ref="B210:C210"/>
    <mergeCell ref="M210:O210"/>
    <mergeCell ref="B211:C211"/>
    <mergeCell ref="B217:C217"/>
    <mergeCell ref="M217:O217"/>
    <mergeCell ref="M211:O211"/>
    <mergeCell ref="B212:C212"/>
    <mergeCell ref="M212:O212"/>
    <mergeCell ref="H124:I158"/>
    <mergeCell ref="J124:K158"/>
    <mergeCell ref="B218:C218"/>
    <mergeCell ref="M218:O218"/>
    <mergeCell ref="B219:C219"/>
    <mergeCell ref="M219:O219"/>
    <mergeCell ref="B215:C215"/>
    <mergeCell ref="M215:O215"/>
    <mergeCell ref="B216:C216"/>
    <mergeCell ref="M216:O216"/>
    <mergeCell ref="M213:O213"/>
    <mergeCell ref="B214:C214"/>
    <mergeCell ref="M205:O205"/>
    <mergeCell ref="B208:C208"/>
    <mergeCell ref="M208:O208"/>
    <mergeCell ref="B213:C213"/>
  </mergeCells>
  <conditionalFormatting sqref="I67:I94">
    <cfRule type="containsText" dxfId="728" priority="1" operator="containsText" text="5">
      <formula>NOT(ISERROR(SEARCH(("5"),(I67))))</formula>
    </cfRule>
    <cfRule type="containsText" dxfId="727" priority="2" operator="containsText" text="42">
      <formula>NOT(ISERROR(SEARCH(("42"),(I67))))</formula>
    </cfRule>
    <cfRule type="containsText" dxfId="726" priority="3" operator="containsText" text="Please fill in">
      <formula>NOT(ISERROR(SEARCH(("Please fill in"),(I67))))</formula>
    </cfRule>
  </conditionalFormatting>
  <dataValidations count="5">
    <dataValidation type="list" allowBlank="1" showErrorMessage="1" sqref="D62" xr:uid="{3632E786-BB23-D04A-B6D1-0CA16F89BEF3}">
      <formula1>DHC!TypesOfTrainers</formula1>
    </dataValidation>
    <dataValidation type="list" allowBlank="1" showErrorMessage="1" sqref="B9" xr:uid="{14BDEF53-4D30-364F-B8E0-E5654498E1EF}">
      <formula1>"yes,no,partial"</formula1>
    </dataValidation>
    <dataValidation type="list" allowBlank="1" sqref="G58:G62" xr:uid="{79C205E9-E6EE-A04C-BAFC-6E12EBBF2180}">
      <formula1>"yes,no"</formula1>
    </dataValidation>
    <dataValidation type="list" allowBlank="1" showErrorMessage="1" sqref="B99:B119" xr:uid="{3976BA7C-CAFB-7040-B942-AAF6C334E910}">
      <formula1>'https://universiteittwente.sharepoint.com/sites/SportsCoordinatorsSUT/Gedeelde documenten/General/(WIP) FAM Sheets - Regulations 2025-28 - Version April 2025.xlsx'!LocationNames</formula1>
    </dataValidation>
    <dataValidation type="list" allowBlank="1" showErrorMessage="1" sqref="H67:H95 D58:D61" xr:uid="{996D8CFA-A7A9-3643-ACA3-03D9539E569D}">
      <formula1>'https://universiteittwente.sharepoint.com/sites/SportsCoordinatorsSUT/Gedeelde documenten/General/(WIP) FAM Sheets - Regulations 2025-28 - Version April 2025.xlsx'!TypesOfTrainers</formula1>
    </dataValidation>
  </dataValidations>
  <pageMargins left="0.7" right="0.7" top="0.75" bottom="0.75" header="0" footer="0"/>
  <pageSetup paperSize="9" orientation="portrait"/>
  <drawing r:id="rId1"/>
  <legacyDrawing r:id="rId2"/>
  <tableParts count="6">
    <tablePart r:id="rId3"/>
    <tablePart r:id="rId4"/>
    <tablePart r:id="rId5"/>
    <tablePart r:id="rId6"/>
    <tablePart r:id="rId7"/>
    <tablePart r:id="rId8"/>
  </tableParts>
  <extLst>
    <ext xmlns:x14="http://schemas.microsoft.com/office/spreadsheetml/2009/9/main" uri="{CCE6A557-97BC-4b89-ADB6-D9C93CAAB3DF}">
      <x14:dataValidations xmlns:xm="http://schemas.microsoft.com/office/excel/2006/main" count="3">
        <x14:dataValidation type="list" allowBlank="1" showInputMessage="1" showErrorMessage="1" xr:uid="{463E4437-1D05-7F4F-B645-12DE1233E1E0}">
          <x14:formula1>
            <xm:f>Constants!$M$6:$M$7</xm:f>
          </x14:formula1>
          <xm:sqref>B152:B160</xm:sqref>
        </x14:dataValidation>
        <x14:dataValidation type="list" allowBlank="1" showInputMessage="1" showErrorMessage="1" xr:uid="{502331DD-A823-8142-9F5E-F5E5F8DC30F2}">
          <x14:formula1>
            <xm:f>Constants!$C$55:$C$56</xm:f>
          </x14:formula1>
          <xm:sqref>B12</xm:sqref>
        </x14:dataValidation>
        <x14:dataValidation type="list" allowBlank="1" showErrorMessage="1" xr:uid="{EE347A3E-379A-804D-B5B1-BFB6453AFD19}">
          <x14:formula1>
            <xm:f>Constants!$H$6:$H$13</xm:f>
          </x14:formula1>
          <xm:sqref>B67:B95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34B428-0DD2-4A37-81D7-9B83F4E52410}">
  <dimension ref="A1:BG1022"/>
  <sheetViews>
    <sheetView topLeftCell="W11" workbookViewId="0">
      <selection activeCell="AF30" sqref="AF30"/>
    </sheetView>
  </sheetViews>
  <sheetFormatPr defaultColWidth="12.625" defaultRowHeight="15" customHeight="1"/>
  <cols>
    <col min="1" max="1" width="36.625" customWidth="1"/>
    <col min="2" max="2" width="28.125" customWidth="1"/>
    <col min="3" max="3" width="21" customWidth="1"/>
    <col min="4" max="4" width="17.5" customWidth="1"/>
    <col min="5" max="5" width="16.125" customWidth="1"/>
    <col min="6" max="6" width="21.5" customWidth="1"/>
    <col min="7" max="7" width="22.625" customWidth="1"/>
    <col min="8" max="8" width="18.625" customWidth="1"/>
    <col min="9" max="9" width="19.625" customWidth="1"/>
    <col min="10" max="10" width="18.875" customWidth="1"/>
    <col min="11" max="11" width="21.625" customWidth="1"/>
    <col min="12" max="12" width="17.375" customWidth="1"/>
    <col min="13" max="13" width="15.125" customWidth="1"/>
    <col min="14" max="14" width="15.625" customWidth="1"/>
    <col min="15" max="15" width="28.5" customWidth="1"/>
    <col min="16" max="16" width="13.125" customWidth="1"/>
    <col min="17" max="17" width="21.875" customWidth="1"/>
    <col min="18" max="18" width="27" customWidth="1"/>
    <col min="19" max="19" width="20.5" customWidth="1"/>
    <col min="20" max="22" width="7.625" customWidth="1"/>
    <col min="23" max="23" width="31.875" customWidth="1"/>
    <col min="24" max="24" width="7.625" customWidth="1"/>
    <col min="25" max="25" width="8.375" customWidth="1"/>
    <col min="26" max="26" width="21.625" customWidth="1"/>
    <col min="27" max="27" width="12" customWidth="1"/>
    <col min="28" max="28" width="16.5" customWidth="1"/>
    <col min="29" max="29" width="6" customWidth="1"/>
    <col min="30" max="30" width="13.625" customWidth="1"/>
  </cols>
  <sheetData>
    <row r="1" spans="1:59" ht="171" customHeight="1">
      <c r="A1" s="703"/>
      <c r="B1" s="704"/>
      <c r="C1" s="705"/>
      <c r="D1" s="16"/>
      <c r="E1" s="572" t="s">
        <v>192</v>
      </c>
      <c r="F1" s="704"/>
      <c r="G1" s="704"/>
      <c r="H1" s="705"/>
      <c r="I1" s="16"/>
      <c r="J1" s="16"/>
      <c r="K1" s="16"/>
      <c r="L1" s="16"/>
      <c r="M1" s="16"/>
      <c r="N1" s="16"/>
      <c r="O1" s="16"/>
      <c r="P1" s="16"/>
      <c r="Q1" s="16"/>
      <c r="R1" s="16"/>
      <c r="S1" s="16"/>
      <c r="T1" s="16"/>
      <c r="U1" s="16"/>
      <c r="V1" s="16"/>
      <c r="W1" s="16"/>
      <c r="X1" s="16"/>
      <c r="Y1" s="16"/>
      <c r="Z1" s="16"/>
      <c r="AA1" s="16"/>
      <c r="AB1" s="16"/>
      <c r="AC1" s="16"/>
      <c r="AD1" s="16"/>
    </row>
    <row r="2" spans="1:59">
      <c r="A2" s="58" t="s">
        <v>404</v>
      </c>
      <c r="B2" s="152" t="s">
        <v>716</v>
      </c>
      <c r="C2" s="59"/>
      <c r="D2" s="16"/>
      <c r="E2" s="60" t="s">
        <v>406</v>
      </c>
      <c r="F2" s="153"/>
      <c r="G2" s="154"/>
      <c r="H2" s="61"/>
      <c r="I2" s="16"/>
      <c r="J2" s="16"/>
      <c r="K2" s="16"/>
      <c r="L2" s="16"/>
      <c r="M2" s="16"/>
      <c r="N2" s="16"/>
      <c r="O2" s="16"/>
      <c r="P2" s="16"/>
      <c r="Q2" s="16"/>
      <c r="R2" s="16"/>
      <c r="S2" s="16"/>
      <c r="T2" s="16"/>
      <c r="U2" s="16"/>
      <c r="V2" s="16"/>
      <c r="W2" s="16"/>
      <c r="X2" s="16"/>
      <c r="Y2" s="16"/>
      <c r="Z2" s="15"/>
      <c r="AA2" s="15"/>
      <c r="AB2" s="15"/>
      <c r="AC2" s="15"/>
      <c r="AD2" s="16"/>
      <c r="AE2" s="16"/>
      <c r="AF2" s="16"/>
      <c r="AG2" s="16"/>
      <c r="AH2" s="16"/>
      <c r="AI2" s="17"/>
      <c r="AJ2" s="17"/>
      <c r="AK2" s="17"/>
      <c r="AL2" s="17"/>
      <c r="AM2" s="17"/>
      <c r="AN2" s="17"/>
      <c r="AO2" s="17"/>
      <c r="AP2" s="17"/>
      <c r="AQ2" s="17"/>
      <c r="AR2" s="18"/>
      <c r="AS2" s="17"/>
      <c r="AT2" s="17"/>
      <c r="AU2" s="16"/>
      <c r="AV2" s="16"/>
      <c r="AW2" s="16"/>
      <c r="AX2" s="16"/>
      <c r="AY2" s="16"/>
      <c r="AZ2" s="16"/>
      <c r="BA2" s="16"/>
    </row>
    <row r="3" spans="1:59">
      <c r="A3" s="62" t="s">
        <v>408</v>
      </c>
      <c r="B3" s="155">
        <v>5</v>
      </c>
      <c r="C3" s="156"/>
      <c r="D3" s="16"/>
      <c r="E3" s="63" t="s">
        <v>409</v>
      </c>
      <c r="F3" s="189">
        <v>45775</v>
      </c>
      <c r="G3" s="158"/>
      <c r="H3" s="159"/>
      <c r="I3" s="16"/>
      <c r="J3" s="16"/>
      <c r="K3" s="16"/>
      <c r="L3" s="16"/>
      <c r="M3" s="16"/>
      <c r="N3" s="16"/>
      <c r="O3" s="16"/>
      <c r="P3" s="16"/>
      <c r="Q3" s="16"/>
      <c r="R3" s="16"/>
      <c r="S3" s="16"/>
      <c r="T3" s="16"/>
      <c r="U3" s="16"/>
      <c r="V3" s="16"/>
      <c r="W3" s="16"/>
      <c r="X3" s="16"/>
      <c r="Y3" s="16"/>
      <c r="Z3" s="16"/>
      <c r="AA3" s="16"/>
      <c r="AB3" s="16"/>
      <c r="AC3" s="16"/>
      <c r="AD3" s="16"/>
    </row>
    <row r="4" spans="1:59">
      <c r="A4" s="160" t="s">
        <v>410</v>
      </c>
      <c r="B4" s="161">
        <v>45812</v>
      </c>
      <c r="C4" s="162"/>
      <c r="D4" s="16"/>
      <c r="E4" s="163"/>
      <c r="F4" s="164"/>
      <c r="G4" s="165"/>
      <c r="H4" s="166"/>
      <c r="I4" s="16"/>
      <c r="J4" s="16"/>
      <c r="K4" s="16"/>
      <c r="L4" s="16"/>
      <c r="M4" s="16"/>
      <c r="N4" s="16"/>
      <c r="O4" s="16"/>
      <c r="P4" s="16"/>
      <c r="Q4" s="16"/>
      <c r="R4" s="16"/>
      <c r="S4" s="16"/>
      <c r="T4" s="16"/>
      <c r="U4" s="16"/>
      <c r="V4" s="16"/>
      <c r="W4" s="16"/>
      <c r="X4" s="16"/>
      <c r="Y4" s="16"/>
      <c r="Z4" s="16"/>
      <c r="AA4" s="16"/>
      <c r="AB4" s="16"/>
      <c r="AC4" s="16"/>
      <c r="AD4" s="16"/>
    </row>
    <row r="5" spans="1:59">
      <c r="A5" s="167" t="s">
        <v>411</v>
      </c>
      <c r="B5" s="168"/>
      <c r="C5" s="167"/>
      <c r="D5" s="16"/>
      <c r="E5" s="169" t="s">
        <v>412</v>
      </c>
      <c r="F5" s="169"/>
      <c r="G5" s="158"/>
      <c r="H5" s="169"/>
      <c r="I5" s="16"/>
      <c r="J5" s="16"/>
      <c r="K5" s="16"/>
      <c r="L5" s="16"/>
      <c r="M5" s="16"/>
      <c r="N5" s="16"/>
      <c r="O5" s="16"/>
      <c r="P5" s="16"/>
      <c r="Q5" s="16"/>
      <c r="R5" s="16"/>
      <c r="S5" s="16"/>
      <c r="T5" s="16"/>
      <c r="U5" s="16"/>
      <c r="V5" s="16"/>
      <c r="W5" s="16"/>
      <c r="X5" s="16"/>
      <c r="Y5" s="16"/>
      <c r="Z5" s="16"/>
      <c r="AA5" s="16"/>
      <c r="AB5" s="16"/>
      <c r="AC5" s="16"/>
      <c r="AD5" s="16"/>
    </row>
    <row r="6" spans="1:59">
      <c r="A6" s="15"/>
      <c r="B6" s="64"/>
      <c r="C6" s="16"/>
      <c r="D6" s="16"/>
      <c r="E6" s="16"/>
      <c r="F6" s="16"/>
      <c r="G6" s="16"/>
      <c r="H6" s="16"/>
      <c r="I6" s="16"/>
      <c r="J6" s="64"/>
      <c r="K6" s="16"/>
      <c r="L6" s="16"/>
      <c r="M6" s="16"/>
      <c r="N6" s="16"/>
      <c r="O6" s="16"/>
      <c r="P6" s="16"/>
      <c r="Q6" s="16"/>
      <c r="R6" s="16"/>
      <c r="S6" s="16"/>
      <c r="T6" s="16"/>
      <c r="U6" s="16"/>
      <c r="V6" s="16"/>
      <c r="W6" s="16"/>
      <c r="X6" s="16"/>
      <c r="Y6" s="16"/>
      <c r="Z6" s="16"/>
      <c r="AA6" s="16"/>
      <c r="AB6" s="16"/>
      <c r="AC6" s="16"/>
      <c r="AD6" s="16"/>
    </row>
    <row r="7" spans="1:59">
      <c r="A7" s="170" t="s">
        <v>413</v>
      </c>
      <c r="B7" s="59">
        <v>32</v>
      </c>
      <c r="C7" s="16"/>
      <c r="D7" s="573" t="s">
        <v>414</v>
      </c>
      <c r="E7" s="701"/>
      <c r="F7" s="701"/>
      <c r="G7" s="701"/>
      <c r="H7" s="701"/>
      <c r="I7" s="701"/>
      <c r="J7" s="16"/>
      <c r="K7" s="16"/>
      <c r="L7" s="16"/>
      <c r="M7" s="16"/>
      <c r="N7" s="16"/>
      <c r="O7" s="16"/>
      <c r="P7" s="16"/>
      <c r="Q7" s="16"/>
      <c r="R7" s="16"/>
      <c r="S7" s="16"/>
      <c r="T7" s="16"/>
      <c r="U7" s="16"/>
      <c r="V7" s="16"/>
      <c r="W7" s="16"/>
      <c r="X7" s="16"/>
      <c r="Y7" s="16"/>
      <c r="Z7" s="16"/>
      <c r="AA7" s="16"/>
      <c r="AB7" s="16"/>
      <c r="AC7" s="16"/>
      <c r="AD7" s="16"/>
    </row>
    <row r="8" spans="1:59" ht="14.25" customHeight="1">
      <c r="A8" s="171" t="s">
        <v>415</v>
      </c>
      <c r="B8" s="172">
        <f ca="1">M21-M17</f>
        <v>2112.5646164998343</v>
      </c>
      <c r="C8" s="16" t="s">
        <v>416</v>
      </c>
      <c r="D8" s="574" t="s">
        <v>417</v>
      </c>
      <c r="E8" s="704"/>
      <c r="F8" s="704"/>
      <c r="G8" s="704"/>
      <c r="H8" s="704"/>
      <c r="I8" s="704"/>
      <c r="J8" s="16"/>
      <c r="K8" s="16"/>
      <c r="L8" s="16"/>
      <c r="M8" s="16"/>
      <c r="N8" s="16"/>
      <c r="O8" s="16"/>
      <c r="P8" s="16"/>
      <c r="Q8" s="16"/>
      <c r="R8" s="16"/>
      <c r="S8" s="16"/>
      <c r="T8" s="16"/>
      <c r="U8" s="16"/>
      <c r="V8" s="16"/>
      <c r="W8" s="16"/>
      <c r="X8" s="16"/>
      <c r="Y8" s="16"/>
      <c r="Z8" s="16"/>
      <c r="AA8" s="16"/>
      <c r="AB8" s="16"/>
      <c r="AC8" s="16"/>
    </row>
    <row r="9" spans="1:59">
      <c r="A9" s="65" t="s">
        <v>418</v>
      </c>
      <c r="B9" s="173" t="s">
        <v>717</v>
      </c>
      <c r="C9" s="16"/>
      <c r="D9" s="16"/>
      <c r="E9" s="17"/>
      <c r="F9" s="17"/>
      <c r="G9" s="17"/>
      <c r="H9" s="17"/>
      <c r="I9" s="17"/>
      <c r="J9" s="17"/>
      <c r="K9" s="17"/>
      <c r="L9" s="17"/>
      <c r="M9" s="17"/>
      <c r="N9" s="17"/>
      <c r="O9" s="17"/>
      <c r="P9" s="17"/>
      <c r="Q9" s="16"/>
      <c r="R9" s="17"/>
      <c r="S9" s="17"/>
      <c r="T9" s="17"/>
      <c r="U9" s="17"/>
      <c r="V9" s="17"/>
      <c r="W9" s="17"/>
      <c r="X9" s="17"/>
      <c r="Y9" s="17"/>
      <c r="Z9" s="17"/>
      <c r="AA9" s="17"/>
      <c r="AB9" s="17"/>
      <c r="AC9" s="17"/>
      <c r="AD9" s="18" t="s">
        <v>242</v>
      </c>
    </row>
    <row r="10" spans="1:59">
      <c r="A10" s="174" t="s">
        <v>420</v>
      </c>
      <c r="B10" s="257">
        <v>9</v>
      </c>
      <c r="C10" s="16"/>
      <c r="D10" s="16"/>
      <c r="E10" s="17"/>
      <c r="F10" s="17"/>
      <c r="G10" s="17"/>
      <c r="H10" s="17"/>
      <c r="I10" s="17"/>
      <c r="J10" s="17"/>
      <c r="K10" s="17"/>
      <c r="L10" s="17"/>
      <c r="M10" s="17"/>
      <c r="N10" s="17"/>
      <c r="O10" s="17"/>
      <c r="P10" s="17"/>
      <c r="Q10" s="16"/>
      <c r="R10" s="17"/>
      <c r="S10" s="17"/>
      <c r="T10" s="17"/>
      <c r="U10" s="17"/>
      <c r="V10" s="17"/>
      <c r="W10" s="17"/>
      <c r="X10" s="17"/>
      <c r="Y10" s="17"/>
      <c r="Z10" s="17"/>
      <c r="AA10" s="17"/>
      <c r="AB10" s="17"/>
      <c r="AC10" s="17"/>
      <c r="AD10" s="18"/>
    </row>
    <row r="11" spans="1:59">
      <c r="A11" s="171" t="s">
        <v>421</v>
      </c>
      <c r="B11" s="256">
        <v>35</v>
      </c>
      <c r="C11" s="16"/>
      <c r="D11" s="16"/>
      <c r="E11" s="17"/>
      <c r="F11" s="17"/>
      <c r="G11" s="17"/>
      <c r="H11" s="17"/>
      <c r="I11" s="17"/>
      <c r="J11" s="17"/>
      <c r="K11" s="17"/>
      <c r="L11" s="17"/>
      <c r="M11" s="17"/>
      <c r="N11" s="17"/>
      <c r="O11" s="17"/>
      <c r="P11" s="17"/>
      <c r="Q11" s="16"/>
      <c r="R11" s="17"/>
      <c r="S11" s="17"/>
      <c r="T11" s="17"/>
      <c r="U11" s="17"/>
      <c r="V11" s="17"/>
      <c r="W11" s="17"/>
      <c r="X11" s="17"/>
      <c r="Y11" s="17"/>
      <c r="Z11" s="17"/>
      <c r="AA11" s="17"/>
      <c r="AB11" s="17"/>
      <c r="AC11" s="17"/>
      <c r="AD11" s="18"/>
    </row>
    <row r="12" spans="1:59" ht="32.1">
      <c r="A12" s="239" t="s">
        <v>422</v>
      </c>
      <c r="B12" s="240" t="s">
        <v>317</v>
      </c>
      <c r="C12" s="268" t="s">
        <v>718</v>
      </c>
      <c r="D12" s="16"/>
      <c r="E12" s="17"/>
      <c r="F12" s="17"/>
      <c r="G12" s="17"/>
      <c r="H12" s="17"/>
      <c r="I12" s="17"/>
      <c r="J12" s="17"/>
      <c r="K12" s="17"/>
      <c r="L12" s="17"/>
      <c r="M12" s="17"/>
      <c r="N12" s="17"/>
      <c r="O12" s="17"/>
      <c r="P12" s="17"/>
      <c r="Q12" s="16"/>
      <c r="R12" s="17"/>
      <c r="S12" s="17"/>
      <c r="T12" s="17"/>
      <c r="U12" s="17"/>
      <c r="V12" s="17"/>
      <c r="W12" s="17"/>
      <c r="X12" s="17"/>
      <c r="Y12" s="17"/>
      <c r="Z12" s="17"/>
      <c r="AA12" s="17"/>
      <c r="AB12" s="17"/>
      <c r="AC12" s="17"/>
      <c r="AD12" s="18"/>
    </row>
    <row r="13" spans="1:59">
      <c r="A13" s="16"/>
      <c r="B13" s="16"/>
      <c r="C13" s="16"/>
      <c r="D13" s="16"/>
      <c r="E13" s="17"/>
      <c r="F13" s="17"/>
      <c r="G13" s="17"/>
      <c r="H13" s="17"/>
      <c r="I13" s="17"/>
      <c r="J13" s="17"/>
      <c r="K13" s="17"/>
      <c r="L13" s="17"/>
      <c r="M13" s="17"/>
      <c r="N13" s="17"/>
      <c r="O13" s="17"/>
      <c r="P13" s="17"/>
      <c r="Q13" s="16"/>
      <c r="R13" s="17"/>
      <c r="S13" s="17"/>
      <c r="T13" s="17"/>
      <c r="U13" s="17"/>
      <c r="V13" s="17"/>
      <c r="W13" s="17"/>
      <c r="X13" s="17"/>
      <c r="Y13" s="17"/>
      <c r="Z13" s="17"/>
      <c r="AA13" s="17"/>
      <c r="AB13" s="17"/>
      <c r="AC13" s="17"/>
      <c r="AD13" s="17" t="str" cm="1">
        <f t="array" ref="AD13:BF14">Constants!A2:AC3</f>
        <v>SC1</v>
      </c>
      <c r="AE13" s="17" t="str">
        <v>SC1 - Half</v>
      </c>
      <c r="AF13" s="17" t="str">
        <v>SC2</v>
      </c>
      <c r="AG13" s="17" t="str">
        <v>SC2 - Half</v>
      </c>
      <c r="AH13" s="17" t="str">
        <v>SC3</v>
      </c>
      <c r="AI13" s="17" t="str">
        <v>SC4</v>
      </c>
      <c r="AJ13" s="17" t="str">
        <v>SC5</v>
      </c>
      <c r="AK13" s="17" t="str">
        <v>SC6</v>
      </c>
      <c r="AL13" s="17" t="str">
        <v>Dojo</v>
      </c>
      <c r="AM13" s="17" t="str">
        <v>Boulder Wall</v>
      </c>
      <c r="AN13" s="17" t="str">
        <v>Climbing Wall</v>
      </c>
      <c r="AO13" s="17" t="str">
        <v>Artificial Hockey field</v>
      </c>
      <c r="AP13" s="17" t="str">
        <v>Artificial Hockey field - Half</v>
      </c>
      <c r="AQ13" s="17" t="str">
        <v>Artificial Soccer field</v>
      </c>
      <c r="AR13" s="17" t="str">
        <v>Artificial Soccer field - Half</v>
      </c>
      <c r="AS13" s="17" t="str">
        <v>Basketball</v>
      </c>
      <c r="AT13" s="17" t="str">
        <v>Bastille field</v>
      </c>
      <c r="AU13" s="17" t="str">
        <v>Beach fields</v>
      </c>
      <c r="AV13" s="17" t="str">
        <v>Shooting range</v>
      </c>
      <c r="AW13" s="17" t="str">
        <v>Multi/Lacrosse field</v>
      </c>
      <c r="AX13" s="17" t="str">
        <v>Multi/Lacrosse field - Half</v>
      </c>
      <c r="AY13" s="17" t="str">
        <v>Bootcamp field</v>
      </c>
      <c r="AZ13" s="17" t="str">
        <v>Multi/Baseball field</v>
      </c>
      <c r="BA13" s="17" t="str">
        <v>Tennis court</v>
      </c>
      <c r="BB13" s="17" t="str">
        <v>Utrack</v>
      </c>
      <c r="BC13" s="22" t="str">
        <v>Verreveld</v>
      </c>
      <c r="BD13" s="22" t="str">
        <v>Wsc</v>
      </c>
      <c r="BE13" s="22" t="str">
        <v>Indoor pool</v>
      </c>
      <c r="BF13" s="22" t="str">
        <v>Outdoor pool</v>
      </c>
      <c r="BG13" s="22"/>
    </row>
    <row r="14" spans="1:59">
      <c r="A14" s="175" t="s">
        <v>423</v>
      </c>
      <c r="B14" s="16"/>
      <c r="C14" s="16"/>
      <c r="D14" s="16"/>
      <c r="E14" s="16"/>
      <c r="F14" s="16"/>
      <c r="G14" s="175" t="s">
        <v>424</v>
      </c>
      <c r="I14" s="17"/>
      <c r="J14" s="17"/>
      <c r="K14" s="176" t="s">
        <v>425</v>
      </c>
      <c r="L14" s="17"/>
      <c r="M14" s="176" t="s">
        <v>426</v>
      </c>
      <c r="N14" s="17"/>
      <c r="O14" s="17"/>
      <c r="P14" s="17"/>
      <c r="Q14" s="17"/>
      <c r="R14" s="17"/>
      <c r="S14" s="16"/>
      <c r="T14" s="17"/>
      <c r="U14" s="17"/>
      <c r="V14" s="17"/>
      <c r="W14" s="17"/>
      <c r="X14" s="17"/>
      <c r="Y14" s="17"/>
      <c r="Z14" s="17"/>
      <c r="AA14" s="17"/>
      <c r="AB14" s="17"/>
      <c r="AC14" s="17"/>
      <c r="AD14" s="19">
        <v>67.5</v>
      </c>
      <c r="AE14" s="19">
        <v>35</v>
      </c>
      <c r="AF14" s="19">
        <v>67.5</v>
      </c>
      <c r="AG14" s="19">
        <v>35</v>
      </c>
      <c r="AH14" s="19">
        <v>40</v>
      </c>
      <c r="AI14" s="19">
        <v>40</v>
      </c>
      <c r="AJ14" s="19">
        <v>35</v>
      </c>
      <c r="AK14" s="19">
        <v>35</v>
      </c>
      <c r="AL14" s="19">
        <v>40</v>
      </c>
      <c r="AM14" s="19">
        <v>27.5</v>
      </c>
      <c r="AN14" s="19">
        <v>45</v>
      </c>
      <c r="AO14" s="19">
        <v>75</v>
      </c>
      <c r="AP14" s="19">
        <v>40</v>
      </c>
      <c r="AQ14" s="19">
        <v>75</v>
      </c>
      <c r="AR14" s="19">
        <v>40</v>
      </c>
      <c r="AS14" s="19">
        <v>30</v>
      </c>
      <c r="AT14" s="19">
        <v>50</v>
      </c>
      <c r="AU14" s="19">
        <v>75</v>
      </c>
      <c r="AV14" s="19">
        <v>40</v>
      </c>
      <c r="AW14" s="19">
        <v>75</v>
      </c>
      <c r="AX14" s="19">
        <v>40</v>
      </c>
      <c r="AY14" s="19">
        <v>50</v>
      </c>
      <c r="AZ14" s="19">
        <v>65</v>
      </c>
      <c r="BA14" s="19">
        <v>35</v>
      </c>
      <c r="BB14" s="19">
        <v>45</v>
      </c>
      <c r="BC14" s="19">
        <v>50</v>
      </c>
      <c r="BD14" s="19">
        <v>0</v>
      </c>
      <c r="BE14" s="19">
        <v>65</v>
      </c>
      <c r="BF14" s="20">
        <v>70</v>
      </c>
      <c r="BG14" s="20"/>
    </row>
    <row r="15" spans="1:59">
      <c r="A15" s="67"/>
      <c r="B15" s="68" t="str">
        <f>Constants!H6</f>
        <v>Performance training</v>
      </c>
      <c r="C15" s="68" t="str">
        <f>Constants!H7</f>
        <v>Performance coaching</v>
      </c>
      <c r="D15" s="68" t="str">
        <f>Constants!H8</f>
        <v>Dangerous</v>
      </c>
      <c r="E15" s="69" t="str">
        <f>Constants!H9</f>
        <v>Recreational</v>
      </c>
      <c r="F15" s="69" t="s">
        <v>290</v>
      </c>
      <c r="G15" s="70"/>
      <c r="H15" s="71" t="s">
        <v>427</v>
      </c>
      <c r="I15" s="72" t="s">
        <v>272</v>
      </c>
      <c r="J15" s="70" t="s">
        <v>5</v>
      </c>
      <c r="K15" s="72" t="s">
        <v>428</v>
      </c>
      <c r="L15" s="70" t="s">
        <v>429</v>
      </c>
      <c r="M15" s="73" cm="1">
        <f t="array" ref="M15">(SUM(IF($D$50:$D$54="PT",($F$50:$F$54)/1.5+IF($G$50:$G$54="yes",1)))+SUM(IF($D$50:$D$54="Extern",($F$50:$F$54)/1.5+IF($G$50:$G$54="yes",1)))+SUM(IF($D$50:$D$54="PT-ZZP",($F$50:$F$54)/1.5+IF($G$50:$G$54="yes",1))))*Constants!B10</f>
        <v>0</v>
      </c>
      <c r="N15" s="17"/>
      <c r="O15" s="17"/>
      <c r="P15" s="17"/>
      <c r="Q15" s="17"/>
      <c r="R15" s="16"/>
      <c r="S15" s="17"/>
      <c r="T15" s="17"/>
      <c r="U15" s="17"/>
      <c r="V15" s="17"/>
      <c r="W15" s="17"/>
      <c r="X15" s="17"/>
      <c r="Y15" s="17"/>
      <c r="Z15" s="17"/>
      <c r="AA15" s="17"/>
      <c r="AB15" s="17"/>
      <c r="AC15" s="17"/>
      <c r="AD15" s="16">
        <f t="shared" ref="AD15:BF15" si="0">SUMIF($B$76:$B$93,AD13,$F$76:$F$93)</f>
        <v>0</v>
      </c>
      <c r="AE15" s="16">
        <f t="shared" si="0"/>
        <v>0</v>
      </c>
      <c r="AF15" s="16">
        <f t="shared" si="0"/>
        <v>0</v>
      </c>
      <c r="AG15" s="16">
        <f t="shared" si="0"/>
        <v>0</v>
      </c>
      <c r="AH15" s="16">
        <f t="shared" si="0"/>
        <v>0</v>
      </c>
      <c r="AI15" s="16">
        <f t="shared" si="0"/>
        <v>0</v>
      </c>
      <c r="AJ15" s="16">
        <f t="shared" si="0"/>
        <v>0</v>
      </c>
      <c r="AK15" s="16">
        <f t="shared" si="0"/>
        <v>0</v>
      </c>
      <c r="AL15" s="16">
        <f t="shared" si="0"/>
        <v>0</v>
      </c>
      <c r="AM15" s="16">
        <f t="shared" si="0"/>
        <v>0</v>
      </c>
      <c r="AN15" s="16">
        <f t="shared" si="0"/>
        <v>0</v>
      </c>
      <c r="AO15" s="16">
        <f t="shared" si="0"/>
        <v>0</v>
      </c>
      <c r="AP15" s="16">
        <f t="shared" si="0"/>
        <v>0</v>
      </c>
      <c r="AQ15" s="16">
        <f t="shared" si="0"/>
        <v>0</v>
      </c>
      <c r="AR15" s="16">
        <f t="shared" si="0"/>
        <v>0</v>
      </c>
      <c r="AS15" s="16">
        <f t="shared" si="0"/>
        <v>0</v>
      </c>
      <c r="AT15" s="16">
        <f t="shared" si="0"/>
        <v>0</v>
      </c>
      <c r="AU15" s="16">
        <f t="shared" si="0"/>
        <v>0</v>
      </c>
      <c r="AV15" s="16">
        <f t="shared" si="0"/>
        <v>0</v>
      </c>
      <c r="AW15" s="16">
        <f t="shared" si="0"/>
        <v>0</v>
      </c>
      <c r="AX15" s="16">
        <f t="shared" si="0"/>
        <v>0</v>
      </c>
      <c r="AY15" s="16">
        <f t="shared" si="0"/>
        <v>0</v>
      </c>
      <c r="AZ15" s="16">
        <f t="shared" si="0"/>
        <v>0</v>
      </c>
      <c r="BA15" s="16">
        <f t="shared" si="0"/>
        <v>0</v>
      </c>
      <c r="BB15" s="16">
        <f t="shared" si="0"/>
        <v>0</v>
      </c>
      <c r="BC15" s="16">
        <f t="shared" si="0"/>
        <v>0</v>
      </c>
      <c r="BD15" s="16">
        <f t="shared" si="0"/>
        <v>150</v>
      </c>
      <c r="BE15" s="16">
        <f t="shared" si="0"/>
        <v>45</v>
      </c>
      <c r="BF15" s="16">
        <f t="shared" si="0"/>
        <v>0</v>
      </c>
    </row>
    <row r="16" spans="1:59">
      <c r="A16" s="74" t="str">
        <f>Constants!E6</f>
        <v>PT</v>
      </c>
      <c r="B16">
        <f>SUMIFS('DKV Euros'!$F$59:$F$71,'DKV Euros'!$B$59:$B$71, B$15,'DKV Euros'!$H$59:$H$71,$A16)*(1+Constants!$B$7)</f>
        <v>0</v>
      </c>
      <c r="C16">
        <f>SUMIFS('DKV Euros'!$F$59:$F$71,'DKV Euros'!$B$59:$B$71, C$15,'DKV Euros'!$H$59:$H$71,$A16)</f>
        <v>0</v>
      </c>
      <c r="D16">
        <f>SUMIFS('DKV Euros'!$F$59:$F$71,'DKV Euros'!$B$59:$B$71, D$15,'DKV Euros'!$H$59:$H$71,$A16)*(1+Constants!$B$7)</f>
        <v>0</v>
      </c>
      <c r="E16">
        <f>SUMIFS('DKV Euros'!$F$59:$F$71,'DKV Euros'!$B$59:$B$71, E$15,'DKV Euros'!$H$59:$H$71,$A16)*(1+Constants!$B$7)</f>
        <v>0</v>
      </c>
      <c r="F16">
        <f>SUMIFS('DKV Euros'!$F$59:$F$71,'DKV Euros'!$B$59:$B$71, F$15,'DKV Euros'!$H$59:$H$71,$A16)*(1+Constants!$B$7)</f>
        <v>0</v>
      </c>
      <c r="G16" s="74" t="s">
        <v>430</v>
      </c>
      <c r="H16" s="16">
        <f>SUMIF('DKV Euros'!$B$76:$B$94,"&lt;&gt;External",'DKV Euros'!$F$76:$F$94)</f>
        <v>195</v>
      </c>
      <c r="I16" s="75">
        <f>SUMIF('DKV Euros'!$B$78:$B$94,"External",'DKV Euros'!$F$78:$F$94)</f>
        <v>0</v>
      </c>
      <c r="J16" s="234">
        <f>SUM($F$97:$F$130)</f>
        <v>3276</v>
      </c>
      <c r="K16" s="76">
        <f>IF(OR(ISBLANK(B7),ISBLANK(B9)), "ERROR",MAX(MIN(J16,B7*Constants!B15)-Constants!B14*B7,0)*IF(B9="yes",Constants!B16,IF(B9="partial",Constants!B17,0)))</f>
        <v>1478</v>
      </c>
      <c r="L16" s="77" t="s">
        <v>360</v>
      </c>
      <c r="M16" s="76">
        <f>E16*Constants!B6+E17*Constants!B8+E22+E21</f>
        <v>420</v>
      </c>
      <c r="N16" s="17"/>
      <c r="O16" s="17"/>
      <c r="P16" s="17"/>
      <c r="Q16" s="17"/>
      <c r="R16" s="16"/>
      <c r="S16" s="17"/>
      <c r="T16" s="17"/>
      <c r="U16" s="17"/>
      <c r="V16" s="17"/>
      <c r="W16" s="17"/>
      <c r="X16" s="17"/>
      <c r="Y16" s="17"/>
      <c r="Z16" s="17"/>
      <c r="AA16" s="17"/>
      <c r="AB16" s="17"/>
      <c r="AC16" s="17"/>
      <c r="AD16" s="19">
        <f t="shared" ref="AD16:BF16" si="1">AD14*AD15</f>
        <v>0</v>
      </c>
      <c r="AE16" s="19">
        <f t="shared" si="1"/>
        <v>0</v>
      </c>
      <c r="AF16" s="19">
        <f t="shared" si="1"/>
        <v>0</v>
      </c>
      <c r="AG16" s="19">
        <f t="shared" si="1"/>
        <v>0</v>
      </c>
      <c r="AH16" s="19">
        <f t="shared" si="1"/>
        <v>0</v>
      </c>
      <c r="AI16" s="19">
        <f t="shared" si="1"/>
        <v>0</v>
      </c>
      <c r="AJ16" s="19">
        <f t="shared" si="1"/>
        <v>0</v>
      </c>
      <c r="AK16" s="19">
        <f t="shared" si="1"/>
        <v>0</v>
      </c>
      <c r="AL16" s="19">
        <f t="shared" si="1"/>
        <v>0</v>
      </c>
      <c r="AM16" s="19">
        <f t="shared" si="1"/>
        <v>0</v>
      </c>
      <c r="AN16" s="19">
        <f t="shared" si="1"/>
        <v>0</v>
      </c>
      <c r="AO16" s="19">
        <f t="shared" si="1"/>
        <v>0</v>
      </c>
      <c r="AP16" s="19">
        <f t="shared" si="1"/>
        <v>0</v>
      </c>
      <c r="AQ16" s="19">
        <f t="shared" si="1"/>
        <v>0</v>
      </c>
      <c r="AR16" s="19">
        <f t="shared" si="1"/>
        <v>0</v>
      </c>
      <c r="AS16" s="19">
        <f t="shared" si="1"/>
        <v>0</v>
      </c>
      <c r="AT16" s="19">
        <f t="shared" si="1"/>
        <v>0</v>
      </c>
      <c r="AU16" s="19">
        <f t="shared" si="1"/>
        <v>0</v>
      </c>
      <c r="AV16" s="19">
        <f t="shared" si="1"/>
        <v>0</v>
      </c>
      <c r="AW16" s="19">
        <f t="shared" si="1"/>
        <v>0</v>
      </c>
      <c r="AX16" s="19">
        <f t="shared" si="1"/>
        <v>0</v>
      </c>
      <c r="AY16" s="19">
        <f t="shared" si="1"/>
        <v>0</v>
      </c>
      <c r="AZ16" s="19">
        <f t="shared" si="1"/>
        <v>0</v>
      </c>
      <c r="BA16" s="19">
        <f t="shared" si="1"/>
        <v>0</v>
      </c>
      <c r="BB16" s="19">
        <f t="shared" si="1"/>
        <v>0</v>
      </c>
      <c r="BC16" s="19">
        <f t="shared" si="1"/>
        <v>0</v>
      </c>
      <c r="BD16" s="19">
        <f t="shared" si="1"/>
        <v>0</v>
      </c>
      <c r="BE16" s="19">
        <f t="shared" si="1"/>
        <v>2925</v>
      </c>
      <c r="BF16" s="19">
        <f t="shared" si="1"/>
        <v>0</v>
      </c>
    </row>
    <row r="17" spans="1:36">
      <c r="A17" s="74" t="str">
        <f>Constants!E7</f>
        <v>PT-V</v>
      </c>
      <c r="B17">
        <f>SUMIFS('DKV Euros'!$F$59:$F$71,'DKV Euros'!$B$59:$B$71, B$15,'DKV Euros'!$H$59:$H$71,$A17)*(1+Constants!$B$9)</f>
        <v>168</v>
      </c>
      <c r="C17">
        <f>SUMIFS('DKV Euros'!$F$59:$F$71,'DKV Euros'!$B$59:$B$71, C$15,'DKV Euros'!$H$59:$H$71,$A17)</f>
        <v>0</v>
      </c>
      <c r="D17">
        <f>SUMIFS('DKV Euros'!$F$59:$F$71,'DKV Euros'!$B$59:$B$71, D$15,'DKV Euros'!$H$59:$H$71,$A17)*(1+Constants!$B$9)</f>
        <v>0</v>
      </c>
      <c r="E17">
        <f>SUMIFS('DKV Euros'!$F$59:$F$71,'DKV Euros'!$B$59:$B$71, E$15,'DKV Euros'!$H$59:$H$71,$A17)*(1+Constants!$B$9)</f>
        <v>84</v>
      </c>
      <c r="F17">
        <f>SUMIFS('DKV Euros'!$F$59:$F$71,'DKV Euros'!$B$59:$B$71, F$15,'DKV Euros'!$H$59:$H$71,$A17)</f>
        <v>0</v>
      </c>
      <c r="G17" s="74" t="s">
        <v>38</v>
      </c>
      <c r="H17" s="78">
        <f>SUM(AD16:BZ16)</f>
        <v>2925</v>
      </c>
      <c r="I17" s="76" cm="1">
        <f t="array" ref="I17">SUM(IF($B$76:$B$92="External",$F$76:$F$92*$H$76:$H$92,0))</f>
        <v>0</v>
      </c>
      <c r="J17" s="535"/>
      <c r="K17" s="80"/>
      <c r="L17" s="77" t="s">
        <v>63</v>
      </c>
      <c r="M17" s="76">
        <f>J16-K16</f>
        <v>1798</v>
      </c>
      <c r="N17" s="17"/>
      <c r="O17" s="17"/>
      <c r="P17" s="17"/>
      <c r="Q17" s="17"/>
      <c r="R17" s="16"/>
      <c r="S17" s="17"/>
      <c r="T17" s="17"/>
      <c r="U17" s="17"/>
      <c r="V17" s="17"/>
      <c r="W17" s="17"/>
      <c r="X17" s="17"/>
      <c r="Y17" s="17"/>
      <c r="Z17" s="17"/>
      <c r="AA17" s="17"/>
      <c r="AB17" s="17"/>
      <c r="AC17" s="17"/>
      <c r="AD17" s="17"/>
      <c r="AE17" s="17"/>
    </row>
    <row r="18" spans="1:36">
      <c r="A18" s="74" t="str">
        <f>Constants!E8</f>
        <v>PT-ZZP</v>
      </c>
      <c r="B18">
        <f>SUMIFS('DKV Euros'!$F$59:$F$71,'DKV Euros'!$B$59:$B$71, B$15,'DKV Euros'!$H$59:$H$71,$A18)*(1+Constants!$B$7)</f>
        <v>0</v>
      </c>
      <c r="C18">
        <f>SUMIFS('DKV Euros'!$F$59:$F$71,'DKV Euros'!$B$59:$B$71, C$15,'DKV Euros'!$H$59:$H$71,$A18)</f>
        <v>0</v>
      </c>
      <c r="D18">
        <f>SUMIFS('DKV Euros'!$F$59:$F$71,'DKV Euros'!$B$59:$B$71, D$15,'DKV Euros'!$H$59:$H$71,$A18)*(1+Constants!$B$7)</f>
        <v>0</v>
      </c>
      <c r="E18">
        <f>SUMIFS('DKV Euros'!$F$59:$F$71,'DKV Euros'!$B$59:$B$71, E$15,'DKV Euros'!$H$59:$H$71,$A18)*(1+Constants!$B$7)</f>
        <v>0</v>
      </c>
      <c r="F18">
        <f>SUMIFS('DKV Euros'!$F$59:$F$71,'DKV Euros'!$B$59:$B$71, F$15,'DKV Euros'!$H$59:$H$71,$A18)*(1+Constants!$B$7)</f>
        <v>0</v>
      </c>
      <c r="G18" s="74"/>
      <c r="H18" s="78"/>
      <c r="I18" s="76"/>
      <c r="J18" s="536"/>
      <c r="K18" s="80"/>
      <c r="L18" s="77" t="s">
        <v>60</v>
      </c>
      <c r="M18" s="76" t="str">
        <f>IF(I17-Constants!I17*$B$7&gt;0,$I$17-Constants!I17*$B$7,"-")</f>
        <v>-</v>
      </c>
      <c r="N18" s="17"/>
      <c r="O18" s="17"/>
      <c r="P18" s="17"/>
      <c r="Q18" s="17"/>
      <c r="R18" s="16"/>
      <c r="S18" s="17"/>
      <c r="T18" s="17"/>
      <c r="U18" s="17"/>
      <c r="V18" s="17"/>
      <c r="W18" s="17"/>
      <c r="X18" s="17"/>
      <c r="Y18" s="17"/>
      <c r="Z18" s="17"/>
      <c r="AA18" s="17"/>
      <c r="AB18" s="17"/>
      <c r="AC18" s="17"/>
      <c r="AD18" s="17"/>
      <c r="AE18" s="17"/>
    </row>
    <row r="19" spans="1:36">
      <c r="A19" s="74" t="str">
        <f>Constants!E9</f>
        <v>RT</v>
      </c>
      <c r="B19">
        <f>SUMIFS('DKV Euros'!$F$59:$F$71,'DKV Euros'!$B$59:$B$71, B$15,'DKV Euros'!$H$59:$H$71,$A19)</f>
        <v>22.5</v>
      </c>
      <c r="C19">
        <f>SUMIFS('DKV Euros'!$F$59:$F$71,'DKV Euros'!$B$59:$B$71, C$15,'DKV Euros'!$H$59:$H$71,$A19)</f>
        <v>0</v>
      </c>
      <c r="D19">
        <f>SUMIFS('DKV Euros'!$F$59:$F$71,'DKV Euros'!$B$59:$B$71, D$15,'DKV Euros'!$H$59:$H$71,$A19)</f>
        <v>0</v>
      </c>
      <c r="E19">
        <f>SUMIFS('DKV Euros'!$F$59:$F$71,'DKV Euros'!$B$59:$B$71, E$15,'DKV Euros'!$H$59:$H$71,$A19)</f>
        <v>142.5</v>
      </c>
      <c r="F19">
        <f>SUMIFS('DKV Euros'!$F$59:$F$71,'DKV Euros'!$B$59:$B$71, F$15,'DKV Euros'!$H$59:$H$71,$A19)</f>
        <v>0</v>
      </c>
      <c r="G19" s="74" t="s">
        <v>396</v>
      </c>
      <c r="H19" s="78"/>
      <c r="I19" s="76">
        <f>IF(B7*Constants!I17&lt;I17,B7*Constants!I17,I17)</f>
        <v>0</v>
      </c>
      <c r="J19" s="79"/>
      <c r="K19" s="80"/>
      <c r="L19" s="77" t="s">
        <v>431</v>
      </c>
      <c r="M19" s="255">
        <f ca="1">Constants!C31*B7+Data!L10</f>
        <v>1692.5646164998345</v>
      </c>
      <c r="N19" s="17"/>
      <c r="O19" s="17"/>
      <c r="P19" s="17"/>
      <c r="Q19" s="17"/>
      <c r="R19" s="16"/>
      <c r="S19" s="17"/>
      <c r="T19" s="17"/>
      <c r="U19" s="17"/>
      <c r="V19" s="17"/>
      <c r="W19" s="17"/>
      <c r="X19" s="17"/>
      <c r="Y19" s="17"/>
      <c r="Z19" s="17"/>
      <c r="AA19" s="17"/>
      <c r="AB19" s="17"/>
      <c r="AC19" s="17"/>
      <c r="AD19" s="17"/>
      <c r="AE19" s="17"/>
    </row>
    <row r="20" spans="1:36">
      <c r="A20" s="74" t="str">
        <f>Constants!E10</f>
        <v>Extern</v>
      </c>
      <c r="B20">
        <f>SUMIFS('DKV Euros'!$F$59:$F$71,'DKV Euros'!$B$59:$B$71, B$15,'DKV Euros'!$H$59:$H$71,$A20)</f>
        <v>0</v>
      </c>
      <c r="C20">
        <f>SUMIFS('DKV Euros'!$F$59:$F$71,'DKV Euros'!$B$59:$B$71, C$15,'DKV Euros'!$H$59:$H$71,$A20)</f>
        <v>0</v>
      </c>
      <c r="D20">
        <f>SUMIFS('DKV Euros'!$F$59:$F$71,'DKV Euros'!$B$59:$B$71, D$15,'DKV Euros'!$H$59:$H$71,$A20)</f>
        <v>0</v>
      </c>
      <c r="E20">
        <f>SUMIFS('DKV Euros'!$F$59:$F$71,'DKV Euros'!$B$59:$B$71, E$15,'DKV Euros'!$H$59:$H$71,$A20)</f>
        <v>0</v>
      </c>
      <c r="F20">
        <f>SUMIFS('DKV Euros'!$F$59:$F$71,'DKV Euros'!$B$59:$B$71, F$15,'DKV Euros'!$H$59:$H$71,$A20)</f>
        <v>0</v>
      </c>
      <c r="G20" s="81"/>
      <c r="H20" s="16"/>
      <c r="I20" s="75"/>
      <c r="J20" s="79"/>
      <c r="K20" s="82"/>
      <c r="L20" s="83"/>
      <c r="M20" s="84"/>
      <c r="N20" s="17"/>
      <c r="O20" s="17"/>
      <c r="P20" s="17"/>
      <c r="Q20" s="17"/>
      <c r="R20" s="16"/>
      <c r="S20" s="17"/>
      <c r="T20" s="17"/>
      <c r="U20" s="17"/>
      <c r="V20" s="17"/>
      <c r="W20" s="17"/>
      <c r="X20" s="17"/>
      <c r="Y20" s="17"/>
      <c r="Z20" s="17"/>
      <c r="AA20" s="17"/>
      <c r="AB20" s="17"/>
      <c r="AC20" s="17"/>
      <c r="AD20" s="17"/>
      <c r="AE20" s="17"/>
    </row>
    <row r="21" spans="1:36">
      <c r="A21" s="74" t="str">
        <f>CONCATENATE(A18," Costs")</f>
        <v>PT-ZZP Costs</v>
      </c>
      <c r="B21" s="78">
        <f t="array" ref="B21">SUM(IF('DKV Euros'!$B$59:$B$71=B$15,IF('DKV Euros'!$H$59:$H$71="PT-ZZP",'DKV Euros'!$F$59:$F$71*'DKV Euros'!$I$59:$I$71*(1+Constants!$B$7),0),0))</f>
        <v>0</v>
      </c>
      <c r="C21" s="78">
        <f t="array" ref="C21">SUM(IF('DKV Euros'!$B$59:$B$71=C$15,IF('DKV Euros'!$H$59:$H$71="PT-ZZP",'DKV Euros'!$F$59:$F$71*'DKV Euros'!$I$59:$I$71,0),0))</f>
        <v>0</v>
      </c>
      <c r="D21" s="78">
        <f t="array" ref="D21">SUM(IF('DKV Euros'!$B$59:$B$71=D$15,IF('DKV Euros'!$H$59:$H$71="PT-ZZP",'DKV Euros'!$F$59:$F$71*'DKV Euros'!$I$59:$I$71*(1+Constants!$B$7),0),0))</f>
        <v>0</v>
      </c>
      <c r="E21" s="78">
        <f t="array" ref="E21">SUM(IF('DKV Euros'!$B$59:$B$71=E$15,IF('DKV Euros'!$H$59:$H$71="PT-ZZP",'DKV Euros'!$F$59:$F$71*'DKV Euros'!$I$59:$I$71*(1+Constants!$B$7),0),0))</f>
        <v>0</v>
      </c>
      <c r="F21" s="78">
        <f t="array" ref="F21">SUM(IF('DKV Euros'!$B$59:$B$71=F$15,IF('DKV Euros'!$H$59:$H$71="PT-ZZP",'DKV Euros'!$F$59:$F$71*'DKV Euros'!$I$59:$I$71*(1+Constants!$B$7),0),0))</f>
        <v>0</v>
      </c>
      <c r="G21" s="81"/>
      <c r="H21" s="16"/>
      <c r="I21" s="75"/>
      <c r="J21" s="79"/>
      <c r="K21" s="82"/>
      <c r="L21" s="77" t="s">
        <v>5</v>
      </c>
      <c r="M21" s="76">
        <f ca="1">SUM(M15:M20)</f>
        <v>3910.5646164998343</v>
      </c>
      <c r="N21" s="17"/>
      <c r="O21" s="17"/>
      <c r="P21" s="17"/>
      <c r="Q21" s="17"/>
      <c r="R21" s="16"/>
      <c r="S21" s="17"/>
      <c r="T21" s="17"/>
      <c r="U21" s="17"/>
      <c r="V21" s="17"/>
      <c r="W21" s="17"/>
      <c r="X21" s="17"/>
      <c r="Y21" s="17"/>
      <c r="Z21" s="17"/>
      <c r="AA21" s="17"/>
      <c r="AB21" s="17"/>
      <c r="AC21" s="17"/>
      <c r="AD21" s="17"/>
      <c r="AE21" s="17"/>
    </row>
    <row r="22" spans="1:36" ht="15.75" customHeight="1">
      <c r="A22" s="74" t="str">
        <f>CONCATENATE(A20," Costs")</f>
        <v>Extern Costs</v>
      </c>
      <c r="B22" s="78">
        <f t="array" ref="B22">SUM(IF('DKV Euros'!$B$59:$B$71=B$15,IF('DKV Euros'!$H$59:$H$71="Extern",'DKV Euros'!$F$59:$F$71*'DKV Euros'!$I$59:$I$71,0),0))</f>
        <v>0</v>
      </c>
      <c r="C22" s="78">
        <f t="array" ref="C22">SUM(IF('DKV Euros'!$B$59:$B$71=C$15,IF('DKV Euros'!$H$59:$H$71="Extern",'DKV Euros'!$F$59:$F$71*'DKV Euros'!$I$59:$I$71,0),0))</f>
        <v>0</v>
      </c>
      <c r="D22" s="78">
        <f t="array" ref="D22">SUM(IF('DKV Euros'!$B$59:$B$71=D$15,IF('DKV Euros'!$H$59:$H$71="Extern",'DKV Euros'!$F$59:$F$71*'DKV Euros'!$I$59:$I$71,0),0))</f>
        <v>0</v>
      </c>
      <c r="E22" s="78">
        <f t="array" ref="E22">SUM(IF('DKV Euros'!$B$59:$B$71=E$15,IF('DKV Euros'!$H$59:$H$71="Extern",'DKV Euros'!$F$59:$F$71*'DKV Euros'!$I$59:$I$71,0),0))</f>
        <v>0</v>
      </c>
      <c r="F22" s="76">
        <f t="array" ref="F22">SUM(IF('DKV Euros'!$B$59:$B$71=F$15,IF('DKV Euros'!$H$59:$H$71="Extern",'DKV Euros'!$F$59:$F$71*'DKV Euros'!$I$59:$I$71,0),0))</f>
        <v>0</v>
      </c>
      <c r="G22" s="85"/>
      <c r="H22" s="177"/>
      <c r="I22" s="86"/>
      <c r="J22" s="87"/>
      <c r="K22" s="88"/>
      <c r="L22" s="87"/>
      <c r="M22" s="88"/>
      <c r="N22" s="17"/>
      <c r="O22" s="17"/>
      <c r="P22" s="17"/>
      <c r="Q22" s="17"/>
      <c r="R22" s="16"/>
      <c r="S22" s="17"/>
      <c r="T22" s="17"/>
      <c r="U22" s="17"/>
      <c r="V22" s="17"/>
      <c r="W22" s="17"/>
      <c r="X22" s="17"/>
      <c r="Y22" s="17"/>
      <c r="Z22" s="17"/>
      <c r="AA22" s="17"/>
      <c r="AB22" s="17"/>
      <c r="AC22" s="17"/>
      <c r="AD22" s="17"/>
      <c r="AE22" s="17"/>
    </row>
    <row r="23" spans="1:36" ht="15" customHeight="1">
      <c r="A23" s="74" t="s">
        <v>432</v>
      </c>
      <c r="B23" s="78"/>
      <c r="C23" s="78"/>
      <c r="D23" s="78"/>
      <c r="E23" s="78"/>
      <c r="F23" s="76">
        <f t="array" ref="F23">SUMIFS('DKV Euros'!$F$59:$F$71,'DKV Euros'!$B$59:$B$71,"Mentorship",'DKV Euros'!$H$59:$H$71,"PT-V")*Constants!B8+SUMIFS('DKV Euros'!$F$59:$F$71,'DKV Euros'!$B$59:$B$71,"Mentorship",'DKV Euros'!$H$59:$H$71,"PT")*Constants!B6+SUMPRODUCT(IF('DKV Euros'!$B$59:$B$71="Mentorship",IF('DKV Euros'!$H$59:$H$71="PT-ZZP",'DKV Euros'!$F$59:$F$71*'DKV Euros'!$I$59:$I$71,0)))</f>
        <v>0</v>
      </c>
    </row>
    <row r="24" spans="1:36" ht="15" customHeight="1">
      <c r="A24" s="89" t="s">
        <v>433</v>
      </c>
      <c r="B24" s="178"/>
      <c r="C24" s="178"/>
      <c r="D24" s="178"/>
      <c r="E24" s="267">
        <f>SUMIF('DKV Euros'!$B$59:$B$71,"External Trainer Course",'DKV Euros'!$I$59:$I$71)</f>
        <v>0</v>
      </c>
      <c r="F24" s="90"/>
    </row>
    <row r="25" spans="1:36" ht="15.75" customHeight="1">
      <c r="A25" s="16"/>
      <c r="B25" s="16"/>
      <c r="C25" s="16"/>
      <c r="D25" s="16"/>
      <c r="E25" s="17"/>
      <c r="F25" s="17"/>
      <c r="G25" s="17"/>
      <c r="H25" s="17"/>
      <c r="I25" s="17"/>
      <c r="J25" s="17"/>
      <c r="K25" s="17"/>
      <c r="L25" s="17"/>
      <c r="M25" s="17"/>
      <c r="N25" s="17"/>
      <c r="O25" s="17"/>
      <c r="P25" s="17"/>
      <c r="Q25" s="16"/>
      <c r="R25" s="17"/>
      <c r="S25" s="17"/>
      <c r="T25" s="17"/>
      <c r="U25" s="17"/>
      <c r="V25" s="17"/>
      <c r="W25" s="17"/>
      <c r="X25" s="17"/>
      <c r="Y25" s="17"/>
      <c r="Z25" s="17"/>
      <c r="AA25" s="17"/>
      <c r="AB25" s="17"/>
      <c r="AC25" s="17"/>
      <c r="AD25" s="17"/>
    </row>
    <row r="26" spans="1:36" ht="15.75" customHeight="1">
      <c r="A26" s="16"/>
      <c r="B26" s="16"/>
      <c r="C26" s="16"/>
      <c r="D26" s="16"/>
      <c r="E26" s="17"/>
      <c r="F26" s="17"/>
      <c r="G26" s="17"/>
      <c r="H26" s="17"/>
      <c r="I26" s="17"/>
      <c r="J26" s="17"/>
      <c r="K26" s="17"/>
      <c r="L26" s="17"/>
      <c r="M26" s="17"/>
      <c r="N26" s="17"/>
      <c r="O26" s="17"/>
      <c r="P26" s="17"/>
      <c r="Q26" s="16"/>
      <c r="R26" s="17"/>
      <c r="S26" s="17"/>
      <c r="T26" s="17"/>
      <c r="U26" s="17"/>
      <c r="V26" s="17"/>
      <c r="W26" s="17"/>
      <c r="X26" s="17"/>
      <c r="Y26" s="17"/>
      <c r="Z26" s="17"/>
      <c r="AA26" s="17"/>
      <c r="AB26" s="17"/>
      <c r="AC26" s="17"/>
      <c r="AD26" s="17"/>
    </row>
    <row r="27" spans="1:36" ht="15.75" customHeight="1" thickBot="1">
      <c r="A27" s="91" t="s">
        <v>434</v>
      </c>
      <c r="B27" s="17"/>
      <c r="C27" s="17"/>
      <c r="D27" s="17"/>
      <c r="E27" s="17"/>
      <c r="F27" s="17"/>
      <c r="G27" s="92"/>
      <c r="H27" s="19"/>
      <c r="I27" s="17"/>
      <c r="J27" s="17"/>
      <c r="K27" s="17"/>
      <c r="L27" s="17"/>
      <c r="M27" s="17"/>
      <c r="N27" s="17"/>
      <c r="O27" s="17"/>
      <c r="P27" s="17"/>
      <c r="Q27" s="16"/>
      <c r="R27" s="17"/>
      <c r="S27" s="17"/>
      <c r="T27" s="17"/>
      <c r="U27" s="17"/>
      <c r="V27" s="17"/>
      <c r="W27" s="17"/>
      <c r="X27" s="17"/>
      <c r="Y27" s="17"/>
      <c r="Z27" s="17"/>
      <c r="AA27" s="17"/>
      <c r="AB27" s="17"/>
      <c r="AC27" s="17"/>
      <c r="AD27" s="17"/>
    </row>
    <row r="28" spans="1:36" ht="15.75" customHeight="1" thickTop="1" thickBot="1">
      <c r="A28" s="706" t="s">
        <v>435</v>
      </c>
      <c r="B28" s="707"/>
      <c r="C28" s="707"/>
      <c r="D28" s="707"/>
      <c r="E28" s="707"/>
      <c r="F28" s="708"/>
      <c r="G28" s="15"/>
      <c r="H28" s="17"/>
      <c r="I28" s="17"/>
      <c r="J28" s="17"/>
      <c r="K28" s="17"/>
      <c r="L28" s="17"/>
      <c r="M28" s="17"/>
      <c r="N28" s="17"/>
      <c r="O28" s="17"/>
      <c r="P28" s="17"/>
      <c r="Q28" s="16"/>
      <c r="R28" s="17"/>
      <c r="S28" s="17"/>
      <c r="T28" s="17"/>
      <c r="U28" s="17"/>
      <c r="V28" s="17"/>
      <c r="W28" s="17"/>
      <c r="X28" s="17"/>
      <c r="Y28" s="17"/>
      <c r="Z28" s="17"/>
      <c r="AA28" s="17"/>
      <c r="AB28" s="17"/>
      <c r="AC28" s="17"/>
      <c r="AD28" s="242" t="s">
        <v>436</v>
      </c>
      <c r="AE28" s="16"/>
      <c r="AF28" s="128"/>
      <c r="AG28" s="51"/>
      <c r="AH28" s="51"/>
      <c r="AI28" s="51"/>
      <c r="AJ28" s="51"/>
    </row>
    <row r="29" spans="1:36" ht="15.75" customHeight="1" thickBot="1">
      <c r="A29" s="709" t="s">
        <v>437</v>
      </c>
      <c r="B29" s="696"/>
      <c r="C29" s="696"/>
      <c r="D29" s="696"/>
      <c r="E29" s="696"/>
      <c r="F29" s="710"/>
      <c r="G29" s="17"/>
      <c r="H29" s="17"/>
      <c r="I29" s="17"/>
      <c r="J29" s="17"/>
      <c r="K29" s="17"/>
      <c r="L29" s="17"/>
      <c r="M29" s="17"/>
      <c r="N29" s="17"/>
      <c r="O29" s="17"/>
      <c r="P29" s="17"/>
      <c r="Q29" s="16"/>
      <c r="R29" s="17"/>
      <c r="S29" s="17"/>
      <c r="T29" s="17"/>
      <c r="U29" s="17"/>
      <c r="V29" s="17"/>
      <c r="W29" s="17"/>
      <c r="X29" s="17"/>
      <c r="Y29" s="17"/>
      <c r="Z29" s="17"/>
      <c r="AA29" s="17"/>
      <c r="AB29" s="17"/>
      <c r="AC29" s="17"/>
      <c r="AD29" s="243" t="s">
        <v>438</v>
      </c>
      <c r="AE29" s="243" t="s">
        <v>439</v>
      </c>
      <c r="AF29" s="243" t="s">
        <v>440</v>
      </c>
      <c r="AG29" s="711" t="s">
        <v>441</v>
      </c>
      <c r="AH29" s="712"/>
      <c r="AI29" s="711" t="s">
        <v>434</v>
      </c>
      <c r="AJ29" s="712"/>
    </row>
    <row r="30" spans="1:36" ht="15.75" customHeight="1" thickBot="1">
      <c r="A30" s="709" t="s">
        <v>442</v>
      </c>
      <c r="B30" s="696"/>
      <c r="C30" s="696"/>
      <c r="D30" s="696"/>
      <c r="E30" s="696"/>
      <c r="F30" s="710"/>
      <c r="G30" s="17"/>
      <c r="H30" s="17"/>
      <c r="I30" s="17"/>
      <c r="J30" s="17"/>
      <c r="K30" s="17"/>
      <c r="L30" s="17"/>
      <c r="M30" s="17"/>
      <c r="N30" s="17"/>
      <c r="O30" s="17"/>
      <c r="P30" s="17"/>
      <c r="Q30" s="16"/>
      <c r="R30" s="17"/>
      <c r="S30" s="17"/>
      <c r="T30" s="17"/>
      <c r="U30" s="17"/>
      <c r="V30" s="17"/>
      <c r="W30" s="17"/>
      <c r="X30" s="17"/>
      <c r="Y30" s="17"/>
      <c r="Z30" s="17"/>
      <c r="AA30" s="17"/>
      <c r="AB30" s="17"/>
      <c r="AC30" s="17"/>
      <c r="AD30" s="244" t="str">
        <f>IF($B$12="individual",Constants!F55,Constants!L55)</f>
        <v>member count</v>
      </c>
      <c r="AE30" s="244">
        <f>B7</f>
        <v>32</v>
      </c>
      <c r="AF30" s="269">
        <f>IF(AE30&gt;=301,5,IF(AE30&gt;=176,4,IF(AE30&gt;=101,3,IF(AE30&gt;=51,2,1))))</f>
        <v>1</v>
      </c>
      <c r="AG30" s="560" t="s">
        <v>719</v>
      </c>
      <c r="AH30" s="560"/>
      <c r="AI30" s="560" t="s">
        <v>443</v>
      </c>
      <c r="AJ30" s="560"/>
    </row>
    <row r="31" spans="1:36" ht="15" customHeight="1" thickBot="1">
      <c r="A31" s="709" t="s">
        <v>444</v>
      </c>
      <c r="B31" s="696"/>
      <c r="C31" s="696"/>
      <c r="D31" s="696"/>
      <c r="E31" s="696"/>
      <c r="F31" s="710"/>
      <c r="G31" s="17"/>
      <c r="H31" s="17"/>
      <c r="I31" s="17"/>
      <c r="J31" s="17"/>
      <c r="K31" s="17"/>
      <c r="L31" s="17"/>
      <c r="M31" s="17"/>
      <c r="N31" s="17"/>
      <c r="O31" s="17"/>
      <c r="P31" s="17"/>
      <c r="Q31" s="16"/>
      <c r="R31" s="17"/>
      <c r="S31" s="17"/>
      <c r="T31" s="17"/>
      <c r="U31" s="17"/>
      <c r="V31" s="17"/>
      <c r="W31" s="17"/>
      <c r="X31" s="17"/>
      <c r="Y31" s="17"/>
      <c r="Z31" s="17"/>
      <c r="AA31" s="17"/>
      <c r="AB31" s="17"/>
      <c r="AC31" s="17"/>
      <c r="AD31" s="244" t="str">
        <f>IF($B$12="individual",Constants!F56,Constants!L56)</f>
        <v>number of trainings per week</v>
      </c>
      <c r="AE31" s="244" cm="1">
        <f t="array" ref="AE31">SUMPRODUCT(C59:C71*D59:D71)/42</f>
        <v>5.4761904761904763</v>
      </c>
      <c r="AF31" s="270">
        <f>IF(AE31&gt;=4,3,IF(AE31&gt;=3,2,IF(AE31&gt;=2,1,0)))</f>
        <v>3</v>
      </c>
      <c r="AG31" s="560"/>
      <c r="AH31" s="560"/>
      <c r="AI31" s="560"/>
      <c r="AJ31" s="560"/>
    </row>
    <row r="32" spans="1:36" ht="15.75" customHeight="1" thickBot="1">
      <c r="A32" s="709" t="s">
        <v>445</v>
      </c>
      <c r="B32" s="696"/>
      <c r="C32" s="696"/>
      <c r="D32" s="696"/>
      <c r="E32" s="696"/>
      <c r="F32" s="710"/>
      <c r="G32" s="17"/>
      <c r="H32" s="16"/>
      <c r="I32" s="16"/>
      <c r="J32" s="16"/>
      <c r="K32" s="17"/>
      <c r="L32" s="17"/>
      <c r="M32" s="17"/>
      <c r="N32" s="17"/>
      <c r="O32" s="17"/>
      <c r="P32" s="17"/>
      <c r="Q32" s="16"/>
      <c r="R32" s="17"/>
      <c r="S32" s="17"/>
      <c r="T32" s="17"/>
      <c r="U32" s="17"/>
      <c r="V32" s="17"/>
      <c r="W32" s="17"/>
      <c r="X32" s="17"/>
      <c r="Y32" s="17"/>
      <c r="Z32" s="17"/>
      <c r="AA32" s="17"/>
      <c r="AB32" s="17"/>
      <c r="AC32" s="17"/>
      <c r="AD32" s="244" t="str">
        <f>IF($B$12="individual",Constants!F57,Constants!L57)</f>
        <v>number of trainings weeks per year</v>
      </c>
      <c r="AE32" s="266">
        <f>MAX(C59:C71)</f>
        <v>40</v>
      </c>
      <c r="AF32" s="250">
        <f>IF(AE32&gt;=40,3,IF(AE32&gt;=35,2,1))</f>
        <v>3</v>
      </c>
      <c r="AG32" s="560"/>
      <c r="AH32" s="560"/>
      <c r="AI32" s="560"/>
      <c r="AJ32" s="560"/>
    </row>
    <row r="33" spans="1:58" ht="15.75" customHeight="1" thickBot="1">
      <c r="A33" s="93" t="s">
        <v>446</v>
      </c>
      <c r="F33" s="94"/>
      <c r="G33" s="17"/>
      <c r="H33" s="16"/>
      <c r="I33" s="16"/>
      <c r="J33" s="16"/>
      <c r="K33" s="17"/>
      <c r="L33" s="17"/>
      <c r="M33" s="17"/>
      <c r="N33" s="17"/>
      <c r="O33" s="17"/>
      <c r="P33" s="17"/>
      <c r="Q33" s="16"/>
      <c r="R33" s="17"/>
      <c r="S33" s="17"/>
      <c r="T33" s="17"/>
      <c r="U33" s="17"/>
      <c r="V33" s="17"/>
      <c r="W33" s="17"/>
      <c r="X33" s="17"/>
      <c r="Y33" s="17"/>
      <c r="Z33" s="17"/>
      <c r="AA33" s="17"/>
      <c r="AB33" s="17"/>
      <c r="AC33" s="17"/>
      <c r="AD33" s="244" t="str">
        <f>IF($B$12="individual",Constants!F58,Constants!L58)</f>
        <v>number of training hours by RT / PT-V</v>
      </c>
      <c r="AE33" s="265">
        <f>(SUMIF(H59:H71,"RT",F59:F71)+SUMIF(H59:H71,"PT-V",F59:F71))/SUM(F59:F71)</f>
        <v>1</v>
      </c>
      <c r="AF33" s="270">
        <f>IF(AE33&gt;0.9,3,IF(AE33&gt;0.6,2,IF(AE33&gt;0.3,1,0)))</f>
        <v>3</v>
      </c>
      <c r="AG33" s="560"/>
      <c r="AH33" s="560"/>
      <c r="AI33" s="560"/>
      <c r="AJ33" s="560"/>
    </row>
    <row r="34" spans="1:58" ht="15.75" customHeight="1" thickBot="1">
      <c r="A34" s="713" t="s">
        <v>447</v>
      </c>
      <c r="B34" s="714"/>
      <c r="C34" s="714"/>
      <c r="D34" s="714"/>
      <c r="E34" s="714"/>
      <c r="F34" s="715"/>
      <c r="G34" s="17"/>
      <c r="H34" s="16"/>
      <c r="I34" s="16"/>
      <c r="J34" s="16"/>
      <c r="K34" s="17"/>
      <c r="L34" s="17"/>
      <c r="M34" s="17"/>
      <c r="N34" s="17"/>
      <c r="O34" s="17"/>
      <c r="P34" s="17"/>
      <c r="Q34" s="16"/>
      <c r="R34" s="17"/>
      <c r="S34" s="17"/>
      <c r="T34" s="17"/>
      <c r="U34" s="17"/>
      <c r="V34" s="17"/>
      <c r="W34" s="17"/>
      <c r="X34" s="17"/>
      <c r="Y34" s="17"/>
      <c r="Z34" s="17"/>
      <c r="AA34" s="17"/>
      <c r="AB34" s="17"/>
      <c r="AC34" s="17"/>
      <c r="AD34" s="244" t="str">
        <f>IF($B$12="individual",Constants!F59,Constants!L59)</f>
        <v>number of training groups / teams</v>
      </c>
      <c r="AE34" s="244">
        <f>B10</f>
        <v>9</v>
      </c>
      <c r="AF34" s="271">
        <f>IF(AE34&gt;9,3,IF(AE34&gt;4,2,IF(AE34&gt;2,1,0)))</f>
        <v>2</v>
      </c>
      <c r="AG34" s="560"/>
      <c r="AH34" s="560"/>
      <c r="AI34" s="560"/>
      <c r="AJ34" s="560"/>
    </row>
    <row r="35" spans="1:58" ht="15.75" customHeight="1" thickTop="1" thickBot="1">
      <c r="A35" s="16"/>
      <c r="G35" s="17"/>
      <c r="H35" s="16"/>
      <c r="I35" s="16"/>
      <c r="J35" s="16"/>
      <c r="K35" s="17"/>
      <c r="L35" s="17"/>
      <c r="M35" s="17"/>
      <c r="N35" s="17"/>
      <c r="O35" s="17"/>
      <c r="P35" s="17"/>
      <c r="Q35" s="16"/>
      <c r="R35" s="17"/>
      <c r="S35" s="17"/>
      <c r="T35" s="17"/>
      <c r="U35" s="17"/>
      <c r="V35" s="17"/>
      <c r="W35" s="17"/>
      <c r="X35" s="17"/>
      <c r="Y35" s="17"/>
      <c r="Z35" s="17"/>
      <c r="AA35" s="17"/>
      <c r="AB35" s="17"/>
      <c r="AC35" s="17"/>
      <c r="AD35" s="244" t="str">
        <f>IF($B$12="individual",Constants!F60,Constants!L60)</f>
        <v>number of competitions organised</v>
      </c>
      <c r="AE35" s="249">
        <v>0</v>
      </c>
      <c r="AF35" s="271">
        <f>IF(AE35&gt;=4,5,IF(AE35&gt;=2,3,IF(AE35&gt;=1,1,0)))</f>
        <v>0</v>
      </c>
      <c r="AG35" s="560"/>
      <c r="AH35" s="560"/>
      <c r="AI35" s="560"/>
      <c r="AJ35" s="560"/>
    </row>
    <row r="36" spans="1:58" ht="15.75" customHeight="1" thickBot="1">
      <c r="A36" s="179" t="s">
        <v>448</v>
      </c>
      <c r="B36" s="16"/>
      <c r="C36" s="16"/>
      <c r="D36" s="16"/>
      <c r="E36" s="16"/>
      <c r="F36" s="16"/>
      <c r="G36" s="16"/>
      <c r="H36" s="16"/>
      <c r="I36" s="16"/>
      <c r="J36" s="16"/>
      <c r="K36" s="16"/>
      <c r="L36" s="16"/>
      <c r="M36" s="16"/>
      <c r="N36" s="16"/>
      <c r="O36" s="16"/>
      <c r="P36" s="16"/>
      <c r="Q36" s="16"/>
      <c r="R36" s="16"/>
      <c r="S36" s="16"/>
      <c r="T36" s="16"/>
      <c r="U36" s="16"/>
      <c r="V36" s="16"/>
      <c r="W36" s="16"/>
      <c r="X36" s="16"/>
      <c r="Y36" s="16"/>
      <c r="Z36" s="16"/>
      <c r="AA36" s="16"/>
      <c r="AB36" s="18"/>
      <c r="AC36" s="16"/>
      <c r="AD36" s="244" t="str">
        <f>IF($B$12="individual",Constants!F61,Constants!L61)</f>
        <v>number of social activities</v>
      </c>
      <c r="AE36" s="249">
        <v>0</v>
      </c>
      <c r="AF36" s="271">
        <f>IF(AE36&gt;=20,2,IF(AE36&gt;=10,1,0))</f>
        <v>0</v>
      </c>
      <c r="AG36" s="560"/>
      <c r="AH36" s="560"/>
      <c r="AI36" s="560"/>
      <c r="AJ36" s="560"/>
    </row>
    <row r="37" spans="1:58" ht="15" customHeight="1" thickTop="1" thickBot="1">
      <c r="A37" s="258" t="s">
        <v>449</v>
      </c>
      <c r="B37" s="259" t="s">
        <v>450</v>
      </c>
      <c r="C37" s="258" t="s">
        <v>451</v>
      </c>
      <c r="D37" s="258" t="s">
        <v>452</v>
      </c>
      <c r="E37" s="258" t="s">
        <v>453</v>
      </c>
      <c r="F37" s="258" t="s">
        <v>454</v>
      </c>
      <c r="G37" s="259" t="s">
        <v>455</v>
      </c>
      <c r="H37" s="561" t="s">
        <v>456</v>
      </c>
      <c r="I37" s="716"/>
      <c r="J37" s="717"/>
      <c r="K37" s="98"/>
      <c r="L37" s="98"/>
      <c r="M37" s="98"/>
      <c r="N37" s="98"/>
      <c r="O37" s="98"/>
      <c r="P37" s="98"/>
      <c r="Q37" s="98"/>
      <c r="R37" s="98"/>
      <c r="S37" s="98"/>
      <c r="T37" s="98"/>
      <c r="U37" s="96"/>
      <c r="V37" s="96"/>
      <c r="W37" s="96"/>
      <c r="X37" s="96"/>
      <c r="Y37" s="99"/>
      <c r="Z37" s="96"/>
      <c r="AA37" s="96"/>
      <c r="AB37" s="100"/>
      <c r="AC37" s="100"/>
      <c r="AD37" s="244" t="str">
        <f>IF($B$12="individual",Constants!F62,Constants!L62)</f>
        <v>number of bar days</v>
      </c>
      <c r="AE37" s="249">
        <v>0</v>
      </c>
      <c r="AF37" s="271">
        <f>IF(AE37&gt;=15,2,IF(AE37&gt;=8,1,0))</f>
        <v>0</v>
      </c>
      <c r="AG37" s="560"/>
      <c r="AH37" s="560"/>
      <c r="AI37" s="560"/>
      <c r="AJ37" s="560"/>
      <c r="AK37" s="100"/>
      <c r="AL37" s="100"/>
      <c r="AM37" s="100"/>
      <c r="AN37" s="100"/>
      <c r="AO37" s="100"/>
      <c r="AP37" s="100"/>
      <c r="AQ37" s="100"/>
      <c r="AR37" s="100"/>
      <c r="AS37" s="100"/>
      <c r="AT37" s="100"/>
      <c r="AU37" s="100"/>
      <c r="AV37" s="100"/>
      <c r="AW37" s="100"/>
      <c r="AX37" s="100"/>
      <c r="AY37" s="100"/>
      <c r="AZ37" s="100"/>
      <c r="BA37" s="100"/>
      <c r="BB37" s="100"/>
      <c r="BC37" s="100"/>
      <c r="BD37" s="100"/>
      <c r="BE37" s="100"/>
      <c r="BF37" s="100"/>
    </row>
    <row r="38" spans="1:58" ht="15" customHeight="1" thickTop="1" thickBot="1">
      <c r="A38" s="312" t="s">
        <v>720</v>
      </c>
      <c r="B38" s="392">
        <v>9</v>
      </c>
      <c r="C38" s="312">
        <v>1</v>
      </c>
      <c r="D38" s="313">
        <v>40</v>
      </c>
      <c r="E38" s="312" t="s">
        <v>281</v>
      </c>
      <c r="F38" s="323"/>
      <c r="G38" s="259"/>
      <c r="H38" s="619" t="s">
        <v>721</v>
      </c>
      <c r="I38" s="620"/>
      <c r="J38" s="621"/>
      <c r="K38" s="98"/>
      <c r="L38" s="98"/>
      <c r="M38" s="98"/>
      <c r="N38" s="98"/>
      <c r="O38" s="98"/>
      <c r="P38" s="98"/>
      <c r="Q38" s="98"/>
      <c r="R38" s="98"/>
      <c r="S38" s="98"/>
      <c r="T38" s="98"/>
      <c r="U38" s="96"/>
      <c r="V38" s="96"/>
      <c r="W38" s="96"/>
      <c r="X38" s="96"/>
      <c r="Y38" s="99"/>
      <c r="Z38" s="96"/>
      <c r="AA38" s="96"/>
      <c r="AB38" s="100"/>
      <c r="AC38" s="100"/>
      <c r="AD38" s="244" t="str">
        <f>IF($B$12="individual",Constants!F63,Constants!L63)</f>
        <v>own bar / extra location</v>
      </c>
      <c r="AE38" s="249">
        <v>1</v>
      </c>
      <c r="AF38" s="271">
        <f>IF(AE38&gt;=15,2,IF(AE38&gt;=8,1,0))</f>
        <v>0</v>
      </c>
      <c r="AG38" s="560"/>
      <c r="AH38" s="560"/>
      <c r="AI38" s="560"/>
      <c r="AJ38" s="560"/>
      <c r="AK38" s="100"/>
      <c r="AL38" s="100"/>
      <c r="AM38" s="100"/>
      <c r="AN38" s="100"/>
      <c r="AO38" s="100"/>
      <c r="AP38" s="100"/>
      <c r="AQ38" s="100"/>
      <c r="AR38" s="100"/>
      <c r="AS38" s="100"/>
      <c r="AT38" s="100"/>
      <c r="AU38" s="100"/>
      <c r="AV38" s="100"/>
      <c r="AW38" s="100"/>
      <c r="AX38" s="100"/>
      <c r="AY38" s="100"/>
      <c r="AZ38" s="100"/>
      <c r="BA38" s="100"/>
      <c r="BB38" s="100"/>
      <c r="BC38" s="100"/>
      <c r="BD38" s="100"/>
      <c r="BE38" s="100"/>
      <c r="BF38" s="100"/>
    </row>
    <row r="39" spans="1:58" ht="15" customHeight="1" thickBot="1">
      <c r="A39" s="312" t="s">
        <v>722</v>
      </c>
      <c r="B39" s="392">
        <v>8</v>
      </c>
      <c r="C39" s="312">
        <v>1</v>
      </c>
      <c r="D39" s="313">
        <v>40</v>
      </c>
      <c r="E39" s="312" t="s">
        <v>281</v>
      </c>
      <c r="F39" s="323"/>
      <c r="G39" s="259"/>
      <c r="H39" s="622"/>
      <c r="I39" s="623"/>
      <c r="J39" s="624"/>
      <c r="K39" s="98"/>
      <c r="L39" s="98"/>
      <c r="M39" s="98"/>
      <c r="N39" s="98"/>
      <c r="O39" s="98"/>
      <c r="P39" s="98"/>
      <c r="Q39" s="98"/>
      <c r="R39" s="98"/>
      <c r="S39" s="98"/>
      <c r="T39" s="98"/>
      <c r="U39" s="96"/>
      <c r="V39" s="96"/>
      <c r="W39" s="96"/>
      <c r="X39" s="96"/>
      <c r="Y39" s="99"/>
      <c r="Z39" s="96"/>
      <c r="AA39" s="96"/>
      <c r="AB39" s="100"/>
      <c r="AC39" s="100"/>
      <c r="AD39" s="244" t="str">
        <f>IF($B$12="individual",Constants!F65,Constants!L64)</f>
        <v>number of competitions attended</v>
      </c>
      <c r="AE39" s="249">
        <v>9</v>
      </c>
      <c r="AF39" s="273">
        <f>IF(B49="individual", IF(AE39&gt;10, 5, IF(AE39&gt;6, 3, IF(AE39&gt;2, 1, 0))), IF(AE39&gt;3, 3, IF(AE39&gt;1, 2, 1)))</f>
        <v>3</v>
      </c>
      <c r="AG39" s="560"/>
      <c r="AH39" s="560"/>
      <c r="AI39" s="560"/>
      <c r="AJ39" s="560"/>
      <c r="AK39" s="100"/>
      <c r="AL39" s="100"/>
      <c r="AM39" s="100"/>
      <c r="AN39" s="100"/>
      <c r="AO39" s="100"/>
      <c r="AP39" s="100"/>
      <c r="AQ39" s="100"/>
      <c r="AR39" s="100"/>
      <c r="AS39" s="100"/>
      <c r="AT39" s="100"/>
      <c r="AU39" s="100"/>
      <c r="AV39" s="100"/>
      <c r="AW39" s="100"/>
      <c r="AX39" s="100"/>
      <c r="AY39" s="100"/>
      <c r="AZ39" s="100"/>
      <c r="BA39" s="100"/>
      <c r="BB39" s="100"/>
      <c r="BC39" s="100"/>
      <c r="BD39" s="100"/>
      <c r="BE39" s="100"/>
      <c r="BF39" s="100"/>
    </row>
    <row r="40" spans="1:58" ht="15" customHeight="1" thickBot="1">
      <c r="A40" s="312" t="s">
        <v>723</v>
      </c>
      <c r="B40" s="392">
        <v>13</v>
      </c>
      <c r="C40" s="312">
        <v>1</v>
      </c>
      <c r="D40" s="313">
        <v>40</v>
      </c>
      <c r="E40" s="312" t="s">
        <v>55</v>
      </c>
      <c r="F40" s="323"/>
      <c r="G40" s="259"/>
      <c r="H40" s="622"/>
      <c r="I40" s="623"/>
      <c r="J40" s="624"/>
      <c r="K40" s="98"/>
      <c r="L40" s="98"/>
      <c r="M40" s="98"/>
      <c r="N40" s="98"/>
      <c r="O40" s="98"/>
      <c r="P40" s="98"/>
      <c r="Q40" s="98"/>
      <c r="R40" s="98"/>
      <c r="S40" s="98"/>
      <c r="T40" s="98"/>
      <c r="U40" s="96"/>
      <c r="V40" s="96"/>
      <c r="W40" s="96"/>
      <c r="X40" s="96"/>
      <c r="Y40" s="99"/>
      <c r="Z40" s="96"/>
      <c r="AA40" s="96"/>
      <c r="AB40" s="100"/>
      <c r="AC40" s="100"/>
      <c r="AD40" s="231" t="str">
        <f>IF($B$12="individual",Constants!F64,Constants!L65)</f>
        <v>n/a</v>
      </c>
      <c r="AE40" s="248" t="str">
        <f>IF(AD40="n/a","",COUNTA(A50:A54)/COUNTA(A38:A46))</f>
        <v/>
      </c>
      <c r="AF40" s="272" t="str">
        <f>IF(B49="group", IF(AE40&gt;0.15, 5, IF(AE40&gt;0.1, 3, IF(AE40&gt;0.05, 1, 0))), " ")</f>
        <v xml:space="preserve"> </v>
      </c>
      <c r="AG40" s="560"/>
      <c r="AH40" s="560"/>
      <c r="AI40" s="560"/>
      <c r="AJ40" s="560"/>
      <c r="AK40" s="100"/>
      <c r="AL40" s="100"/>
      <c r="AM40" s="100"/>
      <c r="AN40" s="100"/>
      <c r="AO40" s="100"/>
      <c r="AP40" s="100"/>
      <c r="AQ40" s="100"/>
      <c r="AR40" s="100"/>
      <c r="AS40" s="100"/>
      <c r="AT40" s="100"/>
      <c r="AU40" s="100"/>
      <c r="AV40" s="100"/>
      <c r="AW40" s="100"/>
      <c r="AX40" s="100"/>
      <c r="AY40" s="100"/>
      <c r="AZ40" s="100"/>
      <c r="BA40" s="100"/>
      <c r="BB40" s="100"/>
      <c r="BC40" s="100"/>
      <c r="BD40" s="100"/>
      <c r="BE40" s="100"/>
      <c r="BF40" s="100"/>
    </row>
    <row r="41" spans="1:58" ht="15" customHeight="1">
      <c r="A41" s="312" t="s">
        <v>724</v>
      </c>
      <c r="B41" s="392">
        <v>20</v>
      </c>
      <c r="C41" s="312">
        <v>1</v>
      </c>
      <c r="D41" s="313">
        <v>40</v>
      </c>
      <c r="E41" s="312" t="s">
        <v>55</v>
      </c>
      <c r="F41" s="323"/>
      <c r="G41" s="259"/>
      <c r="H41" s="622"/>
      <c r="I41" s="623"/>
      <c r="J41" s="624"/>
      <c r="K41" s="98"/>
      <c r="L41" s="98"/>
      <c r="M41" s="98"/>
      <c r="N41" s="98"/>
      <c r="O41" s="98"/>
      <c r="P41" s="98"/>
      <c r="Q41" s="98"/>
      <c r="R41" s="98"/>
      <c r="S41" s="98"/>
      <c r="T41" s="98"/>
      <c r="U41" s="96"/>
      <c r="V41" s="96"/>
      <c r="W41" s="96"/>
      <c r="X41" s="96"/>
      <c r="Y41" s="99"/>
      <c r="Z41" s="96"/>
      <c r="AA41" s="96"/>
      <c r="AB41" s="100"/>
      <c r="AC41" s="100"/>
      <c r="AD41" s="231">
        <f>IF($B$12="individual",Constants!F66,Constants!L66)</f>
        <v>0</v>
      </c>
      <c r="AE41" s="231" t="s">
        <v>461</v>
      </c>
      <c r="AF41" s="270">
        <f>SUM(AF30:AF40)</f>
        <v>15</v>
      </c>
      <c r="AG41" s="247"/>
      <c r="AH41" s="245"/>
      <c r="AI41" s="246"/>
      <c r="AJ41" s="247"/>
      <c r="AK41" s="100"/>
      <c r="AL41" s="100"/>
      <c r="AM41" s="100"/>
      <c r="AN41" s="100"/>
      <c r="AO41" s="100"/>
      <c r="AP41" s="100"/>
      <c r="AQ41" s="100"/>
      <c r="AR41" s="100"/>
      <c r="AS41" s="100"/>
      <c r="AT41" s="100"/>
      <c r="AU41" s="100"/>
      <c r="AV41" s="100"/>
      <c r="AW41" s="100"/>
      <c r="AX41" s="100"/>
      <c r="AY41" s="100"/>
      <c r="AZ41" s="100"/>
      <c r="BA41" s="100"/>
      <c r="BB41" s="100"/>
      <c r="BC41" s="100"/>
      <c r="BD41" s="100"/>
      <c r="BE41" s="100"/>
      <c r="BF41" s="100"/>
    </row>
    <row r="42" spans="1:58" ht="14.25" customHeight="1">
      <c r="A42" s="312" t="s">
        <v>725</v>
      </c>
      <c r="B42" s="392">
        <v>3</v>
      </c>
      <c r="C42" s="312">
        <v>1</v>
      </c>
      <c r="D42" s="313">
        <v>40</v>
      </c>
      <c r="E42" s="312" t="s">
        <v>55</v>
      </c>
      <c r="F42" s="323"/>
      <c r="G42" s="323"/>
      <c r="H42" s="622"/>
      <c r="I42" s="623"/>
      <c r="J42" s="624"/>
      <c r="K42" s="16"/>
      <c r="L42" s="16"/>
      <c r="M42" s="16"/>
      <c r="N42" s="16"/>
      <c r="O42" s="16"/>
      <c r="P42" s="16"/>
      <c r="Q42" s="16"/>
      <c r="R42" s="16"/>
      <c r="S42" s="16"/>
      <c r="T42" s="16"/>
      <c r="U42" s="16"/>
      <c r="V42" s="16"/>
      <c r="W42" s="16"/>
      <c r="X42" s="16"/>
      <c r="Y42" s="17"/>
      <c r="Z42" s="16"/>
      <c r="AA42" s="16"/>
    </row>
    <row r="43" spans="1:58" ht="14.25" customHeight="1">
      <c r="A43" s="312" t="s">
        <v>726</v>
      </c>
      <c r="B43" s="232">
        <v>7</v>
      </c>
      <c r="C43" s="312">
        <v>0.5</v>
      </c>
      <c r="D43" s="313">
        <v>30</v>
      </c>
      <c r="E43" s="328" t="s">
        <v>281</v>
      </c>
      <c r="F43" s="323" t="s">
        <v>727</v>
      </c>
      <c r="G43" s="325"/>
      <c r="H43" s="622"/>
      <c r="I43" s="623"/>
      <c r="J43" s="624"/>
      <c r="K43" s="16"/>
      <c r="L43" s="16"/>
      <c r="M43" s="16"/>
      <c r="N43" s="16"/>
      <c r="O43" s="16"/>
      <c r="P43" s="16"/>
      <c r="Q43" s="16"/>
      <c r="R43" s="16"/>
      <c r="S43" s="16"/>
      <c r="T43" s="16"/>
      <c r="U43" s="16"/>
      <c r="V43" s="16"/>
      <c r="W43" s="16"/>
      <c r="X43" s="16"/>
      <c r="Y43" s="17"/>
      <c r="Z43" s="16"/>
      <c r="AA43" s="16"/>
    </row>
    <row r="44" spans="1:58" ht="15.75" customHeight="1">
      <c r="A44" s="312" t="s">
        <v>728</v>
      </c>
      <c r="B44" s="232">
        <v>27</v>
      </c>
      <c r="C44" s="323">
        <v>0.25</v>
      </c>
      <c r="D44" s="232">
        <v>30</v>
      </c>
      <c r="E44" s="328" t="s">
        <v>281</v>
      </c>
      <c r="F44" s="323" t="s">
        <v>729</v>
      </c>
      <c r="G44" s="231"/>
      <c r="H44" s="622"/>
      <c r="I44" s="623"/>
      <c r="J44" s="624"/>
      <c r="K44" s="16"/>
      <c r="L44" s="16"/>
      <c r="M44" s="16"/>
      <c r="N44" s="16"/>
      <c r="O44" s="16"/>
      <c r="P44" s="16"/>
      <c r="Q44" s="16"/>
      <c r="R44" s="16"/>
      <c r="S44" s="16"/>
      <c r="T44" s="16"/>
      <c r="U44" s="16"/>
      <c r="V44" s="16"/>
      <c r="W44" s="16"/>
      <c r="X44" s="16"/>
      <c r="Y44" s="16"/>
      <c r="Z44" s="16"/>
      <c r="AA44" s="16"/>
    </row>
    <row r="45" spans="1:58" ht="15.75" customHeight="1">
      <c r="A45" s="312" t="s">
        <v>730</v>
      </c>
      <c r="B45" s="232">
        <v>1</v>
      </c>
      <c r="C45" s="323">
        <v>0.25</v>
      </c>
      <c r="D45" s="232">
        <v>30</v>
      </c>
      <c r="E45" s="245"/>
      <c r="F45" s="323" t="s">
        <v>729</v>
      </c>
      <c r="G45" s="231"/>
      <c r="H45" s="622"/>
      <c r="I45" s="623"/>
      <c r="J45" s="624"/>
      <c r="K45" s="16"/>
      <c r="L45" s="16"/>
      <c r="M45" s="16"/>
      <c r="N45" s="16"/>
      <c r="O45" s="16"/>
      <c r="P45" s="16"/>
      <c r="Q45" s="16"/>
      <c r="R45" s="16"/>
      <c r="S45" s="16"/>
      <c r="T45" s="16"/>
      <c r="U45" s="16"/>
      <c r="V45" s="16"/>
      <c r="W45" s="16"/>
      <c r="X45" s="16"/>
      <c r="Y45" s="16"/>
      <c r="Z45" s="16"/>
      <c r="AA45" s="16"/>
    </row>
    <row r="46" spans="1:58" ht="15.75" customHeight="1" thickBot="1">
      <c r="A46" s="231"/>
      <c r="B46" s="326"/>
      <c r="C46" s="245"/>
      <c r="D46" s="232"/>
      <c r="E46" s="261"/>
      <c r="F46" s="261"/>
      <c r="G46" s="231"/>
      <c r="H46" s="625"/>
      <c r="I46" s="626"/>
      <c r="J46" s="627"/>
      <c r="K46" s="16"/>
      <c r="L46" s="16"/>
      <c r="M46" s="16"/>
      <c r="N46" s="16"/>
      <c r="O46" s="16"/>
      <c r="P46" s="16"/>
      <c r="Q46" s="16"/>
      <c r="R46" s="16"/>
      <c r="S46" s="16"/>
      <c r="T46" s="16"/>
      <c r="U46" s="16"/>
      <c r="V46" s="16"/>
      <c r="W46" s="16"/>
      <c r="X46" s="16"/>
      <c r="Y46" s="16"/>
      <c r="Z46" s="16"/>
      <c r="AA46" s="16"/>
    </row>
    <row r="47" spans="1:58" ht="15.75" customHeight="1" thickTop="1">
      <c r="A47" s="18"/>
      <c r="B47" s="18"/>
      <c r="C47" s="18"/>
      <c r="D47" s="18"/>
      <c r="E47" s="18"/>
      <c r="F47" s="18"/>
      <c r="G47" s="17"/>
      <c r="H47" s="17"/>
      <c r="I47" s="17"/>
      <c r="J47" s="17"/>
      <c r="K47" s="17"/>
      <c r="L47" s="17"/>
      <c r="M47" s="17"/>
      <c r="N47" s="17"/>
      <c r="O47" s="17"/>
      <c r="P47" s="17"/>
      <c r="Q47" s="16"/>
      <c r="R47" s="17"/>
      <c r="S47" s="17"/>
      <c r="T47" s="17"/>
      <c r="U47" s="17"/>
      <c r="V47" s="17"/>
      <c r="W47" s="17"/>
      <c r="X47" s="17"/>
      <c r="Y47" s="17"/>
      <c r="Z47" s="17"/>
      <c r="AA47" s="17"/>
      <c r="AB47" s="17"/>
      <c r="AC47" s="17"/>
      <c r="AD47" s="17"/>
    </row>
    <row r="48" spans="1:58" ht="15.75" customHeight="1" thickBot="1">
      <c r="A48" s="179" t="s">
        <v>462</v>
      </c>
      <c r="B48" s="169"/>
      <c r="C48" s="16"/>
      <c r="D48" s="16"/>
      <c r="E48" s="16"/>
      <c r="F48" s="16"/>
      <c r="G48" s="16"/>
      <c r="H48" s="16"/>
      <c r="I48" s="16"/>
      <c r="J48" s="16"/>
      <c r="K48" s="16"/>
      <c r="L48" s="16"/>
      <c r="M48" s="16"/>
      <c r="N48" s="16"/>
      <c r="O48" s="16"/>
      <c r="P48" s="16"/>
      <c r="Q48" s="16"/>
      <c r="R48" s="16"/>
      <c r="S48" s="16"/>
      <c r="T48" s="16"/>
      <c r="U48" s="16"/>
      <c r="V48" s="16"/>
      <c r="W48" s="16"/>
      <c r="X48" s="16"/>
      <c r="Y48" s="16"/>
      <c r="Z48" s="16"/>
      <c r="AA48" s="16"/>
      <c r="AB48" s="18"/>
      <c r="AC48" s="16"/>
      <c r="AD48" s="16"/>
    </row>
    <row r="49" spans="1:58" ht="15" customHeight="1" thickTop="1" thickBot="1">
      <c r="A49" s="258" t="s">
        <v>449</v>
      </c>
      <c r="B49" s="259" t="s">
        <v>450</v>
      </c>
      <c r="C49" s="258" t="s">
        <v>463</v>
      </c>
      <c r="D49" s="258" t="s">
        <v>464</v>
      </c>
      <c r="E49" s="258" t="s">
        <v>465</v>
      </c>
      <c r="F49" s="258" t="s">
        <v>466</v>
      </c>
      <c r="G49" s="258" t="s">
        <v>467</v>
      </c>
      <c r="H49" s="259" t="s">
        <v>455</v>
      </c>
      <c r="I49" s="561" t="s">
        <v>456</v>
      </c>
      <c r="J49" s="716"/>
      <c r="K49" s="717"/>
      <c r="L49" s="98"/>
      <c r="M49" s="98"/>
      <c r="N49" s="98"/>
      <c r="O49" s="98"/>
      <c r="P49" s="98"/>
      <c r="Q49" s="98"/>
      <c r="R49" s="98"/>
      <c r="S49" s="98"/>
      <c r="T49" s="98"/>
      <c r="U49" s="98"/>
      <c r="V49" s="96"/>
      <c r="W49" s="96"/>
      <c r="X49" s="96"/>
      <c r="Y49" s="96"/>
      <c r="Z49" s="99"/>
      <c r="AA49" s="96"/>
      <c r="AB49" s="96"/>
      <c r="AC49" s="100"/>
      <c r="AD49" s="100"/>
      <c r="AE49" s="100"/>
      <c r="AF49" s="100"/>
      <c r="AG49" s="100"/>
      <c r="AH49" s="100"/>
      <c r="AI49" s="100"/>
      <c r="AJ49" s="100"/>
      <c r="AK49" s="100"/>
      <c r="AL49" s="100"/>
      <c r="AM49" s="100"/>
      <c r="AN49" s="100"/>
      <c r="AO49" s="100"/>
      <c r="AP49" s="100"/>
      <c r="AQ49" s="100"/>
      <c r="AR49" s="100"/>
      <c r="AS49" s="100"/>
      <c r="AT49" s="100"/>
      <c r="AU49" s="100"/>
      <c r="AV49" s="100"/>
      <c r="AW49" s="100"/>
      <c r="AX49" s="100"/>
      <c r="AY49" s="100"/>
      <c r="AZ49" s="100"/>
      <c r="BA49" s="100"/>
      <c r="BB49" s="100"/>
      <c r="BC49" s="100"/>
      <c r="BD49" s="100"/>
      <c r="BE49" s="100"/>
      <c r="BF49" s="100"/>
    </row>
    <row r="50" spans="1:58" ht="14.25" customHeight="1" thickTop="1">
      <c r="A50" s="312" t="s">
        <v>720</v>
      </c>
      <c r="B50" s="323">
        <v>9</v>
      </c>
      <c r="C50" s="269" t="s">
        <v>731</v>
      </c>
      <c r="D50" s="312" t="s">
        <v>281</v>
      </c>
      <c r="E50" s="327">
        <v>1</v>
      </c>
      <c r="F50" s="327">
        <v>1.5</v>
      </c>
      <c r="G50" s="323" t="s">
        <v>471</v>
      </c>
      <c r="H50" s="323"/>
      <c r="I50" s="618"/>
      <c r="J50" s="741"/>
      <c r="K50" s="742"/>
      <c r="L50" s="16"/>
      <c r="M50" s="16"/>
      <c r="N50" s="16"/>
      <c r="O50" s="16"/>
      <c r="P50" s="16"/>
      <c r="Q50" s="16"/>
      <c r="R50" s="16"/>
      <c r="S50" s="16"/>
      <c r="T50" s="16"/>
      <c r="U50" s="16"/>
      <c r="V50" s="16"/>
      <c r="W50" s="16"/>
      <c r="X50" s="16"/>
      <c r="Y50" s="16"/>
      <c r="Z50" s="17"/>
      <c r="AA50" s="16"/>
      <c r="AB50" s="16"/>
    </row>
    <row r="51" spans="1:58" ht="14.25" customHeight="1">
      <c r="A51" s="248" t="s">
        <v>732</v>
      </c>
      <c r="B51" s="323">
        <v>8</v>
      </c>
      <c r="C51" s="231" t="s">
        <v>733</v>
      </c>
      <c r="D51" s="312" t="s">
        <v>281</v>
      </c>
      <c r="E51" s="328">
        <v>1</v>
      </c>
      <c r="F51" s="327">
        <v>1.5</v>
      </c>
      <c r="G51" s="323" t="s">
        <v>471</v>
      </c>
      <c r="H51" s="323"/>
      <c r="I51" s="743"/>
      <c r="J51" s="744"/>
      <c r="K51" s="745"/>
      <c r="L51" s="16"/>
      <c r="M51" s="16"/>
      <c r="N51" s="16"/>
      <c r="O51" s="16"/>
      <c r="P51" s="16"/>
      <c r="Q51" s="16"/>
      <c r="R51" s="16"/>
      <c r="S51" s="16"/>
      <c r="T51" s="16"/>
      <c r="U51" s="16"/>
      <c r="V51" s="16"/>
      <c r="W51" s="16"/>
      <c r="X51" s="16"/>
      <c r="Y51" s="16"/>
      <c r="Z51" s="17"/>
      <c r="AA51" s="16"/>
      <c r="AB51" s="16"/>
    </row>
    <row r="52" spans="1:58" ht="15.75" customHeight="1">
      <c r="A52" s="323" t="s">
        <v>734</v>
      </c>
      <c r="B52" s="323">
        <v>7</v>
      </c>
      <c r="C52" s="323" t="s">
        <v>55</v>
      </c>
      <c r="D52" s="312" t="s">
        <v>281</v>
      </c>
      <c r="E52" s="328">
        <v>1</v>
      </c>
      <c r="F52" s="327">
        <v>1.5</v>
      </c>
      <c r="G52" s="329" t="s">
        <v>471</v>
      </c>
      <c r="H52" s="323"/>
      <c r="I52" s="743"/>
      <c r="J52" s="744"/>
      <c r="K52" s="745"/>
      <c r="L52" s="16"/>
      <c r="M52" s="16"/>
      <c r="N52" s="16"/>
      <c r="O52" s="16"/>
      <c r="P52" s="16"/>
      <c r="Q52" s="16"/>
      <c r="R52" s="16"/>
      <c r="S52" s="16"/>
      <c r="T52" s="16"/>
      <c r="U52" s="16"/>
      <c r="V52" s="16"/>
      <c r="W52" s="16"/>
      <c r="X52" s="16"/>
      <c r="Y52" s="16"/>
      <c r="Z52" s="16"/>
      <c r="AA52" s="16"/>
      <c r="AB52" s="16"/>
    </row>
    <row r="53" spans="1:58" ht="15.75" customHeight="1">
      <c r="A53" s="231"/>
      <c r="B53" s="232"/>
      <c r="C53" s="231"/>
      <c r="D53" s="269"/>
      <c r="E53" s="245"/>
      <c r="F53" s="261"/>
      <c r="G53" s="263"/>
      <c r="H53" s="231"/>
      <c r="I53" s="743"/>
      <c r="J53" s="744"/>
      <c r="K53" s="745"/>
      <c r="L53" s="16"/>
      <c r="M53" s="16"/>
      <c r="N53" s="16"/>
      <c r="O53" s="16"/>
      <c r="P53" s="16"/>
      <c r="Q53" s="16"/>
      <c r="R53" s="16"/>
      <c r="S53" s="16"/>
      <c r="T53" s="16"/>
      <c r="U53" s="16"/>
      <c r="V53" s="16"/>
      <c r="W53" s="16"/>
      <c r="X53" s="16"/>
      <c r="Y53" s="16"/>
      <c r="Z53" s="16"/>
      <c r="AA53" s="16"/>
      <c r="AB53" s="16"/>
    </row>
    <row r="54" spans="1:58" ht="15.75" customHeight="1" thickBot="1">
      <c r="A54" s="231"/>
      <c r="B54" s="326"/>
      <c r="C54" s="245"/>
      <c r="D54" s="245"/>
      <c r="E54" s="261"/>
      <c r="F54" s="261"/>
      <c r="G54" s="263"/>
      <c r="H54" s="231"/>
      <c r="I54" s="746"/>
      <c r="J54" s="747"/>
      <c r="K54" s="748"/>
      <c r="L54" s="16"/>
      <c r="M54" s="16"/>
      <c r="N54" s="16"/>
      <c r="O54" s="16"/>
      <c r="P54" s="16"/>
      <c r="Q54" s="16"/>
      <c r="R54" s="16"/>
      <c r="S54" s="16"/>
      <c r="T54" s="16"/>
      <c r="U54" s="16"/>
      <c r="V54" s="16"/>
      <c r="W54" s="16"/>
      <c r="X54" s="16"/>
      <c r="Y54" s="16"/>
      <c r="Z54" s="16"/>
      <c r="AA54" s="16"/>
      <c r="AB54" s="16"/>
    </row>
    <row r="55" spans="1:58" ht="15.75" customHeight="1" thickTop="1">
      <c r="A55" s="15"/>
      <c r="B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c r="AD55" s="16"/>
    </row>
    <row r="56" spans="1:58" ht="15.75" customHeight="1">
      <c r="A56" s="15"/>
      <c r="B56" s="16"/>
      <c r="C56" s="16"/>
      <c r="D56" s="16"/>
      <c r="E56" s="16"/>
      <c r="F56" s="16"/>
      <c r="G56" s="16"/>
      <c r="H56" s="16"/>
      <c r="I56" s="16"/>
      <c r="J56" s="16"/>
      <c r="K56" s="16"/>
      <c r="L56" s="16"/>
      <c r="M56" s="16"/>
      <c r="N56" s="16"/>
      <c r="O56" s="16"/>
      <c r="P56" s="16"/>
      <c r="Q56" s="16"/>
      <c r="W56" s="16"/>
      <c r="X56" s="16"/>
      <c r="Y56" s="16"/>
      <c r="Z56" s="16"/>
      <c r="AA56" s="16"/>
      <c r="AB56" s="16"/>
      <c r="AC56" s="16"/>
      <c r="AD56" s="16"/>
    </row>
    <row r="57" spans="1:58" ht="15.75" customHeight="1" thickBot="1">
      <c r="A57" s="186" t="s">
        <v>475</v>
      </c>
      <c r="B57" s="231"/>
      <c r="C57" s="231"/>
      <c r="D57" s="231"/>
      <c r="E57" s="231"/>
      <c r="F57" s="231"/>
      <c r="G57" s="231"/>
      <c r="H57" s="231"/>
      <c r="I57" s="231"/>
      <c r="J57" s="231"/>
      <c r="K57" s="16"/>
      <c r="L57" s="16"/>
      <c r="M57" s="16"/>
      <c r="N57" s="16"/>
      <c r="O57" s="16"/>
      <c r="P57" s="16"/>
      <c r="Q57" s="16"/>
      <c r="W57" s="16"/>
      <c r="X57" s="16"/>
      <c r="Y57" s="16"/>
      <c r="Z57" s="16"/>
      <c r="AA57" s="16"/>
      <c r="AB57" s="16"/>
      <c r="AC57" s="16"/>
      <c r="AD57" s="16"/>
    </row>
    <row r="58" spans="1:58" ht="15.75" customHeight="1" thickTop="1">
      <c r="A58" s="230" t="s">
        <v>476</v>
      </c>
      <c r="B58" s="230" t="s">
        <v>477</v>
      </c>
      <c r="C58" s="230" t="s">
        <v>478</v>
      </c>
      <c r="D58" s="230" t="s">
        <v>479</v>
      </c>
      <c r="E58" s="230" t="s">
        <v>480</v>
      </c>
      <c r="F58" s="230" t="s">
        <v>481</v>
      </c>
      <c r="G58" s="230" t="s">
        <v>482</v>
      </c>
      <c r="H58" s="230" t="s">
        <v>453</v>
      </c>
      <c r="I58" s="230" t="s">
        <v>483</v>
      </c>
      <c r="J58" s="230" t="s">
        <v>484</v>
      </c>
      <c r="K58" s="721" t="s">
        <v>485</v>
      </c>
      <c r="L58" s="716"/>
      <c r="M58" s="722"/>
      <c r="N58" s="15"/>
      <c r="O58" s="16"/>
      <c r="P58" s="16"/>
      <c r="Q58" s="16"/>
      <c r="W58" s="16"/>
      <c r="X58" s="16"/>
      <c r="Y58" s="16"/>
      <c r="Z58" s="16"/>
      <c r="AA58" s="16"/>
      <c r="AB58" s="16"/>
    </row>
    <row r="59" spans="1:58" ht="15" customHeight="1">
      <c r="A59" s="312" t="s">
        <v>720</v>
      </c>
      <c r="B59" s="319" t="s">
        <v>278</v>
      </c>
      <c r="C59" s="231">
        <v>40</v>
      </c>
      <c r="D59" s="231">
        <v>1</v>
      </c>
      <c r="E59" s="231">
        <v>1.5</v>
      </c>
      <c r="F59" s="231">
        <f>Table_4168175[[#This Row],['# Weeks]]*Table_4168175[[#This Row],['# Times/week]]*Table_4168175[[#This Row],[Total hours/week]]</f>
        <v>60</v>
      </c>
      <c r="G59" s="269" t="s">
        <v>731</v>
      </c>
      <c r="H59" s="319" t="s">
        <v>281</v>
      </c>
      <c r="I59" s="331"/>
      <c r="J59" s="231"/>
      <c r="K59" s="575"/>
      <c r="L59" s="696"/>
      <c r="M59" s="723"/>
      <c r="N59" s="16"/>
      <c r="O59" s="16"/>
      <c r="P59" s="16"/>
      <c r="Q59" s="16"/>
      <c r="W59" s="16"/>
      <c r="X59" s="16"/>
      <c r="Y59" s="16"/>
      <c r="Z59" s="16"/>
      <c r="AA59" s="16"/>
      <c r="AB59" s="16"/>
    </row>
    <row r="60" spans="1:58" ht="15.75" customHeight="1">
      <c r="A60" s="312" t="s">
        <v>722</v>
      </c>
      <c r="B60" s="319" t="s">
        <v>278</v>
      </c>
      <c r="C60" s="231">
        <v>40</v>
      </c>
      <c r="D60" s="231">
        <v>1</v>
      </c>
      <c r="E60" s="231">
        <v>1.5</v>
      </c>
      <c r="F60" s="231">
        <f>Table_4168175[[#This Row],['# Weeks]]*Table_4168175[[#This Row],['# Times/week]]*Table_4168175[[#This Row],[Total hours/week]]</f>
        <v>60</v>
      </c>
      <c r="G60" s="231" t="s">
        <v>733</v>
      </c>
      <c r="H60" s="319" t="s">
        <v>281</v>
      </c>
      <c r="I60" s="331"/>
      <c r="J60" s="231"/>
      <c r="K60" s="702"/>
      <c r="L60" s="696"/>
      <c r="M60" s="723"/>
      <c r="N60" s="16"/>
      <c r="O60" s="16"/>
      <c r="P60" s="16"/>
      <c r="Q60" s="16"/>
      <c r="W60" s="16"/>
      <c r="X60" s="16"/>
      <c r="Y60" s="16"/>
      <c r="Z60" s="16"/>
      <c r="AA60" s="16"/>
      <c r="AB60" s="16"/>
    </row>
    <row r="61" spans="1:58" ht="14.25" customHeight="1">
      <c r="A61" s="312" t="s">
        <v>723</v>
      </c>
      <c r="B61" s="319" t="s">
        <v>287</v>
      </c>
      <c r="C61" s="231">
        <v>40</v>
      </c>
      <c r="D61" s="231">
        <v>1</v>
      </c>
      <c r="E61" s="231">
        <v>1.5</v>
      </c>
      <c r="F61" s="231">
        <f>Table_4168175[[#This Row],['# Weeks]]*Table_4168175[[#This Row],['# Times/week]]*Table_4168175[[#This Row],[Total hours/week]]</f>
        <v>60</v>
      </c>
      <c r="G61" s="248" t="s">
        <v>55</v>
      </c>
      <c r="H61" s="319" t="s">
        <v>55</v>
      </c>
      <c r="I61" s="331"/>
      <c r="J61" s="231"/>
      <c r="K61" s="702"/>
      <c r="L61" s="696"/>
      <c r="M61" s="723"/>
      <c r="N61" s="16"/>
      <c r="O61" s="16"/>
      <c r="P61" s="16"/>
      <c r="Q61" s="16"/>
      <c r="W61" s="16"/>
      <c r="X61" s="16"/>
      <c r="Y61" s="16"/>
      <c r="Z61" s="16"/>
      <c r="AA61" s="16"/>
      <c r="AB61" s="16"/>
    </row>
    <row r="62" spans="1:58" ht="15.75" customHeight="1">
      <c r="A62" s="312" t="s">
        <v>724</v>
      </c>
      <c r="B62" s="319" t="s">
        <v>287</v>
      </c>
      <c r="C62" s="231">
        <v>40</v>
      </c>
      <c r="D62" s="231">
        <v>1</v>
      </c>
      <c r="E62" s="231">
        <v>1.5</v>
      </c>
      <c r="F62" s="231">
        <f>Table_4168175[[#This Row],['# Weeks]]*Table_4168175[[#This Row],['# Times/week]]*Table_4168175[[#This Row],[Total hours/week]]</f>
        <v>60</v>
      </c>
      <c r="G62" s="231" t="s">
        <v>733</v>
      </c>
      <c r="H62" s="319" t="s">
        <v>281</v>
      </c>
      <c r="I62" s="331"/>
      <c r="J62" s="231"/>
      <c r="K62" s="702"/>
      <c r="L62" s="696"/>
      <c r="M62" s="723"/>
      <c r="N62" s="16"/>
      <c r="O62" s="16"/>
      <c r="P62" s="16"/>
      <c r="Q62" s="16"/>
      <c r="W62" s="16"/>
      <c r="X62" s="16"/>
      <c r="Y62" s="16"/>
      <c r="Z62" s="16"/>
      <c r="AA62" s="16"/>
      <c r="AB62" s="16"/>
    </row>
    <row r="63" spans="1:58" ht="15.75" customHeight="1">
      <c r="A63" s="312" t="s">
        <v>725</v>
      </c>
      <c r="B63" s="319" t="s">
        <v>287</v>
      </c>
      <c r="C63" s="231">
        <v>40</v>
      </c>
      <c r="D63" s="231">
        <v>1</v>
      </c>
      <c r="E63" s="231">
        <v>1.5</v>
      </c>
      <c r="F63" s="231">
        <f>Table_4168175[[#This Row],['# Weeks]]*Table_4168175[[#This Row],['# Times/week]]*Table_4168175[[#This Row],[Total hours/week]]</f>
        <v>60</v>
      </c>
      <c r="G63" s="231" t="s">
        <v>55</v>
      </c>
      <c r="H63" s="319" t="s">
        <v>55</v>
      </c>
      <c r="I63" s="331"/>
      <c r="J63" s="231"/>
      <c r="K63" s="702"/>
      <c r="L63" s="696"/>
      <c r="M63" s="723"/>
      <c r="N63" s="16"/>
      <c r="O63" s="16"/>
      <c r="P63" s="16"/>
      <c r="Q63" s="16"/>
      <c r="W63" s="16"/>
      <c r="X63" s="16"/>
      <c r="Y63" s="16"/>
      <c r="Z63" s="16"/>
      <c r="AA63" s="16"/>
      <c r="AB63" s="16"/>
    </row>
    <row r="64" spans="1:58" ht="15.75" customHeight="1">
      <c r="A64" s="312" t="s">
        <v>726</v>
      </c>
      <c r="B64" s="319" t="s">
        <v>278</v>
      </c>
      <c r="C64" s="231">
        <v>30</v>
      </c>
      <c r="D64" s="231">
        <v>0.5</v>
      </c>
      <c r="E64" s="231">
        <v>1.5</v>
      </c>
      <c r="F64" s="231">
        <f>Table_4168175[[#This Row],['# Weeks]]*Table_4168175[[#This Row],['# Times/week]]*Table_4168175[[#This Row],[Total hours/week]]</f>
        <v>22.5</v>
      </c>
      <c r="G64" s="319" t="s">
        <v>55</v>
      </c>
      <c r="H64" s="319" t="s">
        <v>55</v>
      </c>
      <c r="I64" s="331"/>
      <c r="J64" s="231"/>
      <c r="K64" s="702"/>
      <c r="L64" s="696"/>
      <c r="M64" s="723"/>
      <c r="N64" s="16"/>
      <c r="O64" s="16"/>
      <c r="P64" s="16"/>
      <c r="Q64" s="16"/>
      <c r="W64" s="16"/>
      <c r="X64" s="16"/>
      <c r="Y64" s="16"/>
      <c r="Z64" s="16"/>
      <c r="AA64" s="16"/>
      <c r="AB64" s="16"/>
    </row>
    <row r="65" spans="1:30" ht="15.75" customHeight="1">
      <c r="A65" s="312" t="s">
        <v>728</v>
      </c>
      <c r="B65" s="319" t="s">
        <v>287</v>
      </c>
      <c r="C65" s="231">
        <v>30</v>
      </c>
      <c r="D65" s="231">
        <v>0.25</v>
      </c>
      <c r="E65" s="231">
        <v>1.5</v>
      </c>
      <c r="F65" s="231">
        <f>Table_4168175[[#This Row],['# Weeks]]*Table_4168175[[#This Row],['# Times/week]]*Table_4168175[[#This Row],[Total hours/week]]</f>
        <v>11.25</v>
      </c>
      <c r="G65" s="319" t="s">
        <v>55</v>
      </c>
      <c r="H65" s="319" t="s">
        <v>55</v>
      </c>
      <c r="I65" s="331"/>
      <c r="J65" s="231"/>
      <c r="K65" s="702"/>
      <c r="L65" s="696"/>
      <c r="M65" s="723"/>
      <c r="N65" s="16"/>
      <c r="O65" s="16"/>
      <c r="P65" s="16"/>
      <c r="Q65" s="16"/>
      <c r="W65" s="16"/>
      <c r="X65" s="16"/>
      <c r="Y65" s="16"/>
      <c r="Z65" s="16"/>
      <c r="AA65" s="16"/>
      <c r="AB65" s="16"/>
    </row>
    <row r="66" spans="1:30" ht="15.75" customHeight="1">
      <c r="A66" s="312" t="s">
        <v>730</v>
      </c>
      <c r="B66" s="319" t="s">
        <v>287</v>
      </c>
      <c r="C66" s="262">
        <v>30</v>
      </c>
      <c r="D66" s="262">
        <v>0.25</v>
      </c>
      <c r="E66" s="262">
        <v>1.5</v>
      </c>
      <c r="F66" s="262">
        <f>Table_4168175[[#This Row],['# Weeks]]*Table_4168175[[#This Row],['# Times/week]]*Table_4168175[[#This Row],[Total hours/week]]</f>
        <v>11.25</v>
      </c>
      <c r="G66" s="319" t="s">
        <v>55</v>
      </c>
      <c r="H66" s="319" t="s">
        <v>55</v>
      </c>
      <c r="I66" s="331"/>
      <c r="J66" s="231"/>
      <c r="K66" s="702"/>
      <c r="L66" s="696"/>
      <c r="M66" s="723"/>
      <c r="N66" s="16"/>
      <c r="O66" s="16"/>
      <c r="P66" s="16"/>
      <c r="Q66" s="16"/>
      <c r="W66" s="16"/>
      <c r="X66" s="16"/>
      <c r="Y66" s="16"/>
      <c r="Z66" s="16"/>
      <c r="AA66" s="16"/>
      <c r="AB66" s="16"/>
    </row>
    <row r="67" spans="1:30" ht="15.75" customHeight="1">
      <c r="A67" s="319"/>
      <c r="B67" s="319"/>
      <c r="C67" s="261"/>
      <c r="D67" s="261"/>
      <c r="E67" s="261"/>
      <c r="F67" s="262">
        <f>Table_4168175[[#This Row],['# Weeks]]*Table_4168175[[#This Row],['# Times/week]]*Table_4168175[[#This Row],[Total hours/week]]</f>
        <v>0</v>
      </c>
      <c r="G67" s="319"/>
      <c r="H67" s="319"/>
      <c r="I67" s="331"/>
      <c r="J67" s="231"/>
      <c r="K67" s="702"/>
      <c r="L67" s="696"/>
      <c r="M67" s="723"/>
      <c r="N67" s="16"/>
      <c r="O67" s="16"/>
      <c r="P67" s="16"/>
      <c r="Q67" s="16"/>
      <c r="W67" s="16"/>
      <c r="X67" s="16"/>
      <c r="Y67" s="16"/>
      <c r="Z67" s="16"/>
      <c r="AA67" s="16"/>
      <c r="AB67" s="16"/>
    </row>
    <row r="68" spans="1:30" ht="15.75" customHeight="1">
      <c r="A68" s="231"/>
      <c r="B68" s="319"/>
      <c r="C68" s="232"/>
      <c r="D68" s="232"/>
      <c r="E68" s="261"/>
      <c r="F68" s="262">
        <f>Table_4168175[[#This Row],['# Weeks]]*Table_4168175[[#This Row],['# Times/week]]*Table_4168175[[#This Row],[Total hours/week]]</f>
        <v>0</v>
      </c>
      <c r="G68" s="231"/>
      <c r="H68" s="319"/>
      <c r="I68" s="331"/>
      <c r="J68" s="231"/>
      <c r="K68" s="702"/>
      <c r="L68" s="696"/>
      <c r="M68" s="723"/>
      <c r="N68" s="16"/>
      <c r="O68" s="16"/>
      <c r="P68" s="16"/>
      <c r="Q68" s="16"/>
      <c r="W68" s="16"/>
      <c r="X68" s="16"/>
      <c r="Y68" s="16"/>
      <c r="Z68" s="16"/>
      <c r="AA68" s="16"/>
      <c r="AB68" s="16"/>
    </row>
    <row r="69" spans="1:30" ht="15.75" customHeight="1">
      <c r="A69" s="231"/>
      <c r="B69" s="319"/>
      <c r="C69" s="232"/>
      <c r="D69" s="232"/>
      <c r="E69" s="261"/>
      <c r="F69" s="262">
        <f>Table_4168175[[#This Row],['# Weeks]]*Table_4168175[[#This Row],['# Times/week]]*Table_4168175[[#This Row],[Total hours/week]]</f>
        <v>0</v>
      </c>
      <c r="G69" s="231"/>
      <c r="H69" s="319"/>
      <c r="I69" s="331"/>
      <c r="J69" s="231"/>
      <c r="K69" s="702"/>
      <c r="L69" s="696"/>
      <c r="M69" s="723"/>
      <c r="N69" s="16"/>
      <c r="O69" s="16"/>
      <c r="P69" s="16"/>
      <c r="Q69" s="16"/>
      <c r="W69" s="16"/>
      <c r="X69" s="16"/>
      <c r="Y69" s="16"/>
      <c r="Z69" s="16"/>
      <c r="AA69" s="16"/>
      <c r="AB69" s="16"/>
    </row>
    <row r="70" spans="1:30" ht="15.75" customHeight="1">
      <c r="A70" s="231"/>
      <c r="B70" s="319"/>
      <c r="C70" s="232"/>
      <c r="D70" s="232"/>
      <c r="E70" s="261"/>
      <c r="F70" s="262">
        <f>Table_4168175[[#This Row],['# Weeks]]*Table_4168175[[#This Row],['# Times/week]]*Table_4168175[[#This Row],[Total hours/week]]</f>
        <v>0</v>
      </c>
      <c r="G70" s="231"/>
      <c r="H70" s="319"/>
      <c r="I70" s="331"/>
      <c r="J70" s="231"/>
      <c r="K70" s="702"/>
      <c r="L70" s="696"/>
      <c r="M70" s="723"/>
      <c r="N70" s="16"/>
      <c r="O70" s="16"/>
      <c r="P70" s="16"/>
      <c r="Q70" s="16"/>
      <c r="W70" s="16"/>
      <c r="X70" s="16"/>
      <c r="Y70" s="16"/>
      <c r="Z70" s="16"/>
      <c r="AA70" s="16"/>
      <c r="AB70" s="16"/>
    </row>
    <row r="71" spans="1:30" ht="15.75" customHeight="1" thickBot="1">
      <c r="A71" s="231"/>
      <c r="B71" s="319"/>
      <c r="C71" s="245"/>
      <c r="D71" s="232"/>
      <c r="E71" s="261"/>
      <c r="F71" s="262">
        <f>Table_4168175[[#This Row],['# Weeks]]*Table_4168175[[#This Row],['# Times/week]]*Table_4168175[[#This Row],[Total hours/week]]</f>
        <v>0</v>
      </c>
      <c r="G71" s="263"/>
      <c r="H71" s="263"/>
      <c r="I71" s="264"/>
      <c r="J71" s="231"/>
      <c r="K71" s="724"/>
      <c r="L71" s="724"/>
      <c r="M71" s="725"/>
      <c r="N71" s="16"/>
      <c r="O71" s="16"/>
      <c r="P71" s="16"/>
      <c r="Q71" s="16"/>
      <c r="W71" s="16"/>
      <c r="X71" s="16"/>
      <c r="Y71" s="16"/>
      <c r="Z71" s="16"/>
      <c r="AA71" s="16"/>
      <c r="AB71" s="16"/>
    </row>
    <row r="72" spans="1:30" ht="15.75" customHeight="1" thickTop="1">
      <c r="A72" s="231"/>
      <c r="B72" s="117"/>
      <c r="C72" s="245"/>
      <c r="D72" s="232"/>
      <c r="E72" s="261"/>
      <c r="F72" s="262"/>
      <c r="G72" s="263"/>
      <c r="H72" s="263"/>
      <c r="I72" s="264"/>
      <c r="J72" s="231"/>
      <c r="K72" s="228"/>
      <c r="L72" s="228"/>
      <c r="M72" s="228"/>
      <c r="N72" s="16"/>
      <c r="O72" s="16"/>
      <c r="P72" s="16"/>
      <c r="Q72" s="16"/>
      <c r="W72" s="16"/>
      <c r="X72" s="16"/>
      <c r="Y72" s="16"/>
      <c r="Z72" s="16"/>
      <c r="AA72" s="16"/>
      <c r="AB72" s="16"/>
    </row>
    <row r="73" spans="1:30" ht="15.75" customHeight="1">
      <c r="A73" s="16"/>
      <c r="B73" s="16"/>
      <c r="C73" s="16"/>
      <c r="D73" s="16"/>
      <c r="E73" s="16"/>
      <c r="F73" s="16"/>
      <c r="G73" s="16"/>
      <c r="H73" s="16"/>
      <c r="I73" s="16"/>
      <c r="J73" s="16"/>
      <c r="K73" s="16"/>
      <c r="L73" s="16"/>
      <c r="M73" s="16"/>
      <c r="N73" s="16"/>
      <c r="O73" s="16"/>
      <c r="P73" s="16"/>
      <c r="Q73" s="16"/>
      <c r="W73" s="16"/>
      <c r="X73" s="16"/>
      <c r="Y73" s="16"/>
      <c r="Z73" s="16"/>
      <c r="AA73" s="16"/>
      <c r="AB73" s="16"/>
      <c r="AC73" s="16"/>
      <c r="AD73" s="16"/>
    </row>
    <row r="74" spans="1:30" ht="15.75" customHeight="1" thickBot="1">
      <c r="A74" s="186" t="s">
        <v>499</v>
      </c>
      <c r="B74" s="231"/>
      <c r="C74" s="231"/>
      <c r="D74" s="231"/>
      <c r="E74" s="231"/>
      <c r="F74" s="231"/>
      <c r="G74" s="231"/>
      <c r="H74" s="231"/>
      <c r="I74" s="231"/>
      <c r="J74" s="231"/>
      <c r="K74" s="123"/>
      <c r="L74" s="123"/>
      <c r="M74" s="16"/>
      <c r="N74" s="16"/>
      <c r="O74" s="16"/>
      <c r="P74" s="16"/>
      <c r="Q74" s="16"/>
      <c r="W74" s="16"/>
      <c r="X74" s="16"/>
      <c r="Y74" s="16"/>
      <c r="Z74" s="16"/>
      <c r="AA74" s="16"/>
      <c r="AB74" s="16"/>
      <c r="AC74" s="16"/>
      <c r="AD74" s="16"/>
    </row>
    <row r="75" spans="1:30" ht="15.75" customHeight="1" thickTop="1" thickBot="1">
      <c r="A75" s="230" t="s">
        <v>476</v>
      </c>
      <c r="B75" s="230" t="s">
        <v>500</v>
      </c>
      <c r="C75" s="230" t="s">
        <v>501</v>
      </c>
      <c r="D75" s="230" t="s">
        <v>502</v>
      </c>
      <c r="E75" s="230" t="s">
        <v>503</v>
      </c>
      <c r="F75" s="230" t="s">
        <v>504</v>
      </c>
      <c r="G75" s="230" t="s">
        <v>505</v>
      </c>
      <c r="H75" s="230" t="s">
        <v>506</v>
      </c>
      <c r="I75" s="230" t="s">
        <v>507</v>
      </c>
      <c r="J75" s="230" t="s">
        <v>508</v>
      </c>
      <c r="K75" s="561" t="s">
        <v>441</v>
      </c>
      <c r="L75" s="561"/>
      <c r="M75" s="561"/>
      <c r="N75" s="561"/>
      <c r="O75" s="570"/>
      <c r="P75" s="726" t="s">
        <v>434</v>
      </c>
      <c r="Q75" s="727"/>
      <c r="R75" s="16"/>
      <c r="S75" s="16"/>
      <c r="V75" s="16"/>
      <c r="W75" s="16"/>
      <c r="X75" s="16"/>
      <c r="Y75" s="16"/>
      <c r="Z75" s="16"/>
      <c r="AA75" s="16"/>
    </row>
    <row r="76" spans="1:30" ht="15.75" customHeight="1" thickTop="1">
      <c r="A76" s="319" t="s">
        <v>735</v>
      </c>
      <c r="B76" s="231" t="s">
        <v>269</v>
      </c>
      <c r="C76" s="232" t="s">
        <v>513</v>
      </c>
      <c r="D76" s="261">
        <v>1.5</v>
      </c>
      <c r="E76" s="245">
        <v>25</v>
      </c>
      <c r="F76" s="326">
        <f>'DKV Euros'!$D76*'DKV Euros'!$E76</f>
        <v>37.5</v>
      </c>
      <c r="G76" s="245"/>
      <c r="H76" s="332">
        <f>IF($B76= "","-",IF($B76= "External","Specify location tariff", INDEX(Constants!$3:$3,MATCH($B76,Constants!$2:$2,0))))</f>
        <v>0</v>
      </c>
      <c r="I76" s="333">
        <f t="shared" ref="I76:I92" si="2">IF($H76="-","-",IF($H76="Specify location tariff","-",$H76*$F76))</f>
        <v>0</v>
      </c>
      <c r="J76" s="247"/>
      <c r="K76" s="610"/>
      <c r="L76" s="611"/>
      <c r="M76" s="611"/>
      <c r="N76" s="611"/>
      <c r="O76" s="612"/>
      <c r="P76" s="564" t="s">
        <v>511</v>
      </c>
      <c r="Q76" s="565"/>
      <c r="R76" s="16"/>
      <c r="S76" s="16"/>
      <c r="V76" s="16"/>
      <c r="W76" s="16"/>
      <c r="X76" s="16"/>
      <c r="Y76" s="16"/>
      <c r="Z76" s="16"/>
      <c r="AA76" s="16"/>
    </row>
    <row r="77" spans="1:30" ht="15.75" customHeight="1">
      <c r="A77" s="393" t="s">
        <v>736</v>
      </c>
      <c r="B77" s="231" t="s">
        <v>270</v>
      </c>
      <c r="C77" s="232" t="s">
        <v>515</v>
      </c>
      <c r="D77" s="261">
        <v>1.5</v>
      </c>
      <c r="E77" s="245">
        <v>15</v>
      </c>
      <c r="F77" s="326">
        <f>'DKV Euros'!$D77*'DKV Euros'!$E77</f>
        <v>22.5</v>
      </c>
      <c r="G77" s="245"/>
      <c r="H77" s="332">
        <f>IF($B77= "","-",IF($B77= "External","Specify location tariff", INDEX(Constants!$3:$3,MATCH($B77,Constants!$2:$2,0))))</f>
        <v>65</v>
      </c>
      <c r="I77" s="333">
        <f t="shared" si="2"/>
        <v>1462.5</v>
      </c>
      <c r="J77" s="247"/>
      <c r="K77" s="613"/>
      <c r="L77" s="562"/>
      <c r="M77" s="562"/>
      <c r="N77" s="562"/>
      <c r="O77" s="614"/>
      <c r="P77" s="566"/>
      <c r="Q77" s="567"/>
      <c r="R77" s="16"/>
      <c r="S77" s="16"/>
      <c r="V77" s="16"/>
      <c r="W77" s="16"/>
      <c r="X77" s="16"/>
      <c r="Y77" s="16"/>
      <c r="Z77" s="16"/>
      <c r="AA77" s="16"/>
    </row>
    <row r="78" spans="1:30" ht="15.75" customHeight="1">
      <c r="A78" s="231" t="s">
        <v>722</v>
      </c>
      <c r="B78" s="231" t="s">
        <v>269</v>
      </c>
      <c r="C78" s="232" t="s">
        <v>737</v>
      </c>
      <c r="D78" s="261">
        <v>1.5</v>
      </c>
      <c r="E78" s="245">
        <v>25</v>
      </c>
      <c r="F78" s="326">
        <f>'DKV Euros'!$D78*'DKV Euros'!$E78</f>
        <v>37.5</v>
      </c>
      <c r="G78" s="245"/>
      <c r="H78" s="332">
        <f>IF($B78= "","-",IF($B78= "External","Specify location tariff", INDEX(Constants!$3:$3,MATCH($B78,Constants!$2:$2,0))))</f>
        <v>0</v>
      </c>
      <c r="I78" s="333">
        <f t="shared" si="2"/>
        <v>0</v>
      </c>
      <c r="J78" s="247"/>
      <c r="K78" s="613"/>
      <c r="L78" s="562"/>
      <c r="M78" s="562"/>
      <c r="N78" s="562"/>
      <c r="O78" s="614"/>
      <c r="P78" s="566"/>
      <c r="Q78" s="567"/>
      <c r="R78" s="16"/>
      <c r="S78" s="16"/>
      <c r="V78" s="16"/>
      <c r="W78" s="16"/>
      <c r="X78" s="16"/>
      <c r="Y78" s="16"/>
      <c r="Z78" s="16"/>
      <c r="AA78" s="16"/>
    </row>
    <row r="79" spans="1:30" ht="15.75" customHeight="1">
      <c r="A79" s="319" t="s">
        <v>738</v>
      </c>
      <c r="B79" s="231" t="s">
        <v>270</v>
      </c>
      <c r="C79" s="232" t="s">
        <v>513</v>
      </c>
      <c r="D79" s="261">
        <v>1.5</v>
      </c>
      <c r="E79" s="245">
        <v>15</v>
      </c>
      <c r="F79" s="326">
        <f>'DKV Euros'!$D79*'DKV Euros'!$E79</f>
        <v>22.5</v>
      </c>
      <c r="G79" s="245"/>
      <c r="H79" s="332">
        <f>IF($B79= "","-",IF($B79= "External","Specify location tariff", INDEX(Constants!$3:$3,MATCH($B79,Constants!$2:$2,0))))</f>
        <v>65</v>
      </c>
      <c r="I79" s="333">
        <f t="shared" si="2"/>
        <v>1462.5</v>
      </c>
      <c r="J79" s="247"/>
      <c r="K79" s="613"/>
      <c r="L79" s="562"/>
      <c r="M79" s="562"/>
      <c r="N79" s="562"/>
      <c r="O79" s="614"/>
      <c r="P79" s="566"/>
      <c r="Q79" s="567"/>
      <c r="R79" s="16"/>
      <c r="S79" s="16"/>
      <c r="V79" s="16"/>
      <c r="W79" s="16"/>
      <c r="X79" s="16"/>
      <c r="Y79" s="16"/>
      <c r="Z79" s="16"/>
      <c r="AA79" s="16"/>
    </row>
    <row r="80" spans="1:30" ht="15.75" customHeight="1">
      <c r="A80" s="231" t="s">
        <v>739</v>
      </c>
      <c r="B80" s="231" t="s">
        <v>269</v>
      </c>
      <c r="C80" s="232" t="s">
        <v>740</v>
      </c>
      <c r="D80" s="261">
        <v>1.5</v>
      </c>
      <c r="E80" s="245">
        <v>25</v>
      </c>
      <c r="F80" s="326">
        <f>'DKV Euros'!$D80*'DKV Euros'!$E80</f>
        <v>37.5</v>
      </c>
      <c r="G80" s="245"/>
      <c r="H80" s="332">
        <f>IF($B80= "","-",IF($B80= "External","Specify location tariff", INDEX(Constants!$3:$3,MATCH($B80,Constants!$2:$2,0))))</f>
        <v>0</v>
      </c>
      <c r="I80" s="333">
        <f t="shared" si="2"/>
        <v>0</v>
      </c>
      <c r="J80" s="247"/>
      <c r="K80" s="613"/>
      <c r="L80" s="562"/>
      <c r="M80" s="562"/>
      <c r="N80" s="562"/>
      <c r="O80" s="614"/>
      <c r="P80" s="566"/>
      <c r="Q80" s="567"/>
      <c r="R80" s="16"/>
      <c r="S80" s="16"/>
      <c r="V80" s="16"/>
      <c r="W80" s="16"/>
      <c r="X80" s="16"/>
      <c r="Y80" s="16"/>
      <c r="Z80" s="16"/>
      <c r="AA80" s="16"/>
    </row>
    <row r="81" spans="1:30" ht="15.75" customHeight="1">
      <c r="A81" s="393" t="s">
        <v>741</v>
      </c>
      <c r="B81" s="231" t="s">
        <v>269</v>
      </c>
      <c r="C81" s="232" t="s">
        <v>515</v>
      </c>
      <c r="D81" s="261">
        <v>1.5</v>
      </c>
      <c r="E81" s="245">
        <v>25</v>
      </c>
      <c r="F81" s="326">
        <f>'DKV Euros'!$D81*'DKV Euros'!$E81</f>
        <v>37.5</v>
      </c>
      <c r="G81" s="245"/>
      <c r="H81" s="332">
        <f>IF($B81= "","-",IF($B81= "External","Specify location tariff", INDEX(Constants!$3:$3,MATCH($B81,Constants!$2:$2,0))))</f>
        <v>0</v>
      </c>
      <c r="I81" s="333">
        <f t="shared" si="2"/>
        <v>0</v>
      </c>
      <c r="J81" s="247"/>
      <c r="K81" s="613"/>
      <c r="L81" s="562"/>
      <c r="M81" s="562"/>
      <c r="N81" s="562"/>
      <c r="O81" s="614"/>
      <c r="P81" s="566"/>
      <c r="Q81" s="567"/>
      <c r="R81" s="16"/>
      <c r="S81" s="16"/>
      <c r="V81" s="16"/>
      <c r="W81" s="16"/>
      <c r="X81" s="16"/>
      <c r="Y81" s="16"/>
      <c r="Z81" s="16"/>
      <c r="AA81" s="16"/>
    </row>
    <row r="82" spans="1:30" ht="15.75" customHeight="1">
      <c r="A82" s="231"/>
      <c r="B82" s="231"/>
      <c r="C82" s="232"/>
      <c r="D82" s="261"/>
      <c r="E82" s="245"/>
      <c r="F82" s="326">
        <f>'DKV Euros'!$D82*'DKV Euros'!$E82</f>
        <v>0</v>
      </c>
      <c r="G82" s="245"/>
      <c r="H82" s="332" t="str">
        <f>IF($B82= "","-",IF($B82= "External","Specify location tariff", INDEX(Constants!$3:$3,MATCH($B82,Constants!$2:$2,0))))</f>
        <v>-</v>
      </c>
      <c r="I82" s="333" t="str">
        <f t="shared" si="2"/>
        <v>-</v>
      </c>
      <c r="J82" s="247"/>
      <c r="K82" s="613"/>
      <c r="L82" s="562"/>
      <c r="M82" s="562"/>
      <c r="N82" s="562"/>
      <c r="O82" s="614"/>
      <c r="P82" s="566"/>
      <c r="Q82" s="567"/>
      <c r="R82" s="16"/>
      <c r="S82" s="16"/>
      <c r="V82" s="16"/>
      <c r="W82" s="16"/>
      <c r="X82" s="16"/>
      <c r="Y82" s="16"/>
      <c r="Z82" s="16"/>
      <c r="AA82" s="16"/>
    </row>
    <row r="83" spans="1:30" ht="15.75" customHeight="1">
      <c r="A83" s="231"/>
      <c r="B83" s="231"/>
      <c r="C83" s="232"/>
      <c r="D83" s="261"/>
      <c r="E83" s="245"/>
      <c r="F83" s="326">
        <f>'DKV Euros'!$D83*'DKV Euros'!$E83</f>
        <v>0</v>
      </c>
      <c r="G83" s="245"/>
      <c r="H83" s="332" t="str">
        <f>IF($B83= "","-",IF($B83= "External","Specify location tariff", INDEX(Constants!$3:$3,MATCH($B83,Constants!$2:$2,0))))</f>
        <v>-</v>
      </c>
      <c r="I83" s="333" t="str">
        <f t="shared" si="2"/>
        <v>-</v>
      </c>
      <c r="J83" s="247"/>
      <c r="K83" s="613"/>
      <c r="L83" s="562"/>
      <c r="M83" s="562"/>
      <c r="N83" s="562"/>
      <c r="O83" s="614"/>
      <c r="P83" s="566"/>
      <c r="Q83" s="567"/>
      <c r="R83" s="16"/>
      <c r="S83" s="16"/>
      <c r="V83" s="16"/>
      <c r="W83" s="16"/>
      <c r="X83" s="16"/>
      <c r="Y83" s="16"/>
      <c r="Z83" s="16"/>
      <c r="AA83" s="16"/>
    </row>
    <row r="84" spans="1:30" ht="15.75" customHeight="1">
      <c r="A84" s="231"/>
      <c r="B84" s="231"/>
      <c r="C84" s="232"/>
      <c r="D84" s="261"/>
      <c r="E84" s="245"/>
      <c r="F84" s="326">
        <f>'DKV Euros'!$D84*'DKV Euros'!$E84</f>
        <v>0</v>
      </c>
      <c r="G84" s="245"/>
      <c r="H84" s="332" t="str">
        <f>IF($B84= "","-",IF($B84= "External","Specify location tariff", INDEX(Constants!$3:$3,MATCH($B84,Constants!$2:$2,0))))</f>
        <v>-</v>
      </c>
      <c r="I84" s="333" t="str">
        <f t="shared" si="2"/>
        <v>-</v>
      </c>
      <c r="J84" s="247"/>
      <c r="K84" s="613"/>
      <c r="L84" s="562"/>
      <c r="M84" s="562"/>
      <c r="N84" s="562"/>
      <c r="O84" s="614"/>
      <c r="P84" s="566"/>
      <c r="Q84" s="567"/>
      <c r="R84" s="16"/>
      <c r="S84" s="16"/>
      <c r="V84" s="16"/>
      <c r="W84" s="16"/>
      <c r="X84" s="16"/>
      <c r="Y84" s="16"/>
      <c r="Z84" s="16"/>
      <c r="AA84" s="16"/>
    </row>
    <row r="85" spans="1:30" ht="15.75" customHeight="1">
      <c r="A85" s="231"/>
      <c r="B85" s="231"/>
      <c r="C85" s="232"/>
      <c r="D85" s="261"/>
      <c r="E85" s="245"/>
      <c r="F85" s="326">
        <f>'DKV Euros'!$D85*'DKV Euros'!$E85</f>
        <v>0</v>
      </c>
      <c r="G85" s="245"/>
      <c r="H85" s="332" t="str">
        <f>IF($B85= "","-",IF($B85= "External","Specify location tariff", INDEX(Constants!$3:$3,MATCH($B85,Constants!$2:$2,0))))</f>
        <v>-</v>
      </c>
      <c r="I85" s="333" t="str">
        <f t="shared" si="2"/>
        <v>-</v>
      </c>
      <c r="J85" s="247"/>
      <c r="K85" s="613"/>
      <c r="L85" s="562"/>
      <c r="M85" s="562"/>
      <c r="N85" s="562"/>
      <c r="O85" s="614"/>
      <c r="P85" s="566"/>
      <c r="Q85" s="567"/>
      <c r="R85" s="16"/>
      <c r="S85" s="16"/>
      <c r="V85" s="16"/>
      <c r="W85" s="16"/>
      <c r="X85" s="16"/>
      <c r="Y85" s="16"/>
      <c r="Z85" s="16"/>
      <c r="AA85" s="16"/>
    </row>
    <row r="86" spans="1:30" ht="15.75" customHeight="1">
      <c r="A86" s="231"/>
      <c r="B86" s="231"/>
      <c r="C86" s="232"/>
      <c r="D86" s="261"/>
      <c r="E86" s="245"/>
      <c r="F86" s="326">
        <f>'DKV Euros'!$D86*'DKV Euros'!$E86</f>
        <v>0</v>
      </c>
      <c r="G86" s="245"/>
      <c r="H86" s="332" t="str">
        <f>IF($B86= "","-",IF($B86= "External","Specify location tariff", INDEX(Constants!$3:$3,MATCH($B86,Constants!$2:$2,0))))</f>
        <v>-</v>
      </c>
      <c r="I86" s="333" t="str">
        <f t="shared" si="2"/>
        <v>-</v>
      </c>
      <c r="J86" s="247"/>
      <c r="K86" s="613"/>
      <c r="L86" s="562"/>
      <c r="M86" s="562"/>
      <c r="N86" s="562"/>
      <c r="O86" s="614"/>
      <c r="P86" s="566"/>
      <c r="Q86" s="567"/>
      <c r="R86" s="16"/>
      <c r="S86" s="16"/>
      <c r="V86" s="16"/>
      <c r="W86" s="16"/>
      <c r="X86" s="16"/>
      <c r="Y86" s="16"/>
      <c r="Z86" s="16"/>
      <c r="AA86" s="16"/>
    </row>
    <row r="87" spans="1:30" ht="15.75" customHeight="1">
      <c r="A87" s="231"/>
      <c r="B87" s="231"/>
      <c r="C87" s="232"/>
      <c r="D87" s="261"/>
      <c r="E87" s="245"/>
      <c r="F87" s="326">
        <f>'DKV Euros'!$D87*'DKV Euros'!$E87</f>
        <v>0</v>
      </c>
      <c r="G87" s="245"/>
      <c r="H87" s="332" t="str">
        <f>IF($B87= "","-",IF($B87= "External","Specify location tariff", INDEX(Constants!$3:$3,MATCH($B87,Constants!$2:$2,0))))</f>
        <v>-</v>
      </c>
      <c r="I87" s="333" t="str">
        <f t="shared" si="2"/>
        <v>-</v>
      </c>
      <c r="J87" s="247"/>
      <c r="K87" s="613"/>
      <c r="L87" s="562"/>
      <c r="M87" s="562"/>
      <c r="N87" s="562"/>
      <c r="O87" s="614"/>
      <c r="P87" s="566"/>
      <c r="Q87" s="567"/>
      <c r="R87" s="16"/>
      <c r="S87" s="16"/>
      <c r="V87" s="16"/>
      <c r="W87" s="16"/>
      <c r="X87" s="16"/>
      <c r="Y87" s="16"/>
      <c r="Z87" s="16"/>
      <c r="AA87" s="16"/>
    </row>
    <row r="88" spans="1:30" ht="15.75" customHeight="1">
      <c r="A88" s="231"/>
      <c r="B88" s="231"/>
      <c r="C88" s="232"/>
      <c r="D88" s="261"/>
      <c r="E88" s="245"/>
      <c r="F88" s="326">
        <f>'DKV Euros'!$D88*'DKV Euros'!$E88</f>
        <v>0</v>
      </c>
      <c r="G88" s="245"/>
      <c r="H88" s="332" t="str">
        <f>IF($B88= "","-",IF($B88= "External","Specify location tariff", INDEX(Constants!$3:$3,MATCH($B88,Constants!$2:$2,0))))</f>
        <v>-</v>
      </c>
      <c r="I88" s="333" t="str">
        <f t="shared" si="2"/>
        <v>-</v>
      </c>
      <c r="J88" s="247"/>
      <c r="K88" s="613"/>
      <c r="L88" s="562"/>
      <c r="M88" s="562"/>
      <c r="N88" s="562"/>
      <c r="O88" s="614"/>
      <c r="P88" s="566"/>
      <c r="Q88" s="567"/>
      <c r="R88" s="16"/>
      <c r="S88" s="16"/>
      <c r="V88" s="16"/>
      <c r="W88" s="16"/>
      <c r="X88" s="16"/>
      <c r="Y88" s="16"/>
      <c r="Z88" s="16"/>
      <c r="AA88" s="16"/>
    </row>
    <row r="89" spans="1:30" ht="15.75" customHeight="1">
      <c r="A89" s="231"/>
      <c r="B89" s="231"/>
      <c r="C89" s="232"/>
      <c r="D89" s="261"/>
      <c r="E89" s="245"/>
      <c r="F89" s="326">
        <f>'DKV Euros'!$D89*'DKV Euros'!$E89</f>
        <v>0</v>
      </c>
      <c r="G89" s="245"/>
      <c r="H89" s="332" t="str">
        <f>IF($B89= "","-",IF($B89= "External","Specify location tariff", INDEX(Constants!$3:$3,MATCH($B89,Constants!$2:$2,0))))</f>
        <v>-</v>
      </c>
      <c r="I89" s="333" t="str">
        <f t="shared" si="2"/>
        <v>-</v>
      </c>
      <c r="J89" s="247"/>
      <c r="K89" s="613"/>
      <c r="L89" s="562"/>
      <c r="M89" s="562"/>
      <c r="N89" s="562"/>
      <c r="O89" s="614"/>
      <c r="P89" s="566"/>
      <c r="Q89" s="567"/>
      <c r="R89" s="16"/>
      <c r="S89" s="16"/>
      <c r="V89" s="16"/>
      <c r="W89" s="16"/>
      <c r="X89" s="16"/>
      <c r="Y89" s="16"/>
      <c r="Z89" s="16"/>
      <c r="AA89" s="16"/>
    </row>
    <row r="90" spans="1:30" ht="15.75" customHeight="1">
      <c r="A90" s="231"/>
      <c r="B90" s="231"/>
      <c r="C90" s="232"/>
      <c r="D90" s="261"/>
      <c r="E90" s="245"/>
      <c r="F90" s="326">
        <f>'DKV Euros'!$D90*'DKV Euros'!$E90</f>
        <v>0</v>
      </c>
      <c r="G90" s="245"/>
      <c r="H90" s="332" t="str">
        <f>IF($B90= "","-",IF($B90= "External","Specify location tariff", INDEX(Constants!$3:$3,MATCH($B90,Constants!$2:$2,0))))</f>
        <v>-</v>
      </c>
      <c r="I90" s="333" t="str">
        <f t="shared" si="2"/>
        <v>-</v>
      </c>
      <c r="J90" s="247"/>
      <c r="K90" s="613"/>
      <c r="L90" s="562"/>
      <c r="M90" s="562"/>
      <c r="N90" s="562"/>
      <c r="O90" s="614"/>
      <c r="P90" s="566"/>
      <c r="Q90" s="567"/>
      <c r="R90" s="16"/>
      <c r="S90" s="16"/>
      <c r="V90" s="16"/>
      <c r="W90" s="16"/>
      <c r="X90" s="16"/>
      <c r="Y90" s="16"/>
      <c r="Z90" s="16"/>
      <c r="AA90" s="16"/>
    </row>
    <row r="91" spans="1:30" ht="15.75" customHeight="1">
      <c r="A91" s="231"/>
      <c r="B91" s="231"/>
      <c r="C91" s="232"/>
      <c r="D91" s="261"/>
      <c r="E91" s="245"/>
      <c r="F91" s="326">
        <f>'DKV Euros'!$D91*'DKV Euros'!$E91</f>
        <v>0</v>
      </c>
      <c r="G91" s="245"/>
      <c r="H91" s="332" t="str">
        <f>IF($B91= "","-",IF($B91= "External","Specify location tariff", INDEX(Constants!$3:$3,MATCH($B91,Constants!$2:$2,0))))</f>
        <v>-</v>
      </c>
      <c r="I91" s="333" t="str">
        <f t="shared" si="2"/>
        <v>-</v>
      </c>
      <c r="J91" s="247"/>
      <c r="K91" s="613"/>
      <c r="L91" s="562"/>
      <c r="M91" s="562"/>
      <c r="N91" s="562"/>
      <c r="O91" s="614"/>
      <c r="P91" s="566"/>
      <c r="Q91" s="567"/>
      <c r="R91" s="16"/>
      <c r="S91" s="16"/>
      <c r="V91" s="16"/>
      <c r="W91" s="16"/>
      <c r="X91" s="16"/>
      <c r="Y91" s="16"/>
      <c r="Z91" s="16"/>
      <c r="AA91" s="16"/>
    </row>
    <row r="92" spans="1:30" ht="15.75" customHeight="1" thickBot="1">
      <c r="A92" s="231"/>
      <c r="B92" s="231"/>
      <c r="C92" s="232"/>
      <c r="D92" s="261"/>
      <c r="E92" s="245"/>
      <c r="F92" s="326">
        <f>'DKV Euros'!$D92*'DKV Euros'!$E92</f>
        <v>0</v>
      </c>
      <c r="G92" s="245"/>
      <c r="H92" s="332" t="str">
        <f>IF($B92= "","-",IF($B92= "External","Specify location tariff", INDEX(Constants!$3:$3,MATCH($B92,Constants!$2:$2,0))))</f>
        <v>-</v>
      </c>
      <c r="I92" s="333" t="str">
        <f t="shared" si="2"/>
        <v>-</v>
      </c>
      <c r="J92" s="247"/>
      <c r="K92" s="615"/>
      <c r="L92" s="616"/>
      <c r="M92" s="616"/>
      <c r="N92" s="616"/>
      <c r="O92" s="617"/>
      <c r="P92" s="568"/>
      <c r="Q92" s="569"/>
      <c r="R92" s="16"/>
      <c r="S92" s="16"/>
      <c r="V92" s="16"/>
      <c r="W92" s="16"/>
      <c r="X92" s="16"/>
      <c r="Y92" s="16"/>
      <c r="Z92" s="16"/>
      <c r="AA92" s="16"/>
    </row>
    <row r="93" spans="1:30" ht="15.75" customHeight="1" thickTop="1">
      <c r="A93" s="15"/>
      <c r="B93" s="16"/>
      <c r="C93" s="16"/>
      <c r="D93" s="16"/>
      <c r="E93" s="16"/>
      <c r="F93" s="16"/>
      <c r="G93" s="16"/>
      <c r="H93" s="16"/>
      <c r="I93" s="16"/>
      <c r="J93" s="16"/>
      <c r="K93" s="16"/>
      <c r="L93" s="16"/>
      <c r="M93" s="16"/>
      <c r="N93" s="16"/>
      <c r="O93" s="16"/>
      <c r="P93" s="16"/>
      <c r="Q93" s="16"/>
      <c r="R93" s="16"/>
      <c r="S93" s="16"/>
      <c r="T93" s="16"/>
      <c r="U93" s="16"/>
      <c r="V93" s="16"/>
      <c r="W93" s="16"/>
      <c r="X93" s="16"/>
      <c r="Y93" s="16"/>
      <c r="Z93" s="16"/>
      <c r="AA93" s="16"/>
      <c r="AB93" s="16"/>
      <c r="AC93" s="16"/>
      <c r="AD93" s="16"/>
    </row>
    <row r="94" spans="1:30" ht="15.75" customHeight="1">
      <c r="A94" s="15"/>
      <c r="B94" s="16"/>
      <c r="C94" s="16"/>
      <c r="D94" s="16"/>
      <c r="E94" s="16"/>
      <c r="F94" s="16"/>
      <c r="G94" s="16"/>
      <c r="H94" s="16"/>
      <c r="I94" s="16"/>
      <c r="J94" s="16"/>
      <c r="K94" s="16"/>
      <c r="L94" s="16"/>
      <c r="M94" s="16"/>
      <c r="N94" s="16"/>
      <c r="O94" s="16"/>
      <c r="P94" s="16"/>
      <c r="Q94" s="16"/>
      <c r="R94" s="16"/>
      <c r="S94" s="16"/>
      <c r="T94" s="16"/>
      <c r="U94" s="16"/>
      <c r="V94" s="16"/>
      <c r="W94" s="16"/>
      <c r="X94" s="16"/>
      <c r="Y94" s="16"/>
      <c r="Z94" s="16"/>
      <c r="AA94" s="16"/>
      <c r="AB94" s="16"/>
      <c r="AC94" s="16"/>
      <c r="AD94" s="16"/>
    </row>
    <row r="95" spans="1:30" ht="15.75" customHeight="1" thickBot="1">
      <c r="A95" s="186" t="s">
        <v>519</v>
      </c>
      <c r="B95" s="16"/>
      <c r="C95" s="128"/>
      <c r="D95" s="51"/>
      <c r="E95" s="51"/>
      <c r="F95" s="51"/>
      <c r="G95" s="51"/>
      <c r="H95" s="51"/>
      <c r="I95" s="51"/>
      <c r="J95" s="51"/>
      <c r="K95" s="51"/>
      <c r="L95" s="232"/>
      <c r="M95" s="231"/>
      <c r="N95" s="16"/>
      <c r="O95" s="16"/>
      <c r="P95" s="16"/>
      <c r="Q95" s="16"/>
      <c r="R95" s="16"/>
      <c r="S95" s="16"/>
      <c r="T95" s="16"/>
      <c r="U95" s="16"/>
      <c r="V95" s="16"/>
      <c r="W95" s="16"/>
      <c r="X95" s="16"/>
      <c r="Y95" s="16"/>
      <c r="Z95" s="16"/>
      <c r="AA95" s="16"/>
      <c r="AB95" s="16"/>
      <c r="AC95" s="16"/>
      <c r="AD95" s="16"/>
    </row>
    <row r="96" spans="1:30" ht="15" customHeight="1" thickTop="1" thickBot="1">
      <c r="A96" s="230" t="s">
        <v>438</v>
      </c>
      <c r="B96" s="230" t="s">
        <v>439</v>
      </c>
      <c r="C96" s="230" t="s">
        <v>520</v>
      </c>
      <c r="D96" s="230" t="s">
        <v>521</v>
      </c>
      <c r="E96" s="230" t="s">
        <v>522</v>
      </c>
      <c r="F96" s="230" t="s">
        <v>523</v>
      </c>
      <c r="G96" s="230" t="s">
        <v>508</v>
      </c>
      <c r="H96" s="721" t="s">
        <v>441</v>
      </c>
      <c r="I96" s="728"/>
      <c r="J96" s="729" t="s">
        <v>434</v>
      </c>
      <c r="K96" s="730"/>
      <c r="L96" s="16"/>
      <c r="M96" s="16"/>
      <c r="N96" s="16"/>
      <c r="O96" s="16"/>
      <c r="P96" s="117"/>
      <c r="Q96" s="15"/>
      <c r="R96" s="16"/>
      <c r="S96" s="130"/>
      <c r="T96" s="16"/>
      <c r="U96" s="16"/>
      <c r="V96" s="16"/>
      <c r="W96" s="241"/>
      <c r="X96" s="16"/>
      <c r="Y96" s="16"/>
      <c r="Z96" s="16"/>
      <c r="AA96" s="16"/>
      <c r="AB96" s="16"/>
    </row>
    <row r="97" spans="1:28" ht="15" customHeight="1" thickTop="1">
      <c r="A97" s="230" t="s">
        <v>742</v>
      </c>
      <c r="B97" s="231"/>
      <c r="C97" s="246"/>
      <c r="D97" s="247"/>
      <c r="E97" s="245"/>
      <c r="F97" s="246"/>
      <c r="G97" s="247"/>
      <c r="H97" s="594"/>
      <c r="I97" s="595"/>
      <c r="J97" s="576" t="s">
        <v>526</v>
      </c>
      <c r="K97" s="577"/>
      <c r="L97" s="16"/>
      <c r="M97" s="16"/>
      <c r="N97" s="16"/>
      <c r="O97" s="16"/>
      <c r="P97" s="117"/>
      <c r="Q97" s="15"/>
      <c r="R97" s="16"/>
      <c r="S97" s="130"/>
      <c r="T97" s="16"/>
      <c r="U97" s="16"/>
      <c r="V97" s="16"/>
      <c r="W97" s="241"/>
      <c r="X97" s="16"/>
      <c r="Y97" s="16"/>
      <c r="Z97" s="16"/>
      <c r="AA97" s="16"/>
      <c r="AB97" s="16"/>
    </row>
    <row r="98" spans="1:28" ht="15" customHeight="1">
      <c r="A98" s="244" t="s">
        <v>743</v>
      </c>
      <c r="B98" s="244" t="s">
        <v>687</v>
      </c>
      <c r="C98" s="339">
        <v>6081.25</v>
      </c>
      <c r="D98" s="394">
        <v>14.142860000000001</v>
      </c>
      <c r="E98" s="338">
        <v>7</v>
      </c>
      <c r="F98" s="339">
        <v>430</v>
      </c>
      <c r="G98" s="395" t="s">
        <v>744</v>
      </c>
      <c r="H98" s="596"/>
      <c r="I98" s="597"/>
      <c r="J98" s="578"/>
      <c r="K98" s="579"/>
      <c r="L98" s="16"/>
      <c r="M98" s="16"/>
      <c r="N98" s="16"/>
      <c r="O98" s="16"/>
      <c r="P98" s="117"/>
      <c r="Q98" s="15"/>
      <c r="R98" s="16"/>
      <c r="S98" s="130"/>
      <c r="T98" s="16"/>
      <c r="U98" s="16"/>
      <c r="V98" s="16"/>
      <c r="W98" s="241"/>
      <c r="X98" s="16"/>
      <c r="Y98" s="16"/>
      <c r="Z98" s="16"/>
      <c r="AA98" s="16"/>
      <c r="AB98" s="16"/>
    </row>
    <row r="99" spans="1:28" ht="15" customHeight="1">
      <c r="A99" s="244" t="s">
        <v>745</v>
      </c>
      <c r="B99" s="244" t="s">
        <v>687</v>
      </c>
      <c r="C99" s="339">
        <v>4000</v>
      </c>
      <c r="D99" s="394">
        <v>15</v>
      </c>
      <c r="E99" s="338">
        <v>2</v>
      </c>
      <c r="F99" s="339">
        <v>267</v>
      </c>
      <c r="G99" s="395" t="s">
        <v>746</v>
      </c>
      <c r="H99" s="596"/>
      <c r="I99" s="597"/>
      <c r="J99" s="578"/>
      <c r="K99" s="579"/>
      <c r="L99" s="16"/>
      <c r="M99" s="16"/>
      <c r="N99" s="16"/>
      <c r="O99" s="16"/>
      <c r="P99" s="117"/>
      <c r="Q99" s="15"/>
      <c r="R99" s="16"/>
      <c r="S99" s="130"/>
      <c r="T99" s="16"/>
      <c r="U99" s="16"/>
      <c r="V99" s="16"/>
      <c r="W99" s="241"/>
      <c r="X99" s="16"/>
      <c r="Y99" s="16"/>
      <c r="Z99" s="16"/>
      <c r="AA99" s="16"/>
      <c r="AB99" s="16"/>
    </row>
    <row r="100" spans="1:28" ht="15" customHeight="1">
      <c r="A100" s="244" t="s">
        <v>747</v>
      </c>
      <c r="B100" s="244" t="s">
        <v>687</v>
      </c>
      <c r="C100" s="339">
        <v>1400</v>
      </c>
      <c r="D100" s="394">
        <v>15</v>
      </c>
      <c r="E100" s="338">
        <v>2</v>
      </c>
      <c r="F100" s="339">
        <v>93</v>
      </c>
      <c r="G100" s="395" t="s">
        <v>748</v>
      </c>
      <c r="H100" s="596"/>
      <c r="I100" s="597"/>
      <c r="J100" s="578"/>
      <c r="K100" s="579"/>
      <c r="L100" s="16"/>
      <c r="M100" s="16"/>
      <c r="N100" s="16"/>
      <c r="O100" s="16"/>
      <c r="P100" s="117"/>
      <c r="Q100" s="15"/>
      <c r="R100" s="16"/>
      <c r="S100" s="130"/>
      <c r="T100" s="16"/>
      <c r="U100" s="16"/>
      <c r="V100" s="16"/>
      <c r="W100" s="241"/>
      <c r="X100" s="16"/>
      <c r="Y100" s="16"/>
      <c r="Z100" s="16"/>
      <c r="AA100" s="16"/>
      <c r="AB100" s="16"/>
    </row>
    <row r="101" spans="1:28" ht="15" customHeight="1">
      <c r="A101" s="244" t="s">
        <v>749</v>
      </c>
      <c r="B101" s="244" t="s">
        <v>687</v>
      </c>
      <c r="C101" s="339">
        <v>1294.5</v>
      </c>
      <c r="D101" s="394">
        <v>7</v>
      </c>
      <c r="E101" s="338">
        <v>8</v>
      </c>
      <c r="F101" s="339">
        <v>185</v>
      </c>
      <c r="G101" s="395" t="s">
        <v>750</v>
      </c>
      <c r="H101" s="596"/>
      <c r="I101" s="597"/>
      <c r="J101" s="578"/>
      <c r="K101" s="579"/>
      <c r="L101" s="16"/>
      <c r="M101" s="16"/>
      <c r="N101" s="16"/>
      <c r="O101" s="16"/>
      <c r="P101" s="117"/>
      <c r="Q101" s="15"/>
      <c r="R101" s="16"/>
      <c r="S101" s="130"/>
      <c r="T101" s="16"/>
      <c r="U101" s="16"/>
      <c r="V101" s="16"/>
      <c r="W101" s="241"/>
      <c r="X101" s="16"/>
      <c r="Y101" s="16"/>
      <c r="Z101" s="16"/>
      <c r="AA101" s="16"/>
      <c r="AB101" s="16"/>
    </row>
    <row r="102" spans="1:28" ht="15" customHeight="1">
      <c r="A102" s="244" t="s">
        <v>751</v>
      </c>
      <c r="B102" s="244" t="s">
        <v>687</v>
      </c>
      <c r="C102" s="339">
        <v>484</v>
      </c>
      <c r="D102" s="394">
        <v>15</v>
      </c>
      <c r="E102" s="338">
        <v>10</v>
      </c>
      <c r="F102" s="339">
        <v>32</v>
      </c>
      <c r="G102" s="395" t="s">
        <v>752</v>
      </c>
      <c r="H102" s="596"/>
      <c r="I102" s="597"/>
      <c r="J102" s="578"/>
      <c r="K102" s="579"/>
      <c r="L102" s="16"/>
      <c r="M102" s="16"/>
      <c r="N102" s="16"/>
      <c r="O102" s="16"/>
      <c r="P102" s="117"/>
      <c r="Q102" s="15"/>
      <c r="R102" s="16"/>
      <c r="S102" s="130"/>
      <c r="T102" s="16"/>
      <c r="U102" s="16"/>
      <c r="V102" s="16"/>
      <c r="W102" s="241"/>
      <c r="X102" s="16"/>
      <c r="Y102" s="16"/>
      <c r="Z102" s="16"/>
      <c r="AA102" s="16"/>
      <c r="AB102" s="16"/>
    </row>
    <row r="103" spans="1:28" ht="15" customHeight="1">
      <c r="A103" s="244" t="s">
        <v>753</v>
      </c>
      <c r="B103" s="244" t="s">
        <v>687</v>
      </c>
      <c r="C103" s="339">
        <v>321.57</v>
      </c>
      <c r="D103" s="394">
        <v>5</v>
      </c>
      <c r="E103" s="338">
        <v>9</v>
      </c>
      <c r="F103" s="339">
        <v>64</v>
      </c>
      <c r="G103" s="395" t="s">
        <v>754</v>
      </c>
      <c r="H103" s="596"/>
      <c r="I103" s="597"/>
      <c r="J103" s="578"/>
      <c r="K103" s="579"/>
      <c r="L103" s="16"/>
      <c r="M103" s="16"/>
      <c r="N103" s="16"/>
      <c r="O103" s="16"/>
      <c r="P103" s="117"/>
      <c r="Q103" s="15"/>
      <c r="R103" s="16"/>
      <c r="S103" s="130"/>
      <c r="T103" s="16"/>
      <c r="U103" s="16"/>
      <c r="V103" s="16"/>
      <c r="W103" s="241"/>
      <c r="X103" s="16"/>
      <c r="Y103" s="16"/>
      <c r="Z103" s="16"/>
      <c r="AA103" s="16"/>
      <c r="AB103" s="16"/>
    </row>
    <row r="104" spans="1:28" ht="15" customHeight="1">
      <c r="A104" s="244" t="s">
        <v>755</v>
      </c>
      <c r="B104" s="244" t="s">
        <v>687</v>
      </c>
      <c r="C104" s="339">
        <v>1595</v>
      </c>
      <c r="D104" s="394">
        <v>15</v>
      </c>
      <c r="E104" s="338">
        <v>1</v>
      </c>
      <c r="F104" s="339">
        <v>106</v>
      </c>
      <c r="G104" s="395"/>
      <c r="H104" s="596"/>
      <c r="I104" s="597"/>
      <c r="J104" s="578"/>
      <c r="K104" s="579"/>
      <c r="L104" s="16"/>
      <c r="M104" s="16"/>
      <c r="N104" s="16"/>
      <c r="O104" s="16"/>
      <c r="P104" s="117"/>
      <c r="Q104" s="15"/>
      <c r="R104" s="16"/>
      <c r="S104" s="130"/>
      <c r="T104" s="16"/>
      <c r="U104" s="16"/>
      <c r="V104" s="16"/>
      <c r="W104" s="241"/>
      <c r="X104" s="16"/>
      <c r="Y104" s="16"/>
      <c r="Z104" s="16"/>
      <c r="AA104" s="16"/>
      <c r="AB104" s="16"/>
    </row>
    <row r="105" spans="1:28" ht="15" customHeight="1">
      <c r="A105" s="244" t="s">
        <v>756</v>
      </c>
      <c r="B105" s="244" t="s">
        <v>687</v>
      </c>
      <c r="C105" s="339">
        <v>217.13</v>
      </c>
      <c r="D105" s="394">
        <v>10</v>
      </c>
      <c r="E105" s="338">
        <v>9</v>
      </c>
      <c r="F105" s="339">
        <v>22</v>
      </c>
      <c r="G105" s="395"/>
      <c r="H105" s="596"/>
      <c r="I105" s="597"/>
      <c r="J105" s="578"/>
      <c r="K105" s="579"/>
      <c r="L105" s="16"/>
      <c r="M105" s="16"/>
      <c r="N105" s="16"/>
      <c r="O105" s="16"/>
      <c r="P105" s="117"/>
      <c r="Q105" s="15"/>
      <c r="R105" s="16"/>
      <c r="S105" s="130"/>
      <c r="T105" s="16"/>
      <c r="U105" s="16"/>
      <c r="V105" s="16"/>
      <c r="W105" s="241"/>
      <c r="X105" s="16"/>
      <c r="Y105" s="16"/>
      <c r="Z105" s="16"/>
      <c r="AA105" s="16"/>
      <c r="AB105" s="16"/>
    </row>
    <row r="106" spans="1:28" ht="15" customHeight="1">
      <c r="A106" s="244" t="s">
        <v>757</v>
      </c>
      <c r="B106" s="244" t="s">
        <v>687</v>
      </c>
      <c r="C106" s="339">
        <v>2700</v>
      </c>
      <c r="D106" s="394">
        <v>15</v>
      </c>
      <c r="E106" s="338">
        <v>2</v>
      </c>
      <c r="F106" s="339">
        <v>180</v>
      </c>
      <c r="G106" s="395"/>
      <c r="H106" s="596"/>
      <c r="I106" s="597"/>
      <c r="J106" s="578"/>
      <c r="K106" s="579"/>
      <c r="L106" s="16"/>
      <c r="M106" s="16"/>
      <c r="N106" s="16"/>
      <c r="O106" s="16"/>
      <c r="P106" s="117"/>
      <c r="Q106" s="15"/>
      <c r="R106" s="16"/>
      <c r="S106" s="130"/>
      <c r="T106" s="16"/>
      <c r="U106" s="16"/>
      <c r="V106" s="16"/>
      <c r="W106" s="241"/>
      <c r="X106" s="16"/>
      <c r="Y106" s="16"/>
      <c r="Z106" s="16"/>
      <c r="AA106" s="16"/>
      <c r="AB106" s="16"/>
    </row>
    <row r="107" spans="1:28" ht="15" customHeight="1">
      <c r="A107" s="244"/>
      <c r="B107" s="244"/>
      <c r="C107" s="339"/>
      <c r="D107" s="394"/>
      <c r="E107" s="338"/>
      <c r="F107" s="339"/>
      <c r="G107" s="395"/>
      <c r="H107" s="596"/>
      <c r="I107" s="597"/>
      <c r="J107" s="578"/>
      <c r="K107" s="579"/>
      <c r="L107" s="16"/>
      <c r="M107" s="16"/>
      <c r="N107" s="16"/>
      <c r="O107" s="16"/>
      <c r="P107" s="117"/>
      <c r="Q107" s="15"/>
      <c r="R107" s="16"/>
      <c r="S107" s="130"/>
      <c r="T107" s="16"/>
      <c r="U107" s="16"/>
      <c r="V107" s="16"/>
      <c r="W107" s="241"/>
      <c r="X107" s="16"/>
      <c r="Y107" s="16"/>
      <c r="Z107" s="16"/>
      <c r="AA107" s="16"/>
      <c r="AB107" s="16"/>
    </row>
    <row r="108" spans="1:28" ht="15" customHeight="1">
      <c r="A108" s="230" t="s">
        <v>758</v>
      </c>
      <c r="B108" s="231"/>
      <c r="C108" s="246"/>
      <c r="D108" s="326"/>
      <c r="E108" s="245"/>
      <c r="F108" s="246"/>
      <c r="G108" s="395"/>
      <c r="H108" s="596"/>
      <c r="I108" s="597"/>
      <c r="J108" s="578"/>
      <c r="K108" s="579"/>
      <c r="L108" s="16"/>
      <c r="M108" s="16"/>
      <c r="N108" s="16"/>
      <c r="O108" s="16"/>
      <c r="P108" s="117"/>
      <c r="Q108" s="15"/>
      <c r="R108" s="16"/>
      <c r="S108" s="130"/>
      <c r="T108" s="16"/>
      <c r="U108" s="16"/>
      <c r="V108" s="16"/>
      <c r="W108" s="241"/>
      <c r="X108" s="16"/>
      <c r="Y108" s="16"/>
      <c r="Z108" s="16"/>
      <c r="AA108" s="16"/>
      <c r="AB108" s="16"/>
    </row>
    <row r="109" spans="1:28" ht="15" customHeight="1">
      <c r="A109" s="244" t="s">
        <v>759</v>
      </c>
      <c r="B109" s="244" t="s">
        <v>687</v>
      </c>
      <c r="C109" s="339">
        <v>195</v>
      </c>
      <c r="D109" s="394">
        <v>1</v>
      </c>
      <c r="E109" s="338">
        <v>6</v>
      </c>
      <c r="F109" s="339">
        <v>195</v>
      </c>
      <c r="G109" s="395" t="s">
        <v>760</v>
      </c>
      <c r="H109" s="596"/>
      <c r="I109" s="597"/>
      <c r="J109" s="578"/>
      <c r="K109" s="579"/>
      <c r="L109" s="16"/>
      <c r="M109" s="16"/>
      <c r="N109" s="16"/>
      <c r="O109" s="16"/>
      <c r="P109" s="117"/>
      <c r="Q109" s="15"/>
      <c r="R109" s="16"/>
      <c r="S109" s="130"/>
      <c r="T109" s="16"/>
      <c r="U109" s="16"/>
      <c r="V109" s="16"/>
      <c r="W109" s="241"/>
      <c r="X109" s="16"/>
      <c r="Y109" s="16"/>
      <c r="Z109" s="16"/>
      <c r="AA109" s="16"/>
      <c r="AB109" s="16"/>
    </row>
    <row r="110" spans="1:28" ht="15" customHeight="1">
      <c r="A110" s="244" t="s">
        <v>761</v>
      </c>
      <c r="B110" s="244" t="s">
        <v>687</v>
      </c>
      <c r="C110" s="339">
        <v>6293</v>
      </c>
      <c r="D110" s="394">
        <v>10</v>
      </c>
      <c r="E110" s="338">
        <v>7</v>
      </c>
      <c r="F110" s="339">
        <v>629</v>
      </c>
      <c r="G110" s="395" t="s">
        <v>762</v>
      </c>
      <c r="H110" s="596"/>
      <c r="I110" s="597"/>
      <c r="J110" s="578"/>
      <c r="K110" s="579"/>
      <c r="L110" s="16"/>
      <c r="M110" s="16"/>
      <c r="N110" s="16"/>
      <c r="O110" s="16"/>
      <c r="P110" s="117"/>
      <c r="Q110" s="15"/>
      <c r="R110" s="16"/>
      <c r="S110" s="130"/>
      <c r="T110" s="16"/>
      <c r="U110" s="16"/>
      <c r="V110" s="16"/>
      <c r="W110" s="241"/>
      <c r="X110" s="16"/>
      <c r="Y110" s="16"/>
      <c r="Z110" s="16"/>
      <c r="AA110" s="16"/>
      <c r="AB110" s="16"/>
    </row>
    <row r="111" spans="1:28" ht="14.25" customHeight="1">
      <c r="A111" s="244" t="s">
        <v>763</v>
      </c>
      <c r="B111" s="244" t="s">
        <v>687</v>
      </c>
      <c r="C111" s="339">
        <v>644.54</v>
      </c>
      <c r="D111" s="394">
        <v>10</v>
      </c>
      <c r="E111" s="338">
        <v>14</v>
      </c>
      <c r="F111" s="339">
        <v>64</v>
      </c>
      <c r="G111" s="395" t="s">
        <v>764</v>
      </c>
      <c r="H111" s="596"/>
      <c r="I111" s="597"/>
      <c r="J111" s="578"/>
      <c r="K111" s="579"/>
      <c r="L111" s="16"/>
      <c r="M111" s="16"/>
      <c r="N111" s="16"/>
      <c r="O111" s="16"/>
      <c r="P111" s="16"/>
      <c r="Q111" s="133"/>
      <c r="R111" s="16"/>
      <c r="S111" s="16"/>
      <c r="T111" s="16"/>
      <c r="U111" s="16"/>
      <c r="V111" s="16"/>
      <c r="W111" s="16"/>
      <c r="X111" s="16"/>
      <c r="Y111" s="16"/>
      <c r="Z111" s="16"/>
      <c r="AA111" s="16"/>
      <c r="AB111" s="16"/>
    </row>
    <row r="112" spans="1:28" ht="15.75" customHeight="1">
      <c r="A112" s="244" t="s">
        <v>765</v>
      </c>
      <c r="B112" s="244" t="s">
        <v>687</v>
      </c>
      <c r="C112" s="339">
        <v>792.13</v>
      </c>
      <c r="D112" s="394">
        <v>10</v>
      </c>
      <c r="E112" s="338">
        <v>15</v>
      </c>
      <c r="F112" s="339">
        <v>79</v>
      </c>
      <c r="G112" s="395" t="s">
        <v>766</v>
      </c>
      <c r="H112" s="596"/>
      <c r="I112" s="597"/>
      <c r="J112" s="578"/>
      <c r="K112" s="579"/>
      <c r="L112" s="16"/>
      <c r="M112" s="16"/>
      <c r="N112" s="16"/>
      <c r="O112" s="16"/>
      <c r="P112" s="16"/>
      <c r="Q112" s="16"/>
      <c r="R112" s="16"/>
      <c r="S112" s="16"/>
      <c r="T112" s="16"/>
      <c r="U112" s="16"/>
      <c r="V112" s="16"/>
      <c r="W112" s="16"/>
      <c r="X112" s="16"/>
      <c r="Y112" s="16"/>
      <c r="Z112" s="16"/>
      <c r="AA112" s="16"/>
      <c r="AB112" s="16"/>
    </row>
    <row r="113" spans="1:30" ht="15.75" customHeight="1">
      <c r="A113" s="244" t="s">
        <v>767</v>
      </c>
      <c r="B113" s="244" t="s">
        <v>687</v>
      </c>
      <c r="C113" s="339">
        <v>498</v>
      </c>
      <c r="D113" s="394">
        <v>10</v>
      </c>
      <c r="E113" s="338">
        <v>8</v>
      </c>
      <c r="F113" s="339">
        <v>50</v>
      </c>
      <c r="G113" s="395" t="s">
        <v>768</v>
      </c>
      <c r="H113" s="596"/>
      <c r="I113" s="597"/>
      <c r="J113" s="578"/>
      <c r="K113" s="579"/>
      <c r="L113" s="16"/>
      <c r="M113" s="16"/>
      <c r="N113" s="16"/>
      <c r="O113" s="16"/>
      <c r="P113" s="16"/>
      <c r="Q113" s="16"/>
      <c r="R113" s="16"/>
      <c r="S113" s="16"/>
      <c r="T113" s="16"/>
      <c r="U113" s="16"/>
      <c r="V113" s="16"/>
      <c r="W113" s="16"/>
      <c r="X113" s="16"/>
      <c r="Y113" s="16"/>
      <c r="Z113" s="16"/>
      <c r="AA113" s="16"/>
      <c r="AB113" s="16"/>
    </row>
    <row r="114" spans="1:30" ht="15.75" customHeight="1">
      <c r="A114" s="244" t="s">
        <v>769</v>
      </c>
      <c r="B114" s="244" t="s">
        <v>687</v>
      </c>
      <c r="C114" s="391">
        <v>586.25</v>
      </c>
      <c r="D114" s="250">
        <v>5</v>
      </c>
      <c r="E114" s="250">
        <v>14</v>
      </c>
      <c r="F114" s="391">
        <v>117</v>
      </c>
      <c r="G114" s="396"/>
      <c r="H114" s="596"/>
      <c r="I114" s="597"/>
      <c r="J114" s="578"/>
      <c r="K114" s="579"/>
      <c r="L114" s="16"/>
      <c r="M114" s="16"/>
      <c r="N114" s="16"/>
      <c r="O114" s="16"/>
      <c r="P114" s="16"/>
      <c r="Q114" s="16"/>
      <c r="R114" s="16"/>
      <c r="S114" s="16"/>
      <c r="T114" s="16"/>
      <c r="U114" s="16"/>
      <c r="V114" s="16"/>
      <c r="W114" s="16"/>
      <c r="X114" s="16"/>
      <c r="Y114" s="16"/>
      <c r="Z114" s="16"/>
      <c r="AA114" s="16"/>
      <c r="AB114" s="16"/>
    </row>
    <row r="115" spans="1:30" ht="15.75" customHeight="1">
      <c r="A115" s="231"/>
      <c r="B115" s="231"/>
      <c r="C115" s="246"/>
      <c r="D115" s="326"/>
      <c r="E115" s="245"/>
      <c r="F115" s="246"/>
      <c r="G115" s="395"/>
      <c r="H115" s="596"/>
      <c r="I115" s="597"/>
      <c r="J115" s="578"/>
      <c r="K115" s="579"/>
      <c r="L115" s="16"/>
      <c r="M115" s="16"/>
      <c r="N115" s="16"/>
      <c r="O115" s="16"/>
      <c r="P115" s="16"/>
      <c r="Q115" s="16"/>
      <c r="R115" s="16"/>
      <c r="S115" s="16"/>
      <c r="T115" s="16"/>
      <c r="U115" s="16"/>
      <c r="V115" s="16"/>
      <c r="W115" s="16"/>
      <c r="X115" s="16"/>
      <c r="Y115" s="16"/>
      <c r="Z115" s="16"/>
      <c r="AA115" s="16"/>
      <c r="AB115" s="16"/>
    </row>
    <row r="116" spans="1:30" ht="15.75" customHeight="1">
      <c r="A116" s="230" t="s">
        <v>770</v>
      </c>
      <c r="B116" s="231"/>
      <c r="C116" s="246"/>
      <c r="D116" s="326"/>
      <c r="E116" s="245"/>
      <c r="F116" s="246"/>
      <c r="G116" s="395"/>
      <c r="H116" s="596"/>
      <c r="I116" s="597"/>
      <c r="J116" s="578"/>
      <c r="K116" s="579"/>
      <c r="L116" s="16"/>
      <c r="M116" s="16"/>
      <c r="N116" s="16"/>
      <c r="O116" s="16"/>
      <c r="P116" s="16"/>
      <c r="Q116" s="16"/>
      <c r="R116" s="16"/>
      <c r="S116" s="16"/>
      <c r="T116" s="16"/>
      <c r="U116" s="16"/>
      <c r="V116" s="16"/>
      <c r="W116" s="16"/>
      <c r="X116" s="16"/>
      <c r="Y116" s="16"/>
      <c r="Z116" s="16"/>
      <c r="AA116" s="16"/>
      <c r="AB116" s="16"/>
    </row>
    <row r="117" spans="1:30" ht="15.75" customHeight="1">
      <c r="A117" s="244" t="s">
        <v>771</v>
      </c>
      <c r="B117" s="244" t="s">
        <v>687</v>
      </c>
      <c r="C117" s="339">
        <v>1500</v>
      </c>
      <c r="D117" s="394">
        <v>6</v>
      </c>
      <c r="E117" s="338">
        <v>3</v>
      </c>
      <c r="F117" s="339">
        <v>250</v>
      </c>
      <c r="G117" s="395" t="s">
        <v>772</v>
      </c>
      <c r="H117" s="596"/>
      <c r="I117" s="597"/>
      <c r="J117" s="578"/>
      <c r="K117" s="579"/>
      <c r="L117" s="16"/>
      <c r="M117" s="16"/>
      <c r="N117" s="16"/>
      <c r="O117" s="16"/>
      <c r="P117" s="16"/>
      <c r="Q117" s="16"/>
      <c r="R117" s="16"/>
      <c r="S117" s="16"/>
      <c r="T117" s="16"/>
      <c r="U117" s="16"/>
      <c r="V117" s="16"/>
      <c r="W117" s="16"/>
      <c r="X117" s="16"/>
      <c r="Y117" s="16"/>
      <c r="Z117" s="16"/>
      <c r="AA117" s="16"/>
      <c r="AB117" s="16"/>
    </row>
    <row r="118" spans="1:30" ht="15.75" customHeight="1">
      <c r="A118" s="231"/>
      <c r="B118" s="231"/>
      <c r="C118" s="246"/>
      <c r="D118" s="326"/>
      <c r="E118" s="245"/>
      <c r="F118" s="246"/>
      <c r="G118" s="395"/>
      <c r="H118" s="596"/>
      <c r="I118" s="597"/>
      <c r="J118" s="578"/>
      <c r="K118" s="579"/>
      <c r="L118" s="16"/>
      <c r="M118" s="16"/>
      <c r="N118" s="16"/>
      <c r="O118" s="16"/>
      <c r="P118" s="16"/>
      <c r="Q118" s="16"/>
      <c r="R118" s="16"/>
      <c r="S118" s="16"/>
      <c r="T118" s="16"/>
      <c r="U118" s="16"/>
      <c r="V118" s="16"/>
      <c r="W118" s="16"/>
      <c r="X118" s="16"/>
      <c r="Y118" s="16"/>
      <c r="Z118" s="16"/>
      <c r="AA118" s="16"/>
      <c r="AB118" s="16"/>
    </row>
    <row r="119" spans="1:30" ht="15.75" customHeight="1">
      <c r="A119" s="230" t="s">
        <v>773</v>
      </c>
      <c r="B119" s="231"/>
      <c r="C119" s="246"/>
      <c r="D119" s="326"/>
      <c r="E119" s="245"/>
      <c r="F119" s="246"/>
      <c r="G119" s="395"/>
      <c r="H119" s="596"/>
      <c r="I119" s="597"/>
      <c r="J119" s="578"/>
      <c r="K119" s="579"/>
      <c r="L119" s="16"/>
      <c r="M119" s="16"/>
      <c r="N119" s="16"/>
      <c r="O119" s="16"/>
      <c r="P119" s="16"/>
      <c r="Q119" s="16"/>
      <c r="R119" s="16"/>
      <c r="S119" s="16"/>
      <c r="T119" s="16"/>
      <c r="U119" s="16"/>
      <c r="V119" s="16"/>
      <c r="W119" s="16"/>
      <c r="X119" s="16"/>
      <c r="Y119" s="16"/>
      <c r="Z119" s="16"/>
      <c r="AA119" s="16"/>
      <c r="AB119" s="16"/>
    </row>
    <row r="120" spans="1:30" ht="15.75" customHeight="1">
      <c r="A120" s="244" t="s">
        <v>774</v>
      </c>
      <c r="B120" s="244" t="s">
        <v>687</v>
      </c>
      <c r="C120" s="339">
        <v>90</v>
      </c>
      <c r="D120" s="394">
        <v>10</v>
      </c>
      <c r="E120" s="338">
        <v>1</v>
      </c>
      <c r="F120" s="339">
        <v>9</v>
      </c>
      <c r="G120" s="395" t="s">
        <v>775</v>
      </c>
      <c r="H120" s="596"/>
      <c r="I120" s="597"/>
      <c r="J120" s="578"/>
      <c r="K120" s="579"/>
      <c r="L120" s="16"/>
      <c r="M120" s="16"/>
      <c r="N120" s="16"/>
      <c r="O120" s="16"/>
      <c r="P120" s="16"/>
      <c r="Q120" s="16"/>
      <c r="R120" s="16"/>
      <c r="S120" s="16"/>
      <c r="T120" s="16"/>
      <c r="U120" s="16"/>
      <c r="V120" s="16"/>
      <c r="W120" s="16"/>
      <c r="X120" s="16"/>
      <c r="Y120" s="16"/>
      <c r="Z120" s="16"/>
      <c r="AA120" s="16"/>
      <c r="AB120" s="16"/>
    </row>
    <row r="121" spans="1:30" ht="15.75" customHeight="1">
      <c r="A121" s="244" t="s">
        <v>776</v>
      </c>
      <c r="B121" s="244" t="s">
        <v>687</v>
      </c>
      <c r="C121" s="339">
        <v>233.1</v>
      </c>
      <c r="D121" s="394">
        <v>9</v>
      </c>
      <c r="E121" s="338">
        <v>10</v>
      </c>
      <c r="F121" s="339">
        <v>26</v>
      </c>
      <c r="G121" s="395" t="s">
        <v>777</v>
      </c>
      <c r="H121" s="596"/>
      <c r="I121" s="597"/>
      <c r="J121" s="578"/>
      <c r="K121" s="579"/>
      <c r="L121" s="16"/>
      <c r="M121" s="16"/>
      <c r="N121" s="16"/>
      <c r="O121" s="16"/>
      <c r="P121" s="16"/>
      <c r="Q121" s="16"/>
      <c r="R121" s="16"/>
      <c r="S121" s="16"/>
      <c r="T121" s="16"/>
      <c r="U121" s="16"/>
      <c r="V121" s="16"/>
      <c r="W121" s="16"/>
      <c r="X121" s="16"/>
      <c r="Y121" s="16"/>
      <c r="Z121" s="16"/>
      <c r="AA121" s="16"/>
      <c r="AB121" s="16"/>
    </row>
    <row r="122" spans="1:30" ht="15.75" customHeight="1">
      <c r="A122" s="244" t="s">
        <v>778</v>
      </c>
      <c r="B122" s="244" t="s">
        <v>687</v>
      </c>
      <c r="C122" s="339">
        <v>46</v>
      </c>
      <c r="D122" s="394">
        <v>10</v>
      </c>
      <c r="E122" s="338">
        <v>2</v>
      </c>
      <c r="F122" s="339">
        <v>5</v>
      </c>
      <c r="G122" s="395" t="s">
        <v>779</v>
      </c>
      <c r="H122" s="596"/>
      <c r="I122" s="597"/>
      <c r="J122" s="578"/>
      <c r="K122" s="579"/>
      <c r="L122" s="16"/>
      <c r="M122" s="16"/>
      <c r="N122" s="16"/>
      <c r="O122" s="16"/>
      <c r="P122" s="16"/>
      <c r="Q122" s="16"/>
      <c r="R122" s="16"/>
      <c r="S122" s="16"/>
      <c r="T122" s="16"/>
      <c r="U122" s="16"/>
      <c r="V122" s="16"/>
      <c r="W122" s="16"/>
      <c r="X122" s="16"/>
      <c r="Y122" s="16"/>
      <c r="Z122" s="16"/>
      <c r="AA122" s="16"/>
      <c r="AB122" s="16"/>
    </row>
    <row r="123" spans="1:30" ht="15.75" customHeight="1">
      <c r="A123" s="244" t="s">
        <v>780</v>
      </c>
      <c r="B123" s="244" t="s">
        <v>687</v>
      </c>
      <c r="C123" s="339">
        <v>2633.25</v>
      </c>
      <c r="D123" s="394">
        <v>15</v>
      </c>
      <c r="E123" s="338">
        <v>7</v>
      </c>
      <c r="F123" s="339">
        <v>176</v>
      </c>
      <c r="G123" s="395" t="s">
        <v>781</v>
      </c>
      <c r="H123" s="596"/>
      <c r="I123" s="597"/>
      <c r="J123" s="578"/>
      <c r="K123" s="579"/>
      <c r="L123" s="16"/>
      <c r="M123" s="16"/>
      <c r="N123" s="16"/>
      <c r="O123" s="16"/>
      <c r="P123" s="16"/>
      <c r="Q123" s="16"/>
      <c r="R123" s="16"/>
      <c r="S123" s="16"/>
      <c r="T123" s="16"/>
      <c r="U123" s="16"/>
      <c r="V123" s="16"/>
      <c r="W123" s="16"/>
      <c r="X123" s="16"/>
      <c r="Y123" s="16"/>
      <c r="Z123" s="16"/>
      <c r="AA123" s="16"/>
      <c r="AB123" s="16"/>
    </row>
    <row r="124" spans="1:30" ht="15.75" customHeight="1">
      <c r="A124" s="244" t="s">
        <v>782</v>
      </c>
      <c r="B124" s="244" t="s">
        <v>687</v>
      </c>
      <c r="C124" s="339">
        <v>490</v>
      </c>
      <c r="D124" s="394">
        <v>10</v>
      </c>
      <c r="E124" s="338">
        <v>9</v>
      </c>
      <c r="F124" s="339">
        <v>49</v>
      </c>
      <c r="G124" s="395" t="s">
        <v>783</v>
      </c>
      <c r="H124" s="596"/>
      <c r="I124" s="597"/>
      <c r="J124" s="578"/>
      <c r="K124" s="579"/>
      <c r="L124" s="16"/>
      <c r="M124" s="16"/>
      <c r="N124" s="16"/>
      <c r="O124" s="16"/>
      <c r="P124" s="16"/>
      <c r="Q124" s="16"/>
      <c r="R124" s="16"/>
      <c r="S124" s="16"/>
      <c r="T124" s="16"/>
      <c r="U124" s="16"/>
      <c r="V124" s="16"/>
      <c r="W124" s="16"/>
      <c r="X124" s="16"/>
      <c r="Y124" s="16"/>
      <c r="Z124" s="16"/>
      <c r="AA124" s="16"/>
      <c r="AB124" s="16"/>
    </row>
    <row r="125" spans="1:30" ht="15.75" customHeight="1">
      <c r="A125" s="244" t="s">
        <v>784</v>
      </c>
      <c r="B125" s="244" t="s">
        <v>687</v>
      </c>
      <c r="C125" s="339">
        <v>480</v>
      </c>
      <c r="D125" s="394">
        <v>10</v>
      </c>
      <c r="E125" s="338">
        <v>6</v>
      </c>
      <c r="F125" s="339">
        <v>48</v>
      </c>
      <c r="G125" s="395" t="s">
        <v>785</v>
      </c>
      <c r="H125" s="596"/>
      <c r="I125" s="597"/>
      <c r="J125" s="578"/>
      <c r="K125" s="579"/>
      <c r="L125" s="16"/>
      <c r="M125" s="16"/>
      <c r="N125" s="16"/>
      <c r="O125" s="16"/>
      <c r="P125" s="16"/>
      <c r="Q125" s="16"/>
      <c r="R125" s="16"/>
      <c r="S125" s="16"/>
      <c r="T125" s="16"/>
      <c r="U125" s="16"/>
      <c r="V125" s="16"/>
      <c r="W125" s="16"/>
      <c r="X125" s="16"/>
      <c r="Y125" s="16"/>
      <c r="Z125" s="16"/>
      <c r="AA125" s="16"/>
      <c r="AB125" s="16"/>
      <c r="AC125" s="16"/>
      <c r="AD125" s="16"/>
    </row>
    <row r="126" spans="1:30" ht="15.75" customHeight="1">
      <c r="A126" s="231"/>
      <c r="B126" s="231"/>
      <c r="C126" s="246"/>
      <c r="D126" s="326"/>
      <c r="E126" s="245"/>
      <c r="F126" s="246"/>
      <c r="G126" s="396"/>
      <c r="H126" s="596"/>
      <c r="I126" s="597"/>
      <c r="J126" s="578"/>
      <c r="K126" s="579"/>
      <c r="L126" s="16"/>
      <c r="M126" s="16"/>
      <c r="N126" s="16"/>
      <c r="O126" s="16"/>
      <c r="P126" s="16"/>
      <c r="Q126" s="16"/>
      <c r="R126" s="16"/>
      <c r="S126" s="16"/>
      <c r="T126" s="16"/>
      <c r="U126" s="16"/>
      <c r="V126" s="16"/>
      <c r="W126" s="16"/>
      <c r="X126" s="16"/>
      <c r="Y126" s="16"/>
      <c r="Z126" s="16"/>
      <c r="AA126" s="16"/>
      <c r="AB126" s="16"/>
      <c r="AC126" s="16"/>
      <c r="AD126" s="16"/>
    </row>
    <row r="127" spans="1:30" ht="15.75" customHeight="1">
      <c r="A127" s="396"/>
      <c r="B127" s="396"/>
      <c r="C127" s="396"/>
      <c r="D127" s="396"/>
      <c r="E127" s="396"/>
      <c r="F127" s="396"/>
      <c r="G127" s="396"/>
      <c r="H127" s="596"/>
      <c r="I127" s="597"/>
      <c r="J127" s="578"/>
      <c r="K127" s="579"/>
      <c r="L127" s="16"/>
      <c r="M127" s="16"/>
      <c r="N127" s="16"/>
      <c r="O127" s="16"/>
      <c r="P127" s="16"/>
      <c r="Q127" s="16"/>
      <c r="R127" s="16"/>
      <c r="S127" s="16"/>
      <c r="T127" s="16"/>
      <c r="U127" s="16"/>
      <c r="V127" s="16"/>
      <c r="W127" s="16"/>
      <c r="X127" s="16"/>
      <c r="Y127" s="16"/>
      <c r="Z127" s="16"/>
      <c r="AA127" s="16"/>
      <c r="AB127" s="16"/>
      <c r="AC127" s="16"/>
      <c r="AD127" s="16"/>
    </row>
    <row r="128" spans="1:30" ht="15.75" customHeight="1">
      <c r="A128" s="231"/>
      <c r="B128" s="231"/>
      <c r="C128" s="246"/>
      <c r="D128" s="326"/>
      <c r="E128" s="245"/>
      <c r="F128" s="246"/>
      <c r="G128" s="395"/>
      <c r="H128" s="596"/>
      <c r="I128" s="597"/>
      <c r="J128" s="578"/>
      <c r="K128" s="579"/>
      <c r="L128" s="16"/>
      <c r="M128" s="16"/>
      <c r="N128" s="16"/>
      <c r="O128" s="16"/>
      <c r="P128" s="16"/>
      <c r="Q128" s="16"/>
      <c r="R128" s="16"/>
      <c r="S128" s="16"/>
      <c r="T128" s="16"/>
      <c r="U128" s="16"/>
      <c r="V128" s="16"/>
      <c r="W128" s="16"/>
      <c r="X128" s="16"/>
      <c r="Y128" s="16"/>
      <c r="Z128" s="16"/>
      <c r="AA128" s="16"/>
      <c r="AB128" s="16"/>
      <c r="AC128" s="16"/>
      <c r="AD128" s="16"/>
    </row>
    <row r="129" spans="1:30" ht="15.75" customHeight="1">
      <c r="A129" s="230" t="s">
        <v>786</v>
      </c>
      <c r="B129" s="231"/>
      <c r="C129" s="246"/>
      <c r="D129" s="326"/>
      <c r="E129" s="245"/>
      <c r="F129" s="246"/>
      <c r="G129" s="395"/>
      <c r="H129" s="596"/>
      <c r="I129" s="597"/>
      <c r="J129" s="578"/>
      <c r="K129" s="579"/>
      <c r="L129" s="16"/>
      <c r="M129" s="16"/>
      <c r="N129" s="16"/>
      <c r="O129" s="16"/>
      <c r="P129" s="16"/>
      <c r="Q129" s="16"/>
      <c r="R129" s="16"/>
      <c r="S129" s="16"/>
      <c r="T129" s="16"/>
      <c r="U129" s="16"/>
      <c r="V129" s="16"/>
      <c r="W129" s="16"/>
      <c r="X129" s="16"/>
      <c r="Y129" s="16"/>
      <c r="Z129" s="16"/>
      <c r="AA129" s="16"/>
      <c r="AB129" s="16"/>
      <c r="AC129" s="16"/>
      <c r="AD129" s="16"/>
    </row>
    <row r="130" spans="1:30" ht="15.75" customHeight="1" thickBot="1">
      <c r="A130" s="244" t="s">
        <v>787</v>
      </c>
      <c r="B130" s="244" t="s">
        <v>699</v>
      </c>
      <c r="C130" s="339">
        <v>200</v>
      </c>
      <c r="D130" s="394">
        <v>1</v>
      </c>
      <c r="E130" s="338">
        <v>1</v>
      </c>
      <c r="F130" s="339">
        <v>200</v>
      </c>
      <c r="G130" s="395" t="s">
        <v>788</v>
      </c>
      <c r="H130" s="598"/>
      <c r="I130" s="599"/>
      <c r="J130" s="580"/>
      <c r="K130" s="581"/>
      <c r="L130" s="16"/>
      <c r="M130" s="16"/>
      <c r="N130" s="16"/>
      <c r="O130" s="16"/>
      <c r="P130" s="16"/>
      <c r="Q130" s="16"/>
      <c r="R130" s="16"/>
      <c r="S130" s="16"/>
      <c r="T130" s="16"/>
      <c r="U130" s="16"/>
      <c r="V130" s="16"/>
      <c r="W130" s="16"/>
      <c r="X130" s="16"/>
      <c r="Y130" s="16"/>
      <c r="Z130" s="16"/>
      <c r="AA130" s="16"/>
      <c r="AB130" s="16"/>
      <c r="AC130" s="16"/>
      <c r="AD130" s="16"/>
    </row>
    <row r="131" spans="1:30" ht="15.75" customHeight="1" thickTop="1">
      <c r="A131" s="15"/>
      <c r="B131" s="131"/>
      <c r="C131" s="16"/>
      <c r="D131" s="16"/>
      <c r="E131" s="16"/>
      <c r="F131" s="16"/>
      <c r="G131" s="16"/>
      <c r="L131" s="16"/>
      <c r="M131" s="16"/>
      <c r="N131" s="16"/>
      <c r="O131" s="16"/>
      <c r="P131" s="16"/>
      <c r="Q131" s="16"/>
      <c r="R131" s="16"/>
      <c r="S131" s="16"/>
      <c r="T131" s="16"/>
      <c r="U131" s="16"/>
      <c r="V131" s="16"/>
      <c r="W131" s="16"/>
      <c r="X131" s="16"/>
      <c r="Y131" s="16"/>
      <c r="Z131" s="16"/>
      <c r="AA131" s="16"/>
      <c r="AB131" s="16"/>
      <c r="AC131" s="16"/>
      <c r="AD131" s="16"/>
    </row>
    <row r="132" spans="1:30" ht="15.75" customHeight="1">
      <c r="A132" s="15"/>
      <c r="B132" s="131"/>
      <c r="C132" s="16"/>
      <c r="D132" s="16"/>
      <c r="E132" s="16"/>
      <c r="F132" s="16"/>
      <c r="G132" s="16"/>
      <c r="L132" s="16"/>
      <c r="M132" s="16"/>
      <c r="N132" s="16"/>
      <c r="O132" s="16"/>
      <c r="P132" s="16"/>
      <c r="Q132" s="16"/>
      <c r="R132" s="16"/>
      <c r="S132" s="16"/>
      <c r="T132" s="16"/>
      <c r="U132" s="16"/>
      <c r="V132" s="16"/>
      <c r="W132" s="16"/>
      <c r="X132" s="16"/>
      <c r="Y132" s="16"/>
      <c r="Z132" s="16"/>
      <c r="AA132" s="16"/>
      <c r="AB132" s="16"/>
      <c r="AC132" s="16"/>
      <c r="AD132" s="16"/>
    </row>
    <row r="133" spans="1:30" ht="15.75" customHeight="1">
      <c r="L133" s="16"/>
      <c r="M133" s="16"/>
      <c r="N133" s="16"/>
      <c r="O133" s="16"/>
      <c r="P133" s="16"/>
      <c r="Q133" s="16"/>
      <c r="R133" s="16"/>
      <c r="S133" s="16"/>
      <c r="T133" s="16"/>
      <c r="U133" s="16"/>
      <c r="V133" s="16"/>
      <c r="W133" s="16"/>
      <c r="X133" s="16"/>
      <c r="Y133" s="16"/>
      <c r="Z133" s="16"/>
      <c r="AA133" s="16"/>
      <c r="AB133" s="16"/>
      <c r="AC133" s="16"/>
      <c r="AD133" s="16"/>
    </row>
    <row r="134" spans="1:30" ht="15.75" customHeight="1">
      <c r="L134" s="16"/>
      <c r="M134" s="16"/>
      <c r="N134" s="16"/>
      <c r="O134" s="16"/>
      <c r="P134" s="16"/>
      <c r="S134" s="16"/>
      <c r="T134" s="16"/>
      <c r="U134" s="16"/>
      <c r="V134" s="16"/>
      <c r="W134" s="16"/>
      <c r="X134" s="16"/>
      <c r="Y134" s="16"/>
      <c r="Z134" s="16"/>
      <c r="AA134" s="16"/>
      <c r="AB134" s="16"/>
      <c r="AC134" s="16"/>
      <c r="AD134" s="16"/>
    </row>
    <row r="135" spans="1:30" ht="15.75" customHeight="1">
      <c r="L135" s="16"/>
      <c r="M135" s="16"/>
      <c r="N135" s="16"/>
      <c r="O135" s="16"/>
      <c r="P135" s="16"/>
      <c r="S135" s="16"/>
      <c r="T135" s="16"/>
      <c r="U135" s="16"/>
      <c r="V135" s="16"/>
      <c r="W135" s="16"/>
      <c r="X135" s="16"/>
      <c r="Y135" s="16"/>
      <c r="Z135" s="16"/>
      <c r="AA135" s="16"/>
      <c r="AB135" s="16"/>
      <c r="AC135" s="16"/>
      <c r="AD135" s="16"/>
    </row>
    <row r="136" spans="1:30" ht="15.75" customHeight="1">
      <c r="L136" s="16"/>
      <c r="M136" s="16"/>
      <c r="N136" s="16"/>
      <c r="O136" s="16"/>
      <c r="P136" s="16"/>
      <c r="S136" s="16"/>
      <c r="T136" s="16"/>
      <c r="U136" s="16"/>
      <c r="V136" s="16"/>
      <c r="W136" s="16"/>
      <c r="X136" s="16"/>
      <c r="Y136" s="16"/>
      <c r="Z136" s="16"/>
      <c r="AA136" s="16"/>
      <c r="AB136" s="16"/>
      <c r="AC136" s="16"/>
      <c r="AD136" s="16"/>
    </row>
    <row r="137" spans="1:30" ht="15.75" customHeight="1">
      <c r="L137" s="16"/>
      <c r="M137" s="16"/>
      <c r="N137" s="16"/>
      <c r="O137" s="16"/>
      <c r="P137" s="16"/>
      <c r="S137" s="16"/>
      <c r="T137" s="16"/>
      <c r="U137" s="16"/>
      <c r="V137" s="16"/>
      <c r="W137" s="16"/>
      <c r="X137" s="16"/>
      <c r="Y137" s="16"/>
      <c r="Z137" s="16"/>
      <c r="AA137" s="16"/>
      <c r="AB137" s="16"/>
      <c r="AC137" s="16"/>
      <c r="AD137" s="16"/>
    </row>
    <row r="138" spans="1:30" ht="15.75" customHeight="1">
      <c r="L138" s="16"/>
      <c r="M138" s="16"/>
      <c r="N138" s="16"/>
      <c r="O138" s="16"/>
      <c r="P138" s="16"/>
      <c r="S138" s="16"/>
      <c r="T138" s="16"/>
      <c r="U138" s="16"/>
      <c r="V138" s="16"/>
      <c r="W138" s="16"/>
      <c r="X138" s="16"/>
      <c r="Y138" s="16"/>
      <c r="Z138" s="16"/>
      <c r="AA138" s="16"/>
      <c r="AB138" s="16"/>
      <c r="AC138" s="16"/>
      <c r="AD138" s="16"/>
    </row>
    <row r="139" spans="1:30" ht="15.75" customHeight="1">
      <c r="L139" s="16"/>
      <c r="M139" s="16"/>
      <c r="N139" s="16"/>
      <c r="O139" s="16"/>
      <c r="P139" s="16"/>
      <c r="S139" s="16"/>
      <c r="T139" s="16"/>
      <c r="U139" s="16"/>
      <c r="V139" s="16"/>
      <c r="W139" s="16"/>
      <c r="X139" s="16"/>
      <c r="Y139" s="16"/>
      <c r="Z139" s="16"/>
      <c r="AA139" s="16"/>
      <c r="AB139" s="16"/>
      <c r="AC139" s="16"/>
      <c r="AD139" s="16"/>
    </row>
    <row r="140" spans="1:30" ht="15.75" customHeight="1">
      <c r="H140" s="248"/>
      <c r="I140" s="248"/>
      <c r="J140" s="228"/>
      <c r="K140" s="228"/>
      <c r="L140" s="16"/>
      <c r="M140" s="16"/>
      <c r="N140" s="16"/>
      <c r="O140" s="16"/>
      <c r="P140" s="16"/>
      <c r="S140" s="16"/>
      <c r="T140" s="16"/>
      <c r="U140" s="16"/>
      <c r="V140" s="16"/>
      <c r="W140" s="16"/>
      <c r="X140" s="16"/>
      <c r="Y140" s="16"/>
      <c r="Z140" s="16"/>
      <c r="AA140" s="16"/>
      <c r="AB140" s="16"/>
      <c r="AC140" s="16"/>
      <c r="AD140" s="16"/>
    </row>
    <row r="141" spans="1:30" ht="15.75" customHeight="1">
      <c r="H141" s="248"/>
      <c r="I141" s="248"/>
      <c r="J141" s="228"/>
      <c r="K141" s="228"/>
      <c r="L141" s="16"/>
      <c r="M141" s="16"/>
      <c r="N141" s="16"/>
      <c r="O141" s="16"/>
      <c r="P141" s="16"/>
      <c r="Q141" s="16"/>
      <c r="R141" s="16"/>
      <c r="S141" s="16"/>
      <c r="T141" s="16"/>
      <c r="U141" s="16"/>
      <c r="V141" s="16"/>
      <c r="W141" s="16"/>
      <c r="X141" s="16"/>
      <c r="Y141" s="16"/>
      <c r="Z141" s="16"/>
      <c r="AA141" s="16"/>
      <c r="AB141" s="16"/>
      <c r="AC141" s="16"/>
      <c r="AD141" s="16"/>
    </row>
    <row r="142" spans="1:30" ht="15.75" customHeight="1">
      <c r="H142" s="228"/>
      <c r="I142" s="228"/>
      <c r="J142" s="228"/>
      <c r="K142" s="228"/>
      <c r="L142" s="16"/>
      <c r="M142" s="16"/>
      <c r="P142" s="16"/>
      <c r="U142" s="16"/>
      <c r="V142" s="16"/>
      <c r="W142" s="16"/>
      <c r="X142" s="16"/>
      <c r="Y142" s="16"/>
      <c r="Z142" s="16"/>
      <c r="AA142" s="16"/>
      <c r="AB142" s="16"/>
      <c r="AC142" s="16"/>
      <c r="AD142" s="16"/>
    </row>
    <row r="143" spans="1:30" ht="15.75" customHeight="1">
      <c r="H143" s="16"/>
      <c r="I143" s="16"/>
      <c r="J143" s="16"/>
      <c r="K143" s="16"/>
      <c r="L143" s="16"/>
      <c r="M143" s="16"/>
      <c r="P143" s="16"/>
      <c r="U143" s="16"/>
      <c r="V143" s="16"/>
      <c r="W143" s="16"/>
      <c r="X143" s="16"/>
      <c r="Y143" s="16"/>
      <c r="Z143" s="16"/>
      <c r="AA143" s="16"/>
      <c r="AB143" s="16"/>
      <c r="AC143" s="16"/>
      <c r="AD143" s="16"/>
    </row>
    <row r="144" spans="1:30" ht="15.75" customHeight="1">
      <c r="H144" s="16"/>
      <c r="I144" s="16"/>
      <c r="J144" s="16"/>
      <c r="K144" s="16"/>
      <c r="L144" s="16"/>
      <c r="M144" s="16"/>
      <c r="U144" s="16"/>
      <c r="V144" s="16"/>
      <c r="W144" s="16"/>
      <c r="X144" s="16"/>
      <c r="Y144" s="16"/>
      <c r="Z144" s="16"/>
      <c r="AA144" s="16"/>
      <c r="AB144" s="16"/>
      <c r="AC144" s="16"/>
      <c r="AD144" s="16"/>
    </row>
    <row r="145" spans="1:30" ht="15.75" customHeight="1">
      <c r="H145" s="16"/>
      <c r="I145" s="16"/>
      <c r="J145" s="16"/>
      <c r="K145" s="16"/>
      <c r="L145" s="16"/>
      <c r="M145" s="16"/>
      <c r="U145" s="16"/>
      <c r="V145" s="16"/>
      <c r="W145" s="16"/>
      <c r="X145" s="16"/>
      <c r="Y145" s="16"/>
      <c r="Z145" s="16"/>
      <c r="AA145" s="16"/>
      <c r="AB145" s="16"/>
      <c r="AC145" s="16"/>
      <c r="AD145" s="16"/>
    </row>
    <row r="146" spans="1:30" ht="15.75" customHeight="1">
      <c r="H146" s="16"/>
      <c r="I146" s="16"/>
      <c r="J146" s="16"/>
      <c r="K146" s="16"/>
      <c r="L146" s="16"/>
      <c r="M146" s="16"/>
      <c r="U146" s="16"/>
      <c r="V146" s="16"/>
      <c r="W146" s="16"/>
      <c r="X146" s="16"/>
      <c r="Y146" s="16"/>
      <c r="Z146" s="16"/>
      <c r="AA146" s="16"/>
      <c r="AB146" s="16"/>
      <c r="AC146" s="16"/>
      <c r="AD146" s="16"/>
    </row>
    <row r="147" spans="1:30" ht="15.75" customHeight="1">
      <c r="A147" s="231"/>
      <c r="B147" s="231"/>
      <c r="C147" s="246"/>
      <c r="D147" s="247"/>
      <c r="E147" s="245"/>
      <c r="F147" s="246"/>
      <c r="G147" s="247"/>
      <c r="H147" s="16"/>
      <c r="I147" s="16"/>
      <c r="J147" s="16"/>
      <c r="K147" s="16"/>
      <c r="L147" s="16"/>
      <c r="M147" s="16"/>
      <c r="U147" s="16"/>
      <c r="V147" s="16"/>
      <c r="W147" s="16"/>
      <c r="X147" s="16"/>
      <c r="Y147" s="16"/>
      <c r="Z147" s="16"/>
      <c r="AA147" s="16"/>
      <c r="AB147" s="16"/>
      <c r="AC147" s="16"/>
      <c r="AD147" s="16"/>
    </row>
    <row r="148" spans="1:30" ht="15.75" customHeight="1">
      <c r="A148" s="231"/>
      <c r="B148" s="231"/>
      <c r="C148" s="246"/>
      <c r="D148" s="247"/>
      <c r="E148" s="245"/>
      <c r="F148" s="246"/>
      <c r="G148" s="247"/>
      <c r="H148" s="16"/>
      <c r="I148" s="16"/>
      <c r="J148" s="16"/>
      <c r="K148" s="16"/>
      <c r="L148" s="16"/>
      <c r="M148" s="16"/>
      <c r="U148" s="16"/>
      <c r="V148" s="16"/>
      <c r="W148" s="16"/>
      <c r="X148" s="16"/>
      <c r="Y148" s="16"/>
      <c r="Z148" s="16"/>
      <c r="AA148" s="16"/>
      <c r="AB148" s="16"/>
      <c r="AC148" s="16"/>
      <c r="AD148" s="16"/>
    </row>
    <row r="149" spans="1:30" ht="15.75" customHeight="1">
      <c r="A149" s="16"/>
      <c r="B149" s="16"/>
      <c r="C149" s="16"/>
      <c r="D149" s="16"/>
      <c r="E149" s="16"/>
      <c r="F149" s="16"/>
      <c r="G149" s="16"/>
      <c r="H149" s="16"/>
      <c r="I149" s="16"/>
      <c r="J149" s="16"/>
      <c r="K149" s="16"/>
      <c r="L149" s="16"/>
      <c r="M149" s="16"/>
      <c r="U149" s="16"/>
      <c r="V149" s="16"/>
      <c r="W149" s="16"/>
      <c r="X149" s="16"/>
      <c r="Y149" s="16"/>
      <c r="Z149" s="16"/>
      <c r="AA149" s="16"/>
      <c r="AB149" s="16"/>
      <c r="AC149" s="16"/>
      <c r="AD149" s="16"/>
    </row>
    <row r="150" spans="1:30" ht="15.75" customHeight="1">
      <c r="A150" s="16"/>
      <c r="B150" s="16"/>
      <c r="C150" s="16"/>
      <c r="D150" s="16"/>
      <c r="E150" s="16"/>
      <c r="F150" s="16"/>
      <c r="G150" s="16"/>
      <c r="H150" s="16"/>
      <c r="I150" s="16"/>
      <c r="J150" s="16"/>
      <c r="K150" s="16"/>
      <c r="L150" s="16"/>
      <c r="M150" s="16"/>
      <c r="U150" s="16"/>
      <c r="V150" s="16"/>
      <c r="W150" s="16"/>
      <c r="X150" s="16"/>
      <c r="Y150" s="16"/>
      <c r="Z150" s="16"/>
      <c r="AA150" s="16"/>
      <c r="AB150" s="16"/>
      <c r="AC150" s="16"/>
      <c r="AD150" s="16"/>
    </row>
    <row r="151" spans="1:30" ht="15.75" customHeight="1">
      <c r="A151" s="16"/>
      <c r="B151" s="16"/>
      <c r="C151" s="16"/>
      <c r="D151" s="16"/>
      <c r="E151" s="16"/>
      <c r="F151" s="16"/>
      <c r="G151" s="16"/>
      <c r="H151" s="16"/>
      <c r="I151" s="16"/>
      <c r="J151" s="16"/>
      <c r="K151" s="16"/>
      <c r="L151" s="16"/>
      <c r="M151" s="16"/>
      <c r="U151" s="16"/>
      <c r="V151" s="16"/>
      <c r="W151" s="16"/>
      <c r="X151" s="16"/>
      <c r="Y151" s="16"/>
      <c r="Z151" s="16"/>
      <c r="AA151" s="16"/>
      <c r="AB151" s="16"/>
      <c r="AC151" s="16"/>
      <c r="AD151" s="16"/>
    </row>
    <row r="152" spans="1:30" ht="15.75" customHeight="1">
      <c r="A152" s="16"/>
      <c r="B152" s="16"/>
      <c r="C152" s="16"/>
      <c r="D152" s="16"/>
      <c r="E152" s="16"/>
      <c r="F152" s="16"/>
      <c r="G152" s="16"/>
      <c r="H152" s="16"/>
      <c r="I152" s="16"/>
      <c r="J152" s="16"/>
      <c r="K152" s="16"/>
      <c r="L152" s="16"/>
      <c r="M152" s="16"/>
      <c r="U152" s="16"/>
      <c r="V152" s="16"/>
      <c r="W152" s="16"/>
      <c r="X152" s="16"/>
      <c r="Y152" s="16"/>
      <c r="Z152" s="16"/>
      <c r="AA152" s="16"/>
      <c r="AB152" s="16"/>
      <c r="AC152" s="16"/>
      <c r="AD152" s="16"/>
    </row>
    <row r="153" spans="1:30" ht="15.75" customHeight="1">
      <c r="A153" s="16"/>
      <c r="B153" s="16"/>
      <c r="C153" s="16"/>
      <c r="D153" s="16"/>
      <c r="E153" s="16"/>
      <c r="F153" s="16"/>
      <c r="G153" s="16"/>
      <c r="H153" s="16"/>
      <c r="I153" s="16"/>
      <c r="J153" s="16"/>
      <c r="K153" s="16"/>
      <c r="L153" s="16"/>
      <c r="M153" s="16"/>
      <c r="U153" s="16"/>
      <c r="V153" s="16"/>
      <c r="W153" s="16"/>
      <c r="X153" s="16"/>
      <c r="Y153" s="16"/>
      <c r="Z153" s="16"/>
      <c r="AA153" s="16"/>
      <c r="AB153" s="16"/>
      <c r="AC153" s="16"/>
      <c r="AD153" s="16"/>
    </row>
    <row r="154" spans="1:30" ht="15.75" customHeight="1">
      <c r="A154" s="16"/>
      <c r="B154" s="16"/>
      <c r="C154" s="16"/>
      <c r="D154" s="16"/>
      <c r="E154" s="16"/>
      <c r="F154" s="16"/>
      <c r="G154" s="16"/>
      <c r="H154" s="16"/>
      <c r="I154" s="16"/>
      <c r="J154" s="16"/>
      <c r="K154" s="16"/>
      <c r="L154" s="16"/>
      <c r="M154" s="16"/>
      <c r="U154" s="16"/>
      <c r="V154" s="16"/>
      <c r="W154" s="16"/>
      <c r="X154" s="16"/>
      <c r="Y154" s="16"/>
      <c r="Z154" s="16"/>
      <c r="AA154" s="16"/>
      <c r="AB154" s="16"/>
      <c r="AC154" s="16"/>
      <c r="AD154" s="16"/>
    </row>
    <row r="155" spans="1:30" ht="15.75" customHeight="1">
      <c r="A155" s="1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c r="AA155" s="16"/>
      <c r="AB155" s="16"/>
      <c r="AC155" s="16"/>
      <c r="AD155" s="16"/>
    </row>
    <row r="156" spans="1:30" ht="15.75" customHeight="1">
      <c r="A156" s="1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c r="AA156" s="16"/>
      <c r="AB156" s="16"/>
      <c r="AC156" s="16"/>
      <c r="AD156" s="16"/>
    </row>
    <row r="157" spans="1:30" ht="15.75" customHeight="1">
      <c r="A157" s="16"/>
      <c r="B157" s="16"/>
      <c r="C157" s="16"/>
      <c r="D157" s="16"/>
      <c r="E157" s="16"/>
      <c r="F157" s="16"/>
      <c r="G157" s="16"/>
      <c r="H157" s="16"/>
      <c r="I157" s="16"/>
      <c r="J157" s="16"/>
      <c r="K157" s="16"/>
      <c r="L157" s="16"/>
      <c r="M157" s="16"/>
      <c r="P157" s="16"/>
      <c r="U157" s="16"/>
      <c r="V157" s="16"/>
      <c r="W157" s="16"/>
      <c r="X157" s="16"/>
      <c r="Y157" s="16"/>
      <c r="Z157" s="16"/>
      <c r="AA157" s="16"/>
      <c r="AB157" s="16"/>
      <c r="AC157" s="16"/>
      <c r="AD157" s="16"/>
    </row>
    <row r="158" spans="1:30" ht="15.75" customHeight="1">
      <c r="A158" s="16"/>
      <c r="B158" s="16"/>
      <c r="C158" s="16"/>
      <c r="D158" s="16"/>
      <c r="E158" s="16"/>
      <c r="F158" s="16"/>
      <c r="G158" s="16"/>
      <c r="H158" s="16"/>
      <c r="I158" s="16"/>
      <c r="J158" s="16"/>
      <c r="K158" s="16"/>
      <c r="L158" s="16"/>
      <c r="M158" s="16"/>
      <c r="P158" s="16"/>
      <c r="U158" s="16"/>
      <c r="V158" s="16"/>
      <c r="W158" s="16"/>
      <c r="X158" s="16"/>
      <c r="Y158" s="16"/>
      <c r="Z158" s="16"/>
      <c r="AA158" s="16"/>
      <c r="AB158" s="16"/>
      <c r="AC158" s="16"/>
      <c r="AD158" s="16"/>
    </row>
    <row r="159" spans="1:30" ht="15.75" customHeight="1">
      <c r="A159" s="16"/>
      <c r="B159" s="16"/>
      <c r="C159" s="16"/>
      <c r="D159" s="16"/>
      <c r="E159" s="16"/>
      <c r="F159" s="16"/>
      <c r="G159" s="16"/>
      <c r="H159" s="16"/>
      <c r="I159" s="16"/>
      <c r="J159" s="16"/>
      <c r="K159" s="16"/>
      <c r="L159" s="16"/>
      <c r="M159" s="16"/>
      <c r="U159" s="16"/>
      <c r="V159" s="16"/>
      <c r="W159" s="16"/>
      <c r="X159" s="16"/>
      <c r="Y159" s="16"/>
      <c r="Z159" s="16"/>
      <c r="AA159" s="16"/>
      <c r="AB159" s="16"/>
      <c r="AC159" s="16"/>
      <c r="AD159" s="16"/>
    </row>
    <row r="160" spans="1:30" ht="15.75" customHeight="1">
      <c r="A160" s="16"/>
      <c r="B160" s="16"/>
      <c r="C160" s="16"/>
      <c r="D160" s="16"/>
      <c r="E160" s="16"/>
      <c r="F160" s="16"/>
      <c r="G160" s="16"/>
      <c r="H160" s="16"/>
      <c r="I160" s="16"/>
      <c r="J160" s="16"/>
      <c r="K160" s="16"/>
      <c r="L160" s="16"/>
      <c r="M160" s="16"/>
      <c r="U160" s="16"/>
      <c r="V160" s="16"/>
      <c r="W160" s="16"/>
      <c r="X160" s="16"/>
      <c r="Y160" s="16"/>
      <c r="Z160" s="16"/>
      <c r="AA160" s="16"/>
      <c r="AB160" s="16"/>
      <c r="AC160" s="16"/>
      <c r="AD160" s="16"/>
    </row>
    <row r="161" spans="1:30" ht="15.75" customHeight="1">
      <c r="A161" s="16"/>
      <c r="B161" s="16"/>
      <c r="C161" s="16"/>
      <c r="D161" s="16"/>
      <c r="E161" s="16"/>
      <c r="F161" s="16"/>
      <c r="G161" s="16"/>
      <c r="H161" s="16"/>
      <c r="I161" s="16"/>
      <c r="J161" s="16"/>
      <c r="K161" s="16"/>
      <c r="L161" s="16"/>
      <c r="M161" s="16"/>
      <c r="U161" s="16"/>
      <c r="V161" s="16"/>
      <c r="W161" s="16"/>
      <c r="X161" s="16"/>
      <c r="Y161" s="16"/>
      <c r="Z161" s="16"/>
      <c r="AA161" s="16"/>
      <c r="AB161" s="16"/>
      <c r="AC161" s="16"/>
      <c r="AD161" s="16"/>
    </row>
    <row r="162" spans="1:30" ht="15.75" customHeight="1">
      <c r="A162" s="16"/>
      <c r="B162" s="16"/>
      <c r="C162" s="16"/>
      <c r="D162" s="16"/>
      <c r="E162" s="16"/>
      <c r="F162" s="16"/>
      <c r="G162" s="16"/>
      <c r="H162" s="16"/>
      <c r="I162" s="16"/>
      <c r="J162" s="16"/>
      <c r="K162" s="16"/>
      <c r="L162" s="16"/>
      <c r="M162" s="16"/>
      <c r="U162" s="16"/>
      <c r="V162" s="16"/>
      <c r="W162" s="16"/>
      <c r="X162" s="16"/>
      <c r="Y162" s="16"/>
      <c r="Z162" s="16"/>
      <c r="AA162" s="16"/>
      <c r="AB162" s="16"/>
      <c r="AC162" s="16"/>
      <c r="AD162" s="16"/>
    </row>
    <row r="163" spans="1:30" ht="15.75" customHeight="1">
      <c r="A163" s="16"/>
      <c r="B163" s="16"/>
      <c r="C163" s="16"/>
      <c r="D163" s="16"/>
      <c r="E163" s="16"/>
      <c r="F163" s="16"/>
      <c r="G163" s="16"/>
      <c r="H163" s="16"/>
      <c r="I163" s="16"/>
      <c r="J163" s="16"/>
      <c r="K163" s="16"/>
      <c r="L163" s="16"/>
      <c r="M163" s="16"/>
      <c r="U163" s="16"/>
      <c r="V163" s="16"/>
      <c r="W163" s="16"/>
      <c r="X163" s="16"/>
      <c r="Y163" s="16"/>
      <c r="Z163" s="16"/>
      <c r="AA163" s="16"/>
      <c r="AB163" s="16"/>
      <c r="AC163" s="16"/>
      <c r="AD163" s="16"/>
    </row>
    <row r="164" spans="1:30" ht="15.75" customHeight="1">
      <c r="A164" s="16"/>
      <c r="B164" s="16"/>
      <c r="C164" s="16"/>
      <c r="D164" s="16"/>
      <c r="E164" s="16"/>
      <c r="F164" s="16"/>
      <c r="G164" s="16"/>
      <c r="H164" s="16"/>
      <c r="I164" s="16"/>
      <c r="J164" s="16"/>
      <c r="K164" s="16"/>
      <c r="L164" s="16"/>
      <c r="M164" s="16"/>
      <c r="U164" s="16"/>
      <c r="V164" s="16"/>
      <c r="W164" s="16"/>
      <c r="X164" s="16"/>
      <c r="Y164" s="16"/>
      <c r="Z164" s="16"/>
      <c r="AA164" s="16"/>
      <c r="AB164" s="16"/>
      <c r="AC164" s="16"/>
      <c r="AD164" s="16"/>
    </row>
    <row r="165" spans="1:30" ht="15.75" customHeight="1">
      <c r="A165" s="16"/>
      <c r="B165" s="16"/>
      <c r="C165" s="16"/>
      <c r="D165" s="16"/>
      <c r="E165" s="16"/>
      <c r="F165" s="16"/>
      <c r="G165" s="16"/>
      <c r="H165" s="16"/>
      <c r="I165" s="16"/>
      <c r="J165" s="16"/>
      <c r="K165" s="16"/>
      <c r="L165" s="16"/>
      <c r="M165" s="16"/>
      <c r="U165" s="16"/>
      <c r="V165" s="16"/>
      <c r="W165" s="16"/>
      <c r="X165" s="16"/>
      <c r="Y165" s="16"/>
      <c r="Z165" s="16"/>
      <c r="AA165" s="16"/>
      <c r="AB165" s="16"/>
      <c r="AC165" s="16"/>
      <c r="AD165" s="16"/>
    </row>
    <row r="166" spans="1:30" ht="15.75" customHeight="1">
      <c r="A166" s="16"/>
      <c r="B166" s="16"/>
      <c r="C166" s="16"/>
      <c r="D166" s="16"/>
      <c r="E166" s="16"/>
      <c r="F166" s="16"/>
      <c r="G166" s="16"/>
      <c r="H166" s="16"/>
      <c r="I166" s="16"/>
      <c r="J166" s="16"/>
      <c r="K166" s="16"/>
      <c r="L166" s="16"/>
      <c r="M166" s="16"/>
      <c r="U166" s="16"/>
      <c r="V166" s="16"/>
      <c r="W166" s="16"/>
      <c r="X166" s="16"/>
      <c r="Y166" s="16"/>
      <c r="Z166" s="16"/>
      <c r="AA166" s="16"/>
      <c r="AB166" s="16"/>
      <c r="AC166" s="16"/>
      <c r="AD166" s="16"/>
    </row>
    <row r="167" spans="1:30" ht="15.75" customHeight="1">
      <c r="A167" s="16"/>
      <c r="B167" s="16"/>
      <c r="C167" s="16"/>
      <c r="D167" s="16"/>
      <c r="E167" s="16"/>
      <c r="F167" s="16"/>
      <c r="G167" s="16"/>
      <c r="H167" s="16"/>
      <c r="I167" s="16"/>
      <c r="J167" s="16"/>
      <c r="K167" s="16"/>
      <c r="L167" s="16"/>
      <c r="M167" s="16"/>
      <c r="U167" s="16"/>
      <c r="V167" s="16"/>
      <c r="W167" s="16"/>
      <c r="X167" s="16"/>
      <c r="Y167" s="16"/>
      <c r="Z167" s="16"/>
      <c r="AA167" s="16"/>
      <c r="AB167" s="16"/>
      <c r="AC167" s="16"/>
      <c r="AD167" s="16"/>
    </row>
    <row r="168" spans="1:30" ht="15.75" customHeight="1">
      <c r="A168" s="16"/>
      <c r="B168" s="16"/>
      <c r="C168" s="16"/>
      <c r="D168" s="16"/>
      <c r="E168" s="16"/>
      <c r="F168" s="16"/>
      <c r="G168" s="16"/>
      <c r="H168" s="16"/>
      <c r="I168" s="16"/>
      <c r="J168" s="16"/>
      <c r="K168" s="16"/>
      <c r="L168" s="16"/>
      <c r="M168" s="16"/>
      <c r="U168" s="16"/>
      <c r="V168" s="16"/>
      <c r="W168" s="16"/>
      <c r="X168" s="16"/>
      <c r="Y168" s="16"/>
      <c r="Z168" s="16"/>
      <c r="AA168" s="16"/>
      <c r="AB168" s="16"/>
      <c r="AC168" s="16"/>
      <c r="AD168" s="16"/>
    </row>
    <row r="169" spans="1:30" ht="15.75" customHeight="1">
      <c r="A169" s="16"/>
      <c r="B169" s="16"/>
      <c r="C169" s="16"/>
      <c r="D169" s="16"/>
      <c r="E169" s="16"/>
      <c r="F169" s="16"/>
      <c r="G169" s="16"/>
      <c r="H169" s="16"/>
      <c r="I169" s="16"/>
      <c r="J169" s="16"/>
      <c r="K169" s="16"/>
      <c r="L169" s="16"/>
      <c r="M169" s="16"/>
      <c r="U169" s="16"/>
      <c r="V169" s="16"/>
      <c r="W169" s="16"/>
      <c r="X169" s="16"/>
      <c r="Y169" s="16"/>
      <c r="Z169" s="16"/>
      <c r="AA169" s="16"/>
      <c r="AB169" s="16"/>
      <c r="AC169" s="16"/>
      <c r="AD169" s="16"/>
    </row>
    <row r="170" spans="1:30" ht="15.75" customHeight="1">
      <c r="A170" s="16"/>
      <c r="B170" s="16"/>
      <c r="C170" s="16"/>
      <c r="D170" s="16"/>
      <c r="E170" s="16"/>
      <c r="F170" s="16"/>
      <c r="G170" s="16"/>
      <c r="H170" s="16"/>
      <c r="I170" s="16"/>
      <c r="J170" s="16"/>
      <c r="K170" s="16"/>
      <c r="L170" s="16"/>
      <c r="M170" s="16"/>
      <c r="U170" s="16"/>
      <c r="V170" s="16"/>
      <c r="W170" s="16"/>
      <c r="X170" s="16"/>
      <c r="Y170" s="16"/>
      <c r="Z170" s="16"/>
      <c r="AA170" s="16"/>
      <c r="AB170" s="16"/>
      <c r="AC170" s="16"/>
      <c r="AD170" s="16"/>
    </row>
    <row r="171" spans="1:30" ht="15.75" customHeight="1">
      <c r="A171" s="16"/>
      <c r="B171" s="16"/>
      <c r="C171" s="16"/>
      <c r="D171" s="16"/>
      <c r="E171" s="16"/>
      <c r="F171" s="16"/>
      <c r="G171" s="16"/>
      <c r="H171" s="16"/>
      <c r="I171" s="16"/>
      <c r="J171" s="16"/>
      <c r="K171" s="16"/>
      <c r="L171" s="16"/>
      <c r="M171" s="16"/>
      <c r="U171" s="16"/>
      <c r="V171" s="16"/>
      <c r="W171" s="16"/>
      <c r="X171" s="16"/>
      <c r="Y171" s="16"/>
      <c r="Z171" s="16"/>
      <c r="AA171" s="16"/>
      <c r="AB171" s="16"/>
      <c r="AC171" s="16"/>
      <c r="AD171" s="16"/>
    </row>
    <row r="172" spans="1:30" ht="15.75" customHeight="1">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row>
    <row r="173" spans="1:30" ht="15.75" customHeight="1">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c r="AC173" s="16"/>
      <c r="AD173" s="16"/>
    </row>
    <row r="174" spans="1:30" ht="15.75" customHeight="1">
      <c r="A174" s="16"/>
      <c r="B174" s="16"/>
      <c r="C174" s="16"/>
      <c r="D174" s="16"/>
      <c r="E174" s="16"/>
      <c r="F174" s="16"/>
      <c r="G174" s="16"/>
      <c r="H174" s="16"/>
      <c r="I174" s="16"/>
      <c r="J174" s="16"/>
      <c r="K174" s="16"/>
      <c r="L174" s="16"/>
      <c r="M174" s="16"/>
      <c r="P174" s="16"/>
      <c r="U174" s="16"/>
      <c r="V174" s="16"/>
      <c r="W174" s="16"/>
      <c r="X174" s="16"/>
      <c r="Y174" s="16"/>
      <c r="Z174" s="16"/>
      <c r="AA174" s="16"/>
      <c r="AB174" s="16"/>
      <c r="AC174" s="16"/>
      <c r="AD174" s="16"/>
    </row>
    <row r="175" spans="1:30" ht="15.75" customHeight="1">
      <c r="A175" s="16"/>
      <c r="B175" s="16"/>
      <c r="C175" s="16"/>
      <c r="D175" s="16"/>
      <c r="E175" s="16"/>
      <c r="F175" s="16"/>
      <c r="G175" s="16"/>
      <c r="H175" s="16"/>
      <c r="I175" s="16"/>
      <c r="J175" s="16"/>
      <c r="K175" s="16"/>
      <c r="L175" s="16"/>
      <c r="M175" s="16"/>
      <c r="P175" s="16"/>
      <c r="U175" s="16"/>
      <c r="V175" s="16"/>
      <c r="W175" s="16"/>
      <c r="X175" s="16"/>
      <c r="Y175" s="16"/>
      <c r="Z175" s="16"/>
      <c r="AA175" s="16"/>
      <c r="AB175" s="16"/>
      <c r="AC175" s="16"/>
      <c r="AD175" s="16"/>
    </row>
    <row r="176" spans="1:30" ht="15.75" customHeight="1">
      <c r="A176" s="16"/>
      <c r="B176" s="16"/>
      <c r="C176" s="16"/>
      <c r="D176" s="16"/>
      <c r="E176" s="16"/>
      <c r="F176" s="16"/>
      <c r="G176" s="16"/>
      <c r="H176" s="16"/>
      <c r="I176" s="16"/>
      <c r="J176" s="16"/>
      <c r="K176" s="16"/>
      <c r="L176" s="16"/>
      <c r="M176" s="16"/>
      <c r="U176" s="16"/>
      <c r="V176" s="16"/>
      <c r="W176" s="16"/>
      <c r="X176" s="16"/>
      <c r="Y176" s="16"/>
      <c r="Z176" s="16"/>
      <c r="AA176" s="16"/>
      <c r="AB176" s="16"/>
      <c r="AC176" s="16"/>
      <c r="AD176" s="16"/>
    </row>
    <row r="177" spans="1:30" ht="15.75" customHeight="1">
      <c r="A177" s="16"/>
      <c r="B177" s="16"/>
      <c r="C177" s="16"/>
      <c r="D177" s="16"/>
      <c r="E177" s="16"/>
      <c r="F177" s="16"/>
      <c r="G177" s="16"/>
      <c r="H177" s="16"/>
      <c r="I177" s="16"/>
      <c r="J177" s="16"/>
      <c r="K177" s="16"/>
      <c r="L177" s="16"/>
      <c r="M177" s="16"/>
      <c r="U177" s="16"/>
      <c r="V177" s="16"/>
      <c r="W177" s="16"/>
      <c r="X177" s="16"/>
      <c r="Y177" s="16"/>
      <c r="Z177" s="16"/>
      <c r="AA177" s="16"/>
      <c r="AB177" s="16"/>
      <c r="AC177" s="16"/>
      <c r="AD177" s="16"/>
    </row>
    <row r="178" spans="1:30" ht="15.75" customHeight="1">
      <c r="A178" s="16"/>
      <c r="B178" s="16"/>
      <c r="C178" s="16"/>
      <c r="D178" s="16"/>
      <c r="E178" s="16"/>
      <c r="F178" s="16"/>
      <c r="G178" s="16"/>
      <c r="H178" s="16"/>
      <c r="I178" s="16"/>
      <c r="J178" s="16"/>
      <c r="K178" s="16"/>
      <c r="L178" s="16"/>
      <c r="M178" s="16"/>
      <c r="U178" s="16"/>
      <c r="V178" s="16"/>
      <c r="W178" s="16"/>
      <c r="X178" s="16"/>
      <c r="Y178" s="16"/>
      <c r="Z178" s="16"/>
      <c r="AA178" s="16"/>
      <c r="AB178" s="16"/>
      <c r="AC178" s="16"/>
      <c r="AD178" s="16"/>
    </row>
    <row r="179" spans="1:30" ht="15.75" customHeight="1">
      <c r="A179" s="16"/>
      <c r="B179" s="16"/>
      <c r="C179" s="16"/>
      <c r="D179" s="16"/>
      <c r="E179" s="16"/>
      <c r="F179" s="16"/>
      <c r="G179" s="16"/>
      <c r="H179" s="16"/>
      <c r="I179" s="16"/>
      <c r="J179" s="16"/>
      <c r="K179" s="16"/>
      <c r="L179" s="16"/>
      <c r="M179" s="16"/>
      <c r="U179" s="16"/>
      <c r="V179" s="16"/>
      <c r="W179" s="16"/>
      <c r="X179" s="16"/>
      <c r="Y179" s="16"/>
      <c r="Z179" s="16"/>
      <c r="AA179" s="16"/>
      <c r="AB179" s="16"/>
      <c r="AC179" s="16"/>
      <c r="AD179" s="16"/>
    </row>
    <row r="180" spans="1:30" ht="15.75" customHeight="1">
      <c r="A180" s="16"/>
      <c r="B180" s="16"/>
      <c r="D180" s="16"/>
      <c r="E180" s="16"/>
      <c r="F180" s="16"/>
      <c r="G180" s="16"/>
      <c r="H180" s="16"/>
      <c r="I180" s="16"/>
      <c r="J180" s="16"/>
      <c r="K180" s="16"/>
      <c r="L180" s="16"/>
      <c r="M180" s="16"/>
      <c r="U180" s="16"/>
      <c r="V180" s="16"/>
      <c r="W180" s="16"/>
      <c r="X180" s="16"/>
      <c r="Y180" s="16"/>
      <c r="Z180" s="16"/>
      <c r="AA180" s="16"/>
      <c r="AB180" s="16"/>
      <c r="AC180" s="16"/>
      <c r="AD180" s="16"/>
    </row>
    <row r="181" spans="1:30" ht="15.75" customHeight="1">
      <c r="A181" s="16"/>
      <c r="B181" s="16"/>
      <c r="D181" s="16"/>
      <c r="E181" s="16"/>
      <c r="F181" s="16"/>
      <c r="G181" s="16"/>
      <c r="H181" s="16"/>
      <c r="I181" s="16"/>
      <c r="J181" s="16"/>
      <c r="K181" s="16"/>
      <c r="L181" s="16"/>
      <c r="M181" s="16"/>
      <c r="U181" s="16"/>
      <c r="V181" s="16"/>
      <c r="W181" s="16"/>
      <c r="X181" s="16"/>
      <c r="Y181" s="16"/>
      <c r="Z181" s="16"/>
      <c r="AA181" s="16"/>
      <c r="AB181" s="16"/>
      <c r="AC181" s="16"/>
      <c r="AD181" s="16"/>
    </row>
    <row r="182" spans="1:30" ht="15.75" customHeight="1">
      <c r="A182" s="16"/>
      <c r="B182" s="16"/>
      <c r="D182" s="16"/>
      <c r="E182" s="16"/>
      <c r="F182" s="16"/>
      <c r="G182" s="16"/>
      <c r="H182" s="16"/>
      <c r="I182" s="16"/>
      <c r="J182" s="16"/>
      <c r="K182" s="16"/>
      <c r="L182" s="16"/>
      <c r="M182" s="16"/>
      <c r="U182" s="16"/>
      <c r="V182" s="16"/>
      <c r="W182" s="16"/>
      <c r="X182" s="16"/>
      <c r="Y182" s="16"/>
      <c r="Z182" s="16"/>
      <c r="AA182" s="16"/>
      <c r="AB182" s="16"/>
      <c r="AC182" s="16"/>
      <c r="AD182" s="16"/>
    </row>
    <row r="183" spans="1:30" ht="15.75" customHeight="1">
      <c r="A183" s="16"/>
      <c r="B183" s="16"/>
      <c r="D183" s="16"/>
      <c r="E183" s="16"/>
      <c r="F183" s="16"/>
      <c r="G183" s="16"/>
      <c r="H183" s="16"/>
      <c r="I183" s="16"/>
      <c r="J183" s="16"/>
      <c r="K183" s="16"/>
      <c r="L183" s="16"/>
      <c r="M183" s="16"/>
      <c r="U183" s="16"/>
      <c r="V183" s="16"/>
      <c r="W183" s="16"/>
      <c r="X183" s="16"/>
      <c r="Y183" s="16"/>
      <c r="Z183" s="16"/>
      <c r="AA183" s="16"/>
      <c r="AB183" s="16"/>
      <c r="AC183" s="16"/>
      <c r="AD183" s="16"/>
    </row>
    <row r="184" spans="1:30" ht="15.75" customHeight="1">
      <c r="A184" s="16"/>
      <c r="B184" s="16"/>
      <c r="D184" s="16"/>
      <c r="E184" s="16"/>
      <c r="F184" s="16"/>
      <c r="G184" s="16"/>
      <c r="H184" s="16"/>
      <c r="I184" s="16"/>
      <c r="J184" s="16"/>
      <c r="K184" s="16"/>
      <c r="L184" s="16"/>
      <c r="M184" s="16"/>
      <c r="U184" s="16"/>
      <c r="V184" s="16"/>
      <c r="W184" s="16"/>
      <c r="X184" s="16"/>
      <c r="Y184" s="16"/>
      <c r="Z184" s="16"/>
      <c r="AA184" s="16"/>
      <c r="AB184" s="16"/>
      <c r="AC184" s="16"/>
      <c r="AD184" s="16"/>
    </row>
    <row r="185" spans="1:30" ht="15.75" customHeight="1">
      <c r="A185" s="16"/>
      <c r="B185" s="16"/>
      <c r="D185" s="16"/>
      <c r="E185" s="16"/>
      <c r="F185" s="16"/>
      <c r="G185" s="16"/>
      <c r="H185" s="16"/>
      <c r="I185" s="16"/>
      <c r="J185" s="16"/>
      <c r="K185" s="16"/>
      <c r="L185" s="16"/>
      <c r="M185" s="16"/>
      <c r="U185" s="16"/>
      <c r="V185" s="16"/>
      <c r="W185" s="16"/>
      <c r="X185" s="16"/>
      <c r="Y185" s="16"/>
      <c r="Z185" s="16"/>
      <c r="AA185" s="16"/>
      <c r="AB185" s="16"/>
      <c r="AC185" s="16"/>
      <c r="AD185" s="16"/>
    </row>
    <row r="186" spans="1:30" ht="15.75" customHeight="1">
      <c r="A186" s="16"/>
      <c r="B186" s="16"/>
      <c r="D186" s="16"/>
      <c r="E186" s="16"/>
      <c r="F186" s="16"/>
      <c r="G186" s="16"/>
      <c r="H186" s="16"/>
      <c r="I186" s="16"/>
      <c r="J186" s="16"/>
      <c r="K186" s="16"/>
      <c r="L186" s="16"/>
      <c r="M186" s="16"/>
      <c r="U186" s="16"/>
      <c r="V186" s="16"/>
      <c r="W186" s="16"/>
      <c r="X186" s="16"/>
      <c r="Y186" s="16"/>
      <c r="Z186" s="16"/>
      <c r="AA186" s="16"/>
      <c r="AB186" s="16"/>
      <c r="AC186" s="16"/>
      <c r="AD186" s="16"/>
    </row>
    <row r="187" spans="1:30" ht="15.75" customHeight="1">
      <c r="A187" s="16"/>
      <c r="B187" s="16"/>
      <c r="D187" s="16"/>
      <c r="E187" s="16"/>
      <c r="F187" s="16"/>
      <c r="G187" s="16"/>
      <c r="H187" s="16"/>
      <c r="I187" s="16"/>
      <c r="J187" s="16"/>
      <c r="K187" s="16"/>
      <c r="L187" s="16"/>
      <c r="M187" s="16"/>
      <c r="U187" s="16"/>
      <c r="V187" s="16"/>
      <c r="W187" s="16"/>
      <c r="X187" s="16"/>
      <c r="Y187" s="16"/>
      <c r="Z187" s="16"/>
      <c r="AA187" s="16"/>
      <c r="AB187" s="16"/>
      <c r="AC187" s="16"/>
      <c r="AD187" s="16"/>
    </row>
    <row r="188" spans="1:30" ht="15.75" customHeight="1">
      <c r="A188" s="16"/>
      <c r="B188" s="16"/>
      <c r="D188" s="16"/>
      <c r="E188" s="16"/>
      <c r="F188" s="16"/>
      <c r="G188" s="16"/>
      <c r="H188" s="16"/>
      <c r="I188" s="16"/>
      <c r="J188" s="16"/>
      <c r="K188" s="16"/>
      <c r="L188" s="16"/>
      <c r="M188" s="16"/>
      <c r="U188" s="16"/>
      <c r="V188" s="16"/>
      <c r="W188" s="16"/>
      <c r="X188" s="16"/>
      <c r="Y188" s="16"/>
      <c r="Z188" s="16"/>
      <c r="AA188" s="16"/>
      <c r="AB188" s="16"/>
      <c r="AC188" s="16"/>
      <c r="AD188" s="16"/>
    </row>
    <row r="189" spans="1:30" ht="15.75" customHeight="1">
      <c r="A189" s="16"/>
      <c r="B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c r="AD189" s="16"/>
    </row>
    <row r="190" spans="1:30" ht="15.75" customHeight="1">
      <c r="A190" s="16"/>
      <c r="B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c r="AD190" s="16"/>
    </row>
    <row r="191" spans="1:30" ht="15.75" customHeight="1">
      <c r="A191" s="16"/>
      <c r="B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c r="AD191" s="16"/>
    </row>
    <row r="192" spans="1:30" ht="15.75" customHeight="1">
      <c r="A192" s="16"/>
      <c r="B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c r="AD192" s="16"/>
    </row>
    <row r="193" spans="1:30" ht="15.75" customHeight="1">
      <c r="A193" s="16"/>
      <c r="B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c r="AA193" s="16"/>
      <c r="AB193" s="16"/>
      <c r="AC193" s="16"/>
      <c r="AD193" s="16"/>
    </row>
    <row r="194" spans="1:30" ht="15.75" customHeight="1">
      <c r="A194" s="16"/>
      <c r="B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c r="AA194" s="16"/>
      <c r="AB194" s="16"/>
      <c r="AC194" s="16"/>
      <c r="AD194" s="16"/>
    </row>
    <row r="195" spans="1:30" ht="15.75" customHeight="1">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c r="AA195" s="16"/>
      <c r="AB195" s="16"/>
      <c r="AC195" s="16"/>
      <c r="AD195" s="16"/>
    </row>
    <row r="196" spans="1:30" ht="15.75" customHeight="1">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c r="AA196" s="16"/>
      <c r="AB196" s="16"/>
      <c r="AC196" s="16"/>
      <c r="AD196" s="16"/>
    </row>
    <row r="197" spans="1:30" ht="15.75" customHeight="1">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c r="AD197" s="16"/>
    </row>
    <row r="198" spans="1:30" ht="15.75" customHeight="1">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c r="AD198" s="16"/>
    </row>
    <row r="199" spans="1:30" ht="15.75" customHeight="1">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c r="AA199" s="16"/>
      <c r="AB199" s="16"/>
      <c r="AC199" s="16"/>
      <c r="AD199" s="16"/>
    </row>
    <row r="200" spans="1:30" ht="15.75" customHeight="1">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c r="AA200" s="16"/>
      <c r="AB200" s="16"/>
      <c r="AC200" s="16"/>
      <c r="AD200" s="16"/>
    </row>
    <row r="201" spans="1:30" ht="15.75" customHeight="1">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c r="AD201" s="16"/>
    </row>
    <row r="202" spans="1:30" ht="15.75" customHeight="1">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c r="AD202" s="16"/>
    </row>
    <row r="203" spans="1:30" ht="15.75" customHeight="1">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c r="AA203" s="16"/>
      <c r="AB203" s="16"/>
      <c r="AC203" s="16"/>
      <c r="AD203" s="16"/>
    </row>
    <row r="204" spans="1:30" ht="15.75" customHeight="1">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c r="AA204" s="16"/>
      <c r="AB204" s="16"/>
      <c r="AC204" s="16"/>
      <c r="AD204" s="16"/>
    </row>
    <row r="205" spans="1:30" ht="15.75" customHeight="1">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c r="AD205" s="16"/>
    </row>
    <row r="206" spans="1:30" ht="15.75" customHeight="1">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row>
    <row r="207" spans="1:30" ht="15.75" customHeight="1">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c r="AD207" s="16"/>
    </row>
    <row r="208" spans="1:30" ht="15.75" customHeight="1">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c r="AD208" s="16"/>
    </row>
    <row r="209" spans="1:30" ht="15.75" customHeight="1">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c r="AD209" s="16"/>
    </row>
    <row r="210" spans="1:30" ht="15.75" customHeight="1">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c r="AD210" s="16"/>
    </row>
    <row r="211" spans="1:30" ht="15.75" customHeight="1">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row>
    <row r="212" spans="1:30" ht="15.75" customHeight="1">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c r="AD212" s="16"/>
    </row>
    <row r="213" spans="1:30" ht="15.75" customHeight="1">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c r="AD213" s="16"/>
    </row>
    <row r="214" spans="1:30" ht="15.75" customHeight="1">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row>
    <row r="215" spans="1:30" ht="15.75" customHeight="1">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c r="AD215" s="16"/>
    </row>
    <row r="216" spans="1:30" ht="15.75" customHeight="1">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c r="AD216" s="16"/>
    </row>
    <row r="217" spans="1:30" ht="15.75" customHeight="1">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c r="AD217" s="16"/>
    </row>
    <row r="218" spans="1:30" ht="15.75" customHeight="1">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c r="AD218" s="16"/>
    </row>
    <row r="219" spans="1:30" ht="15.75" customHeight="1">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c r="AD219" s="16"/>
    </row>
    <row r="220" spans="1:30" ht="15.75" customHeight="1">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c r="AD220" s="16"/>
    </row>
    <row r="221" spans="1:30" ht="15.75" customHeight="1">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row>
    <row r="222" spans="1:30" ht="15.75" customHeight="1">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row>
    <row r="223" spans="1:30" ht="15.75" customHeight="1">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c r="AD223" s="16"/>
    </row>
    <row r="224" spans="1:30" ht="15.75" customHeight="1">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c r="AD224" s="16"/>
    </row>
    <row r="225" spans="1:30" ht="15.75" customHeight="1">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16"/>
    </row>
    <row r="226" spans="1:30" ht="15.75" customHeight="1">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row>
    <row r="227" spans="1:30" ht="15.75" customHeight="1">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16"/>
    </row>
    <row r="228" spans="1:30" ht="15.75" customHeight="1">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c r="AD228" s="16"/>
    </row>
    <row r="229" spans="1:30" ht="15.75" customHeight="1">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c r="AD229" s="16"/>
    </row>
    <row r="230" spans="1:30" ht="15.75" customHeight="1">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row>
    <row r="231" spans="1:30" ht="15.75" customHeight="1">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c r="AD231" s="16"/>
    </row>
    <row r="232" spans="1:30" ht="15.75" customHeight="1">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c r="AD232" s="16"/>
    </row>
    <row r="233" spans="1:30" ht="15.75" customHeight="1">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c r="AD233" s="16"/>
    </row>
    <row r="234" spans="1:30" ht="15.75" customHeight="1">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c r="AD234" s="16"/>
    </row>
    <row r="235" spans="1:30" ht="15.75" customHeight="1">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row>
    <row r="236" spans="1:30" ht="15.75" customHeight="1">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c r="AD236" s="16"/>
    </row>
    <row r="237" spans="1:30" ht="15.75" customHeight="1">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c r="AD237" s="16"/>
    </row>
    <row r="238" spans="1:30" ht="15.75" customHeight="1">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c r="AD238" s="16"/>
    </row>
    <row r="239" spans="1:30" ht="15.75" customHeight="1">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c r="AD239" s="16"/>
    </row>
    <row r="240" spans="1:30" ht="15.75" customHeight="1">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c r="AD240" s="16"/>
    </row>
    <row r="241" spans="1:30" ht="15.75" customHeight="1">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c r="AD241" s="16"/>
    </row>
    <row r="242" spans="1:30" ht="15.75" customHeight="1">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c r="AD242" s="16"/>
    </row>
    <row r="243" spans="1:30" ht="15.75" customHeight="1">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c r="AD243" s="16"/>
    </row>
    <row r="244" spans="1:30" ht="15.75" customHeight="1">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16"/>
    </row>
    <row r="245" spans="1:30" ht="15.75" customHeight="1">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c r="AD245" s="16"/>
    </row>
    <row r="246" spans="1:30" ht="15.75" customHeight="1">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row>
    <row r="247" spans="1:30" ht="15.75" customHeight="1">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c r="AD247" s="16"/>
    </row>
    <row r="248" spans="1:30" ht="15.75" customHeight="1">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row>
    <row r="249" spans="1:30" ht="15.75" customHeight="1">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row>
    <row r="250" spans="1:30" ht="15.75" customHeight="1">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c r="AD250" s="16"/>
    </row>
    <row r="251" spans="1:30" ht="15.75" customHeight="1">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row>
    <row r="252" spans="1:30" ht="15.75" customHeight="1">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16"/>
    </row>
    <row r="253" spans="1:30" ht="15.75" customHeight="1">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c r="AD253" s="16"/>
    </row>
    <row r="254" spans="1:30" ht="15.75" customHeight="1">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row>
    <row r="255" spans="1:30" ht="15.75" customHeight="1">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c r="AD255" s="16"/>
    </row>
    <row r="256" spans="1:30" ht="15.75" customHeight="1">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row>
    <row r="257" spans="1:30" ht="15.75" customHeight="1">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c r="AD257" s="16"/>
    </row>
    <row r="258" spans="1:30" ht="15.75" customHeight="1">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c r="AD258" s="16"/>
    </row>
    <row r="259" spans="1:30" ht="15.75" customHeight="1">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row>
    <row r="260" spans="1:30" ht="15.75" customHeight="1">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row>
    <row r="261" spans="1:30" ht="15.75" customHeight="1">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c r="AD261" s="16"/>
    </row>
    <row r="262" spans="1:30" ht="15.75" customHeight="1">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row>
    <row r="263" spans="1:30" ht="15.75" customHeight="1">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row>
    <row r="264" spans="1:30" ht="15.75" customHeight="1">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c r="AD264" s="16"/>
    </row>
    <row r="265" spans="1:30" ht="15.75" customHeight="1">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row>
    <row r="266" spans="1:30" ht="15.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row>
    <row r="267" spans="1:30" ht="15.75" customHeight="1">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row>
    <row r="268" spans="1:30" ht="15.75" customHeight="1">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c r="AD268" s="16"/>
    </row>
    <row r="269" spans="1:30" ht="15.75" customHeight="1">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row>
    <row r="270" spans="1:30" ht="15.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row>
    <row r="271" spans="1:30" ht="15.75" customHeight="1">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c r="AD271" s="16"/>
    </row>
    <row r="272" spans="1:30" ht="15.75" customHeight="1">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c r="AD272" s="16"/>
    </row>
    <row r="273" spans="1:30" ht="15.75" customHeight="1">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c r="AD273" s="16"/>
    </row>
    <row r="274" spans="1:30" ht="15.75" customHeight="1">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c r="AD274" s="16"/>
    </row>
    <row r="275" spans="1:30" ht="15.75" customHeight="1">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c r="AD275" s="16"/>
    </row>
    <row r="276" spans="1:30" ht="15.75" customHeight="1">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row>
    <row r="277" spans="1:30" ht="15.75" customHeight="1">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16"/>
    </row>
    <row r="278" spans="1:30" ht="15.75" customHeight="1">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row>
    <row r="279" spans="1:30" ht="15.75" customHeight="1">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16"/>
    </row>
    <row r="280" spans="1:30" ht="15.75" customHeight="1">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c r="AD280" s="16"/>
    </row>
    <row r="281" spans="1:30" ht="15.75" customHeight="1">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c r="AD281" s="16"/>
    </row>
    <row r="282" spans="1:30" ht="15.75" customHeight="1">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c r="AD282" s="16"/>
    </row>
    <row r="283" spans="1:30" ht="15.75" customHeight="1">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c r="AD283" s="16"/>
    </row>
    <row r="284" spans="1:30" ht="15.75" customHeight="1">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c r="AD284" s="16"/>
    </row>
    <row r="285" spans="1:30" ht="15.75" customHeight="1">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c r="AD285" s="16"/>
    </row>
    <row r="286" spans="1:30" ht="15.75" customHeight="1">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row>
    <row r="287" spans="1:30" ht="15.75" customHeight="1">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row>
    <row r="288" spans="1:30" ht="15.75" customHeight="1">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row>
    <row r="289" spans="1:30" ht="15.75" customHeight="1">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row>
    <row r="290" spans="1:30" ht="15.75" customHeight="1">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row>
    <row r="291" spans="1:30" ht="15.75" customHeight="1">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c r="AD291" s="16"/>
    </row>
    <row r="292" spans="1:30" ht="15.75" customHeight="1">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row>
    <row r="293" spans="1:30" ht="15.75" customHeight="1">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row>
    <row r="294" spans="1:30" ht="15.75" customHeight="1">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row>
    <row r="295" spans="1:30" ht="15.75" customHeight="1">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row>
    <row r="296" spans="1:30" ht="15.75" customHeight="1">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row>
    <row r="297" spans="1:30" ht="15.75" customHeight="1">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row>
    <row r="298" spans="1:30" ht="15.75" customHeight="1">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row>
    <row r="299" spans="1:30" ht="15.75" customHeight="1">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row>
    <row r="300" spans="1:30" ht="15.75" customHeight="1">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row>
    <row r="301" spans="1:30" ht="15.75" customHeight="1">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c r="AD301" s="16"/>
    </row>
    <row r="302" spans="1:30" ht="15.75" customHeight="1">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c r="AD302" s="16"/>
    </row>
    <row r="303" spans="1:30" ht="15.75" customHeight="1">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row>
    <row r="304" spans="1:30" ht="15.75" customHeight="1">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c r="AD304" s="16"/>
    </row>
    <row r="305" spans="1:30" ht="15.75" customHeight="1">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c r="AD305" s="16"/>
    </row>
    <row r="306" spans="1:30" ht="15.75" customHeight="1">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c r="AA306" s="16"/>
      <c r="AB306" s="16"/>
      <c r="AC306" s="16"/>
      <c r="AD306" s="16"/>
    </row>
    <row r="307" spans="1:30" ht="15.75" customHeight="1">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c r="AA307" s="16"/>
      <c r="AB307" s="16"/>
      <c r="AC307" s="16"/>
      <c r="AD307" s="16"/>
    </row>
    <row r="308" spans="1:30" ht="15.75" customHeight="1">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c r="AA308" s="16"/>
      <c r="AB308" s="16"/>
      <c r="AC308" s="16"/>
      <c r="AD308" s="16"/>
    </row>
    <row r="309" spans="1:30" ht="15.75" customHeight="1">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c r="AA309" s="16"/>
      <c r="AB309" s="16"/>
      <c r="AC309" s="16"/>
      <c r="AD309" s="16"/>
    </row>
    <row r="310" spans="1:30" ht="15.75" customHeight="1">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c r="AA310" s="16"/>
      <c r="AB310" s="16"/>
      <c r="AC310" s="16"/>
      <c r="AD310" s="16"/>
    </row>
    <row r="311" spans="1:30" ht="15.75" customHeight="1">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c r="AA311" s="16"/>
      <c r="AB311" s="16"/>
      <c r="AC311" s="16"/>
      <c r="AD311" s="16"/>
    </row>
    <row r="312" spans="1:30" ht="15.75" customHeight="1">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c r="AA312" s="16"/>
      <c r="AB312" s="16"/>
      <c r="AC312" s="16"/>
      <c r="AD312" s="16"/>
    </row>
    <row r="313" spans="1:30" ht="15.75" customHeight="1">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c r="AA313" s="16"/>
      <c r="AB313" s="16"/>
      <c r="AC313" s="16"/>
      <c r="AD313" s="16"/>
    </row>
    <row r="314" spans="1:30" ht="15.75" customHeight="1">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c r="AA314" s="16"/>
      <c r="AB314" s="16"/>
      <c r="AC314" s="16"/>
      <c r="AD314" s="16"/>
    </row>
    <row r="315" spans="1:30" ht="15.75" customHeight="1">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c r="AA315" s="16"/>
      <c r="AB315" s="16"/>
      <c r="AC315" s="16"/>
      <c r="AD315" s="16"/>
    </row>
    <row r="316" spans="1:30" ht="15.75" customHeight="1">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c r="AA316" s="16"/>
      <c r="AB316" s="16"/>
      <c r="AC316" s="16"/>
      <c r="AD316" s="16"/>
    </row>
    <row r="317" spans="1:30" ht="15.75" customHeight="1">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c r="AA317" s="16"/>
      <c r="AB317" s="16"/>
      <c r="AC317" s="16"/>
      <c r="AD317" s="16"/>
    </row>
    <row r="318" spans="1:30" ht="15.75" customHeight="1">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c r="AA318" s="16"/>
      <c r="AB318" s="16"/>
      <c r="AC318" s="16"/>
      <c r="AD318" s="16"/>
    </row>
    <row r="319" spans="1:30" ht="15.75" customHeight="1">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c r="AA319" s="16"/>
      <c r="AB319" s="16"/>
      <c r="AC319" s="16"/>
      <c r="AD319" s="16"/>
    </row>
    <row r="320" spans="1:30" ht="15.75" customHeight="1">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c r="AA320" s="16"/>
      <c r="AB320" s="16"/>
      <c r="AC320" s="16"/>
      <c r="AD320" s="16"/>
    </row>
    <row r="321" spans="1:30" ht="15.75" customHeight="1">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c r="AA321" s="16"/>
      <c r="AB321" s="16"/>
      <c r="AC321" s="16"/>
      <c r="AD321" s="16"/>
    </row>
    <row r="322" spans="1:30" ht="15.75" customHeight="1">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c r="AA322" s="16"/>
      <c r="AB322" s="16"/>
      <c r="AC322" s="16"/>
      <c r="AD322" s="16"/>
    </row>
    <row r="323" spans="1:30" ht="15.75" customHeight="1">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c r="AA323" s="16"/>
      <c r="AB323" s="16"/>
      <c r="AC323" s="16"/>
      <c r="AD323" s="16"/>
    </row>
    <row r="324" spans="1:30" ht="15.75" customHeight="1">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c r="AA324" s="16"/>
      <c r="AB324" s="16"/>
      <c r="AC324" s="16"/>
      <c r="AD324" s="16"/>
    </row>
    <row r="325" spans="1:30" ht="15.75" customHeight="1">
      <c r="A325" s="16"/>
      <c r="B325" s="16"/>
      <c r="C325" s="16"/>
      <c r="D325" s="16"/>
      <c r="E325" s="16"/>
      <c r="F325" s="16"/>
      <c r="G325" s="16"/>
    </row>
    <row r="326" spans="1:30" ht="15.75" customHeight="1">
      <c r="A326" s="16"/>
      <c r="B326" s="16"/>
      <c r="C326" s="16"/>
      <c r="D326" s="16"/>
      <c r="E326" s="16"/>
      <c r="F326" s="16"/>
      <c r="G326" s="16"/>
    </row>
    <row r="327" spans="1:30" ht="15.75" customHeight="1">
      <c r="A327" s="16"/>
      <c r="B327" s="16"/>
      <c r="C327" s="16"/>
      <c r="D327" s="16"/>
      <c r="E327" s="16"/>
      <c r="F327" s="16"/>
      <c r="G327" s="16"/>
    </row>
    <row r="328" spans="1:30" ht="15.75" customHeight="1">
      <c r="A328" s="16"/>
      <c r="B328" s="16"/>
      <c r="C328" s="16"/>
      <c r="D328" s="16"/>
      <c r="E328" s="16"/>
      <c r="F328" s="16"/>
      <c r="G328" s="16"/>
    </row>
    <row r="329" spans="1:30" ht="15.75" customHeight="1">
      <c r="A329" s="16"/>
      <c r="B329" s="16"/>
      <c r="C329" s="16"/>
      <c r="D329" s="16"/>
      <c r="E329" s="16"/>
      <c r="F329" s="16"/>
      <c r="G329" s="16"/>
    </row>
    <row r="330" spans="1:30" ht="15.75" customHeight="1">
      <c r="A330" s="16"/>
      <c r="B330" s="16"/>
      <c r="C330" s="16"/>
      <c r="D330" s="16"/>
      <c r="E330" s="16"/>
      <c r="F330" s="16"/>
      <c r="G330" s="16"/>
    </row>
    <row r="331" spans="1:30" ht="15.75" customHeight="1"/>
    <row r="332" spans="1:30" ht="15.75" customHeight="1"/>
    <row r="333" spans="1:30" ht="15.75" customHeight="1"/>
    <row r="334" spans="1:30" ht="15.75" customHeight="1"/>
    <row r="335" spans="1:30" ht="15.75" customHeight="1"/>
    <row r="336" spans="1:30"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sheetData>
  <mergeCells count="28">
    <mergeCell ref="AG29:AH29"/>
    <mergeCell ref="AI29:AJ29"/>
    <mergeCell ref="AG30:AH40"/>
    <mergeCell ref="AI30:AJ40"/>
    <mergeCell ref="K76:O92"/>
    <mergeCell ref="P76:Q92"/>
    <mergeCell ref="I49:K49"/>
    <mergeCell ref="I50:K54"/>
    <mergeCell ref="K58:M58"/>
    <mergeCell ref="K59:M71"/>
    <mergeCell ref="H38:J46"/>
    <mergeCell ref="H96:I96"/>
    <mergeCell ref="J96:K96"/>
    <mergeCell ref="H97:I130"/>
    <mergeCell ref="J97:K130"/>
    <mergeCell ref="P75:Q75"/>
    <mergeCell ref="K75:O75"/>
    <mergeCell ref="A30:F30"/>
    <mergeCell ref="A31:F31"/>
    <mergeCell ref="A32:F32"/>
    <mergeCell ref="A34:F34"/>
    <mergeCell ref="H37:J37"/>
    <mergeCell ref="A29:F29"/>
    <mergeCell ref="A1:C1"/>
    <mergeCell ref="E1:H1"/>
    <mergeCell ref="D7:I7"/>
    <mergeCell ref="D8:I8"/>
    <mergeCell ref="A28:F28"/>
  </mergeCells>
  <phoneticPr fontId="31" type="noConversion"/>
  <conditionalFormatting sqref="I59:I70">
    <cfRule type="containsText" dxfId="709" priority="1" operator="containsText" text="5">
      <formula>NOT(ISERROR(SEARCH(("5"),(I59))))</formula>
    </cfRule>
    <cfRule type="containsText" dxfId="708" priority="2" operator="containsText" text="42">
      <formula>NOT(ISERROR(SEARCH(("42"),(I59))))</formula>
    </cfRule>
    <cfRule type="containsText" dxfId="707" priority="3" operator="containsText" text="Please fill in">
      <formula>NOT(ISERROR(SEARCH(("Please fill in"),(I59))))</formula>
    </cfRule>
  </conditionalFormatting>
  <dataValidations count="3">
    <dataValidation type="list" allowBlank="1" showErrorMessage="1" sqref="D50:D54 H59:H71" xr:uid="{CB7CA841-E771-4E20-AA00-A566D006CF83}">
      <formula1>'DKV Euros'!TypesOfTrainers</formula1>
    </dataValidation>
    <dataValidation type="list" allowBlank="1" showErrorMessage="1" sqref="B9" xr:uid="{B905B5C0-042C-4F6B-91A8-2FAFA1A95BAC}">
      <formula1>"yes,no,partial"</formula1>
    </dataValidation>
    <dataValidation type="list" allowBlank="1" sqref="G50:G54" xr:uid="{DC534867-8B26-4260-A1C9-F3F8A95684F1}">
      <formula1>"yes,no"</formula1>
    </dataValidation>
  </dataValidations>
  <pageMargins left="0.7" right="0.7" top="0.75" bottom="0.75" header="0" footer="0"/>
  <pageSetup paperSize="9" orientation="portrait"/>
  <drawing r:id="rId1"/>
  <legacyDrawing r:id="rId2"/>
  <tableParts count="6">
    <tablePart r:id="rId3"/>
    <tablePart r:id="rId4"/>
    <tablePart r:id="rId5"/>
    <tablePart r:id="rId6"/>
    <tablePart r:id="rId7"/>
    <tablePart r:id="rId8"/>
  </tableParts>
  <extLst>
    <ext xmlns:x14="http://schemas.microsoft.com/office/spreadsheetml/2009/9/main" uri="{CCE6A557-97BC-4b89-ADB6-D9C93CAAB3DF}">
      <x14:dataValidations xmlns:xm="http://schemas.microsoft.com/office/excel/2006/main" count="4">
        <x14:dataValidation type="list" allowBlank="1" showInputMessage="1" showErrorMessage="1" xr:uid="{DC9F10D3-78E4-428D-9100-B2AD93A9DDFA}">
          <x14:formula1>
            <xm:f>Constants!$C$55:$C$56</xm:f>
          </x14:formula1>
          <xm:sqref>B12</xm:sqref>
        </x14:dataValidation>
        <x14:dataValidation type="list" allowBlank="1" showErrorMessage="1" xr:uid="{C6B84E88-9253-4081-A82D-596B7C0E6F89}">
          <x14:formula1>
            <xm:f>Constants!$H$6:$H$13</xm:f>
          </x14:formula1>
          <xm:sqref>B59:B71</xm:sqref>
        </x14:dataValidation>
        <x14:dataValidation type="list" allowBlank="1" showErrorMessage="1" xr:uid="{0C068906-7937-4304-8F33-DC3D0FDD6062}">
          <x14:formula1>
            <xm:f>Constants!$A$2:$AD$2</xm:f>
          </x14:formula1>
          <xm:sqref>B76:B92</xm:sqref>
        </x14:dataValidation>
        <x14:dataValidation type="list" allowBlank="1" showInputMessage="1" showErrorMessage="1" xr:uid="{49A85C3C-5EAB-41D8-84A7-B6AEF8E32571}">
          <x14:formula1>
            <xm:f>Constants!$M$6:$M$7</xm:f>
          </x14:formula1>
          <xm:sqref>B131:B132</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C6D80D-CFB3-7D4B-9A7F-3888BB4C8B01}">
  <dimension ref="A1:BG1003"/>
  <sheetViews>
    <sheetView topLeftCell="AB1" workbookViewId="0">
      <selection activeCell="AF30" sqref="AF30"/>
    </sheetView>
  </sheetViews>
  <sheetFormatPr defaultColWidth="12.625" defaultRowHeight="15" customHeight="1"/>
  <cols>
    <col min="1" max="1" width="36.625" customWidth="1"/>
    <col min="2" max="2" width="28.125" customWidth="1"/>
    <col min="3" max="3" width="21" customWidth="1"/>
    <col min="4" max="4" width="17.5" customWidth="1"/>
    <col min="5" max="5" width="16.125" customWidth="1"/>
    <col min="6" max="6" width="21.5" customWidth="1"/>
    <col min="7" max="7" width="22.625" customWidth="1"/>
    <col min="8" max="8" width="18.625" customWidth="1"/>
    <col min="9" max="9" width="19.625" customWidth="1"/>
    <col min="10" max="10" width="18.875" customWidth="1"/>
    <col min="11" max="11" width="21.625" customWidth="1"/>
    <col min="12" max="12" width="17.375" customWidth="1"/>
    <col min="13" max="13" width="15.125" customWidth="1"/>
    <col min="14" max="14" width="15.625" customWidth="1"/>
    <col min="15" max="15" width="28.5" customWidth="1"/>
    <col min="16" max="16" width="13.125" customWidth="1"/>
    <col min="17" max="17" width="21.875" customWidth="1"/>
    <col min="18" max="18" width="27" customWidth="1"/>
    <col min="19" max="19" width="20.5" customWidth="1"/>
    <col min="20" max="22" width="7.625" customWidth="1"/>
    <col min="23" max="23" width="31.875" customWidth="1"/>
    <col min="24" max="24" width="7.625" customWidth="1"/>
    <col min="25" max="25" width="8.375" customWidth="1"/>
    <col min="26" max="26" width="21.625" customWidth="1"/>
    <col min="27" max="27" width="12" customWidth="1"/>
    <col min="28" max="28" width="16.5" customWidth="1"/>
    <col min="29" max="29" width="6" customWidth="1"/>
    <col min="30" max="30" width="13.625" customWidth="1"/>
  </cols>
  <sheetData>
    <row r="1" spans="1:59" ht="171" customHeight="1">
      <c r="A1" s="703"/>
      <c r="B1" s="704"/>
      <c r="C1" s="705"/>
      <c r="D1" s="16"/>
      <c r="E1" s="572" t="s">
        <v>72</v>
      </c>
      <c r="F1" s="704"/>
      <c r="G1" s="704"/>
      <c r="H1" s="705"/>
      <c r="I1" s="16"/>
      <c r="J1" s="16"/>
      <c r="K1" s="16"/>
      <c r="L1" s="16"/>
      <c r="M1" s="16"/>
      <c r="N1" s="16"/>
      <c r="O1" s="16"/>
      <c r="P1" s="16"/>
      <c r="Q1" s="16"/>
      <c r="R1" s="16"/>
      <c r="S1" s="16"/>
      <c r="T1" s="16"/>
      <c r="U1" s="16"/>
      <c r="V1" s="16"/>
      <c r="W1" s="16"/>
      <c r="X1" s="16"/>
      <c r="Y1" s="16"/>
      <c r="Z1" s="16"/>
      <c r="AA1" s="16"/>
      <c r="AB1" s="16"/>
      <c r="AC1" s="16"/>
      <c r="AD1" s="16"/>
    </row>
    <row r="2" spans="1:59">
      <c r="A2" s="58" t="s">
        <v>404</v>
      </c>
      <c r="B2" s="152" t="s">
        <v>532</v>
      </c>
      <c r="C2" s="59"/>
      <c r="D2" s="16"/>
      <c r="E2" s="60" t="s">
        <v>406</v>
      </c>
      <c r="F2" s="153"/>
      <c r="G2" s="154"/>
      <c r="H2" s="61"/>
      <c r="I2" s="16"/>
      <c r="J2" s="16"/>
      <c r="K2" s="16"/>
      <c r="L2" s="16"/>
      <c r="M2" s="16"/>
      <c r="N2" s="16"/>
      <c r="O2" s="16"/>
      <c r="P2" s="16"/>
      <c r="Q2" s="16"/>
      <c r="R2" s="16"/>
      <c r="S2" s="16"/>
      <c r="T2" s="16"/>
      <c r="U2" s="16"/>
      <c r="V2" s="16"/>
      <c r="W2" s="16"/>
      <c r="X2" s="16"/>
      <c r="Y2" s="16"/>
      <c r="Z2" s="15"/>
      <c r="AA2" s="15"/>
      <c r="AB2" s="15"/>
      <c r="AC2" s="15"/>
      <c r="AD2" s="16"/>
      <c r="AE2" s="16"/>
      <c r="AF2" s="16"/>
      <c r="AG2" s="16"/>
      <c r="AH2" s="16"/>
      <c r="AI2" s="17"/>
      <c r="AJ2" s="17"/>
      <c r="AK2" s="17"/>
      <c r="AL2" s="17"/>
      <c r="AM2" s="17"/>
      <c r="AN2" s="17"/>
      <c r="AO2" s="17"/>
      <c r="AP2" s="17"/>
      <c r="AQ2" s="17"/>
      <c r="AR2" s="18"/>
      <c r="AS2" s="17"/>
      <c r="AT2" s="17"/>
      <c r="AU2" s="16"/>
      <c r="AV2" s="16"/>
      <c r="AW2" s="16"/>
      <c r="AX2" s="16"/>
      <c r="AY2" s="16"/>
      <c r="AZ2" s="16"/>
      <c r="BA2" s="16"/>
    </row>
    <row r="3" spans="1:59">
      <c r="A3" s="62" t="s">
        <v>408</v>
      </c>
      <c r="B3" s="155">
        <v>3</v>
      </c>
      <c r="C3" s="156"/>
      <c r="D3" s="16"/>
      <c r="E3" s="63" t="s">
        <v>409</v>
      </c>
      <c r="F3" s="157"/>
      <c r="G3" s="158"/>
      <c r="H3" s="159"/>
      <c r="I3" s="16"/>
      <c r="J3" s="16"/>
      <c r="K3" s="16"/>
      <c r="L3" s="16"/>
      <c r="M3" s="16"/>
      <c r="N3" s="16"/>
      <c r="O3" s="16"/>
      <c r="P3" s="16"/>
      <c r="Q3" s="16"/>
      <c r="R3" s="16"/>
      <c r="S3" s="16"/>
      <c r="T3" s="16"/>
      <c r="U3" s="16"/>
      <c r="V3" s="16"/>
      <c r="W3" s="16"/>
      <c r="X3" s="16"/>
      <c r="Y3" s="16"/>
      <c r="Z3" s="16"/>
      <c r="AA3" s="16"/>
      <c r="AB3" s="16"/>
      <c r="AC3" s="16"/>
      <c r="AD3" s="16"/>
    </row>
    <row r="4" spans="1:59">
      <c r="A4" s="160" t="s">
        <v>410</v>
      </c>
      <c r="B4" s="161">
        <v>45812</v>
      </c>
      <c r="C4" s="162"/>
      <c r="D4" s="16"/>
      <c r="E4" s="163"/>
      <c r="F4" s="164"/>
      <c r="G4" s="165"/>
      <c r="H4" s="166"/>
      <c r="I4" s="16"/>
      <c r="J4" s="16"/>
      <c r="K4" s="16"/>
      <c r="L4" s="16"/>
      <c r="M4" s="16"/>
      <c r="N4" s="16"/>
      <c r="O4" s="16"/>
      <c r="P4" s="16"/>
      <c r="Q4" s="16"/>
      <c r="R4" s="16"/>
      <c r="S4" s="16"/>
      <c r="T4" s="16"/>
      <c r="U4" s="16"/>
      <c r="V4" s="16"/>
      <c r="W4" s="16"/>
      <c r="X4" s="16"/>
      <c r="Y4" s="16"/>
      <c r="Z4" s="16"/>
      <c r="AA4" s="16"/>
      <c r="AB4" s="16"/>
      <c r="AC4" s="16"/>
      <c r="AD4" s="16"/>
    </row>
    <row r="5" spans="1:59">
      <c r="A5" s="167" t="s">
        <v>411</v>
      </c>
      <c r="B5" s="168"/>
      <c r="C5" s="167"/>
      <c r="D5" s="16"/>
      <c r="E5" s="169" t="s">
        <v>412</v>
      </c>
      <c r="F5" s="169"/>
      <c r="G5" s="158"/>
      <c r="H5" s="169"/>
      <c r="I5" s="16"/>
      <c r="J5" s="16"/>
      <c r="K5" s="16"/>
      <c r="L5" s="16"/>
      <c r="M5" s="16"/>
      <c r="N5" s="16"/>
      <c r="O5" s="16"/>
      <c r="P5" s="16"/>
      <c r="Q5" s="16"/>
      <c r="R5" s="16"/>
      <c r="S5" s="16"/>
      <c r="T5" s="16"/>
      <c r="U5" s="16"/>
      <c r="V5" s="16"/>
      <c r="W5" s="16"/>
      <c r="X5" s="16"/>
      <c r="Y5" s="16"/>
      <c r="Z5" s="16"/>
      <c r="AA5" s="16"/>
      <c r="AB5" s="16"/>
      <c r="AC5" s="16"/>
      <c r="AD5" s="16"/>
    </row>
    <row r="6" spans="1:59">
      <c r="A6" s="15"/>
      <c r="B6" s="64"/>
      <c r="C6" s="16"/>
      <c r="D6" s="16"/>
      <c r="E6" s="16"/>
      <c r="F6" s="16"/>
      <c r="G6" s="16"/>
      <c r="H6" s="16"/>
      <c r="I6" s="16"/>
      <c r="J6" s="64"/>
      <c r="K6" s="16"/>
      <c r="L6" s="16"/>
      <c r="M6" s="16"/>
      <c r="N6" s="16"/>
      <c r="O6" s="16"/>
      <c r="P6" s="16"/>
      <c r="Q6" s="16"/>
      <c r="R6" s="16"/>
      <c r="S6" s="16"/>
      <c r="T6" s="16"/>
      <c r="U6" s="16"/>
      <c r="V6" s="16"/>
      <c r="W6" s="16"/>
      <c r="X6" s="16"/>
      <c r="Y6" s="16"/>
      <c r="Z6" s="16"/>
      <c r="AA6" s="16"/>
      <c r="AB6" s="16"/>
      <c r="AC6" s="16"/>
      <c r="AD6" s="16"/>
    </row>
    <row r="7" spans="1:59">
      <c r="A7" s="170" t="s">
        <v>413</v>
      </c>
      <c r="B7" s="59">
        <v>111</v>
      </c>
      <c r="C7" s="16"/>
      <c r="D7" s="573" t="s">
        <v>414</v>
      </c>
      <c r="E7" s="701"/>
      <c r="F7" s="701"/>
      <c r="G7" s="701"/>
      <c r="H7" s="701"/>
      <c r="I7" s="701"/>
      <c r="J7" s="16"/>
      <c r="K7" s="16"/>
      <c r="L7" s="16"/>
      <c r="M7" s="16"/>
      <c r="N7" s="16"/>
      <c r="O7" s="16"/>
      <c r="P7" s="16"/>
      <c r="Q7" s="16"/>
      <c r="R7" s="16"/>
      <c r="S7" s="16"/>
      <c r="T7" s="16"/>
      <c r="U7" s="16"/>
      <c r="V7" s="16"/>
      <c r="W7" s="16"/>
      <c r="X7" s="16"/>
      <c r="Y7" s="16"/>
      <c r="Z7" s="16"/>
      <c r="AA7" s="16"/>
      <c r="AB7" s="16"/>
      <c r="AC7" s="16"/>
      <c r="AD7" s="16"/>
    </row>
    <row r="8" spans="1:59" ht="14.25" customHeight="1">
      <c r="A8" s="171" t="s">
        <v>415</v>
      </c>
      <c r="B8" s="172">
        <f>M21-M17</f>
        <v>2500</v>
      </c>
      <c r="C8" s="16" t="s">
        <v>416</v>
      </c>
      <c r="D8" s="574" t="s">
        <v>417</v>
      </c>
      <c r="E8" s="704"/>
      <c r="F8" s="704"/>
      <c r="G8" s="704"/>
      <c r="H8" s="704"/>
      <c r="I8" s="704"/>
      <c r="J8" s="16"/>
      <c r="K8" s="16"/>
      <c r="L8" s="16"/>
      <c r="M8" s="16"/>
      <c r="N8" s="16"/>
      <c r="O8" s="16"/>
      <c r="P8" s="16"/>
      <c r="Q8" s="16"/>
      <c r="R8" s="16"/>
      <c r="S8" s="16"/>
      <c r="T8" s="16"/>
      <c r="U8" s="16"/>
      <c r="V8" s="16"/>
      <c r="W8" s="16"/>
      <c r="X8" s="16"/>
      <c r="Y8" s="16"/>
      <c r="Z8" s="16"/>
      <c r="AA8" s="16"/>
      <c r="AB8" s="16"/>
      <c r="AC8" s="16"/>
    </row>
    <row r="9" spans="1:59">
      <c r="A9" s="65" t="s">
        <v>418</v>
      </c>
      <c r="B9" s="173" t="s">
        <v>419</v>
      </c>
      <c r="C9" s="16"/>
      <c r="D9" s="16"/>
      <c r="E9" s="17"/>
      <c r="F9" s="17"/>
      <c r="G9" s="17"/>
      <c r="H9" s="17"/>
      <c r="I9" s="17"/>
      <c r="J9" s="17"/>
      <c r="K9" s="17"/>
      <c r="L9" s="17"/>
      <c r="M9" s="17"/>
      <c r="N9" s="17"/>
      <c r="O9" s="17"/>
      <c r="P9" s="17"/>
      <c r="Q9" s="16"/>
      <c r="R9" s="17"/>
      <c r="S9" s="17"/>
      <c r="T9" s="17"/>
      <c r="U9" s="17"/>
      <c r="V9" s="17"/>
      <c r="W9" s="17"/>
      <c r="X9" s="17"/>
      <c r="Y9" s="17"/>
      <c r="Z9" s="17"/>
      <c r="AA9" s="17"/>
      <c r="AB9" s="17"/>
      <c r="AC9" s="17"/>
      <c r="AD9" s="18" t="s">
        <v>242</v>
      </c>
    </row>
    <row r="10" spans="1:59">
      <c r="A10" s="174" t="s">
        <v>420</v>
      </c>
      <c r="B10" s="66">
        <f>COUNTA(A38:A42)</f>
        <v>5</v>
      </c>
      <c r="C10" s="16"/>
      <c r="D10" s="16"/>
      <c r="E10" s="17"/>
      <c r="F10" s="17"/>
      <c r="G10" s="17"/>
      <c r="H10" s="17"/>
      <c r="I10" s="17"/>
      <c r="J10" s="17"/>
      <c r="K10" s="17"/>
      <c r="L10" s="17"/>
      <c r="M10" s="17"/>
      <c r="N10" s="17"/>
      <c r="O10" s="17"/>
      <c r="P10" s="17"/>
      <c r="Q10" s="16"/>
      <c r="R10" s="17"/>
      <c r="S10" s="17"/>
      <c r="T10" s="17"/>
      <c r="U10" s="17"/>
      <c r="V10" s="17"/>
      <c r="W10" s="17"/>
      <c r="X10" s="17"/>
      <c r="Y10" s="17"/>
      <c r="Z10" s="17"/>
      <c r="AA10" s="17"/>
      <c r="AB10" s="17"/>
      <c r="AC10" s="17"/>
      <c r="AD10" s="18"/>
    </row>
    <row r="11" spans="1:59">
      <c r="A11" s="171" t="s">
        <v>421</v>
      </c>
      <c r="B11" s="238">
        <f>SUM(B38:B42)</f>
        <v>120</v>
      </c>
      <c r="C11" s="16"/>
      <c r="D11" s="16"/>
      <c r="E11" s="17"/>
      <c r="F11" s="17"/>
      <c r="G11" s="17"/>
      <c r="H11" s="17"/>
      <c r="I11" s="17"/>
      <c r="J11" s="17"/>
      <c r="K11" s="17"/>
      <c r="L11" s="17"/>
      <c r="M11" s="17"/>
      <c r="N11" s="17"/>
      <c r="O11" s="17"/>
      <c r="P11" s="17"/>
      <c r="Q11" s="16"/>
      <c r="R11" s="17"/>
      <c r="S11" s="17"/>
      <c r="T11" s="17"/>
      <c r="U11" s="17"/>
      <c r="V11" s="17"/>
      <c r="W11" s="17"/>
      <c r="X11" s="17"/>
      <c r="Y11" s="17"/>
      <c r="Z11" s="17"/>
      <c r="AA11" s="17"/>
      <c r="AB11" s="17"/>
      <c r="AC11" s="17"/>
      <c r="AD11" s="18"/>
    </row>
    <row r="12" spans="1:59">
      <c r="A12" s="239" t="s">
        <v>422</v>
      </c>
      <c r="B12" s="240" t="s">
        <v>317</v>
      </c>
      <c r="C12" s="16"/>
      <c r="D12" s="16"/>
      <c r="E12" s="17"/>
      <c r="F12" s="17"/>
      <c r="G12" s="17"/>
      <c r="H12" s="17"/>
      <c r="I12" s="17"/>
      <c r="J12" s="17"/>
      <c r="K12" s="17"/>
      <c r="L12" s="17"/>
      <c r="M12" s="17"/>
      <c r="N12" s="17"/>
      <c r="O12" s="17"/>
      <c r="P12" s="17"/>
      <c r="Q12" s="16"/>
      <c r="R12" s="17"/>
      <c r="S12" s="17"/>
      <c r="T12" s="17"/>
      <c r="U12" s="17"/>
      <c r="V12" s="17"/>
      <c r="W12" s="17"/>
      <c r="X12" s="17"/>
      <c r="Y12" s="17"/>
      <c r="Z12" s="17"/>
      <c r="AA12" s="17"/>
      <c r="AB12" s="17"/>
      <c r="AC12" s="17"/>
      <c r="AD12" s="18"/>
    </row>
    <row r="13" spans="1:59">
      <c r="A13" s="16"/>
      <c r="B13" s="16"/>
      <c r="C13" s="16"/>
      <c r="D13" s="16"/>
      <c r="E13" s="17"/>
      <c r="F13" s="17"/>
      <c r="G13" s="17"/>
      <c r="H13" s="17"/>
      <c r="I13" s="17"/>
      <c r="J13" s="17"/>
      <c r="K13" s="17"/>
      <c r="L13" s="17"/>
      <c r="M13" s="17"/>
      <c r="N13" s="17"/>
      <c r="O13" s="17"/>
      <c r="P13" s="17"/>
      <c r="Q13" s="16"/>
      <c r="R13" s="17"/>
      <c r="S13" s="17"/>
      <c r="T13" s="17"/>
      <c r="U13" s="17"/>
      <c r="V13" s="17"/>
      <c r="W13" s="17"/>
      <c r="X13" s="17"/>
      <c r="Y13" s="17"/>
      <c r="Z13" s="17"/>
      <c r="AA13" s="17"/>
      <c r="AB13" s="17"/>
      <c r="AC13" s="17"/>
      <c r="AD13" s="17" t="str" cm="1">
        <f t="array" ref="AD13:BF14">Constants!A2:AC3</f>
        <v>SC1</v>
      </c>
      <c r="AE13" s="17" t="str">
        <v>SC1 - Half</v>
      </c>
      <c r="AF13" s="17" t="str">
        <v>SC2</v>
      </c>
      <c r="AG13" s="17" t="str">
        <v>SC2 - Half</v>
      </c>
      <c r="AH13" s="17" t="str">
        <v>SC3</v>
      </c>
      <c r="AI13" s="17" t="str">
        <v>SC4</v>
      </c>
      <c r="AJ13" s="17" t="str">
        <v>SC5</v>
      </c>
      <c r="AK13" s="17" t="str">
        <v>SC6</v>
      </c>
      <c r="AL13" s="17" t="str">
        <v>Dojo</v>
      </c>
      <c r="AM13" s="17" t="str">
        <v>Boulder Wall</v>
      </c>
      <c r="AN13" s="17" t="str">
        <v>Climbing Wall</v>
      </c>
      <c r="AO13" s="17" t="str">
        <v>Artificial Hockey field</v>
      </c>
      <c r="AP13" s="17" t="str">
        <v>Artificial Hockey field - Half</v>
      </c>
      <c r="AQ13" s="17" t="str">
        <v>Artificial Soccer field</v>
      </c>
      <c r="AR13" s="17" t="str">
        <v>Artificial Soccer field - Half</v>
      </c>
      <c r="AS13" s="17" t="str">
        <v>Basketball</v>
      </c>
      <c r="AT13" s="17" t="str">
        <v>Bastille field</v>
      </c>
      <c r="AU13" s="17" t="str">
        <v>Beach fields</v>
      </c>
      <c r="AV13" s="17" t="str">
        <v>Shooting range</v>
      </c>
      <c r="AW13" s="17" t="str">
        <v>Multi/Lacrosse field</v>
      </c>
      <c r="AX13" s="17" t="str">
        <v>Multi/Lacrosse field - Half</v>
      </c>
      <c r="AY13" s="17" t="str">
        <v>Bootcamp field</v>
      </c>
      <c r="AZ13" s="17" t="str">
        <v>Multi/Baseball field</v>
      </c>
      <c r="BA13" s="17" t="str">
        <v>Tennis court</v>
      </c>
      <c r="BB13" s="17" t="str">
        <v>Utrack</v>
      </c>
      <c r="BC13" s="22" t="str">
        <v>Verreveld</v>
      </c>
      <c r="BD13" s="22" t="str">
        <v>Wsc</v>
      </c>
      <c r="BE13" s="22" t="str">
        <v>Indoor pool</v>
      </c>
      <c r="BF13" s="22" t="str">
        <v>Outdoor pool</v>
      </c>
      <c r="BG13" s="22"/>
    </row>
    <row r="14" spans="1:59" ht="15.95" thickBot="1">
      <c r="A14" s="175" t="s">
        <v>423</v>
      </c>
      <c r="B14" s="16"/>
      <c r="C14" s="16"/>
      <c r="D14" s="16"/>
      <c r="E14" s="16"/>
      <c r="F14" s="16"/>
      <c r="G14" s="175" t="s">
        <v>424</v>
      </c>
      <c r="I14" s="17"/>
      <c r="J14" s="17"/>
      <c r="K14" s="176" t="s">
        <v>425</v>
      </c>
      <c r="L14" s="17"/>
      <c r="M14" s="176" t="s">
        <v>426</v>
      </c>
      <c r="N14" s="17"/>
      <c r="O14" s="17"/>
      <c r="P14" s="17"/>
      <c r="Q14" s="17"/>
      <c r="R14" s="17"/>
      <c r="S14" s="16"/>
      <c r="T14" s="17"/>
      <c r="U14" s="17"/>
      <c r="V14" s="17"/>
      <c r="W14" s="17"/>
      <c r="X14" s="17"/>
      <c r="Y14" s="17"/>
      <c r="Z14" s="17"/>
      <c r="AA14" s="17"/>
      <c r="AB14" s="17"/>
      <c r="AC14" s="17"/>
      <c r="AD14" s="19">
        <v>67.5</v>
      </c>
      <c r="AE14" s="19">
        <v>35</v>
      </c>
      <c r="AF14" s="19">
        <v>67.5</v>
      </c>
      <c r="AG14" s="19">
        <v>35</v>
      </c>
      <c r="AH14" s="19">
        <v>40</v>
      </c>
      <c r="AI14" s="19">
        <v>40</v>
      </c>
      <c r="AJ14" s="19">
        <v>35</v>
      </c>
      <c r="AK14" s="19">
        <v>35</v>
      </c>
      <c r="AL14" s="19">
        <v>40</v>
      </c>
      <c r="AM14" s="19">
        <v>27.5</v>
      </c>
      <c r="AN14" s="19">
        <v>45</v>
      </c>
      <c r="AO14" s="19">
        <v>75</v>
      </c>
      <c r="AP14" s="19">
        <v>40</v>
      </c>
      <c r="AQ14" s="19">
        <v>75</v>
      </c>
      <c r="AR14" s="19">
        <v>40</v>
      </c>
      <c r="AS14" s="19">
        <v>30</v>
      </c>
      <c r="AT14" s="19">
        <v>50</v>
      </c>
      <c r="AU14" s="19">
        <v>75</v>
      </c>
      <c r="AV14" s="19">
        <v>40</v>
      </c>
      <c r="AW14" s="19">
        <v>75</v>
      </c>
      <c r="AX14" s="19">
        <v>40</v>
      </c>
      <c r="AY14" s="19">
        <v>50</v>
      </c>
      <c r="AZ14" s="19">
        <v>65</v>
      </c>
      <c r="BA14" s="19">
        <v>35</v>
      </c>
      <c r="BB14" s="19">
        <v>45</v>
      </c>
      <c r="BC14" s="19">
        <v>50</v>
      </c>
      <c r="BD14" s="19">
        <v>0</v>
      </c>
      <c r="BE14" s="19">
        <v>65</v>
      </c>
      <c r="BF14" s="20">
        <v>70</v>
      </c>
      <c r="BG14" s="20"/>
    </row>
    <row r="15" spans="1:59" ht="15.95" thickTop="1">
      <c r="A15" s="67"/>
      <c r="B15" s="68" t="str">
        <f>Constants!H6</f>
        <v>Performance training</v>
      </c>
      <c r="C15" s="68" t="str">
        <f>Constants!H7</f>
        <v>Performance coaching</v>
      </c>
      <c r="D15" s="68" t="str">
        <f>Constants!H8</f>
        <v>Dangerous</v>
      </c>
      <c r="E15" s="69" t="str">
        <f>Constants!H9</f>
        <v>Recreational</v>
      </c>
      <c r="F15" s="69" t="s">
        <v>290</v>
      </c>
      <c r="G15" s="70"/>
      <c r="H15" s="71" t="s">
        <v>427</v>
      </c>
      <c r="I15" s="72" t="s">
        <v>272</v>
      </c>
      <c r="J15" s="70" t="s">
        <v>5</v>
      </c>
      <c r="K15" s="72" t="s">
        <v>428</v>
      </c>
      <c r="L15" s="70" t="s">
        <v>429</v>
      </c>
      <c r="M15" s="73" cm="1">
        <f t="array" ref="M15">(SUM(IF($D$46:$D$50="PT",($F$46:$F$50)/1.5+IF($G$46:$G$50="yes",1)))+SUM(IF($D$46:$D$50="Extern",($F$46:$F$50)/1.5+IF($G$46:$G$50="yes",1)))+SUM(IF($D$46:$D$50="PT-ZZP",($F$46:$F$50)/1.5+IF($G$46:$G$50="yes",1))))*Constants!B10</f>
        <v>2500</v>
      </c>
      <c r="N15" s="17"/>
      <c r="O15" s="17"/>
      <c r="P15" s="17"/>
      <c r="Q15" s="17"/>
      <c r="R15" s="16"/>
      <c r="S15" s="17"/>
      <c r="T15" s="17"/>
      <c r="U15" s="17"/>
      <c r="V15" s="17"/>
      <c r="W15" s="17"/>
      <c r="X15" s="17"/>
      <c r="Y15" s="17"/>
      <c r="Z15" s="17"/>
      <c r="AA15" s="17"/>
      <c r="AB15" s="17"/>
      <c r="AC15" s="17"/>
      <c r="AD15" s="16">
        <f t="shared" ref="AD15:BF15" si="0">SUMIF($B$71:$B$88,AD13,$F$71:$F$88)</f>
        <v>0</v>
      </c>
      <c r="AE15" s="16">
        <f t="shared" si="0"/>
        <v>0</v>
      </c>
      <c r="AF15" s="16">
        <f t="shared" si="0"/>
        <v>54</v>
      </c>
      <c r="AG15" s="16">
        <f t="shared" si="0"/>
        <v>0</v>
      </c>
      <c r="AH15" s="16">
        <f t="shared" si="0"/>
        <v>567</v>
      </c>
      <c r="AI15" s="16">
        <f t="shared" si="0"/>
        <v>63</v>
      </c>
      <c r="AJ15" s="16">
        <f t="shared" si="0"/>
        <v>0</v>
      </c>
      <c r="AK15" s="16">
        <f t="shared" si="0"/>
        <v>0</v>
      </c>
      <c r="AL15" s="16">
        <f t="shared" si="0"/>
        <v>0</v>
      </c>
      <c r="AM15" s="16">
        <f t="shared" si="0"/>
        <v>0</v>
      </c>
      <c r="AN15" s="16">
        <f t="shared" si="0"/>
        <v>0</v>
      </c>
      <c r="AO15" s="16">
        <f t="shared" si="0"/>
        <v>0</v>
      </c>
      <c r="AP15" s="16">
        <f t="shared" si="0"/>
        <v>0</v>
      </c>
      <c r="AQ15" s="16">
        <f t="shared" si="0"/>
        <v>0</v>
      </c>
      <c r="AR15" s="16">
        <f t="shared" si="0"/>
        <v>0</v>
      </c>
      <c r="AS15" s="16">
        <f t="shared" si="0"/>
        <v>0</v>
      </c>
      <c r="AT15" s="16">
        <f t="shared" si="0"/>
        <v>0</v>
      </c>
      <c r="AU15" s="16">
        <f t="shared" si="0"/>
        <v>0</v>
      </c>
      <c r="AV15" s="16">
        <f t="shared" si="0"/>
        <v>0</v>
      </c>
      <c r="AW15" s="16">
        <f t="shared" si="0"/>
        <v>0</v>
      </c>
      <c r="AX15" s="16">
        <f t="shared" si="0"/>
        <v>0</v>
      </c>
      <c r="AY15" s="16">
        <f t="shared" si="0"/>
        <v>0</v>
      </c>
      <c r="AZ15" s="16">
        <f t="shared" si="0"/>
        <v>0</v>
      </c>
      <c r="BA15" s="16">
        <f t="shared" si="0"/>
        <v>0</v>
      </c>
      <c r="BB15" s="16">
        <f t="shared" si="0"/>
        <v>0</v>
      </c>
      <c r="BC15" s="16">
        <f t="shared" si="0"/>
        <v>0</v>
      </c>
      <c r="BD15" s="16">
        <f t="shared" si="0"/>
        <v>0</v>
      </c>
      <c r="BE15" s="16">
        <f t="shared" si="0"/>
        <v>0</v>
      </c>
      <c r="BF15" s="16">
        <f t="shared" si="0"/>
        <v>0</v>
      </c>
    </row>
    <row r="16" spans="1:59">
      <c r="A16" s="74" t="str">
        <f>Constants!E6</f>
        <v>PT</v>
      </c>
      <c r="B16" s="16">
        <f>SUMIFS(DIOK!$F$55:$F$67,DIOK!$B$55:$B$67, B$15,DIOK!$H$55:$H$67,$A16)*(1+Constants!$B$7)</f>
        <v>302.39999999999998</v>
      </c>
      <c r="C16" s="16">
        <f>SUMIFS(DIOK!$F$55:$F$67,DIOK!$B$55:$B$67, C$15,DIOK!$H$55:$H$67,$A16)</f>
        <v>42</v>
      </c>
      <c r="D16" s="16">
        <f>SUMIFS(DIOK!$F$55:$F$67,DIOK!$B$55:$B$67, D$15,DIOK!$H$55:$H$67,$A16)*(1+Constants!$B$7)</f>
        <v>0</v>
      </c>
      <c r="E16" s="16">
        <f>SUMIFS(DIOK!$F$55:$F$67,DIOK!$B$55:$B$67, E$15,DIOK!$H$55:$H$67,$A16)*(1+Constants!$B$7)</f>
        <v>0</v>
      </c>
      <c r="F16" s="16">
        <f>SUMIFS(DIOK!$F$55:$F$67,DIOK!$B$55:$B$67, F$15,DIOK!$H$55:$H$67,$A16)*(1+Constants!$B$7)</f>
        <v>0</v>
      </c>
      <c r="G16" s="74" t="s">
        <v>430</v>
      </c>
      <c r="H16" s="16">
        <f>SUMIF(DIOK!$B$73:$B$89,"&lt;&gt;External",DIOK!$F$73:$F$89)</f>
        <v>558</v>
      </c>
      <c r="I16" s="75">
        <f>SUMIF(DIOK!$B$73:$B$89,"External",DIOK!$F$73:$F$89)</f>
        <v>0</v>
      </c>
      <c r="J16" s="234">
        <f>SUM($F$92:$F$105)</f>
        <v>5050</v>
      </c>
      <c r="K16" s="76">
        <f>IF(OR(ISBLANK(B7),ISBLANK(B9)), "ERROR",MAX(MIN(J16,B7*Constants!B15)-Constants!B14*B7,0)*IF(B9="yes",Constants!B16,IF(B9="no",Constants!B17,0)))</f>
        <v>3152</v>
      </c>
      <c r="L16" s="77" t="s">
        <v>360</v>
      </c>
      <c r="M16" s="76">
        <f>E16*Constants!B6+E17*Constants!B8+E22+E21</f>
        <v>0</v>
      </c>
      <c r="N16" s="17"/>
      <c r="O16" s="17"/>
      <c r="P16" s="17"/>
      <c r="Q16" s="17"/>
      <c r="R16" s="16"/>
      <c r="S16" s="17"/>
      <c r="T16" s="17"/>
      <c r="U16" s="17"/>
      <c r="V16" s="17"/>
      <c r="W16" s="17"/>
      <c r="X16" s="17"/>
      <c r="Y16" s="17"/>
      <c r="Z16" s="17"/>
      <c r="AA16" s="17"/>
      <c r="AB16" s="17"/>
      <c r="AC16" s="17"/>
      <c r="AD16" s="19">
        <f t="shared" ref="AD16:BF16" si="1">AD14*AD15</f>
        <v>0</v>
      </c>
      <c r="AE16" s="19">
        <f t="shared" si="1"/>
        <v>0</v>
      </c>
      <c r="AF16" s="19">
        <f t="shared" si="1"/>
        <v>3645</v>
      </c>
      <c r="AG16" s="19">
        <f t="shared" si="1"/>
        <v>0</v>
      </c>
      <c r="AH16" s="19">
        <f t="shared" si="1"/>
        <v>22680</v>
      </c>
      <c r="AI16" s="19">
        <f t="shared" si="1"/>
        <v>2520</v>
      </c>
      <c r="AJ16" s="19">
        <f t="shared" si="1"/>
        <v>0</v>
      </c>
      <c r="AK16" s="19">
        <f t="shared" si="1"/>
        <v>0</v>
      </c>
      <c r="AL16" s="19">
        <f t="shared" si="1"/>
        <v>0</v>
      </c>
      <c r="AM16" s="19">
        <f t="shared" si="1"/>
        <v>0</v>
      </c>
      <c r="AN16" s="19">
        <f t="shared" si="1"/>
        <v>0</v>
      </c>
      <c r="AO16" s="19">
        <f t="shared" si="1"/>
        <v>0</v>
      </c>
      <c r="AP16" s="19">
        <f t="shared" si="1"/>
        <v>0</v>
      </c>
      <c r="AQ16" s="19">
        <f t="shared" si="1"/>
        <v>0</v>
      </c>
      <c r="AR16" s="19">
        <f t="shared" si="1"/>
        <v>0</v>
      </c>
      <c r="AS16" s="19">
        <f t="shared" si="1"/>
        <v>0</v>
      </c>
      <c r="AT16" s="19">
        <f t="shared" si="1"/>
        <v>0</v>
      </c>
      <c r="AU16" s="19">
        <f t="shared" si="1"/>
        <v>0</v>
      </c>
      <c r="AV16" s="19">
        <f t="shared" si="1"/>
        <v>0</v>
      </c>
      <c r="AW16" s="19">
        <f t="shared" si="1"/>
        <v>0</v>
      </c>
      <c r="AX16" s="19">
        <f t="shared" si="1"/>
        <v>0</v>
      </c>
      <c r="AY16" s="19">
        <f t="shared" si="1"/>
        <v>0</v>
      </c>
      <c r="AZ16" s="19">
        <f t="shared" si="1"/>
        <v>0</v>
      </c>
      <c r="BA16" s="19">
        <f t="shared" si="1"/>
        <v>0</v>
      </c>
      <c r="BB16" s="19">
        <f t="shared" si="1"/>
        <v>0</v>
      </c>
      <c r="BC16" s="19">
        <f t="shared" si="1"/>
        <v>0</v>
      </c>
      <c r="BD16" s="19">
        <f t="shared" si="1"/>
        <v>0</v>
      </c>
      <c r="BE16" s="19">
        <f t="shared" si="1"/>
        <v>0</v>
      </c>
      <c r="BF16" s="19">
        <f t="shared" si="1"/>
        <v>0</v>
      </c>
    </row>
    <row r="17" spans="1:36">
      <c r="A17" s="74" t="str">
        <f>Constants!E7</f>
        <v>PT-V</v>
      </c>
      <c r="B17" s="16">
        <f>SUMIFS(DIOK!$F$55:$F$67,DIOK!$B$55:$B$67, B$15,DIOK!$H$55:$H$67,$A17)*(1+Constants!$B$9)</f>
        <v>0</v>
      </c>
      <c r="C17" s="16">
        <f>SUMIFS(DIOK!$F$55:$F$67,DIOK!$B$55:$B$67, C$15,DIOK!$H$55:$H$67,$A17)</f>
        <v>0</v>
      </c>
      <c r="D17" s="16">
        <f>SUMIFS(DIOK!$F$55:$F$67,DIOK!$B$55:$B$67, D$15,DIOK!$H$55:$H$67,$A17)*(1+Constants!$B$9)</f>
        <v>0</v>
      </c>
      <c r="E17" s="16">
        <f>SUMIFS(DIOK!$F$55:$F$67,DIOK!$B$55:$B$67, E$15,DIOK!$H$55:$H$67,$A17)*(1+Constants!$B$9)</f>
        <v>0</v>
      </c>
      <c r="F17" s="16">
        <f>SUMIFS(DIOK!$F$55:$F$67,DIOK!$B$55:$B$67, F$15,DIOK!$H$55:$H$67,$A17)</f>
        <v>0</v>
      </c>
      <c r="G17" s="74" t="s">
        <v>38</v>
      </c>
      <c r="H17" s="78">
        <f>SUM(AD16:BZ16)</f>
        <v>28845</v>
      </c>
      <c r="I17" s="76" cm="1">
        <f t="array" ref="I17">SUM(IF($B$71:$B$87="External",$F$71:$F$87*$H$71:$H$87,0))</f>
        <v>0</v>
      </c>
      <c r="J17" s="79"/>
      <c r="K17" s="80"/>
      <c r="L17" s="77" t="s">
        <v>63</v>
      </c>
      <c r="M17" s="76">
        <f>J16-K16</f>
        <v>1898</v>
      </c>
      <c r="N17" s="17"/>
      <c r="O17" s="17"/>
      <c r="P17" s="17"/>
      <c r="Q17" s="17"/>
      <c r="R17" s="16"/>
      <c r="S17" s="17"/>
      <c r="T17" s="17"/>
      <c r="U17" s="17"/>
      <c r="V17" s="17"/>
      <c r="W17" s="17"/>
      <c r="X17" s="17"/>
      <c r="Y17" s="17"/>
      <c r="Z17" s="17"/>
      <c r="AA17" s="17"/>
      <c r="AB17" s="17"/>
      <c r="AC17" s="17"/>
      <c r="AD17" s="17"/>
      <c r="AE17" s="17"/>
    </row>
    <row r="18" spans="1:36">
      <c r="A18" s="74" t="str">
        <f>Constants!E8</f>
        <v>PT-ZZP</v>
      </c>
      <c r="B18" s="16">
        <f>SUMIFS(DIOK!$F$55:$F$67,DIOK!$B$55:$B$67, B$15,DIOK!$H$55:$H$67,$A18)*(1+Constants!$B$7)</f>
        <v>0</v>
      </c>
      <c r="C18" s="16">
        <f>SUMIFS(DIOK!$F$55:$F$67,DIOK!$B$55:$B$67, C$15,DIOK!$H$55:$H$67,$A18)</f>
        <v>0</v>
      </c>
      <c r="D18" s="16">
        <f>SUMIFS(DIOK!$F$55:$F$67,DIOK!$B$55:$B$67, D$15,DIOK!$H$55:$H$67,$A18)*(1+Constants!$B$7)</f>
        <v>0</v>
      </c>
      <c r="E18" s="16">
        <f>SUMIFS(DIOK!$F$55:$F$67,DIOK!$B$55:$B$67, E$15,DIOK!$H$55:$H$67,$A18)*(1+Constants!$B$7)</f>
        <v>0</v>
      </c>
      <c r="F18" s="16">
        <f>SUMIFS(DIOK!$F$55:$F$67,DIOK!$B$55:$B$67, F$15,DIOK!$H$55:$H$67,$A18)*(1+Constants!$B$7)</f>
        <v>0</v>
      </c>
      <c r="G18" s="74"/>
      <c r="H18" s="78"/>
      <c r="I18" s="76"/>
      <c r="J18" s="79"/>
      <c r="K18" s="80"/>
      <c r="L18" s="77" t="s">
        <v>60</v>
      </c>
      <c r="M18" s="76" t="str">
        <f>IF(I17-Constants!I17*$B$7&gt;0,$I$17-Constants!I17*$B$7,"-")</f>
        <v>-</v>
      </c>
      <c r="N18" s="17"/>
      <c r="O18" s="17"/>
      <c r="P18" s="17"/>
      <c r="Q18" s="17"/>
      <c r="R18" s="16"/>
      <c r="S18" s="17"/>
      <c r="T18" s="17"/>
      <c r="U18" s="17"/>
      <c r="V18" s="17"/>
      <c r="W18" s="17"/>
      <c r="X18" s="17"/>
      <c r="Y18" s="17"/>
      <c r="Z18" s="17"/>
      <c r="AA18" s="17"/>
      <c r="AB18" s="17"/>
      <c r="AC18" s="17"/>
      <c r="AD18" s="17"/>
      <c r="AE18" s="17"/>
    </row>
    <row r="19" spans="1:36">
      <c r="A19" s="74" t="str">
        <f>Constants!E9</f>
        <v>RT</v>
      </c>
      <c r="B19" s="16">
        <f>SUMIFS(DIOK!$F$55:$F$67,DIOK!$B$55:$B$67, B$15,DIOK!$H$55:$H$67,$A19)</f>
        <v>0</v>
      </c>
      <c r="C19" s="16">
        <f>SUMIFS(DIOK!$F$55:$F$67,DIOK!$B$55:$B$67, C$15,DIOK!$H$55:$H$67,$A19)</f>
        <v>0</v>
      </c>
      <c r="D19" s="16">
        <f>SUMIFS(DIOK!$F$55:$F$67,DIOK!$B$55:$B$67, D$15,DIOK!$H$55:$H$67,$A19)</f>
        <v>0</v>
      </c>
      <c r="E19" s="16">
        <f>SUMIFS(DIOK!$F$55:$F$67,DIOK!$B$55:$B$67, E$15,DIOK!$H$55:$H$67,$A19)</f>
        <v>315</v>
      </c>
      <c r="F19" s="16">
        <f>SUMIFS(DIOK!$F$55:$F$67,DIOK!$B$55:$B$67, F$15,DIOK!$H$55:$H$67,$A19)</f>
        <v>0</v>
      </c>
      <c r="G19" s="74" t="s">
        <v>396</v>
      </c>
      <c r="H19" s="78"/>
      <c r="I19" s="76">
        <f>IF(B7*Constants!I17&lt;I17,B7*Constants!I17,I17)</f>
        <v>0</v>
      </c>
      <c r="J19" s="79"/>
      <c r="K19" s="80"/>
      <c r="L19" s="77" t="s">
        <v>431</v>
      </c>
      <c r="M19" s="255"/>
      <c r="N19" s="17"/>
      <c r="O19" s="17"/>
      <c r="P19" s="17"/>
      <c r="Q19" s="17"/>
      <c r="R19" s="16"/>
      <c r="S19" s="17"/>
      <c r="T19" s="17"/>
      <c r="U19" s="17"/>
      <c r="V19" s="17"/>
      <c r="W19" s="17"/>
      <c r="X19" s="17"/>
      <c r="Y19" s="17"/>
      <c r="Z19" s="17"/>
      <c r="AA19" s="17"/>
      <c r="AB19" s="17"/>
      <c r="AC19" s="17"/>
      <c r="AD19" s="17"/>
      <c r="AE19" s="17"/>
    </row>
    <row r="20" spans="1:36">
      <c r="A20" s="74" t="str">
        <f>Constants!E10</f>
        <v>Extern</v>
      </c>
      <c r="B20" s="16">
        <f>SUMIFS(DIOK!$F$55:$F$67,DIOK!$B$55:$B$67, B$15,DIOK!$H$55:$H$67,$A20)</f>
        <v>0</v>
      </c>
      <c r="C20" s="16">
        <f>SUMIFS(DIOK!$F$55:$F$67,DIOK!$B$55:$B$67, C$15,DIOK!$H$55:$H$67,$A20)</f>
        <v>0</v>
      </c>
      <c r="D20" s="16">
        <f>SUMIFS(DIOK!$F$55:$F$67,DIOK!$B$55:$B$67, D$15,DIOK!$H$55:$H$67,$A20)</f>
        <v>0</v>
      </c>
      <c r="E20" s="16">
        <f>SUMIFS(DIOK!$F$55:$F$67,DIOK!$B$55:$B$67, E$15,DIOK!$H$55:$H$67,$A20)</f>
        <v>0</v>
      </c>
      <c r="F20" s="16">
        <f>SUMIFS(DIOK!$F$55:$F$67,DIOK!$B$55:$B$67, F$15,DIOK!$H$55:$H$67,$A20)</f>
        <v>0</v>
      </c>
      <c r="G20" s="81"/>
      <c r="H20" s="16"/>
      <c r="I20" s="75"/>
      <c r="J20" s="79"/>
      <c r="K20" s="82"/>
      <c r="L20" s="83"/>
      <c r="M20" s="84"/>
      <c r="N20" s="17"/>
      <c r="O20" s="17"/>
      <c r="P20" s="17"/>
      <c r="Q20" s="17"/>
      <c r="R20" s="16"/>
      <c r="S20" s="17"/>
      <c r="T20" s="17"/>
      <c r="U20" s="17"/>
      <c r="V20" s="17"/>
      <c r="W20" s="17"/>
      <c r="X20" s="17"/>
      <c r="Y20" s="17"/>
      <c r="Z20" s="17"/>
      <c r="AA20" s="17"/>
      <c r="AB20" s="17"/>
      <c r="AC20" s="17"/>
      <c r="AD20" s="17"/>
      <c r="AE20" s="17"/>
    </row>
    <row r="21" spans="1:36">
      <c r="A21" s="74" t="str">
        <f>CONCATENATE(A18," Costs")</f>
        <v>PT-ZZP Costs</v>
      </c>
      <c r="B21" s="78">
        <f t="array" ref="B21">SUM(IF(DIOK!$B$55:$B$67=B$15,IF(DIOK!$H$55:$H$67="PT-ZZP",DIOK!$F$55:$F$67*DIOK!$I$55:$I$67*(1+Constants!$B$7),0),0))</f>
        <v>0</v>
      </c>
      <c r="C21" s="78">
        <f t="array" ref="C21">SUM(IF(DIOK!$B$55:$B$67=C$15,IF(DIOK!$H$55:$H$67="PT-ZZP",DIOK!$F$55:$F$67*DIOK!$I$55:$I$67,0),0))</f>
        <v>0</v>
      </c>
      <c r="D21" s="78">
        <f t="array" ref="D21">SUM(IF(DIOK!$B$55:$B$67=D$15,IF(DIOK!$H$55:$H$67="PT-ZZP",DIOK!$F$55:$F$67*DIOK!$I$55:$I$67*(1+Constants!$B$7),0),0))</f>
        <v>0</v>
      </c>
      <c r="E21" s="78">
        <f t="array" ref="E21">SUM(IF(DIOK!$B$55:$B$67=E$15,IF(DIOK!$H$55:$H$67="PT-ZZP",DIOK!$F$55:$F$67*DIOK!$I$55:$I$67*(1+Constants!$B$7),0),0))</f>
        <v>0</v>
      </c>
      <c r="F21" s="78">
        <f t="array" ref="F21">SUM(IF(DIOK!$B$55:$B$67=F$15,IF(DIOK!$H$55:$H$67="PT-ZZP",DIOK!$F$55:$F$67*DIOK!$I$55:$I$67*(1+Constants!$B$7),0),0))</f>
        <v>0</v>
      </c>
      <c r="G21" s="81"/>
      <c r="H21" s="16"/>
      <c r="I21" s="75"/>
      <c r="J21" s="79"/>
      <c r="K21" s="82"/>
      <c r="L21" s="77" t="s">
        <v>5</v>
      </c>
      <c r="M21" s="76">
        <f>SUM(M15:M20)</f>
        <v>4398</v>
      </c>
      <c r="N21" s="17"/>
      <c r="O21" s="17"/>
      <c r="P21" s="17"/>
      <c r="Q21" s="17"/>
      <c r="R21" s="16"/>
      <c r="S21" s="17"/>
      <c r="T21" s="17"/>
      <c r="U21" s="17"/>
      <c r="V21" s="17"/>
      <c r="W21" s="17"/>
      <c r="X21" s="17"/>
      <c r="Y21" s="17"/>
      <c r="Z21" s="17"/>
      <c r="AA21" s="17"/>
      <c r="AB21" s="17"/>
      <c r="AC21" s="17"/>
      <c r="AD21" s="17"/>
      <c r="AE21" s="17"/>
    </row>
    <row r="22" spans="1:36" ht="15.75" customHeight="1" thickBot="1">
      <c r="A22" s="74" t="str">
        <f>CONCATENATE(A20," Costs")</f>
        <v>Extern Costs</v>
      </c>
      <c r="B22" s="78">
        <f t="array" ref="B22">SUM(IF(DIOK!$B$55:$B$67=B$15,IF(DIOK!$H$55:$H$67="Extern",DIOK!$F$55:$F$67*DIOK!$I$55:$I$67,0),0))</f>
        <v>0</v>
      </c>
      <c r="C22" s="78">
        <f t="array" ref="C22">SUM(IF(DIOK!$B$55:$B$67=C$15,IF(DIOK!$H$55:$H$67="Extern",DIOK!$F$55:$F$67*DIOK!$I$55:$I$67,0),0))</f>
        <v>0</v>
      </c>
      <c r="D22" s="78">
        <f t="array" ref="D22">SUM(IF(DIOK!$B$55:$B$67=D$15,IF(DIOK!$H$55:$H$67="Extern",DIOK!$F$55:$F$67*DIOK!$I$55:$I$67,0),0))</f>
        <v>0</v>
      </c>
      <c r="E22" s="78">
        <f t="array" ref="E22">SUM(IF(DIOK!$B$55:$B$67=E$15,IF(DIOK!$H$55:$H$67="Extern",DIOK!$F$55:$F$67*DIOK!$I$55:$I$67,0),0))</f>
        <v>0</v>
      </c>
      <c r="F22" s="76">
        <f t="array" ref="F22">SUM(IF(DIOK!$B$55:$B$67=F$15,IF(DIOK!$H$55:$H$67="Extern",DIOK!$F$55:$F$67*DIOK!$I$55:$I$67,0),0))</f>
        <v>0</v>
      </c>
      <c r="G22" s="85"/>
      <c r="H22" s="177"/>
      <c r="I22" s="86"/>
      <c r="J22" s="87"/>
      <c r="K22" s="88"/>
      <c r="L22" s="87"/>
      <c r="M22" s="88"/>
      <c r="N22" s="17"/>
      <c r="O22" s="17"/>
      <c r="P22" s="17"/>
      <c r="Q22" s="17"/>
      <c r="R22" s="16"/>
      <c r="S22" s="17"/>
      <c r="T22" s="17"/>
      <c r="U22" s="17"/>
      <c r="V22" s="17"/>
      <c r="W22" s="17"/>
      <c r="X22" s="17"/>
      <c r="Y22" s="17"/>
      <c r="Z22" s="17"/>
      <c r="AA22" s="17"/>
      <c r="AB22" s="17"/>
      <c r="AC22" s="17"/>
      <c r="AD22" s="17"/>
      <c r="AE22" s="17"/>
    </row>
    <row r="23" spans="1:36" ht="15" customHeight="1" thickTop="1">
      <c r="A23" s="74" t="s">
        <v>432</v>
      </c>
      <c r="B23" s="78"/>
      <c r="C23" s="78"/>
      <c r="D23" s="78"/>
      <c r="E23" s="78"/>
      <c r="F23" s="76">
        <f t="array" ref="F23">SUMIFS(DIOK!$F$55:$F$67,DIOK!$B$55:$B$67,"Mentorship",DIOK!$H$55:$H$67,"PT-V")*Constants!B8+SUMIFS(DIOK!$F$55:$F$67,DIOK!$B$55:$B$67,"Mentorship",DIOK!$H$55:$H$67,"PT")*Constants!B6+SUMPRODUCT(IF(DIOK!$B$55:$B$67="Mentorship",IF(DIOK!$H$55:$H$67="PT-ZZP",DIOK!$F$55:$F$67*DIOK!$I$55:$I$67,0)))</f>
        <v>0</v>
      </c>
    </row>
    <row r="24" spans="1:36" ht="15" customHeight="1" thickBot="1">
      <c r="A24" s="89" t="s">
        <v>433</v>
      </c>
      <c r="B24" s="178"/>
      <c r="C24" s="178"/>
      <c r="D24" s="178"/>
      <c r="E24" s="178">
        <f>SUMIF(DIOK!$B$55:$B$67,"External Trainer Course",DIOK!$I$55:$I$67)</f>
        <v>0</v>
      </c>
      <c r="F24" s="90"/>
    </row>
    <row r="25" spans="1:36" ht="15.75" customHeight="1" thickTop="1">
      <c r="A25" s="16"/>
      <c r="B25" s="16"/>
      <c r="C25" s="16"/>
      <c r="D25" s="16"/>
      <c r="E25" s="17"/>
      <c r="F25" s="17"/>
      <c r="G25" s="17"/>
      <c r="H25" s="17"/>
      <c r="I25" s="17"/>
      <c r="J25" s="17"/>
      <c r="K25" s="17"/>
      <c r="L25" s="17"/>
      <c r="M25" s="17"/>
      <c r="N25" s="17"/>
      <c r="O25" s="17"/>
      <c r="P25" s="17"/>
      <c r="Q25" s="16"/>
      <c r="R25" s="17"/>
      <c r="S25" s="17"/>
      <c r="T25" s="17"/>
      <c r="U25" s="17"/>
      <c r="V25" s="17"/>
      <c r="W25" s="17"/>
      <c r="X25" s="17"/>
      <c r="Y25" s="17"/>
      <c r="Z25" s="17"/>
      <c r="AA25" s="17"/>
      <c r="AB25" s="17"/>
      <c r="AC25" s="17"/>
      <c r="AD25" s="17"/>
    </row>
    <row r="26" spans="1:36" ht="15.75" customHeight="1">
      <c r="A26" s="16"/>
      <c r="B26" s="16"/>
      <c r="C26" s="16"/>
      <c r="D26" s="16"/>
      <c r="E26" s="17"/>
      <c r="F26" s="17"/>
      <c r="G26" s="17"/>
      <c r="H26" s="17"/>
      <c r="I26" s="17"/>
      <c r="J26" s="17"/>
      <c r="K26" s="17"/>
      <c r="L26" s="17"/>
      <c r="M26" s="17"/>
      <c r="N26" s="17"/>
      <c r="O26" s="17"/>
      <c r="P26" s="17"/>
      <c r="Q26" s="16"/>
      <c r="R26" s="17"/>
      <c r="S26" s="17"/>
      <c r="T26" s="17"/>
      <c r="U26" s="17"/>
      <c r="V26" s="17"/>
      <c r="W26" s="17"/>
      <c r="X26" s="17"/>
      <c r="Y26" s="17"/>
      <c r="Z26" s="17"/>
      <c r="AA26" s="17"/>
      <c r="AB26" s="17"/>
      <c r="AC26" s="17"/>
      <c r="AD26" s="17"/>
    </row>
    <row r="27" spans="1:36" ht="15.75" customHeight="1" thickBot="1">
      <c r="A27" s="91" t="s">
        <v>434</v>
      </c>
      <c r="B27" s="17"/>
      <c r="C27" s="17"/>
      <c r="D27" s="17"/>
      <c r="E27" s="17"/>
      <c r="F27" s="17"/>
      <c r="G27" s="92"/>
      <c r="H27" s="19"/>
      <c r="I27" s="17"/>
      <c r="J27" s="17"/>
      <c r="K27" s="17"/>
      <c r="L27" s="17"/>
      <c r="M27" s="17"/>
      <c r="N27" s="17"/>
      <c r="O27" s="17"/>
      <c r="P27" s="17"/>
      <c r="Q27" s="16"/>
      <c r="R27" s="17"/>
      <c r="S27" s="17"/>
      <c r="T27" s="17"/>
      <c r="U27" s="17"/>
      <c r="V27" s="17"/>
      <c r="W27" s="17"/>
      <c r="X27" s="17"/>
      <c r="Y27" s="17"/>
      <c r="Z27" s="17"/>
      <c r="AA27" s="17"/>
      <c r="AB27" s="17"/>
      <c r="AC27" s="17"/>
      <c r="AD27" s="17"/>
    </row>
    <row r="28" spans="1:36" ht="15.75" customHeight="1" thickTop="1" thickBot="1">
      <c r="A28" s="706" t="s">
        <v>435</v>
      </c>
      <c r="B28" s="707"/>
      <c r="C28" s="707"/>
      <c r="D28" s="707"/>
      <c r="E28" s="707"/>
      <c r="F28" s="708"/>
      <c r="G28" s="15"/>
      <c r="H28" s="17"/>
      <c r="I28" s="17"/>
      <c r="J28" s="17"/>
      <c r="K28" s="17"/>
      <c r="L28" s="17"/>
      <c r="M28" s="17"/>
      <c r="N28" s="17"/>
      <c r="O28" s="17"/>
      <c r="P28" s="17"/>
      <c r="Q28" s="16"/>
      <c r="R28" s="17"/>
      <c r="S28" s="17"/>
      <c r="T28" s="17"/>
      <c r="U28" s="17"/>
      <c r="V28" s="17"/>
      <c r="W28" s="17"/>
      <c r="X28" s="17"/>
      <c r="Y28" s="17"/>
      <c r="Z28" s="17"/>
      <c r="AA28" s="17"/>
      <c r="AB28" s="17"/>
      <c r="AC28" s="17"/>
      <c r="AD28" s="242" t="s">
        <v>436</v>
      </c>
      <c r="AE28" s="16"/>
      <c r="AF28" s="128"/>
      <c r="AG28" s="51"/>
      <c r="AH28" s="51"/>
      <c r="AI28" s="51"/>
      <c r="AJ28" s="51"/>
    </row>
    <row r="29" spans="1:36" ht="15.75" customHeight="1" thickBot="1">
      <c r="A29" s="709" t="s">
        <v>437</v>
      </c>
      <c r="B29" s="696"/>
      <c r="C29" s="696"/>
      <c r="D29" s="696"/>
      <c r="E29" s="696"/>
      <c r="F29" s="710"/>
      <c r="G29" s="17"/>
      <c r="H29" s="17"/>
      <c r="I29" s="17"/>
      <c r="J29" s="17"/>
      <c r="K29" s="17"/>
      <c r="L29" s="17"/>
      <c r="M29" s="17"/>
      <c r="N29" s="17"/>
      <c r="O29" s="17"/>
      <c r="P29" s="17"/>
      <c r="Q29" s="16"/>
      <c r="R29" s="17"/>
      <c r="S29" s="17"/>
      <c r="T29" s="17"/>
      <c r="U29" s="17"/>
      <c r="V29" s="17"/>
      <c r="W29" s="17"/>
      <c r="X29" s="17"/>
      <c r="Y29" s="17"/>
      <c r="Z29" s="17"/>
      <c r="AA29" s="17"/>
      <c r="AB29" s="17"/>
      <c r="AC29" s="17"/>
      <c r="AD29" s="243" t="s">
        <v>438</v>
      </c>
      <c r="AE29" s="243" t="s">
        <v>439</v>
      </c>
      <c r="AF29" s="243" t="s">
        <v>440</v>
      </c>
      <c r="AG29" s="711" t="s">
        <v>441</v>
      </c>
      <c r="AH29" s="712"/>
      <c r="AI29" s="711" t="s">
        <v>434</v>
      </c>
      <c r="AJ29" s="712"/>
    </row>
    <row r="30" spans="1:36" ht="15.75" customHeight="1" thickBot="1">
      <c r="A30" s="709" t="s">
        <v>442</v>
      </c>
      <c r="B30" s="696"/>
      <c r="C30" s="696"/>
      <c r="D30" s="696"/>
      <c r="E30" s="696"/>
      <c r="F30" s="710"/>
      <c r="G30" s="17"/>
      <c r="H30" s="17"/>
      <c r="I30" s="17"/>
      <c r="J30" s="17"/>
      <c r="K30" s="17"/>
      <c r="L30" s="17"/>
      <c r="M30" s="17"/>
      <c r="N30" s="17"/>
      <c r="O30" s="17"/>
      <c r="P30" s="17"/>
      <c r="Q30" s="16"/>
      <c r="R30" s="17"/>
      <c r="S30" s="17"/>
      <c r="T30" s="17"/>
      <c r="U30" s="17"/>
      <c r="V30" s="17"/>
      <c r="W30" s="17"/>
      <c r="X30" s="17"/>
      <c r="Y30" s="17"/>
      <c r="Z30" s="17"/>
      <c r="AA30" s="17"/>
      <c r="AB30" s="17"/>
      <c r="AC30" s="17"/>
      <c r="AD30" s="244" t="str">
        <f>IF($B$12="individual",Constants!F55,Constants!L55)</f>
        <v>member count</v>
      </c>
      <c r="AE30" s="244">
        <f>B7</f>
        <v>111</v>
      </c>
      <c r="AF30" s="269">
        <f>IF(AE30&gt;=301,5,IF(AE30&gt;=176,4,IF(AE30&gt;=101,3,IF(AE30&gt;=51,2,1))))</f>
        <v>3</v>
      </c>
      <c r="AG30" s="560"/>
      <c r="AH30" s="560"/>
      <c r="AI30" s="560" t="s">
        <v>443</v>
      </c>
      <c r="AJ30" s="560"/>
    </row>
    <row r="31" spans="1:36" ht="15" customHeight="1" thickBot="1">
      <c r="A31" s="709" t="s">
        <v>444</v>
      </c>
      <c r="B31" s="696"/>
      <c r="C31" s="696"/>
      <c r="D31" s="696"/>
      <c r="E31" s="696"/>
      <c r="F31" s="710"/>
      <c r="G31" s="17"/>
      <c r="H31" s="17"/>
      <c r="I31" s="17"/>
      <c r="J31" s="17"/>
      <c r="K31" s="17"/>
      <c r="L31" s="17"/>
      <c r="M31" s="17"/>
      <c r="N31" s="17"/>
      <c r="O31" s="17"/>
      <c r="P31" s="17"/>
      <c r="Q31" s="16"/>
      <c r="R31" s="17"/>
      <c r="S31" s="17"/>
      <c r="T31" s="17"/>
      <c r="U31" s="17"/>
      <c r="V31" s="17"/>
      <c r="W31" s="17"/>
      <c r="X31" s="17"/>
      <c r="Y31" s="17"/>
      <c r="Z31" s="17"/>
      <c r="AA31" s="17"/>
      <c r="AB31" s="17"/>
      <c r="AC31" s="17"/>
      <c r="AD31" s="244" t="str">
        <f>IF($B$12="individual",Constants!F56,Constants!L56)</f>
        <v>number of trainings per week</v>
      </c>
      <c r="AE31" s="244" cm="1">
        <f t="array" ref="AE31">SUMPRODUCT(C55:C67*D55:D67)/42</f>
        <v>9.3333333333333339</v>
      </c>
      <c r="AF31" s="270">
        <f>IF(AE31&gt;=4,3,IF(AE31&gt;=3,2,IF(AE31&gt;=2,1,0)))</f>
        <v>3</v>
      </c>
      <c r="AG31" s="560"/>
      <c r="AH31" s="560"/>
      <c r="AI31" s="560"/>
      <c r="AJ31" s="560"/>
    </row>
    <row r="32" spans="1:36" ht="15.75" customHeight="1" thickBot="1">
      <c r="A32" s="709" t="s">
        <v>445</v>
      </c>
      <c r="B32" s="696"/>
      <c r="C32" s="696"/>
      <c r="D32" s="696"/>
      <c r="E32" s="696"/>
      <c r="F32" s="710"/>
      <c r="G32" s="17"/>
      <c r="H32" s="16"/>
      <c r="I32" s="16"/>
      <c r="J32" s="16"/>
      <c r="K32" s="17"/>
      <c r="L32" s="17"/>
      <c r="M32" s="17"/>
      <c r="N32" s="17"/>
      <c r="O32" s="17"/>
      <c r="P32" s="17"/>
      <c r="Q32" s="16"/>
      <c r="R32" s="17"/>
      <c r="S32" s="17"/>
      <c r="T32" s="17"/>
      <c r="U32" s="17"/>
      <c r="V32" s="17"/>
      <c r="W32" s="17"/>
      <c r="X32" s="17"/>
      <c r="Y32" s="17"/>
      <c r="Z32" s="17"/>
      <c r="AA32" s="17"/>
      <c r="AB32" s="17"/>
      <c r="AC32" s="17"/>
      <c r="AD32" s="244" t="str">
        <f>IF($B$12="individual",Constants!F57,Constants!L57)</f>
        <v>number of trainings weeks per year</v>
      </c>
      <c r="AE32" s="252">
        <f>MAX(C55:C67)</f>
        <v>42</v>
      </c>
      <c r="AF32" s="250">
        <f>IF(AE32&gt;=40,3,IF(AE32&gt;=35,2,1))</f>
        <v>3</v>
      </c>
      <c r="AG32" s="560"/>
      <c r="AH32" s="560"/>
      <c r="AI32" s="560"/>
      <c r="AJ32" s="560"/>
    </row>
    <row r="33" spans="1:58" ht="15.75" customHeight="1" thickBot="1">
      <c r="A33" s="93" t="s">
        <v>446</v>
      </c>
      <c r="F33" s="94"/>
      <c r="G33" s="17"/>
      <c r="H33" s="16"/>
      <c r="I33" s="16"/>
      <c r="J33" s="16"/>
      <c r="K33" s="17"/>
      <c r="L33" s="17"/>
      <c r="M33" s="17"/>
      <c r="N33" s="17"/>
      <c r="O33" s="17"/>
      <c r="P33" s="17"/>
      <c r="Q33" s="16"/>
      <c r="R33" s="17"/>
      <c r="S33" s="17"/>
      <c r="T33" s="17"/>
      <c r="U33" s="17"/>
      <c r="V33" s="17"/>
      <c r="W33" s="17"/>
      <c r="X33" s="17"/>
      <c r="Y33" s="17"/>
      <c r="Z33" s="17"/>
      <c r="AA33" s="17"/>
      <c r="AB33" s="17"/>
      <c r="AC33" s="17"/>
      <c r="AD33" s="244" t="str">
        <f>IF($B$12="individual",Constants!F58,Constants!L58)</f>
        <v>number of training hours by RT / PT-V</v>
      </c>
      <c r="AE33" s="251">
        <f>(SUMIF(H55:H67,"RT",F55:F67)+SUMIF(H55:H67,"PT-V",F55:F67))/SUM(F55:F67)</f>
        <v>0.51724137931034486</v>
      </c>
      <c r="AF33" s="270">
        <f>IF(AE33&gt;0.9,3,IF(AE33&gt;0.6,2,IF(AE33&gt;0.3,1,0)))</f>
        <v>1</v>
      </c>
      <c r="AG33" s="560"/>
      <c r="AH33" s="560"/>
      <c r="AI33" s="560"/>
      <c r="AJ33" s="560"/>
    </row>
    <row r="34" spans="1:58" ht="15.75" customHeight="1" thickBot="1">
      <c r="A34" s="713" t="s">
        <v>447</v>
      </c>
      <c r="B34" s="714"/>
      <c r="C34" s="714"/>
      <c r="D34" s="714"/>
      <c r="E34" s="714"/>
      <c r="F34" s="715"/>
      <c r="G34" s="17"/>
      <c r="H34" s="16"/>
      <c r="I34" s="16"/>
      <c r="J34" s="16"/>
      <c r="K34" s="17"/>
      <c r="L34" s="17"/>
      <c r="M34" s="17"/>
      <c r="N34" s="17"/>
      <c r="O34" s="17"/>
      <c r="P34" s="17"/>
      <c r="Q34" s="16"/>
      <c r="R34" s="17"/>
      <c r="S34" s="17"/>
      <c r="T34" s="17"/>
      <c r="U34" s="17"/>
      <c r="V34" s="17"/>
      <c r="W34" s="17"/>
      <c r="X34" s="17"/>
      <c r="Y34" s="17"/>
      <c r="Z34" s="17"/>
      <c r="AA34" s="17"/>
      <c r="AB34" s="17"/>
      <c r="AC34" s="17"/>
      <c r="AD34" s="244" t="str">
        <f>IF($B$12="individual",Constants!F59,Constants!L59)</f>
        <v>number of training groups / teams</v>
      </c>
      <c r="AE34" s="244">
        <f>B10</f>
        <v>5</v>
      </c>
      <c r="AF34" s="271">
        <f>IF(AE34&gt;9,3,IF(AE34&gt;4,2,IF(AE34&gt;2,1,0)))</f>
        <v>2</v>
      </c>
      <c r="AG34" s="560"/>
      <c r="AH34" s="560"/>
      <c r="AI34" s="560"/>
      <c r="AJ34" s="560"/>
    </row>
    <row r="35" spans="1:58" ht="15.75" customHeight="1" thickTop="1" thickBot="1">
      <c r="A35" s="16"/>
      <c r="G35" s="17"/>
      <c r="H35" s="16"/>
      <c r="I35" s="16"/>
      <c r="J35" s="16"/>
      <c r="K35" s="17"/>
      <c r="L35" s="17"/>
      <c r="M35" s="17"/>
      <c r="N35" s="17"/>
      <c r="O35" s="17"/>
      <c r="P35" s="17"/>
      <c r="Q35" s="16"/>
      <c r="R35" s="17"/>
      <c r="S35" s="17"/>
      <c r="T35" s="17"/>
      <c r="U35" s="17"/>
      <c r="V35" s="17"/>
      <c r="W35" s="17"/>
      <c r="X35" s="17"/>
      <c r="Y35" s="17"/>
      <c r="Z35" s="17"/>
      <c r="AA35" s="17"/>
      <c r="AB35" s="17"/>
      <c r="AC35" s="17"/>
      <c r="AD35" s="244" t="str">
        <f>IF($B$12="individual",Constants!F60,Constants!L60)</f>
        <v>number of competitions organised</v>
      </c>
      <c r="AE35" s="249">
        <v>3</v>
      </c>
      <c r="AF35" s="271">
        <f>IF(AE35&gt;=4,5,IF(AE35&gt;=2,3,IF(AE35&gt;=1,1,0)))</f>
        <v>3</v>
      </c>
      <c r="AG35" s="560"/>
      <c r="AH35" s="560"/>
      <c r="AI35" s="560"/>
      <c r="AJ35" s="560"/>
    </row>
    <row r="36" spans="1:58" ht="15.75" customHeight="1" thickBot="1">
      <c r="A36" s="179" t="s">
        <v>448</v>
      </c>
      <c r="B36" s="16"/>
      <c r="C36" s="16"/>
      <c r="D36" s="16"/>
      <c r="E36" s="16"/>
      <c r="F36" s="16"/>
      <c r="G36" s="16"/>
      <c r="H36" s="16"/>
      <c r="I36" s="16"/>
      <c r="J36" s="16"/>
      <c r="K36" s="16"/>
      <c r="L36" s="16"/>
      <c r="M36" s="16"/>
      <c r="N36" s="16"/>
      <c r="O36" s="16"/>
      <c r="P36" s="16"/>
      <c r="Q36" s="16"/>
      <c r="R36" s="16"/>
      <c r="S36" s="16"/>
      <c r="T36" s="16"/>
      <c r="U36" s="16"/>
      <c r="V36" s="16"/>
      <c r="W36" s="16"/>
      <c r="X36" s="16"/>
      <c r="Y36" s="16"/>
      <c r="Z36" s="16"/>
      <c r="AA36" s="16"/>
      <c r="AB36" s="18"/>
      <c r="AC36" s="16"/>
      <c r="AD36" s="244" t="str">
        <f>IF($B$12="individual",Constants!F61,Constants!L61)</f>
        <v>number of social activities</v>
      </c>
      <c r="AE36" s="249">
        <v>12</v>
      </c>
      <c r="AF36" s="271">
        <f>IF(AE36&gt;=20,2,IF(AE36&gt;=10,1,0))</f>
        <v>1</v>
      </c>
      <c r="AG36" s="560"/>
      <c r="AH36" s="560"/>
      <c r="AI36" s="560"/>
      <c r="AJ36" s="560"/>
    </row>
    <row r="37" spans="1:58" ht="15" customHeight="1" thickTop="1" thickBot="1">
      <c r="A37" s="258" t="s">
        <v>449</v>
      </c>
      <c r="B37" s="259" t="s">
        <v>450</v>
      </c>
      <c r="C37" s="258" t="s">
        <v>451</v>
      </c>
      <c r="D37" s="258" t="s">
        <v>452</v>
      </c>
      <c r="E37" s="258" t="s">
        <v>453</v>
      </c>
      <c r="F37" s="258" t="s">
        <v>454</v>
      </c>
      <c r="G37" s="259" t="s">
        <v>455</v>
      </c>
      <c r="H37" s="561" t="s">
        <v>456</v>
      </c>
      <c r="I37" s="716"/>
      <c r="J37" s="717"/>
      <c r="K37" s="98"/>
      <c r="L37" s="98"/>
      <c r="M37" s="98"/>
      <c r="N37" s="98"/>
      <c r="O37" s="98"/>
      <c r="P37" s="98"/>
      <c r="Q37" s="98"/>
      <c r="R37" s="98"/>
      <c r="S37" s="98"/>
      <c r="T37" s="98"/>
      <c r="U37" s="96"/>
      <c r="V37" s="96"/>
      <c r="W37" s="96"/>
      <c r="X37" s="96"/>
      <c r="Y37" s="99"/>
      <c r="Z37" s="96"/>
      <c r="AA37" s="96"/>
      <c r="AB37" s="100"/>
      <c r="AC37" s="100"/>
      <c r="AD37" s="244" t="str">
        <f>IF($B$12="individual",Constants!F62,Constants!L62)</f>
        <v>number of bar days</v>
      </c>
      <c r="AE37" s="249">
        <v>14</v>
      </c>
      <c r="AF37" s="271">
        <f>IF(AE37&gt;=15,2,IF(AE37&gt;=8,1,0))</f>
        <v>1</v>
      </c>
      <c r="AG37" s="560"/>
      <c r="AH37" s="560"/>
      <c r="AI37" s="560"/>
      <c r="AJ37" s="560"/>
      <c r="AK37" s="100"/>
      <c r="AL37" s="100"/>
      <c r="AM37" s="100"/>
      <c r="AN37" s="100"/>
      <c r="AO37" s="100"/>
      <c r="AP37" s="100"/>
      <c r="AQ37" s="100"/>
      <c r="AR37" s="100"/>
      <c r="AS37" s="100"/>
      <c r="AT37" s="100"/>
      <c r="AU37" s="100"/>
      <c r="AV37" s="100"/>
      <c r="AW37" s="100"/>
      <c r="AX37" s="100"/>
      <c r="AY37" s="100"/>
      <c r="AZ37" s="100"/>
      <c r="BA37" s="100"/>
      <c r="BB37" s="100"/>
      <c r="BC37" s="100"/>
      <c r="BD37" s="100"/>
      <c r="BE37" s="100"/>
      <c r="BF37" s="100"/>
    </row>
    <row r="38" spans="1:58" ht="14.25" customHeight="1" thickTop="1" thickBot="1">
      <c r="A38" s="327" t="s">
        <v>789</v>
      </c>
      <c r="B38" s="323">
        <v>24</v>
      </c>
      <c r="C38" s="312">
        <v>2</v>
      </c>
      <c r="D38" s="312">
        <v>42</v>
      </c>
      <c r="E38" s="312" t="s">
        <v>57</v>
      </c>
      <c r="F38" s="327" t="s">
        <v>790</v>
      </c>
      <c r="G38" s="397" t="s">
        <v>791</v>
      </c>
      <c r="H38" s="618" t="s">
        <v>792</v>
      </c>
      <c r="I38" s="741"/>
      <c r="J38" s="742"/>
      <c r="K38" s="16"/>
      <c r="L38" s="16"/>
      <c r="M38" s="16"/>
      <c r="N38" s="16"/>
      <c r="O38" s="16"/>
      <c r="P38" s="16"/>
      <c r="Q38" s="16"/>
      <c r="R38" s="16"/>
      <c r="S38" s="16"/>
      <c r="T38" s="16"/>
      <c r="U38" s="16"/>
      <c r="V38" s="16"/>
      <c r="W38" s="16"/>
      <c r="X38" s="16"/>
      <c r="Y38" s="17"/>
      <c r="Z38" s="16"/>
      <c r="AA38" s="16"/>
      <c r="AD38" s="244" t="str">
        <f>IF($B$12="individual",Constants!F63,Constants!L63)</f>
        <v>own bar / extra location</v>
      </c>
      <c r="AE38" s="249">
        <v>0</v>
      </c>
      <c r="AF38" s="271">
        <f>IF(AE38&gt;=15,2,IF(AE38&gt;=8,1,0))</f>
        <v>0</v>
      </c>
      <c r="AG38" s="560"/>
      <c r="AH38" s="560"/>
      <c r="AI38" s="560"/>
      <c r="AJ38" s="560"/>
    </row>
    <row r="39" spans="1:58" ht="14.25" customHeight="1" thickBot="1">
      <c r="A39" s="327" t="s">
        <v>793</v>
      </c>
      <c r="B39" s="323">
        <v>24</v>
      </c>
      <c r="C39" s="312">
        <v>2</v>
      </c>
      <c r="D39" s="312">
        <v>42</v>
      </c>
      <c r="E39" s="312" t="s">
        <v>57</v>
      </c>
      <c r="F39" s="327" t="s">
        <v>794</v>
      </c>
      <c r="G39" s="397" t="s">
        <v>795</v>
      </c>
      <c r="H39" s="743"/>
      <c r="I39" s="744"/>
      <c r="J39" s="745"/>
      <c r="K39" s="16"/>
      <c r="L39" s="16"/>
      <c r="M39" s="16"/>
      <c r="N39" s="16"/>
      <c r="O39" s="16"/>
      <c r="P39" s="16"/>
      <c r="Q39" s="16"/>
      <c r="R39" s="16"/>
      <c r="S39" s="16"/>
      <c r="T39" s="16"/>
      <c r="U39" s="16"/>
      <c r="V39" s="16"/>
      <c r="W39" s="16"/>
      <c r="X39" s="16"/>
      <c r="Y39" s="17"/>
      <c r="Z39" s="16"/>
      <c r="AA39" s="16"/>
      <c r="AD39" s="244" t="str">
        <f>IF($B$12="individual",Constants!F65,Constants!L64)</f>
        <v>number of competitions attended</v>
      </c>
      <c r="AE39" s="249">
        <v>5</v>
      </c>
      <c r="AF39" s="273">
        <f>IF(B12="individual", IF(AE39&gt;10, 5, IF(AE39&gt;6, 3, IF(AE39&gt;2, 1, 0))), IF(AE39&gt;3, 3, IF(AE39&gt;1, 2, 1)))</f>
        <v>1</v>
      </c>
      <c r="AG39" s="560"/>
      <c r="AH39" s="560"/>
      <c r="AI39" s="560"/>
      <c r="AJ39" s="560"/>
    </row>
    <row r="40" spans="1:58" ht="15.75" customHeight="1" thickBot="1">
      <c r="A40" s="323" t="s">
        <v>796</v>
      </c>
      <c r="B40" s="323">
        <v>24</v>
      </c>
      <c r="C40" s="312">
        <v>2</v>
      </c>
      <c r="D40" s="312">
        <v>42</v>
      </c>
      <c r="E40" s="312" t="s">
        <v>55</v>
      </c>
      <c r="F40" s="327" t="s">
        <v>797</v>
      </c>
      <c r="G40" s="398" t="s">
        <v>798</v>
      </c>
      <c r="H40" s="743"/>
      <c r="I40" s="744"/>
      <c r="J40" s="745"/>
      <c r="K40" s="16"/>
      <c r="L40" s="16"/>
      <c r="M40" s="16"/>
      <c r="N40" s="16"/>
      <c r="O40" s="16"/>
      <c r="P40" s="16"/>
      <c r="Q40" s="16"/>
      <c r="R40" s="16"/>
      <c r="S40" s="16"/>
      <c r="T40" s="16"/>
      <c r="U40" s="16"/>
      <c r="V40" s="16"/>
      <c r="W40" s="16"/>
      <c r="X40" s="16"/>
      <c r="Y40" s="16"/>
      <c r="Z40" s="16"/>
      <c r="AA40" s="16"/>
      <c r="AD40" s="231" t="str">
        <f>IF($B$12="individual",Constants!F64,Constants!L65)</f>
        <v>n/a</v>
      </c>
      <c r="AE40" s="231" t="str">
        <f>IF(AD40="n/a","",COUNTA(A46:A50)/COUNTA(A38:A42))</f>
        <v/>
      </c>
      <c r="AF40" s="272" t="str">
        <f>IF(B12="group", IF(AE40&gt;0.15, 5, IF(AE40&gt;0.1, 3, IF(AE40&gt;0.05, 1, 0))), " ")</f>
        <v xml:space="preserve"> </v>
      </c>
      <c r="AG40" s="560"/>
      <c r="AH40" s="560"/>
      <c r="AI40" s="560"/>
      <c r="AJ40" s="560"/>
    </row>
    <row r="41" spans="1:58" ht="15.75" customHeight="1" thickBot="1">
      <c r="A41" s="327" t="s">
        <v>799</v>
      </c>
      <c r="B41" s="323">
        <v>24</v>
      </c>
      <c r="C41" s="312">
        <v>2</v>
      </c>
      <c r="D41" s="312">
        <v>42</v>
      </c>
      <c r="E41" s="312" t="s">
        <v>55</v>
      </c>
      <c r="F41" s="327" t="s">
        <v>800</v>
      </c>
      <c r="G41" s="398" t="s">
        <v>798</v>
      </c>
      <c r="H41" s="743"/>
      <c r="I41" s="744"/>
      <c r="J41" s="745"/>
      <c r="K41" s="16"/>
      <c r="L41" s="16"/>
      <c r="M41" s="16"/>
      <c r="N41" s="16"/>
      <c r="O41" s="16"/>
      <c r="P41" s="16"/>
      <c r="Q41" s="16"/>
      <c r="R41" s="16"/>
      <c r="S41" s="16"/>
      <c r="T41" s="16"/>
      <c r="U41" s="16"/>
      <c r="V41" s="16"/>
      <c r="W41" s="16"/>
      <c r="X41" s="16"/>
      <c r="Y41" s="16"/>
      <c r="Z41" s="16"/>
      <c r="AA41" s="16"/>
      <c r="AD41" s="16"/>
      <c r="AE41" s="275" t="s">
        <v>461</v>
      </c>
      <c r="AF41" s="277">
        <f>SUM(AF30:AF40)</f>
        <v>18</v>
      </c>
      <c r="AG41" s="247"/>
      <c r="AH41" s="245"/>
      <c r="AI41" s="246"/>
      <c r="AJ41" s="247"/>
    </row>
    <row r="42" spans="1:58" ht="15.75" customHeight="1" thickBot="1">
      <c r="A42" s="327" t="s">
        <v>582</v>
      </c>
      <c r="B42" s="323">
        <v>24</v>
      </c>
      <c r="C42" s="312">
        <v>1</v>
      </c>
      <c r="D42" s="312">
        <v>42</v>
      </c>
      <c r="E42" s="312" t="s">
        <v>55</v>
      </c>
      <c r="F42" s="327" t="s">
        <v>801</v>
      </c>
      <c r="G42" s="325"/>
      <c r="H42" s="746"/>
      <c r="I42" s="747"/>
      <c r="J42" s="748"/>
      <c r="K42" s="16"/>
      <c r="L42" s="16"/>
      <c r="M42" s="16"/>
      <c r="N42" s="16"/>
      <c r="O42" s="16"/>
      <c r="P42" s="16"/>
      <c r="Q42" s="16"/>
      <c r="R42" s="16"/>
      <c r="S42" s="16"/>
      <c r="T42" s="16"/>
      <c r="U42" s="16"/>
      <c r="V42" s="16"/>
      <c r="W42" s="16"/>
      <c r="X42" s="16"/>
      <c r="Y42" s="16"/>
      <c r="Z42" s="16"/>
      <c r="AA42" s="16"/>
    </row>
    <row r="43" spans="1:58" ht="15.75" customHeight="1" thickTop="1">
      <c r="A43" s="18"/>
      <c r="B43" s="18"/>
      <c r="C43" s="18"/>
      <c r="D43" s="18"/>
      <c r="E43" s="18"/>
      <c r="F43" s="18"/>
      <c r="G43" s="17"/>
      <c r="H43" s="17"/>
      <c r="I43" s="17"/>
      <c r="J43" s="17"/>
      <c r="K43" s="17"/>
      <c r="L43" s="17"/>
      <c r="M43" s="17"/>
      <c r="N43" s="17"/>
      <c r="O43" s="17"/>
      <c r="P43" s="17"/>
      <c r="Q43" s="16"/>
      <c r="R43" s="17"/>
      <c r="S43" s="17"/>
      <c r="T43" s="17"/>
      <c r="U43" s="17"/>
      <c r="V43" s="17"/>
      <c r="W43" s="17"/>
      <c r="X43" s="17"/>
      <c r="Y43" s="17"/>
      <c r="Z43" s="17"/>
      <c r="AA43" s="17"/>
      <c r="AB43" s="17"/>
      <c r="AC43" s="17"/>
      <c r="AD43" s="17"/>
    </row>
    <row r="44" spans="1:58" ht="15.75" customHeight="1" thickBot="1">
      <c r="A44" s="179" t="s">
        <v>462</v>
      </c>
      <c r="B44" s="169"/>
      <c r="C44" s="16"/>
      <c r="D44" s="16"/>
      <c r="E44" s="16"/>
      <c r="F44" s="16"/>
      <c r="G44" s="16"/>
      <c r="H44" s="16"/>
      <c r="I44" s="16"/>
      <c r="J44" s="16"/>
      <c r="K44" s="16"/>
      <c r="L44" s="16"/>
      <c r="M44" s="16"/>
      <c r="N44" s="16"/>
      <c r="O44" s="16"/>
      <c r="P44" s="16"/>
      <c r="Q44" s="16"/>
      <c r="R44" s="16"/>
      <c r="S44" s="16"/>
      <c r="T44" s="16"/>
      <c r="U44" s="16"/>
      <c r="V44" s="16"/>
      <c r="W44" s="16"/>
      <c r="X44" s="16"/>
      <c r="Y44" s="16"/>
      <c r="Z44" s="16"/>
      <c r="AA44" s="16"/>
      <c r="AB44" s="18"/>
      <c r="AC44" s="16"/>
      <c r="AD44" s="16"/>
    </row>
    <row r="45" spans="1:58" ht="15" customHeight="1" thickTop="1" thickBot="1">
      <c r="A45" s="258" t="s">
        <v>449</v>
      </c>
      <c r="B45" s="259" t="s">
        <v>450</v>
      </c>
      <c r="C45" s="258" t="s">
        <v>463</v>
      </c>
      <c r="D45" s="258" t="s">
        <v>464</v>
      </c>
      <c r="E45" s="258" t="s">
        <v>465</v>
      </c>
      <c r="F45" s="258" t="s">
        <v>466</v>
      </c>
      <c r="G45" s="258" t="s">
        <v>467</v>
      </c>
      <c r="H45" s="259" t="s">
        <v>455</v>
      </c>
      <c r="I45" s="561" t="s">
        <v>456</v>
      </c>
      <c r="J45" s="716"/>
      <c r="K45" s="717"/>
      <c r="L45" s="98"/>
      <c r="M45" s="98"/>
      <c r="N45" s="98"/>
      <c r="O45" s="98"/>
      <c r="P45" s="98"/>
      <c r="Q45" s="98"/>
      <c r="R45" s="98"/>
      <c r="S45" s="98"/>
      <c r="T45" s="98"/>
      <c r="U45" s="98"/>
      <c r="V45" s="96"/>
      <c r="W45" s="96"/>
      <c r="X45" s="96"/>
      <c r="Y45" s="96"/>
      <c r="Z45" s="99"/>
      <c r="AA45" s="96"/>
      <c r="AB45" s="96"/>
      <c r="AC45" s="100"/>
      <c r="AD45" s="100"/>
      <c r="AE45" s="100"/>
      <c r="AF45" s="100"/>
      <c r="AG45" s="100"/>
      <c r="AH45" s="100"/>
      <c r="AI45" s="100"/>
      <c r="AJ45" s="100"/>
      <c r="AK45" s="100"/>
      <c r="AL45" s="100"/>
      <c r="AM45" s="100"/>
      <c r="AN45" s="100"/>
      <c r="AO45" s="100"/>
      <c r="AP45" s="100"/>
      <c r="AQ45" s="100"/>
      <c r="AR45" s="100"/>
      <c r="AS45" s="100"/>
      <c r="AT45" s="100"/>
      <c r="AU45" s="100"/>
      <c r="AV45" s="100"/>
      <c r="AW45" s="100"/>
      <c r="AX45" s="100"/>
      <c r="AY45" s="100"/>
      <c r="AZ45" s="100"/>
      <c r="BA45" s="100"/>
      <c r="BB45" s="100"/>
      <c r="BC45" s="100"/>
      <c r="BD45" s="100"/>
      <c r="BE45" s="100"/>
      <c r="BF45" s="100"/>
    </row>
    <row r="46" spans="1:58" ht="14.25" customHeight="1" thickTop="1">
      <c r="A46" s="327" t="s">
        <v>789</v>
      </c>
      <c r="B46" s="323">
        <v>12</v>
      </c>
      <c r="C46" s="312" t="s">
        <v>802</v>
      </c>
      <c r="D46" s="312" t="s">
        <v>57</v>
      </c>
      <c r="E46" s="327">
        <v>2</v>
      </c>
      <c r="F46" s="327">
        <v>3</v>
      </c>
      <c r="G46" s="323" t="s">
        <v>419</v>
      </c>
      <c r="H46" s="323"/>
      <c r="I46" s="618" t="s">
        <v>803</v>
      </c>
      <c r="J46" s="741"/>
      <c r="K46" s="742"/>
      <c r="L46" s="16"/>
      <c r="M46" s="16"/>
      <c r="N46" s="16"/>
      <c r="O46" s="16"/>
      <c r="P46" s="16"/>
      <c r="Q46" s="16"/>
      <c r="R46" s="16"/>
      <c r="S46" s="16"/>
      <c r="T46" s="16"/>
      <c r="U46" s="16"/>
      <c r="V46" s="16"/>
      <c r="W46" s="16"/>
      <c r="X46" s="16"/>
      <c r="Y46" s="16"/>
      <c r="Z46" s="17"/>
      <c r="AA46" s="16"/>
      <c r="AB46" s="16"/>
    </row>
    <row r="47" spans="1:58" ht="14.25" customHeight="1">
      <c r="A47" s="327" t="s">
        <v>793</v>
      </c>
      <c r="B47" s="323">
        <v>12</v>
      </c>
      <c r="C47" s="312" t="s">
        <v>802</v>
      </c>
      <c r="D47" s="312" t="s">
        <v>57</v>
      </c>
      <c r="E47" s="328">
        <v>2</v>
      </c>
      <c r="F47" s="327">
        <v>3</v>
      </c>
      <c r="G47" s="323" t="s">
        <v>471</v>
      </c>
      <c r="H47" s="323"/>
      <c r="I47" s="743"/>
      <c r="J47" s="744"/>
      <c r="K47" s="745"/>
      <c r="L47" s="16"/>
      <c r="M47" s="16"/>
      <c r="N47" s="16"/>
      <c r="O47" s="16"/>
      <c r="P47" s="16"/>
      <c r="Q47" s="16"/>
      <c r="R47" s="16"/>
      <c r="S47" s="16"/>
      <c r="T47" s="16"/>
      <c r="U47" s="16"/>
      <c r="V47" s="16"/>
      <c r="W47" s="16"/>
      <c r="X47" s="16"/>
      <c r="Y47" s="16"/>
      <c r="Z47" s="17"/>
      <c r="AA47" s="16"/>
      <c r="AB47" s="16"/>
    </row>
    <row r="48" spans="1:58" ht="15.75" customHeight="1">
      <c r="A48" s="323"/>
      <c r="B48" s="323"/>
      <c r="C48" s="323"/>
      <c r="D48" s="312"/>
      <c r="E48" s="328"/>
      <c r="F48" s="327"/>
      <c r="G48" s="329"/>
      <c r="H48" s="323"/>
      <c r="I48" s="743"/>
      <c r="J48" s="744"/>
      <c r="K48" s="745"/>
      <c r="L48" s="16"/>
      <c r="M48" s="16"/>
      <c r="N48" s="16"/>
      <c r="O48" s="16"/>
      <c r="P48" s="16"/>
      <c r="Q48" s="16"/>
      <c r="R48" s="16"/>
      <c r="S48" s="16"/>
      <c r="T48" s="16"/>
      <c r="U48" s="16"/>
      <c r="V48" s="16"/>
      <c r="W48" s="16"/>
      <c r="X48" s="16"/>
      <c r="Y48" s="16"/>
      <c r="Z48" s="16"/>
      <c r="AA48" s="16"/>
      <c r="AB48" s="16"/>
    </row>
    <row r="49" spans="1:30" ht="15.75" customHeight="1">
      <c r="A49" s="231"/>
      <c r="B49" s="232"/>
      <c r="C49" s="231"/>
      <c r="D49" s="269"/>
      <c r="E49" s="245"/>
      <c r="F49" s="261"/>
      <c r="G49" s="263"/>
      <c r="H49" s="231"/>
      <c r="I49" s="743"/>
      <c r="J49" s="744"/>
      <c r="K49" s="745"/>
      <c r="L49" s="16"/>
      <c r="M49" s="16"/>
      <c r="N49" s="16"/>
      <c r="O49" s="16"/>
      <c r="P49" s="16"/>
      <c r="Q49" s="16"/>
      <c r="R49" s="16"/>
      <c r="S49" s="16"/>
      <c r="T49" s="16"/>
      <c r="U49" s="16"/>
      <c r="V49" s="16"/>
      <c r="W49" s="16"/>
      <c r="X49" s="16"/>
      <c r="Y49" s="16"/>
      <c r="Z49" s="16"/>
      <c r="AA49" s="16"/>
      <c r="AB49" s="16"/>
    </row>
    <row r="50" spans="1:30" ht="15.75" customHeight="1" thickBot="1">
      <c r="A50" s="231"/>
      <c r="B50" s="326"/>
      <c r="C50" s="245"/>
      <c r="D50" s="245"/>
      <c r="E50" s="261"/>
      <c r="F50" s="261"/>
      <c r="G50" s="263"/>
      <c r="H50" s="231"/>
      <c r="I50" s="746"/>
      <c r="J50" s="747"/>
      <c r="K50" s="748"/>
      <c r="L50" s="16"/>
      <c r="M50" s="16"/>
      <c r="N50" s="16"/>
      <c r="O50" s="16"/>
      <c r="P50" s="16"/>
      <c r="Q50" s="16"/>
      <c r="R50" s="16"/>
      <c r="S50" s="16"/>
      <c r="T50" s="16"/>
      <c r="U50" s="16"/>
      <c r="V50" s="16"/>
      <c r="W50" s="16"/>
      <c r="X50" s="16"/>
      <c r="Y50" s="16"/>
      <c r="Z50" s="16"/>
      <c r="AA50" s="16"/>
      <c r="AB50" s="16"/>
    </row>
    <row r="51" spans="1:30" ht="15.75" customHeight="1" thickTop="1">
      <c r="A51" s="15"/>
      <c r="B51" s="16"/>
      <c r="C51" s="16"/>
      <c r="D51" s="16"/>
      <c r="E51" s="16"/>
      <c r="F51" s="16"/>
      <c r="G51" s="16"/>
      <c r="H51" s="16"/>
      <c r="I51" s="16"/>
      <c r="J51" s="16"/>
      <c r="K51" s="16"/>
      <c r="L51" s="16"/>
      <c r="M51" s="16"/>
      <c r="N51" s="16"/>
      <c r="O51" s="16"/>
      <c r="P51" s="16"/>
      <c r="Q51" s="16"/>
      <c r="R51" s="16"/>
      <c r="S51" s="16"/>
      <c r="T51" s="16"/>
      <c r="U51" s="16"/>
      <c r="V51" s="16"/>
      <c r="W51" s="16"/>
      <c r="X51" s="16"/>
      <c r="Y51" s="16"/>
      <c r="Z51" s="16"/>
      <c r="AA51" s="16"/>
      <c r="AB51" s="16"/>
      <c r="AC51" s="16"/>
      <c r="AD51" s="16"/>
    </row>
    <row r="52" spans="1:30" ht="15.75" customHeight="1">
      <c r="A52" s="15"/>
      <c r="B52" s="16"/>
      <c r="C52" s="16"/>
      <c r="D52" s="16"/>
      <c r="E52" s="16"/>
      <c r="F52" s="16"/>
      <c r="G52" s="16"/>
      <c r="H52" s="16"/>
      <c r="I52" s="16"/>
      <c r="J52" s="16"/>
      <c r="K52" s="16"/>
      <c r="L52" s="16"/>
      <c r="M52" s="16"/>
      <c r="N52" s="16"/>
      <c r="O52" s="16"/>
      <c r="P52" s="16"/>
      <c r="Q52" s="16"/>
      <c r="W52" s="16"/>
      <c r="X52" s="16"/>
      <c r="Y52" s="16"/>
      <c r="Z52" s="16"/>
      <c r="AA52" s="16"/>
      <c r="AB52" s="16"/>
      <c r="AC52" s="16"/>
      <c r="AD52" s="16"/>
    </row>
    <row r="53" spans="1:30" ht="15.75" customHeight="1" thickBot="1">
      <c r="A53" s="186" t="s">
        <v>475</v>
      </c>
      <c r="B53" s="231"/>
      <c r="C53" s="231"/>
      <c r="D53" s="231"/>
      <c r="E53" s="231"/>
      <c r="F53" s="231"/>
      <c r="G53" s="231"/>
      <c r="H53" s="231"/>
      <c r="I53" s="231"/>
      <c r="J53" s="231"/>
      <c r="K53" s="16"/>
      <c r="L53" s="16"/>
      <c r="M53" s="16"/>
      <c r="N53" s="16"/>
      <c r="O53" s="16"/>
      <c r="P53" s="16"/>
      <c r="Q53" s="16"/>
      <c r="W53" s="16"/>
      <c r="X53" s="16"/>
      <c r="Y53" s="16"/>
      <c r="Z53" s="16"/>
      <c r="AA53" s="16"/>
      <c r="AB53" s="16"/>
      <c r="AC53" s="16"/>
      <c r="AD53" s="16"/>
    </row>
    <row r="54" spans="1:30" ht="15.75" customHeight="1" thickTop="1" thickBot="1">
      <c r="A54" s="230" t="s">
        <v>476</v>
      </c>
      <c r="B54" s="230" t="s">
        <v>477</v>
      </c>
      <c r="C54" s="230" t="s">
        <v>478</v>
      </c>
      <c r="D54" s="230" t="s">
        <v>479</v>
      </c>
      <c r="E54" s="230" t="s">
        <v>480</v>
      </c>
      <c r="F54" s="230" t="s">
        <v>481</v>
      </c>
      <c r="G54" s="230" t="s">
        <v>482</v>
      </c>
      <c r="H54" s="230" t="s">
        <v>453</v>
      </c>
      <c r="I54" s="230" t="s">
        <v>483</v>
      </c>
      <c r="J54" s="230" t="s">
        <v>484</v>
      </c>
      <c r="K54" s="721" t="s">
        <v>485</v>
      </c>
      <c r="L54" s="716"/>
      <c r="M54" s="722"/>
      <c r="N54" s="15"/>
      <c r="O54" s="16"/>
      <c r="P54" s="16"/>
      <c r="Q54" s="16"/>
      <c r="W54" s="16"/>
      <c r="X54" s="16"/>
      <c r="Y54" s="16"/>
      <c r="Z54" s="16"/>
      <c r="AA54" s="16"/>
      <c r="AB54" s="16"/>
    </row>
    <row r="55" spans="1:30" ht="15" customHeight="1" thickTop="1">
      <c r="A55" s="327" t="s">
        <v>789</v>
      </c>
      <c r="B55" s="327" t="s">
        <v>278</v>
      </c>
      <c r="C55" s="397">
        <v>42</v>
      </c>
      <c r="D55" s="323">
        <v>2</v>
      </c>
      <c r="E55" s="327">
        <v>3</v>
      </c>
      <c r="F55" s="399">
        <f>Table_4168331[[#This Row],['# Weeks]]*Table_4168331[[#This Row],[Total hours/week]]</f>
        <v>126</v>
      </c>
      <c r="G55" s="383" t="s">
        <v>804</v>
      </c>
      <c r="H55" s="327" t="s">
        <v>57</v>
      </c>
      <c r="I55" s="400" t="s">
        <v>328</v>
      </c>
      <c r="J55" s="231" t="s">
        <v>805</v>
      </c>
      <c r="K55" s="564" t="s">
        <v>806</v>
      </c>
      <c r="L55" s="741"/>
      <c r="M55" s="742"/>
      <c r="N55" s="16"/>
      <c r="O55" s="16"/>
      <c r="P55" s="16"/>
      <c r="Q55" s="16"/>
      <c r="W55" s="16"/>
      <c r="X55" s="16"/>
      <c r="Y55" s="16"/>
      <c r="Z55" s="16"/>
      <c r="AA55" s="16"/>
      <c r="AB55" s="16"/>
    </row>
    <row r="56" spans="1:30" ht="15.75" customHeight="1">
      <c r="A56" s="327" t="s">
        <v>793</v>
      </c>
      <c r="B56" s="327" t="s">
        <v>278</v>
      </c>
      <c r="C56" s="397">
        <v>42</v>
      </c>
      <c r="D56" s="323">
        <v>2</v>
      </c>
      <c r="E56" s="327">
        <v>3</v>
      </c>
      <c r="F56" s="231">
        <f>Table_4168331[[#This Row],['# Weeks]]*Table_4168331[[#This Row],[Total hours/week]]</f>
        <v>126</v>
      </c>
      <c r="G56" s="383" t="s">
        <v>804</v>
      </c>
      <c r="H56" s="327" t="s">
        <v>57</v>
      </c>
      <c r="I56" s="400" t="s">
        <v>328</v>
      </c>
      <c r="J56" s="231" t="s">
        <v>807</v>
      </c>
      <c r="K56" s="749"/>
      <c r="L56" s="744"/>
      <c r="M56" s="745"/>
      <c r="N56" s="16"/>
      <c r="O56" s="16"/>
      <c r="P56" s="16"/>
      <c r="Q56" s="16"/>
      <c r="W56" s="16"/>
      <c r="X56" s="16"/>
      <c r="Y56" s="16"/>
      <c r="Z56" s="16"/>
      <c r="AA56" s="16"/>
      <c r="AB56" s="16"/>
    </row>
    <row r="57" spans="1:30" ht="14.25" customHeight="1">
      <c r="A57" s="323" t="s">
        <v>796</v>
      </c>
      <c r="B57" s="327" t="s">
        <v>287</v>
      </c>
      <c r="C57" s="397">
        <v>42</v>
      </c>
      <c r="D57" s="323">
        <v>2</v>
      </c>
      <c r="E57" s="327">
        <v>3</v>
      </c>
      <c r="F57" s="231">
        <f>Table_4168331[[#This Row],['# Weeks]]*Table_4168331[[#This Row],[Total hours/week]]</f>
        <v>126</v>
      </c>
      <c r="G57" s="327" t="s">
        <v>570</v>
      </c>
      <c r="H57" s="327" t="s">
        <v>55</v>
      </c>
      <c r="I57" s="400" t="s">
        <v>328</v>
      </c>
      <c r="J57" s="231"/>
      <c r="K57" s="749"/>
      <c r="L57" s="744"/>
      <c r="M57" s="745"/>
      <c r="N57" s="16"/>
      <c r="O57" s="16"/>
      <c r="P57" s="16"/>
      <c r="Q57" s="16"/>
      <c r="W57" s="16"/>
      <c r="X57" s="16"/>
      <c r="Y57" s="16"/>
      <c r="Z57" s="16"/>
      <c r="AA57" s="16"/>
      <c r="AB57" s="16"/>
    </row>
    <row r="58" spans="1:30" ht="15.75" customHeight="1">
      <c r="A58" s="327" t="s">
        <v>799</v>
      </c>
      <c r="B58" s="327" t="s">
        <v>287</v>
      </c>
      <c r="C58" s="397">
        <v>42</v>
      </c>
      <c r="D58" s="323">
        <v>2</v>
      </c>
      <c r="E58" s="327">
        <v>3</v>
      </c>
      <c r="F58" s="231">
        <f>Table_4168331[[#This Row],['# Weeks]]*Table_4168331[[#This Row],[Total hours/week]]</f>
        <v>126</v>
      </c>
      <c r="G58" s="327" t="s">
        <v>570</v>
      </c>
      <c r="H58" s="327" t="s">
        <v>55</v>
      </c>
      <c r="I58" s="400" t="s">
        <v>328</v>
      </c>
      <c r="J58" s="231"/>
      <c r="K58" s="749"/>
      <c r="L58" s="744"/>
      <c r="M58" s="745"/>
      <c r="N58" s="16"/>
      <c r="O58" s="16"/>
      <c r="P58" s="16"/>
      <c r="Q58" s="16"/>
      <c r="W58" s="16"/>
      <c r="X58" s="16"/>
      <c r="Y58" s="16"/>
      <c r="Z58" s="16"/>
      <c r="AA58" s="16"/>
      <c r="AB58" s="16"/>
    </row>
    <row r="59" spans="1:30" ht="15.75" customHeight="1">
      <c r="A59" s="327" t="s">
        <v>582</v>
      </c>
      <c r="B59" s="327" t="s">
        <v>287</v>
      </c>
      <c r="C59" s="397">
        <v>42</v>
      </c>
      <c r="D59" s="323">
        <v>1</v>
      </c>
      <c r="E59" s="327">
        <v>1.5</v>
      </c>
      <c r="F59" s="231">
        <f>Table_4168331[[#This Row],['# Weeks]]*Table_4168331[[#This Row],[Total hours/week]]</f>
        <v>63</v>
      </c>
      <c r="G59" s="327" t="s">
        <v>570</v>
      </c>
      <c r="H59" s="327" t="s">
        <v>55</v>
      </c>
      <c r="I59" s="400" t="s">
        <v>328</v>
      </c>
      <c r="J59" s="231"/>
      <c r="K59" s="749"/>
      <c r="L59" s="744"/>
      <c r="M59" s="745"/>
      <c r="N59" s="16"/>
      <c r="O59" s="16"/>
      <c r="P59" s="16"/>
      <c r="Q59" s="16"/>
      <c r="W59" s="16"/>
      <c r="X59" s="16"/>
      <c r="Y59" s="16"/>
      <c r="Z59" s="16"/>
      <c r="AA59" s="16"/>
      <c r="AB59" s="16"/>
    </row>
    <row r="60" spans="1:30" ht="15.75" customHeight="1">
      <c r="A60" s="327" t="s">
        <v>808</v>
      </c>
      <c r="B60" s="327" t="s">
        <v>282</v>
      </c>
      <c r="C60" s="323">
        <v>14</v>
      </c>
      <c r="D60" s="323">
        <v>1</v>
      </c>
      <c r="E60" s="327">
        <v>3</v>
      </c>
      <c r="F60" s="231">
        <f>Table_4168331[[#This Row],['# Weeks]]*Table_4168331[[#This Row],[Total hours/week]]</f>
        <v>42</v>
      </c>
      <c r="G60" s="383" t="s">
        <v>804</v>
      </c>
      <c r="H60" s="327" t="s">
        <v>57</v>
      </c>
      <c r="I60" s="400" t="s">
        <v>328</v>
      </c>
      <c r="J60" s="231"/>
      <c r="K60" s="749"/>
      <c r="L60" s="744"/>
      <c r="M60" s="745"/>
      <c r="N60" s="16"/>
      <c r="O60" s="16"/>
      <c r="P60" s="16"/>
      <c r="Q60" s="16"/>
      <c r="W60" s="16"/>
      <c r="X60" s="16"/>
      <c r="Y60" s="16"/>
      <c r="Z60" s="16"/>
      <c r="AA60" s="16"/>
      <c r="AB60" s="16"/>
    </row>
    <row r="61" spans="1:30" ht="15.75" customHeight="1">
      <c r="A61" s="319"/>
      <c r="B61" s="319"/>
      <c r="C61" s="231"/>
      <c r="D61" s="231"/>
      <c r="E61" s="231"/>
      <c r="F61" s="231">
        <f>Table_4168331[[#This Row],['# Weeks]]*Table_4168331[[#This Row],[Total hours/week]]</f>
        <v>0</v>
      </c>
      <c r="G61" s="319"/>
      <c r="H61" s="319"/>
      <c r="I61" s="331"/>
      <c r="J61" s="231"/>
      <c r="K61" s="749"/>
      <c r="L61" s="744"/>
      <c r="M61" s="745"/>
      <c r="N61" s="16"/>
      <c r="O61" s="16"/>
      <c r="P61" s="16"/>
      <c r="Q61" s="16"/>
      <c r="W61" s="16"/>
      <c r="X61" s="16"/>
      <c r="Y61" s="16"/>
      <c r="Z61" s="16"/>
      <c r="AA61" s="16"/>
      <c r="AB61" s="16"/>
    </row>
    <row r="62" spans="1:30" ht="15.75" customHeight="1">
      <c r="A62" s="319"/>
      <c r="B62" s="319"/>
      <c r="C62" s="261"/>
      <c r="D62" s="261"/>
      <c r="E62" s="261"/>
      <c r="F62" s="262">
        <f>Table_4168331[[#This Row],['# Weeks]]*Table_4168331[[#This Row],[Total hours/week]]</f>
        <v>0</v>
      </c>
      <c r="G62" s="319"/>
      <c r="H62" s="319"/>
      <c r="I62" s="331"/>
      <c r="J62" s="231"/>
      <c r="K62" s="749"/>
      <c r="L62" s="744"/>
      <c r="M62" s="745"/>
      <c r="N62" s="16"/>
      <c r="O62" s="16"/>
      <c r="P62" s="16"/>
      <c r="Q62" s="16"/>
      <c r="W62" s="16"/>
      <c r="X62" s="16"/>
      <c r="Y62" s="16"/>
      <c r="Z62" s="16"/>
      <c r="AA62" s="16"/>
      <c r="AB62" s="16"/>
    </row>
    <row r="63" spans="1:30" ht="15.75" customHeight="1">
      <c r="A63" s="319"/>
      <c r="B63" s="319"/>
      <c r="C63" s="261"/>
      <c r="D63" s="261"/>
      <c r="E63" s="261"/>
      <c r="F63" s="262">
        <f>Table_4168331[[#This Row],['# Weeks]]*Table_4168331[[#This Row],[Total hours/week]]</f>
        <v>0</v>
      </c>
      <c r="G63" s="319"/>
      <c r="H63" s="319"/>
      <c r="I63" s="331"/>
      <c r="J63" s="231"/>
      <c r="K63" s="749"/>
      <c r="L63" s="744"/>
      <c r="M63" s="745"/>
      <c r="N63" s="16"/>
      <c r="O63" s="16"/>
      <c r="P63" s="16"/>
      <c r="Q63" s="16"/>
      <c r="W63" s="16"/>
      <c r="X63" s="16"/>
      <c r="Y63" s="16"/>
      <c r="Z63" s="16"/>
      <c r="AA63" s="16"/>
      <c r="AB63" s="16"/>
    </row>
    <row r="64" spans="1:30" ht="15.75" customHeight="1">
      <c r="A64" s="231"/>
      <c r="B64" s="319"/>
      <c r="C64" s="232"/>
      <c r="D64" s="232"/>
      <c r="E64" s="261"/>
      <c r="F64" s="262">
        <f>Table_4168331[[#This Row],['# Weeks]]*Table_4168331[[#This Row],[Total hours/week]]</f>
        <v>0</v>
      </c>
      <c r="G64" s="231"/>
      <c r="H64" s="319"/>
      <c r="I64" s="331"/>
      <c r="J64" s="231"/>
      <c r="K64" s="749"/>
      <c r="L64" s="744"/>
      <c r="M64" s="745"/>
      <c r="N64" s="16"/>
      <c r="O64" s="16"/>
      <c r="P64" s="16"/>
      <c r="Q64" s="16"/>
      <c r="W64" s="16"/>
      <c r="X64" s="16"/>
      <c r="Y64" s="16"/>
      <c r="Z64" s="16"/>
      <c r="AA64" s="16"/>
      <c r="AB64" s="16"/>
    </row>
    <row r="65" spans="1:30" ht="15.75" customHeight="1">
      <c r="A65" s="231"/>
      <c r="B65" s="319"/>
      <c r="C65" s="232"/>
      <c r="D65" s="232"/>
      <c r="E65" s="261"/>
      <c r="F65" s="262">
        <f>Table_4168331[[#This Row],['# Weeks]]*Table_4168331[[#This Row],[Total hours/week]]</f>
        <v>0</v>
      </c>
      <c r="G65" s="231"/>
      <c r="H65" s="319"/>
      <c r="I65" s="331"/>
      <c r="J65" s="231"/>
      <c r="K65" s="749"/>
      <c r="L65" s="744"/>
      <c r="M65" s="745"/>
      <c r="N65" s="16"/>
      <c r="O65" s="16"/>
      <c r="P65" s="16"/>
      <c r="Q65" s="16"/>
      <c r="W65" s="16"/>
      <c r="X65" s="16"/>
      <c r="Y65" s="16"/>
      <c r="Z65" s="16"/>
      <c r="AA65" s="16"/>
      <c r="AB65" s="16"/>
    </row>
    <row r="66" spans="1:30" ht="15.75" customHeight="1">
      <c r="A66" s="231"/>
      <c r="B66" s="319"/>
      <c r="C66" s="232"/>
      <c r="D66" s="232"/>
      <c r="E66" s="261"/>
      <c r="F66" s="262">
        <f>Table_4168331[[#This Row],['# Weeks]]*Table_4168331[[#This Row],[Total hours/week]]</f>
        <v>0</v>
      </c>
      <c r="G66" s="231"/>
      <c r="H66" s="319"/>
      <c r="I66" s="331"/>
      <c r="J66" s="231"/>
      <c r="K66" s="749"/>
      <c r="L66" s="744"/>
      <c r="M66" s="745"/>
      <c r="N66" s="16"/>
      <c r="O66" s="16"/>
      <c r="P66" s="16"/>
      <c r="Q66" s="16"/>
      <c r="W66" s="16"/>
      <c r="X66" s="16"/>
      <c r="Y66" s="16"/>
      <c r="Z66" s="16"/>
      <c r="AA66" s="16"/>
      <c r="AB66" s="16"/>
    </row>
    <row r="67" spans="1:30" ht="15.75" customHeight="1" thickBot="1">
      <c r="A67" s="231"/>
      <c r="B67" s="319"/>
      <c r="C67" s="245"/>
      <c r="D67" s="232"/>
      <c r="E67" s="261"/>
      <c r="F67" s="262">
        <f>Table_4168331[[#This Row],['# Weeks]]*Table_4168331[[#This Row],[Total hours/week]]</f>
        <v>0</v>
      </c>
      <c r="G67" s="263"/>
      <c r="H67" s="263"/>
      <c r="I67" s="264"/>
      <c r="J67" s="231"/>
      <c r="K67" s="746"/>
      <c r="L67" s="747"/>
      <c r="M67" s="748"/>
      <c r="N67" s="16"/>
      <c r="O67" s="16"/>
      <c r="P67" s="16"/>
      <c r="Q67" s="16"/>
      <c r="W67" s="16"/>
      <c r="X67" s="16"/>
      <c r="Y67" s="16"/>
      <c r="Z67" s="16"/>
      <c r="AA67" s="16"/>
      <c r="AB67" s="16"/>
    </row>
    <row r="68" spans="1:30" ht="15.75" customHeight="1" thickTop="1">
      <c r="A68" s="16"/>
      <c r="B68" s="16"/>
      <c r="C68" s="16"/>
      <c r="D68" s="16"/>
      <c r="E68" s="16"/>
      <c r="F68" s="16"/>
      <c r="G68" s="16"/>
      <c r="H68" s="16"/>
      <c r="I68" s="16"/>
      <c r="J68" s="16"/>
      <c r="K68" s="16"/>
      <c r="L68" s="16"/>
      <c r="M68" s="16"/>
      <c r="N68" s="16"/>
      <c r="O68" s="16"/>
      <c r="P68" s="16"/>
      <c r="Q68" s="16"/>
      <c r="W68" s="16"/>
      <c r="X68" s="16"/>
      <c r="Y68" s="16"/>
      <c r="Z68" s="16"/>
      <c r="AA68" s="16"/>
      <c r="AB68" s="16"/>
      <c r="AC68" s="16"/>
      <c r="AD68" s="16"/>
    </row>
    <row r="69" spans="1:30" ht="15.75" customHeight="1" thickBot="1">
      <c r="A69" s="186" t="s">
        <v>499</v>
      </c>
      <c r="B69" s="231"/>
      <c r="C69" s="231"/>
      <c r="D69" s="231"/>
      <c r="E69" s="231"/>
      <c r="F69" s="231"/>
      <c r="G69" s="231"/>
      <c r="H69" s="231"/>
      <c r="I69" s="231"/>
      <c r="J69" s="231"/>
      <c r="K69" s="123"/>
      <c r="L69" s="123"/>
      <c r="M69" s="16"/>
      <c r="N69" s="16"/>
      <c r="O69" s="16"/>
      <c r="P69" s="16"/>
      <c r="Q69" s="16"/>
      <c r="W69" s="16"/>
      <c r="X69" s="16"/>
      <c r="Y69" s="16"/>
      <c r="Z69" s="16"/>
      <c r="AA69" s="16"/>
      <c r="AB69" s="16"/>
      <c r="AC69" s="16"/>
      <c r="AD69" s="16"/>
    </row>
    <row r="70" spans="1:30" ht="15.75" customHeight="1" thickTop="1" thickBot="1">
      <c r="A70" s="230" t="s">
        <v>476</v>
      </c>
      <c r="B70" s="230" t="s">
        <v>500</v>
      </c>
      <c r="C70" s="230" t="s">
        <v>501</v>
      </c>
      <c r="D70" s="230" t="s">
        <v>502</v>
      </c>
      <c r="E70" s="230" t="s">
        <v>503</v>
      </c>
      <c r="F70" s="230" t="s">
        <v>504</v>
      </c>
      <c r="G70" s="230" t="s">
        <v>505</v>
      </c>
      <c r="H70" s="230" t="s">
        <v>506</v>
      </c>
      <c r="I70" s="230" t="s">
        <v>507</v>
      </c>
      <c r="J70" s="230" t="s">
        <v>508</v>
      </c>
      <c r="K70" s="561" t="s">
        <v>441</v>
      </c>
      <c r="L70" s="561"/>
      <c r="M70" s="561"/>
      <c r="N70" s="561"/>
      <c r="O70" s="570"/>
      <c r="P70" s="726" t="s">
        <v>434</v>
      </c>
      <c r="Q70" s="727"/>
      <c r="R70" s="16"/>
      <c r="S70" s="16"/>
      <c r="V70" s="16"/>
      <c r="W70" s="16"/>
      <c r="X70" s="16"/>
      <c r="Y70" s="16"/>
      <c r="Z70" s="16"/>
      <c r="AA70" s="16"/>
    </row>
    <row r="71" spans="1:30" ht="15.75" customHeight="1" thickTop="1">
      <c r="A71" s="327" t="s">
        <v>582</v>
      </c>
      <c r="B71" s="231" t="s">
        <v>247</v>
      </c>
      <c r="C71" s="232" t="s">
        <v>515</v>
      </c>
      <c r="D71" s="261">
        <v>1.5</v>
      </c>
      <c r="E71" s="245">
        <v>42</v>
      </c>
      <c r="F71" s="326">
        <f>DIOK!$D71*DIOK!$E71</f>
        <v>63</v>
      </c>
      <c r="G71" s="245">
        <v>1</v>
      </c>
      <c r="H71" s="332">
        <f>IF($B71= "","-",IF($B71= "External","Specify location tariff", INDEX(Constants!$3:$3,MATCH($B71,Constants!$2:$2,0))))</f>
        <v>40</v>
      </c>
      <c r="I71" s="333">
        <f t="shared" ref="I71:I87" si="2">IF($H71="-","-",IF($H71="Specify location tariff","-",$H71*$F71))</f>
        <v>2520</v>
      </c>
      <c r="J71" s="247"/>
      <c r="K71" s="611"/>
      <c r="L71" s="611"/>
      <c r="M71" s="611"/>
      <c r="N71" s="611"/>
      <c r="O71" s="612"/>
      <c r="P71" s="564" t="s">
        <v>511</v>
      </c>
      <c r="Q71" s="565"/>
      <c r="R71" s="16"/>
      <c r="S71" s="16"/>
      <c r="V71" s="16"/>
      <c r="W71" s="16"/>
      <c r="X71" s="16"/>
      <c r="Y71" s="16"/>
      <c r="Z71" s="16"/>
      <c r="AA71" s="16"/>
    </row>
    <row r="72" spans="1:30" ht="15.75" customHeight="1">
      <c r="A72" s="327" t="s">
        <v>799</v>
      </c>
      <c r="B72" s="231" t="s">
        <v>247</v>
      </c>
      <c r="C72" s="232" t="s">
        <v>515</v>
      </c>
      <c r="D72" s="261">
        <v>1.5</v>
      </c>
      <c r="E72" s="245">
        <v>42</v>
      </c>
      <c r="F72" s="326">
        <f>DIOK!$D72*DIOK!$E72</f>
        <v>63</v>
      </c>
      <c r="G72" s="245">
        <v>6</v>
      </c>
      <c r="H72" s="332">
        <f>IF($B72= "","-",IF($B72= "External","Specify location tariff", INDEX(Constants!$3:$3,MATCH($B72,Constants!$2:$2,0))))</f>
        <v>40</v>
      </c>
      <c r="I72" s="333">
        <f t="shared" si="2"/>
        <v>2520</v>
      </c>
      <c r="J72" s="247"/>
      <c r="K72" s="562"/>
      <c r="L72" s="562"/>
      <c r="M72" s="562"/>
      <c r="N72" s="562"/>
      <c r="O72" s="614"/>
      <c r="P72" s="566"/>
      <c r="Q72" s="567"/>
      <c r="R72" s="16"/>
      <c r="S72" s="16"/>
      <c r="V72" s="16"/>
      <c r="W72" s="16"/>
      <c r="X72" s="16"/>
      <c r="Y72" s="16"/>
      <c r="Z72" s="16"/>
      <c r="AA72" s="16"/>
    </row>
    <row r="73" spans="1:30" ht="15.75" customHeight="1">
      <c r="A73" s="323" t="s">
        <v>796</v>
      </c>
      <c r="B73" s="231" t="s">
        <v>247</v>
      </c>
      <c r="C73" s="232" t="s">
        <v>515</v>
      </c>
      <c r="D73" s="261">
        <v>1.5</v>
      </c>
      <c r="E73" s="245">
        <v>42</v>
      </c>
      <c r="F73" s="326">
        <f>DIOK!$D73*DIOK!$E73</f>
        <v>63</v>
      </c>
      <c r="G73" s="245">
        <v>3</v>
      </c>
      <c r="H73" s="332">
        <f>IF($B73= "","-",IF($B73= "External","Specify location tariff", INDEX(Constants!$3:$3,MATCH($B73,Constants!$2:$2,0))))</f>
        <v>40</v>
      </c>
      <c r="I73" s="333">
        <f t="shared" si="2"/>
        <v>2520</v>
      </c>
      <c r="J73" s="247"/>
      <c r="K73" s="562"/>
      <c r="L73" s="562"/>
      <c r="M73" s="562"/>
      <c r="N73" s="562"/>
      <c r="O73" s="614"/>
      <c r="P73" s="566"/>
      <c r="Q73" s="567"/>
      <c r="R73" s="16"/>
      <c r="S73" s="16"/>
      <c r="V73" s="16"/>
      <c r="W73" s="16"/>
      <c r="X73" s="16"/>
      <c r="Y73" s="16"/>
      <c r="Z73" s="16"/>
      <c r="AA73" s="16"/>
    </row>
    <row r="74" spans="1:30" ht="15.75" customHeight="1">
      <c r="A74" s="231" t="s">
        <v>809</v>
      </c>
      <c r="B74" s="231" t="s">
        <v>247</v>
      </c>
      <c r="C74" s="232" t="s">
        <v>515</v>
      </c>
      <c r="D74" s="261">
        <v>1.5</v>
      </c>
      <c r="E74" s="245">
        <v>42</v>
      </c>
      <c r="F74" s="326">
        <f>DIOK!$D74*DIOK!$E74</f>
        <v>63</v>
      </c>
      <c r="G74" s="245">
        <v>7</v>
      </c>
      <c r="H74" s="332">
        <f>IF($B74= "","-",IF($B74= "External","Specify location tariff", INDEX(Constants!$3:$3,MATCH($B74,Constants!$2:$2,0))))</f>
        <v>40</v>
      </c>
      <c r="I74" s="333">
        <f t="shared" si="2"/>
        <v>2520</v>
      </c>
      <c r="J74" s="247"/>
      <c r="K74" s="562"/>
      <c r="L74" s="562"/>
      <c r="M74" s="562"/>
      <c r="N74" s="562"/>
      <c r="O74" s="614"/>
      <c r="P74" s="566"/>
      <c r="Q74" s="567"/>
      <c r="R74" s="16"/>
      <c r="S74" s="16"/>
      <c r="V74" s="16"/>
      <c r="W74" s="16"/>
      <c r="X74" s="16"/>
      <c r="Y74" s="16"/>
      <c r="Z74" s="16"/>
      <c r="AA74" s="16"/>
    </row>
    <row r="75" spans="1:30" ht="15.75" customHeight="1">
      <c r="A75" s="327" t="s">
        <v>789</v>
      </c>
      <c r="B75" s="231" t="s">
        <v>247</v>
      </c>
      <c r="C75" s="232" t="s">
        <v>512</v>
      </c>
      <c r="D75" s="261">
        <v>1.5</v>
      </c>
      <c r="E75" s="245">
        <v>42</v>
      </c>
      <c r="F75" s="326">
        <f>DIOK!$D75*DIOK!$E75</f>
        <v>63</v>
      </c>
      <c r="G75" s="245">
        <v>2</v>
      </c>
      <c r="H75" s="332">
        <f>IF($B75= "","-",IF($B75= "External","Specify location tariff", INDEX(Constants!$3:$3,MATCH($B75,Constants!$2:$2,0))))</f>
        <v>40</v>
      </c>
      <c r="I75" s="333">
        <f t="shared" si="2"/>
        <v>2520</v>
      </c>
      <c r="J75" s="247"/>
      <c r="K75" s="562"/>
      <c r="L75" s="562"/>
      <c r="M75" s="562"/>
      <c r="N75" s="562"/>
      <c r="O75" s="614"/>
      <c r="P75" s="566"/>
      <c r="Q75" s="567"/>
      <c r="R75" s="16"/>
      <c r="S75" s="16"/>
      <c r="V75" s="16"/>
      <c r="W75" s="16"/>
      <c r="X75" s="16"/>
      <c r="Y75" s="16"/>
      <c r="Z75" s="16"/>
      <c r="AA75" s="16"/>
    </row>
    <row r="76" spans="1:30" ht="15.75" customHeight="1">
      <c r="A76" s="327" t="s">
        <v>793</v>
      </c>
      <c r="B76" s="231" t="s">
        <v>247</v>
      </c>
      <c r="C76" s="232" t="s">
        <v>512</v>
      </c>
      <c r="D76" s="261">
        <v>1.5</v>
      </c>
      <c r="E76" s="245">
        <v>42</v>
      </c>
      <c r="F76" s="326">
        <f>DIOK!$D76*DIOK!$E76</f>
        <v>63</v>
      </c>
      <c r="G76" s="245">
        <v>4</v>
      </c>
      <c r="H76" s="332">
        <f>IF($B76= "","-",IF($B76= "External","Specify location tariff", INDEX(Constants!$3:$3,MATCH($B76,Constants!$2:$2,0))))</f>
        <v>40</v>
      </c>
      <c r="I76" s="333">
        <f t="shared" si="2"/>
        <v>2520</v>
      </c>
      <c r="J76" s="247"/>
      <c r="K76" s="562"/>
      <c r="L76" s="562"/>
      <c r="M76" s="562"/>
      <c r="N76" s="562"/>
      <c r="O76" s="614"/>
      <c r="P76" s="566"/>
      <c r="Q76" s="567"/>
      <c r="R76" s="16"/>
      <c r="S76" s="16"/>
      <c r="V76" s="16"/>
      <c r="W76" s="16"/>
      <c r="X76" s="16"/>
      <c r="Y76" s="16"/>
      <c r="Z76" s="16"/>
      <c r="AA76" s="16"/>
    </row>
    <row r="77" spans="1:30" ht="15.75" customHeight="1">
      <c r="A77" s="327" t="s">
        <v>799</v>
      </c>
      <c r="B77" s="231" t="s">
        <v>248</v>
      </c>
      <c r="C77" s="232" t="s">
        <v>513</v>
      </c>
      <c r="D77" s="261">
        <v>1.5</v>
      </c>
      <c r="E77" s="245">
        <v>42</v>
      </c>
      <c r="F77" s="326">
        <f>DIOK!$D77*DIOK!$E77</f>
        <v>63</v>
      </c>
      <c r="G77" s="245">
        <v>6</v>
      </c>
      <c r="H77" s="332">
        <f>IF($B77= "","-",IF($B77= "External","Specify location tariff", INDEX(Constants!$3:$3,MATCH($B77,Constants!$2:$2,0))))</f>
        <v>40</v>
      </c>
      <c r="I77" s="333">
        <f t="shared" si="2"/>
        <v>2520</v>
      </c>
      <c r="J77" s="247"/>
      <c r="K77" s="562"/>
      <c r="L77" s="562"/>
      <c r="M77" s="562"/>
      <c r="N77" s="562"/>
      <c r="O77" s="614"/>
      <c r="P77" s="566"/>
      <c r="Q77" s="567"/>
      <c r="R77" s="16"/>
      <c r="S77" s="16"/>
      <c r="V77" s="16"/>
      <c r="W77" s="16"/>
      <c r="X77" s="16"/>
      <c r="Y77" s="16"/>
      <c r="Z77" s="16"/>
      <c r="AA77" s="16"/>
    </row>
    <row r="78" spans="1:30" ht="15.75" customHeight="1">
      <c r="A78" s="327" t="s">
        <v>789</v>
      </c>
      <c r="B78" s="231" t="s">
        <v>247</v>
      </c>
      <c r="C78" s="232" t="s">
        <v>516</v>
      </c>
      <c r="D78" s="261">
        <v>1.5</v>
      </c>
      <c r="E78" s="245">
        <v>42</v>
      </c>
      <c r="F78" s="326">
        <f>DIOK!$D78*DIOK!$E78</f>
        <v>63</v>
      </c>
      <c r="G78" s="245">
        <v>2</v>
      </c>
      <c r="H78" s="332">
        <f>IF($B78= "","-",IF($B78= "External","Specify location tariff", INDEX(Constants!$3:$3,MATCH($B78,Constants!$2:$2,0))))</f>
        <v>40</v>
      </c>
      <c r="I78" s="333">
        <f t="shared" si="2"/>
        <v>2520</v>
      </c>
      <c r="J78" s="247"/>
      <c r="K78" s="562"/>
      <c r="L78" s="562"/>
      <c r="M78" s="562"/>
      <c r="N78" s="562"/>
      <c r="O78" s="614"/>
      <c r="P78" s="566"/>
      <c r="Q78" s="567"/>
      <c r="R78" s="16"/>
      <c r="S78" s="16"/>
      <c r="V78" s="16"/>
      <c r="W78" s="16"/>
      <c r="X78" s="16"/>
      <c r="Y78" s="16"/>
      <c r="Z78" s="16"/>
      <c r="AA78" s="16"/>
    </row>
    <row r="79" spans="1:30" ht="15.75" customHeight="1">
      <c r="A79" s="327" t="s">
        <v>793</v>
      </c>
      <c r="B79" s="231" t="s">
        <v>247</v>
      </c>
      <c r="C79" s="232" t="s">
        <v>516</v>
      </c>
      <c r="D79" s="261">
        <v>1.5</v>
      </c>
      <c r="E79" s="245">
        <v>42</v>
      </c>
      <c r="F79" s="326">
        <f>DIOK!$D79*DIOK!$E79</f>
        <v>63</v>
      </c>
      <c r="G79" s="245">
        <v>4</v>
      </c>
      <c r="H79" s="332">
        <f>IF($B79= "","-",IF($B79= "External","Specify location tariff", INDEX(Constants!$3:$3,MATCH($B79,Constants!$2:$2,0))))</f>
        <v>40</v>
      </c>
      <c r="I79" s="333">
        <f t="shared" si="2"/>
        <v>2520</v>
      </c>
      <c r="J79" s="247"/>
      <c r="K79" s="562"/>
      <c r="L79" s="562"/>
      <c r="M79" s="562"/>
      <c r="N79" s="562"/>
      <c r="O79" s="614"/>
      <c r="P79" s="566"/>
      <c r="Q79" s="567"/>
      <c r="R79" s="16"/>
      <c r="S79" s="16"/>
      <c r="V79" s="16"/>
      <c r="W79" s="16"/>
      <c r="X79" s="16"/>
      <c r="Y79" s="16"/>
      <c r="Z79" s="16"/>
      <c r="AA79" s="16"/>
    </row>
    <row r="80" spans="1:30" ht="15.75" customHeight="1">
      <c r="A80" s="231" t="s">
        <v>809</v>
      </c>
      <c r="B80" s="231" t="s">
        <v>245</v>
      </c>
      <c r="C80" s="232" t="s">
        <v>516</v>
      </c>
      <c r="D80" s="261">
        <v>2</v>
      </c>
      <c r="E80" s="245">
        <v>27</v>
      </c>
      <c r="F80" s="326">
        <f>DIOK!$D80*DIOK!$E80</f>
        <v>54</v>
      </c>
      <c r="G80" s="245">
        <v>5</v>
      </c>
      <c r="H80" s="332">
        <f>IF($B80= "","-",IF($B80= "External","Specify location tariff", INDEX(Constants!$3:$3,MATCH($B80,Constants!$2:$2,0))))</f>
        <v>67.5</v>
      </c>
      <c r="I80" s="333">
        <f t="shared" si="2"/>
        <v>3645</v>
      </c>
      <c r="J80" s="247"/>
      <c r="K80" s="562"/>
      <c r="L80" s="562"/>
      <c r="M80" s="562"/>
      <c r="N80" s="562"/>
      <c r="O80" s="614"/>
      <c r="P80" s="566"/>
      <c r="Q80" s="567"/>
      <c r="R80" s="16"/>
      <c r="S80" s="16"/>
      <c r="V80" s="16"/>
      <c r="W80" s="16"/>
      <c r="X80" s="16"/>
      <c r="Y80" s="16"/>
      <c r="Z80" s="16"/>
      <c r="AA80" s="16"/>
    </row>
    <row r="81" spans="1:30" ht="15.75" customHeight="1">
      <c r="A81" s="323" t="s">
        <v>796</v>
      </c>
      <c r="B81" s="231" t="s">
        <v>247</v>
      </c>
      <c r="C81" s="232" t="s">
        <v>514</v>
      </c>
      <c r="D81" s="261">
        <v>1.5</v>
      </c>
      <c r="E81" s="245">
        <v>42</v>
      </c>
      <c r="F81" s="326">
        <f>DIOK!$D81*DIOK!$E81</f>
        <v>63</v>
      </c>
      <c r="G81" s="245">
        <v>3</v>
      </c>
      <c r="H81" s="332">
        <f>IF($B81= "","-",IF($B81= "External","Specify location tariff", INDEX(Constants!$3:$3,MATCH($B81,Constants!$2:$2,0))))</f>
        <v>40</v>
      </c>
      <c r="I81" s="333">
        <f t="shared" si="2"/>
        <v>2520</v>
      </c>
      <c r="J81" s="247"/>
      <c r="K81" s="562"/>
      <c r="L81" s="562"/>
      <c r="M81" s="562"/>
      <c r="N81" s="562"/>
      <c r="O81" s="614"/>
      <c r="P81" s="566"/>
      <c r="Q81" s="567"/>
      <c r="R81" s="16"/>
      <c r="S81" s="16"/>
      <c r="V81" s="16"/>
      <c r="W81" s="16"/>
      <c r="X81" s="16"/>
      <c r="Y81" s="16"/>
      <c r="Z81" s="16"/>
      <c r="AA81" s="16"/>
    </row>
    <row r="82" spans="1:30" ht="15.75" customHeight="1">
      <c r="A82" s="231"/>
      <c r="B82" s="231"/>
      <c r="C82" s="232"/>
      <c r="D82" s="261"/>
      <c r="E82" s="245"/>
      <c r="F82" s="326">
        <f>DIOK!$D82*DIOK!$E82</f>
        <v>0</v>
      </c>
      <c r="G82" s="245"/>
      <c r="H82" s="332" t="str">
        <f>IF($B82= "","-",IF($B82= "External","Specify location tariff", INDEX(Constants!$3:$3,MATCH($B82,Constants!$2:$2,0))))</f>
        <v>-</v>
      </c>
      <c r="I82" s="333" t="str">
        <f t="shared" si="2"/>
        <v>-</v>
      </c>
      <c r="J82" s="247"/>
      <c r="K82" s="562"/>
      <c r="L82" s="562"/>
      <c r="M82" s="562"/>
      <c r="N82" s="562"/>
      <c r="O82" s="614"/>
      <c r="P82" s="566"/>
      <c r="Q82" s="567"/>
      <c r="R82" s="16"/>
      <c r="S82" s="16"/>
      <c r="V82" s="16"/>
      <c r="W82" s="16"/>
      <c r="X82" s="16"/>
      <c r="Y82" s="16"/>
      <c r="Z82" s="16"/>
      <c r="AA82" s="16"/>
    </row>
    <row r="83" spans="1:30" ht="15.75" customHeight="1">
      <c r="A83" s="231"/>
      <c r="B83" s="231"/>
      <c r="C83" s="232"/>
      <c r="D83" s="261"/>
      <c r="E83" s="245"/>
      <c r="F83" s="326">
        <f>DIOK!$D83*DIOK!$E83</f>
        <v>0</v>
      </c>
      <c r="G83" s="245"/>
      <c r="H83" s="332" t="str">
        <f>IF($B83= "","-",IF($B83= "External","Specify location tariff", INDEX(Constants!$3:$3,MATCH($B83,Constants!$2:$2,0))))</f>
        <v>-</v>
      </c>
      <c r="I83" s="333" t="str">
        <f t="shared" si="2"/>
        <v>-</v>
      </c>
      <c r="J83" s="247"/>
      <c r="K83" s="562"/>
      <c r="L83" s="562"/>
      <c r="M83" s="562"/>
      <c r="N83" s="562"/>
      <c r="O83" s="614"/>
      <c r="P83" s="566"/>
      <c r="Q83" s="567"/>
      <c r="R83" s="16"/>
      <c r="S83" s="16"/>
      <c r="V83" s="16"/>
      <c r="W83" s="16"/>
      <c r="X83" s="16"/>
      <c r="Y83" s="16"/>
      <c r="Z83" s="16"/>
      <c r="AA83" s="16"/>
    </row>
    <row r="84" spans="1:30" ht="15.75" customHeight="1">
      <c r="A84" s="231"/>
      <c r="B84" s="231"/>
      <c r="C84" s="232"/>
      <c r="D84" s="261"/>
      <c r="E84" s="245"/>
      <c r="F84" s="326">
        <f>DIOK!$D84*DIOK!$E84</f>
        <v>0</v>
      </c>
      <c r="G84" s="245"/>
      <c r="H84" s="332" t="str">
        <f>IF($B84= "","-",IF($B84= "External","Specify location tariff", INDEX(Constants!$3:$3,MATCH($B84,Constants!$2:$2,0))))</f>
        <v>-</v>
      </c>
      <c r="I84" s="333" t="str">
        <f t="shared" si="2"/>
        <v>-</v>
      </c>
      <c r="J84" s="247"/>
      <c r="K84" s="562"/>
      <c r="L84" s="562"/>
      <c r="M84" s="562"/>
      <c r="N84" s="562"/>
      <c r="O84" s="614"/>
      <c r="P84" s="566"/>
      <c r="Q84" s="567"/>
      <c r="R84" s="16"/>
      <c r="S84" s="16"/>
      <c r="V84" s="16"/>
      <c r="W84" s="16"/>
      <c r="X84" s="16"/>
      <c r="Y84" s="16"/>
      <c r="Z84" s="16"/>
      <c r="AA84" s="16"/>
    </row>
    <row r="85" spans="1:30" ht="15.75" customHeight="1">
      <c r="A85" s="231"/>
      <c r="B85" s="231"/>
      <c r="C85" s="232"/>
      <c r="D85" s="261"/>
      <c r="E85" s="245"/>
      <c r="F85" s="326">
        <f>DIOK!$D85*DIOK!$E85</f>
        <v>0</v>
      </c>
      <c r="G85" s="245"/>
      <c r="H85" s="332" t="str">
        <f>IF($B85= "","-",IF($B85= "External","Specify location tariff", INDEX(Constants!$3:$3,MATCH($B85,Constants!$2:$2,0))))</f>
        <v>-</v>
      </c>
      <c r="I85" s="333" t="str">
        <f t="shared" si="2"/>
        <v>-</v>
      </c>
      <c r="J85" s="247"/>
      <c r="K85" s="562"/>
      <c r="L85" s="562"/>
      <c r="M85" s="562"/>
      <c r="N85" s="562"/>
      <c r="O85" s="614"/>
      <c r="P85" s="566"/>
      <c r="Q85" s="567"/>
      <c r="R85" s="16"/>
      <c r="S85" s="16"/>
      <c r="V85" s="16"/>
      <c r="W85" s="16"/>
      <c r="X85" s="16"/>
      <c r="Y85" s="16"/>
      <c r="Z85" s="16"/>
      <c r="AA85" s="16"/>
    </row>
    <row r="86" spans="1:30" ht="15.75" customHeight="1">
      <c r="A86" s="231"/>
      <c r="B86" s="231"/>
      <c r="C86" s="232"/>
      <c r="D86" s="261"/>
      <c r="E86" s="245"/>
      <c r="F86" s="326">
        <f>DIOK!$D86*DIOK!$E86</f>
        <v>0</v>
      </c>
      <c r="G86" s="245"/>
      <c r="H86" s="332" t="str">
        <f>IF($B86= "","-",IF($B86= "External","Specify location tariff", INDEX(Constants!$3:$3,MATCH($B86,Constants!$2:$2,0))))</f>
        <v>-</v>
      </c>
      <c r="I86" s="333" t="str">
        <f t="shared" si="2"/>
        <v>-</v>
      </c>
      <c r="J86" s="247"/>
      <c r="K86" s="562"/>
      <c r="L86" s="562"/>
      <c r="M86" s="562"/>
      <c r="N86" s="562"/>
      <c r="O86" s="614"/>
      <c r="P86" s="566"/>
      <c r="Q86" s="567"/>
      <c r="R86" s="16"/>
      <c r="S86" s="16"/>
      <c r="V86" s="16"/>
      <c r="W86" s="16"/>
      <c r="X86" s="16"/>
      <c r="Y86" s="16"/>
      <c r="Z86" s="16"/>
      <c r="AA86" s="16"/>
    </row>
    <row r="87" spans="1:30" ht="15.75" customHeight="1" thickBot="1">
      <c r="A87" s="231"/>
      <c r="B87" s="231"/>
      <c r="C87" s="232"/>
      <c r="D87" s="261"/>
      <c r="E87" s="245"/>
      <c r="F87" s="326">
        <f>DIOK!$D87*DIOK!$E87</f>
        <v>0</v>
      </c>
      <c r="G87" s="245"/>
      <c r="H87" s="332" t="str">
        <f>IF($B87= "","-",IF($B87= "External","Specify location tariff", INDEX(Constants!$3:$3,MATCH($B87,Constants!$2:$2,0))))</f>
        <v>-</v>
      </c>
      <c r="I87" s="333" t="str">
        <f t="shared" si="2"/>
        <v>-</v>
      </c>
      <c r="J87" s="247"/>
      <c r="K87" s="616"/>
      <c r="L87" s="616"/>
      <c r="M87" s="616"/>
      <c r="N87" s="616"/>
      <c r="O87" s="617"/>
      <c r="P87" s="568"/>
      <c r="Q87" s="569"/>
      <c r="R87" s="16"/>
      <c r="S87" s="16"/>
      <c r="V87" s="16"/>
      <c r="W87" s="16"/>
      <c r="X87" s="16"/>
      <c r="Y87" s="16"/>
      <c r="Z87" s="16"/>
      <c r="AA87" s="16"/>
    </row>
    <row r="88" spans="1:30" ht="15.75" customHeight="1" thickTop="1">
      <c r="A88" s="15"/>
      <c r="B88" s="16"/>
      <c r="C88" s="16"/>
      <c r="D88" s="16"/>
      <c r="E88" s="16"/>
      <c r="F88" s="16"/>
      <c r="G88" s="16"/>
      <c r="H88" s="16"/>
      <c r="I88" s="16"/>
      <c r="J88" s="16"/>
      <c r="K88" s="16"/>
      <c r="L88" s="16"/>
      <c r="M88" s="16"/>
      <c r="N88" s="16"/>
      <c r="O88" s="16"/>
      <c r="P88" s="16"/>
      <c r="Q88" s="16"/>
      <c r="R88" s="16"/>
      <c r="S88" s="16"/>
      <c r="T88" s="16"/>
      <c r="U88" s="16"/>
      <c r="V88" s="16"/>
      <c r="W88" s="16"/>
      <c r="X88" s="16"/>
      <c r="Y88" s="16"/>
      <c r="Z88" s="16"/>
      <c r="AA88" s="16"/>
      <c r="AB88" s="16"/>
      <c r="AC88" s="16"/>
      <c r="AD88" s="16"/>
    </row>
    <row r="89" spans="1:30" ht="15.75" customHeight="1">
      <c r="A89" s="15"/>
      <c r="B89" s="16"/>
      <c r="C89" s="16"/>
      <c r="D89" s="16"/>
      <c r="E89" s="16"/>
      <c r="F89" s="16"/>
      <c r="G89" s="16"/>
      <c r="H89" s="16"/>
      <c r="I89" s="16"/>
      <c r="J89" s="16"/>
      <c r="K89" s="16"/>
      <c r="L89" s="16"/>
      <c r="M89" s="16"/>
      <c r="N89" s="16"/>
      <c r="O89" s="16"/>
      <c r="P89" s="16"/>
      <c r="Q89" s="16"/>
      <c r="R89" s="16"/>
      <c r="S89" s="16"/>
      <c r="T89" s="16"/>
      <c r="U89" s="16"/>
      <c r="V89" s="16"/>
      <c r="W89" s="16"/>
      <c r="X89" s="16"/>
      <c r="Y89" s="16"/>
      <c r="Z89" s="16"/>
      <c r="AA89" s="16"/>
      <c r="AB89" s="16"/>
      <c r="AC89" s="16"/>
      <c r="AD89" s="16"/>
    </row>
    <row r="90" spans="1:30" ht="15.75" customHeight="1" thickBot="1">
      <c r="A90" s="186" t="s">
        <v>519</v>
      </c>
      <c r="B90" s="16"/>
      <c r="C90" s="128"/>
      <c r="D90" s="51"/>
      <c r="E90" s="51"/>
      <c r="F90" s="51"/>
      <c r="G90" s="51"/>
      <c r="H90" s="51"/>
      <c r="I90" s="51"/>
      <c r="J90" s="51"/>
      <c r="K90" s="51"/>
      <c r="L90" s="129"/>
      <c r="M90" s="123"/>
      <c r="N90" s="16"/>
      <c r="O90" s="16"/>
      <c r="P90" s="16"/>
      <c r="Q90" s="16"/>
      <c r="R90" s="16"/>
      <c r="S90" s="16"/>
      <c r="T90" s="16"/>
      <c r="U90" s="16"/>
      <c r="V90" s="16"/>
      <c r="W90" s="16"/>
      <c r="X90" s="16"/>
      <c r="Y90" s="16"/>
      <c r="Z90" s="16"/>
      <c r="AA90" s="16"/>
      <c r="AB90" s="16"/>
      <c r="AC90" s="16"/>
      <c r="AD90" s="16"/>
    </row>
    <row r="91" spans="1:30" ht="15" customHeight="1" thickTop="1" thickBot="1">
      <c r="A91" s="230" t="s">
        <v>438</v>
      </c>
      <c r="B91" s="230" t="s">
        <v>439</v>
      </c>
      <c r="C91" s="230" t="s">
        <v>520</v>
      </c>
      <c r="D91" s="230" t="s">
        <v>521</v>
      </c>
      <c r="E91" s="230" t="s">
        <v>522</v>
      </c>
      <c r="F91" s="230" t="s">
        <v>523</v>
      </c>
      <c r="G91" s="230" t="s">
        <v>508</v>
      </c>
      <c r="H91" s="721" t="s">
        <v>441</v>
      </c>
      <c r="I91" s="728"/>
      <c r="J91" s="729" t="s">
        <v>434</v>
      </c>
      <c r="K91" s="730"/>
      <c r="L91" s="16"/>
      <c r="M91" s="16"/>
      <c r="N91" s="16"/>
      <c r="O91" s="16"/>
      <c r="P91" s="117"/>
      <c r="Q91" s="15"/>
      <c r="R91" s="16"/>
      <c r="S91" s="130"/>
      <c r="T91" s="16"/>
      <c r="U91" s="16"/>
      <c r="V91" s="16"/>
      <c r="W91" s="241"/>
      <c r="X91" s="16"/>
      <c r="Y91" s="16"/>
      <c r="Z91" s="16"/>
      <c r="AA91" s="16"/>
      <c r="AB91" s="16"/>
    </row>
    <row r="92" spans="1:30" ht="14.25" customHeight="1" thickTop="1">
      <c r="A92" s="244" t="s">
        <v>810</v>
      </c>
      <c r="B92" s="244" t="s">
        <v>687</v>
      </c>
      <c r="C92" s="401">
        <v>26</v>
      </c>
      <c r="D92" s="247">
        <v>1</v>
      </c>
      <c r="E92" s="245">
        <v>175</v>
      </c>
      <c r="F92" s="246">
        <f>IF(Table_6170333[[#This Row],[Item]]="",0,Table_6170333[[#This Row],[Amount]]*Table_6170333[[#This Row],[Purchase / Running costs]]/Table_6170333[[#This Row],[Depreciation period]])</f>
        <v>4550</v>
      </c>
      <c r="G92" s="247"/>
      <c r="H92" s="564"/>
      <c r="I92" s="750"/>
      <c r="J92" s="628" t="s">
        <v>526</v>
      </c>
      <c r="K92" s="730"/>
      <c r="L92" s="16"/>
      <c r="M92" s="16"/>
      <c r="N92" s="16"/>
      <c r="O92" s="16"/>
      <c r="P92" s="16"/>
      <c r="Q92" s="133"/>
      <c r="R92" s="16"/>
      <c r="S92" s="16"/>
      <c r="T92" s="16"/>
      <c r="U92" s="16"/>
      <c r="V92" s="16"/>
      <c r="W92" s="16"/>
      <c r="X92" s="16"/>
      <c r="Y92" s="16"/>
      <c r="Z92" s="16"/>
      <c r="AA92" s="16"/>
      <c r="AB92" s="16"/>
    </row>
    <row r="93" spans="1:30" ht="15.75" customHeight="1">
      <c r="A93" s="244" t="s">
        <v>811</v>
      </c>
      <c r="B93" s="244" t="s">
        <v>687</v>
      </c>
      <c r="C93" s="246">
        <v>9.25</v>
      </c>
      <c r="D93" s="247">
        <v>1</v>
      </c>
      <c r="E93" s="245">
        <v>40</v>
      </c>
      <c r="F93" s="246">
        <f>IF(Table_6170333[[#This Row],[Item]]="",0,Table_6170333[[#This Row],[Amount]]*Table_6170333[[#This Row],[Purchase / Running costs]]/Table_6170333[[#This Row],[Depreciation period]])</f>
        <v>370</v>
      </c>
      <c r="G93" s="247"/>
      <c r="H93" s="743"/>
      <c r="I93" s="751"/>
      <c r="J93" s="702"/>
      <c r="K93" s="732"/>
      <c r="L93" s="16"/>
      <c r="M93" s="16"/>
      <c r="N93" s="16"/>
      <c r="O93" s="16"/>
      <c r="P93" s="16"/>
      <c r="Q93" s="16"/>
      <c r="R93" s="16"/>
      <c r="S93" s="16"/>
      <c r="T93" s="16"/>
      <c r="U93" s="16"/>
      <c r="V93" s="16"/>
      <c r="W93" s="16"/>
      <c r="X93" s="16"/>
      <c r="Y93" s="16"/>
      <c r="Z93" s="16"/>
      <c r="AA93" s="16"/>
      <c r="AB93" s="16"/>
    </row>
    <row r="94" spans="1:30" ht="15.75" customHeight="1">
      <c r="A94" s="244" t="s">
        <v>812</v>
      </c>
      <c r="B94" s="244" t="s">
        <v>687</v>
      </c>
      <c r="C94" s="246">
        <v>50</v>
      </c>
      <c r="D94" s="247">
        <v>5</v>
      </c>
      <c r="E94" s="245">
        <v>3</v>
      </c>
      <c r="F94" s="246">
        <f>IF(Table_6170333[[#This Row],[Item]]="",0,Table_6170333[[#This Row],[Amount]]*Table_6170333[[#This Row],[Purchase / Running costs]]/Table_6170333[[#This Row],[Depreciation period]])</f>
        <v>30</v>
      </c>
      <c r="G94" s="247"/>
      <c r="H94" s="743"/>
      <c r="I94" s="751"/>
      <c r="J94" s="702"/>
      <c r="K94" s="732"/>
      <c r="L94" s="16"/>
      <c r="M94" s="16"/>
      <c r="N94" s="16"/>
      <c r="O94" s="16"/>
      <c r="P94" s="16"/>
      <c r="Q94" s="16"/>
      <c r="R94" s="16"/>
      <c r="S94" s="16"/>
      <c r="T94" s="16"/>
      <c r="U94" s="16"/>
      <c r="V94" s="16"/>
      <c r="W94" s="16"/>
      <c r="X94" s="16"/>
      <c r="Y94" s="16"/>
      <c r="Z94" s="16"/>
      <c r="AA94" s="16"/>
      <c r="AB94" s="16"/>
    </row>
    <row r="95" spans="1:30" ht="15.75" customHeight="1">
      <c r="A95" s="244" t="s">
        <v>813</v>
      </c>
      <c r="B95" s="244" t="s">
        <v>699</v>
      </c>
      <c r="C95" s="246">
        <v>20</v>
      </c>
      <c r="D95" s="247">
        <v>5</v>
      </c>
      <c r="E95" s="245">
        <v>20</v>
      </c>
      <c r="F95" s="246">
        <f>IF(Table_6170333[[#This Row],[Item]]="",0,Table_6170333[[#This Row],[Amount]]*Table_6170333[[#This Row],[Purchase / Running costs]]/Table_6170333[[#This Row],[Depreciation period]])</f>
        <v>80</v>
      </c>
      <c r="G95" s="247"/>
      <c r="H95" s="743"/>
      <c r="I95" s="751"/>
      <c r="J95" s="702"/>
      <c r="K95" s="732"/>
      <c r="L95" s="16"/>
      <c r="M95" s="16"/>
      <c r="N95" s="16"/>
      <c r="O95" s="16"/>
      <c r="P95" s="16"/>
      <c r="Q95" s="16"/>
      <c r="R95" s="16"/>
      <c r="S95" s="16"/>
      <c r="T95" s="16"/>
      <c r="U95" s="16"/>
      <c r="V95" s="16"/>
      <c r="W95" s="16"/>
      <c r="X95" s="16"/>
      <c r="Y95" s="16"/>
      <c r="Z95" s="16"/>
      <c r="AA95" s="16"/>
      <c r="AB95" s="16"/>
    </row>
    <row r="96" spans="1:30" ht="15.75" customHeight="1">
      <c r="A96" s="244" t="s">
        <v>814</v>
      </c>
      <c r="B96" s="244" t="s">
        <v>699</v>
      </c>
      <c r="C96" s="246">
        <v>2</v>
      </c>
      <c r="D96" s="247">
        <v>2</v>
      </c>
      <c r="E96" s="245">
        <v>20</v>
      </c>
      <c r="F96" s="246">
        <f>IF(Table_6170333[[#This Row],[Item]]="",0,Table_6170333[[#This Row],[Amount]]*Table_6170333[[#This Row],[Purchase / Running costs]]/Table_6170333[[#This Row],[Depreciation period]])</f>
        <v>20</v>
      </c>
      <c r="G96" s="247"/>
      <c r="H96" s="743"/>
      <c r="I96" s="751"/>
      <c r="J96" s="702"/>
      <c r="K96" s="732"/>
      <c r="L96" s="16"/>
      <c r="M96" s="16"/>
      <c r="N96" s="16"/>
      <c r="O96" s="16"/>
      <c r="P96" s="16"/>
      <c r="Q96" s="16"/>
      <c r="R96" s="16"/>
      <c r="S96" s="16"/>
      <c r="T96" s="16"/>
      <c r="U96" s="16"/>
      <c r="V96" s="16"/>
      <c r="W96" s="16"/>
      <c r="X96" s="16"/>
      <c r="Y96" s="16"/>
      <c r="Z96" s="16"/>
      <c r="AA96" s="16"/>
      <c r="AB96" s="16"/>
    </row>
    <row r="97" spans="1:30" ht="15.75" customHeight="1">
      <c r="A97" s="231"/>
      <c r="B97" s="248"/>
      <c r="C97" s="246">
        <v>0</v>
      </c>
      <c r="D97" s="247"/>
      <c r="E97" s="245"/>
      <c r="F97" s="246">
        <f>IF(Table_6170333[[#This Row],[Item]]="",0,Table_6170333[[#This Row],[Amount]]*Table_6170333[[#This Row],[Purchase / Running costs]]/Table_6170333[[#This Row],[Depreciation period]])</f>
        <v>0</v>
      </c>
      <c r="G97" s="247"/>
      <c r="H97" s="743"/>
      <c r="I97" s="751"/>
      <c r="J97" s="702"/>
      <c r="K97" s="732"/>
      <c r="L97" s="16"/>
      <c r="M97" s="16"/>
      <c r="N97" s="16"/>
      <c r="O97" s="16"/>
      <c r="P97" s="16"/>
      <c r="Q97" s="16"/>
      <c r="R97" s="16"/>
      <c r="S97" s="16"/>
      <c r="T97" s="16"/>
      <c r="U97" s="16"/>
      <c r="V97" s="16"/>
      <c r="W97" s="16"/>
      <c r="X97" s="16"/>
      <c r="Y97" s="16"/>
      <c r="Z97" s="16"/>
      <c r="AA97" s="16"/>
      <c r="AB97" s="16"/>
    </row>
    <row r="98" spans="1:30" ht="15.75" customHeight="1">
      <c r="A98" s="231"/>
      <c r="B98" s="244"/>
      <c r="C98" s="246">
        <v>0</v>
      </c>
      <c r="D98" s="247"/>
      <c r="E98" s="245"/>
      <c r="F98" s="246">
        <f>IF(Table_6170333[[#This Row],[Item]]="",0,Table_6170333[[#This Row],[Amount]]*Table_6170333[[#This Row],[Purchase / Running costs]]/Table_6170333[[#This Row],[Depreciation period]])</f>
        <v>0</v>
      </c>
      <c r="G98" s="247"/>
      <c r="H98" s="743"/>
      <c r="I98" s="751"/>
      <c r="J98" s="702"/>
      <c r="K98" s="732"/>
      <c r="L98" s="16"/>
      <c r="M98" s="16"/>
      <c r="N98" s="16"/>
      <c r="O98" s="16"/>
      <c r="P98" s="16"/>
      <c r="Q98" s="16"/>
      <c r="R98" s="16"/>
      <c r="S98" s="16"/>
      <c r="T98" s="16"/>
      <c r="U98" s="16"/>
      <c r="V98" s="16"/>
      <c r="W98" s="16"/>
      <c r="X98" s="16"/>
      <c r="Y98" s="16"/>
      <c r="Z98" s="16"/>
      <c r="AA98" s="16"/>
      <c r="AB98" s="16"/>
    </row>
    <row r="99" spans="1:30" ht="15.75" customHeight="1">
      <c r="A99" s="231"/>
      <c r="B99" s="244"/>
      <c r="C99" s="246">
        <v>0</v>
      </c>
      <c r="D99" s="247"/>
      <c r="E99" s="245"/>
      <c r="F99" s="246">
        <f>IF(Table_6170333[[#This Row],[Item]]="",0,Table_6170333[[#This Row],[Amount]]*Table_6170333[[#This Row],[Purchase / Running costs]]/Table_6170333[[#This Row],[Depreciation period]])</f>
        <v>0</v>
      </c>
      <c r="G99" s="247"/>
      <c r="H99" s="743"/>
      <c r="I99" s="751"/>
      <c r="J99" s="702"/>
      <c r="K99" s="732"/>
      <c r="L99" s="16"/>
      <c r="M99" s="16"/>
      <c r="N99" s="16"/>
      <c r="O99" s="16"/>
      <c r="P99" s="16"/>
      <c r="Q99" s="16"/>
      <c r="R99" s="16"/>
      <c r="S99" s="16"/>
      <c r="T99" s="16"/>
      <c r="U99" s="16"/>
      <c r="V99" s="16"/>
      <c r="W99" s="16"/>
      <c r="X99" s="16"/>
      <c r="Y99" s="16"/>
      <c r="Z99" s="16"/>
      <c r="AA99" s="16"/>
      <c r="AB99" s="16"/>
    </row>
    <row r="100" spans="1:30" ht="15.75" customHeight="1">
      <c r="A100" s="231"/>
      <c r="B100" s="244"/>
      <c r="C100" s="246">
        <v>0</v>
      </c>
      <c r="D100" s="247"/>
      <c r="E100" s="245"/>
      <c r="F100" s="246">
        <f>IF(Table_6170333[[#This Row],[Item]]="",0,Table_6170333[[#This Row],[Amount]]*Table_6170333[[#This Row],[Purchase / Running costs]]/Table_6170333[[#This Row],[Depreciation period]])</f>
        <v>0</v>
      </c>
      <c r="G100" s="247"/>
      <c r="H100" s="743"/>
      <c r="I100" s="751"/>
      <c r="J100" s="702"/>
      <c r="K100" s="732"/>
      <c r="L100" s="16"/>
      <c r="M100" s="16"/>
      <c r="N100" s="16"/>
      <c r="O100" s="16"/>
      <c r="P100" s="16"/>
      <c r="Q100" s="16"/>
      <c r="R100" s="16"/>
      <c r="S100" s="16"/>
      <c r="T100" s="16"/>
      <c r="U100" s="16"/>
      <c r="V100" s="16"/>
      <c r="W100" s="16"/>
      <c r="X100" s="16"/>
      <c r="Y100" s="16"/>
      <c r="Z100" s="16"/>
      <c r="AA100" s="16"/>
      <c r="AB100" s="16"/>
    </row>
    <row r="101" spans="1:30" ht="15.75" customHeight="1">
      <c r="A101" s="231"/>
      <c r="B101" s="244"/>
      <c r="C101" s="246">
        <v>0</v>
      </c>
      <c r="D101" s="247"/>
      <c r="E101" s="245"/>
      <c r="F101" s="246">
        <f>IF(Table_6170333[[#This Row],[Item]]="",0,Table_6170333[[#This Row],[Amount]]*Table_6170333[[#This Row],[Purchase / Running costs]]/Table_6170333[[#This Row],[Depreciation period]])</f>
        <v>0</v>
      </c>
      <c r="G101" s="247"/>
      <c r="H101" s="743"/>
      <c r="I101" s="751"/>
      <c r="J101" s="702"/>
      <c r="K101" s="732"/>
      <c r="L101" s="16"/>
      <c r="M101" s="16"/>
      <c r="N101" s="16"/>
      <c r="O101" s="16"/>
      <c r="P101" s="16"/>
      <c r="Q101" s="16"/>
      <c r="R101" s="16"/>
      <c r="S101" s="16"/>
      <c r="T101" s="16"/>
      <c r="U101" s="16"/>
      <c r="V101" s="16"/>
      <c r="W101" s="16"/>
      <c r="X101" s="16"/>
      <c r="Y101" s="16"/>
      <c r="Z101" s="16"/>
      <c r="AA101" s="16"/>
      <c r="AB101" s="16"/>
    </row>
    <row r="102" spans="1:30" ht="15.75" customHeight="1">
      <c r="A102" s="231"/>
      <c r="B102" s="244"/>
      <c r="C102" s="246">
        <v>0</v>
      </c>
      <c r="D102" s="247"/>
      <c r="E102" s="245"/>
      <c r="F102" s="246">
        <f>IF(Table_6170333[[#This Row],[Item]]="",0,Table_6170333[[#This Row],[Amount]]*Table_6170333[[#This Row],[Purchase / Running costs]]/Table_6170333[[#This Row],[Depreciation period]])</f>
        <v>0</v>
      </c>
      <c r="G102" s="247"/>
      <c r="H102" s="743"/>
      <c r="I102" s="751"/>
      <c r="J102" s="702"/>
      <c r="K102" s="732"/>
      <c r="L102" s="16"/>
      <c r="M102" s="16"/>
      <c r="N102" s="16"/>
      <c r="O102" s="16"/>
      <c r="P102" s="16"/>
      <c r="Q102" s="16"/>
      <c r="R102" s="16"/>
      <c r="S102" s="16"/>
      <c r="T102" s="16"/>
      <c r="U102" s="16"/>
      <c r="V102" s="16"/>
      <c r="W102" s="16"/>
      <c r="X102" s="16"/>
      <c r="Y102" s="16"/>
      <c r="Z102" s="16"/>
      <c r="AA102" s="16"/>
      <c r="AB102" s="16"/>
    </row>
    <row r="103" spans="1:30" ht="15.75" customHeight="1">
      <c r="A103" s="231"/>
      <c r="B103" s="244"/>
      <c r="C103" s="246">
        <v>0</v>
      </c>
      <c r="D103" s="247"/>
      <c r="E103" s="245"/>
      <c r="F103" s="246">
        <f>IF(Table_6170333[[#This Row],[Item]]="",0,Table_6170333[[#This Row],[Amount]]*Table_6170333[[#This Row],[Purchase / Running costs]]/Table_6170333[[#This Row],[Depreciation period]])</f>
        <v>0</v>
      </c>
      <c r="G103" s="247"/>
      <c r="H103" s="743"/>
      <c r="I103" s="751"/>
      <c r="J103" s="702"/>
      <c r="K103" s="732"/>
      <c r="L103" s="16"/>
      <c r="M103" s="16"/>
      <c r="N103" s="16"/>
      <c r="O103" s="16"/>
      <c r="P103" s="16"/>
      <c r="Q103" s="16"/>
      <c r="R103" s="16"/>
      <c r="S103" s="16"/>
      <c r="T103" s="16"/>
      <c r="U103" s="16"/>
      <c r="V103" s="16"/>
      <c r="W103" s="16"/>
      <c r="X103" s="16"/>
      <c r="Y103" s="16"/>
      <c r="Z103" s="16"/>
      <c r="AA103" s="16"/>
      <c r="AB103" s="16"/>
    </row>
    <row r="104" spans="1:30" ht="15.75" customHeight="1">
      <c r="A104" s="231"/>
      <c r="B104" s="244"/>
      <c r="C104" s="246">
        <v>0</v>
      </c>
      <c r="D104" s="247"/>
      <c r="E104" s="245"/>
      <c r="F104" s="246">
        <f>IF(Table_6170333[[#This Row],[Item]]="",0,Table_6170333[[#This Row],[Amount]]*Table_6170333[[#This Row],[Purchase / Running costs]]/Table_6170333[[#This Row],[Depreciation period]])</f>
        <v>0</v>
      </c>
      <c r="G104" s="247"/>
      <c r="H104" s="743"/>
      <c r="I104" s="751"/>
      <c r="J104" s="702"/>
      <c r="K104" s="732"/>
      <c r="L104" s="16"/>
      <c r="M104" s="16"/>
      <c r="N104" s="16"/>
      <c r="O104" s="16"/>
      <c r="P104" s="16"/>
      <c r="Q104" s="16"/>
      <c r="R104" s="16"/>
      <c r="S104" s="16"/>
      <c r="T104" s="16"/>
      <c r="U104" s="16"/>
      <c r="V104" s="16"/>
      <c r="W104" s="16"/>
      <c r="X104" s="16"/>
      <c r="Y104" s="16"/>
      <c r="Z104" s="16"/>
      <c r="AA104" s="16"/>
      <c r="AB104" s="16"/>
    </row>
    <row r="105" spans="1:30" ht="15.75" customHeight="1" thickBot="1">
      <c r="A105" s="231"/>
      <c r="B105" s="244"/>
      <c r="C105" s="246">
        <v>0</v>
      </c>
      <c r="D105" s="247"/>
      <c r="E105" s="245"/>
      <c r="F105" s="246">
        <f>IF(Table_6170333[[#This Row],[Item]]="",0,Table_6170333[[#This Row],[Amount]]*Table_6170333[[#This Row],[Purchase / Running costs]]/Table_6170333[[#This Row],[Depreciation period]])</f>
        <v>0</v>
      </c>
      <c r="G105" s="247"/>
      <c r="H105" s="746"/>
      <c r="I105" s="748"/>
      <c r="J105" s="752"/>
      <c r="K105" s="734"/>
      <c r="L105" s="16"/>
      <c r="M105" s="16"/>
      <c r="N105" s="16"/>
      <c r="O105" s="16"/>
      <c r="P105" s="16"/>
      <c r="Q105" s="16"/>
      <c r="R105" s="16"/>
      <c r="S105" s="16"/>
      <c r="T105" s="16"/>
      <c r="U105" s="16"/>
      <c r="V105" s="16"/>
      <c r="W105" s="16"/>
      <c r="X105" s="16"/>
      <c r="Y105" s="16"/>
      <c r="Z105" s="16"/>
      <c r="AA105" s="16"/>
      <c r="AB105" s="16"/>
    </row>
    <row r="106" spans="1:30" ht="15.75" customHeight="1" thickTop="1">
      <c r="A106" s="15"/>
      <c r="B106" s="131"/>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c r="AD106" s="16"/>
    </row>
    <row r="107" spans="1:30" ht="15.75" customHeight="1">
      <c r="A107" s="15"/>
      <c r="B107" s="131"/>
      <c r="C107" s="16"/>
      <c r="D107" s="16"/>
      <c r="E107" s="16"/>
      <c r="F107" s="16"/>
      <c r="G107" s="16"/>
      <c r="I107" s="16"/>
      <c r="J107" s="16"/>
      <c r="K107" s="16"/>
      <c r="L107" s="16"/>
      <c r="M107" s="16"/>
      <c r="N107" s="16"/>
      <c r="O107" s="16"/>
      <c r="P107" s="16"/>
      <c r="Q107" s="16"/>
      <c r="R107" s="16"/>
      <c r="S107" s="16"/>
      <c r="T107" s="16"/>
      <c r="U107" s="16"/>
      <c r="V107" s="16"/>
      <c r="W107" s="16"/>
      <c r="X107" s="16"/>
      <c r="Y107" s="16"/>
      <c r="Z107" s="16"/>
      <c r="AA107" s="16"/>
      <c r="AB107" s="16"/>
      <c r="AC107" s="16"/>
      <c r="AD107" s="16"/>
    </row>
    <row r="108" spans="1:30" ht="15.75" customHeight="1">
      <c r="H108" s="51"/>
      <c r="I108" s="51"/>
      <c r="J108" s="51"/>
      <c r="K108" s="51"/>
      <c r="L108" s="16"/>
      <c r="M108" s="16"/>
      <c r="N108" s="16"/>
      <c r="O108" s="16"/>
      <c r="P108" s="16"/>
      <c r="Q108" s="16"/>
      <c r="R108" s="16"/>
      <c r="S108" s="16"/>
      <c r="T108" s="16"/>
      <c r="U108" s="16"/>
      <c r="V108" s="16"/>
      <c r="W108" s="16"/>
      <c r="X108" s="16"/>
      <c r="Y108" s="16"/>
      <c r="Z108" s="16"/>
      <c r="AA108" s="16"/>
      <c r="AB108" s="16"/>
      <c r="AC108" s="16"/>
      <c r="AD108" s="16"/>
    </row>
    <row r="109" spans="1:30" ht="15.75" customHeight="1">
      <c r="L109" s="16"/>
      <c r="M109" s="16"/>
      <c r="N109" s="16"/>
      <c r="O109" s="16"/>
      <c r="P109" s="16"/>
      <c r="Q109" s="16"/>
      <c r="R109" s="16"/>
      <c r="S109" s="16"/>
      <c r="T109" s="16"/>
      <c r="U109" s="16"/>
      <c r="V109" s="16"/>
      <c r="W109" s="16"/>
      <c r="X109" s="16"/>
      <c r="Y109" s="16"/>
      <c r="Z109" s="16"/>
      <c r="AA109" s="16"/>
      <c r="AB109" s="16"/>
      <c r="AC109" s="16"/>
      <c r="AD109" s="16"/>
    </row>
    <row r="110" spans="1:30" ht="15.75" customHeight="1">
      <c r="L110" s="16"/>
      <c r="M110" s="16"/>
      <c r="N110" s="16"/>
      <c r="O110" s="16"/>
      <c r="P110" s="16"/>
      <c r="Q110" s="16"/>
      <c r="R110" s="16"/>
      <c r="S110" s="16"/>
      <c r="T110" s="16"/>
      <c r="U110" s="16"/>
      <c r="V110" s="16"/>
      <c r="W110" s="16"/>
      <c r="X110" s="16"/>
      <c r="Y110" s="16"/>
      <c r="Z110" s="16"/>
      <c r="AA110" s="16"/>
      <c r="AB110" s="16"/>
      <c r="AC110" s="16"/>
      <c r="AD110" s="16"/>
    </row>
    <row r="111" spans="1:30" ht="15.75" customHeight="1">
      <c r="L111" s="16"/>
      <c r="M111" s="16"/>
      <c r="N111" s="16"/>
      <c r="O111" s="16"/>
      <c r="P111" s="16"/>
      <c r="Q111" s="16"/>
      <c r="R111" s="16"/>
      <c r="S111" s="16"/>
      <c r="T111" s="16"/>
      <c r="U111" s="16"/>
      <c r="V111" s="16"/>
      <c r="W111" s="16"/>
      <c r="X111" s="16"/>
      <c r="Y111" s="16"/>
      <c r="Z111" s="16"/>
      <c r="AA111" s="16"/>
      <c r="AB111" s="16"/>
      <c r="AC111" s="16"/>
      <c r="AD111" s="16"/>
    </row>
    <row r="112" spans="1:30" ht="15.75" customHeight="1">
      <c r="L112" s="16"/>
      <c r="M112" s="16"/>
      <c r="N112" s="16"/>
      <c r="O112" s="16"/>
      <c r="P112" s="16"/>
      <c r="Q112" s="16"/>
      <c r="R112" s="16"/>
      <c r="S112" s="16"/>
      <c r="T112" s="16"/>
      <c r="U112" s="16"/>
      <c r="V112" s="16"/>
      <c r="W112" s="16"/>
      <c r="X112" s="16"/>
      <c r="Y112" s="16"/>
      <c r="Z112" s="16"/>
      <c r="AA112" s="16"/>
      <c r="AB112" s="16"/>
      <c r="AC112" s="16"/>
      <c r="AD112" s="16"/>
    </row>
    <row r="113" spans="1:30" ht="15.75" customHeight="1">
      <c r="L113" s="16"/>
      <c r="M113" s="16"/>
      <c r="N113" s="16"/>
      <c r="O113" s="16"/>
      <c r="P113" s="16"/>
      <c r="Q113" s="16"/>
      <c r="R113" s="16"/>
      <c r="S113" s="16"/>
      <c r="T113" s="16"/>
      <c r="U113" s="16"/>
      <c r="V113" s="16"/>
      <c r="W113" s="16"/>
      <c r="X113" s="16"/>
      <c r="Y113" s="16"/>
      <c r="Z113" s="16"/>
      <c r="AA113" s="16"/>
      <c r="AB113" s="16"/>
      <c r="AC113" s="16"/>
      <c r="AD113" s="16"/>
    </row>
    <row r="114" spans="1:30" ht="15.75" customHeight="1">
      <c r="L114" s="16"/>
      <c r="M114" s="16"/>
      <c r="N114" s="16"/>
      <c r="O114" s="16"/>
      <c r="P114" s="16"/>
      <c r="Q114" s="16"/>
      <c r="R114" s="16"/>
      <c r="S114" s="16"/>
      <c r="T114" s="16"/>
      <c r="U114" s="16"/>
      <c r="V114" s="16"/>
      <c r="W114" s="16"/>
      <c r="X114" s="16"/>
      <c r="Y114" s="16"/>
      <c r="Z114" s="16"/>
      <c r="AA114" s="16"/>
      <c r="AB114" s="16"/>
      <c r="AC114" s="16"/>
      <c r="AD114" s="16"/>
    </row>
    <row r="115" spans="1:30" ht="15.75" customHeight="1">
      <c r="L115" s="16"/>
      <c r="M115" s="16"/>
      <c r="N115" s="16"/>
      <c r="O115" s="16"/>
      <c r="P115" s="735"/>
      <c r="Q115" s="696"/>
      <c r="R115" s="696"/>
      <c r="S115" s="16"/>
      <c r="T115" s="16"/>
      <c r="U115" s="16"/>
      <c r="V115" s="16"/>
      <c r="W115" s="16"/>
      <c r="X115" s="16"/>
      <c r="Y115" s="16"/>
      <c r="Z115" s="16"/>
      <c r="AA115" s="16"/>
      <c r="AB115" s="16"/>
      <c r="AC115" s="16"/>
      <c r="AD115" s="16"/>
    </row>
    <row r="116" spans="1:30" ht="15.75" customHeight="1">
      <c r="L116" s="16"/>
      <c r="M116" s="16"/>
      <c r="N116" s="16"/>
      <c r="O116" s="16"/>
      <c r="P116" s="735"/>
      <c r="Q116" s="696"/>
      <c r="R116" s="696"/>
      <c r="S116" s="16"/>
      <c r="T116" s="16"/>
      <c r="U116" s="16"/>
      <c r="V116" s="16"/>
      <c r="W116" s="16"/>
      <c r="X116" s="16"/>
      <c r="Y116" s="16"/>
      <c r="Z116" s="16"/>
      <c r="AA116" s="16"/>
      <c r="AB116" s="16"/>
      <c r="AC116" s="16"/>
      <c r="AD116" s="16"/>
    </row>
    <row r="117" spans="1:30" ht="15.75" customHeight="1">
      <c r="L117" s="16"/>
      <c r="M117" s="16"/>
      <c r="N117" s="16"/>
      <c r="O117" s="16"/>
      <c r="P117" s="735"/>
      <c r="Q117" s="696"/>
      <c r="R117" s="696"/>
      <c r="S117" s="16"/>
      <c r="T117" s="16"/>
      <c r="U117" s="16"/>
      <c r="V117" s="16"/>
      <c r="W117" s="16"/>
      <c r="X117" s="16"/>
      <c r="Y117" s="16"/>
      <c r="Z117" s="16"/>
      <c r="AA117" s="16"/>
      <c r="AB117" s="16"/>
      <c r="AC117" s="16"/>
      <c r="AD117" s="16"/>
    </row>
    <row r="118" spans="1:30" ht="15.75" customHeight="1">
      <c r="L118" s="16"/>
      <c r="M118" s="16"/>
      <c r="N118" s="16"/>
      <c r="O118" s="16"/>
      <c r="P118" s="735"/>
      <c r="Q118" s="696"/>
      <c r="R118" s="696"/>
      <c r="S118" s="16"/>
      <c r="T118" s="16"/>
      <c r="U118" s="16"/>
      <c r="V118" s="16"/>
      <c r="W118" s="16"/>
      <c r="X118" s="16"/>
      <c r="Y118" s="16"/>
      <c r="Z118" s="16"/>
      <c r="AA118" s="16"/>
      <c r="AB118" s="16"/>
      <c r="AC118" s="16"/>
      <c r="AD118" s="16"/>
    </row>
    <row r="119" spans="1:30" ht="15.75" customHeight="1">
      <c r="L119" s="16"/>
      <c r="M119" s="16"/>
      <c r="N119" s="16"/>
      <c r="O119" s="16"/>
      <c r="P119" s="735"/>
      <c r="Q119" s="696"/>
      <c r="R119" s="696"/>
      <c r="S119" s="16"/>
      <c r="T119" s="16"/>
      <c r="U119" s="16"/>
      <c r="V119" s="16"/>
      <c r="W119" s="16"/>
      <c r="X119" s="16"/>
      <c r="Y119" s="16"/>
      <c r="Z119" s="16"/>
      <c r="AA119" s="16"/>
      <c r="AB119" s="16"/>
      <c r="AC119" s="16"/>
      <c r="AD119" s="16"/>
    </row>
    <row r="120" spans="1:30" ht="15.75" customHeight="1">
      <c r="L120" s="16"/>
      <c r="M120" s="16"/>
      <c r="N120" s="16"/>
      <c r="O120" s="16"/>
      <c r="P120" s="735"/>
      <c r="Q120" s="696"/>
      <c r="R120" s="696"/>
      <c r="S120" s="16"/>
      <c r="T120" s="16"/>
      <c r="U120" s="16"/>
      <c r="V120" s="16"/>
      <c r="W120" s="16"/>
      <c r="X120" s="16"/>
      <c r="Y120" s="16"/>
      <c r="Z120" s="16"/>
      <c r="AA120" s="16"/>
      <c r="AB120" s="16"/>
      <c r="AC120" s="16"/>
      <c r="AD120" s="16"/>
    </row>
    <row r="121" spans="1:30" ht="15.75" customHeight="1">
      <c r="H121" s="248"/>
      <c r="I121" s="248"/>
      <c r="J121" s="228"/>
      <c r="K121" s="228"/>
      <c r="L121" s="16"/>
      <c r="M121" s="16"/>
      <c r="N121" s="16"/>
      <c r="O121" s="16"/>
      <c r="P121" s="735"/>
      <c r="Q121" s="696"/>
      <c r="R121" s="696"/>
      <c r="S121" s="16"/>
      <c r="T121" s="16"/>
      <c r="U121" s="16"/>
      <c r="V121" s="16"/>
      <c r="W121" s="16"/>
      <c r="X121" s="16"/>
      <c r="Y121" s="16"/>
      <c r="Z121" s="16"/>
      <c r="AA121" s="16"/>
      <c r="AB121" s="16"/>
      <c r="AC121" s="16"/>
      <c r="AD121" s="16"/>
    </row>
    <row r="122" spans="1:30" ht="15.75" customHeight="1">
      <c r="A122" s="231"/>
      <c r="B122" s="231"/>
      <c r="C122" s="246"/>
      <c r="D122" s="247"/>
      <c r="E122" s="245"/>
      <c r="F122" s="246"/>
      <c r="G122" s="247"/>
      <c r="H122" s="248"/>
      <c r="I122" s="248"/>
      <c r="J122" s="228"/>
      <c r="K122" s="228"/>
      <c r="L122" s="16"/>
      <c r="M122" s="16"/>
      <c r="N122" s="16"/>
      <c r="O122" s="16"/>
      <c r="P122" s="16"/>
      <c r="Q122" s="16"/>
      <c r="R122" s="16"/>
      <c r="S122" s="16"/>
      <c r="T122" s="16"/>
      <c r="U122" s="16"/>
      <c r="V122" s="16"/>
      <c r="W122" s="16"/>
      <c r="X122" s="16"/>
      <c r="Y122" s="16"/>
      <c r="Z122" s="16"/>
      <c r="AA122" s="16"/>
      <c r="AB122" s="16"/>
      <c r="AC122" s="16"/>
      <c r="AD122" s="16"/>
    </row>
    <row r="123" spans="1:30" ht="15.75" customHeight="1">
      <c r="A123" s="231"/>
      <c r="B123" s="16"/>
      <c r="C123" s="246"/>
      <c r="D123" s="247"/>
      <c r="E123" s="245"/>
      <c r="F123" s="246"/>
      <c r="G123" s="247"/>
      <c r="H123" s="228"/>
      <c r="I123" s="228"/>
      <c r="J123" s="228"/>
      <c r="K123" s="228"/>
      <c r="L123" s="16"/>
      <c r="M123" s="735"/>
      <c r="N123" s="696"/>
      <c r="O123" s="696"/>
      <c r="P123" s="735"/>
      <c r="Q123" s="696"/>
      <c r="R123" s="696"/>
      <c r="S123" s="696"/>
      <c r="T123" s="696"/>
      <c r="U123" s="16"/>
      <c r="V123" s="16"/>
      <c r="W123" s="16"/>
      <c r="X123" s="16"/>
      <c r="Y123" s="16"/>
      <c r="Z123" s="16"/>
      <c r="AA123" s="16"/>
      <c r="AB123" s="16"/>
      <c r="AC123" s="16"/>
      <c r="AD123" s="16"/>
    </row>
    <row r="124" spans="1:30" ht="15.75" customHeight="1">
      <c r="A124" s="16"/>
      <c r="B124" s="16"/>
      <c r="C124" s="16"/>
      <c r="D124" s="16"/>
      <c r="E124" s="16"/>
      <c r="F124" s="16"/>
      <c r="G124" s="16"/>
      <c r="H124" s="16"/>
      <c r="I124" s="16"/>
      <c r="J124" s="16"/>
      <c r="K124" s="16"/>
      <c r="L124" s="16"/>
      <c r="M124" s="735"/>
      <c r="N124" s="696"/>
      <c r="O124" s="696"/>
      <c r="P124" s="735"/>
      <c r="Q124" s="696"/>
      <c r="R124" s="696"/>
      <c r="S124" s="696"/>
      <c r="T124" s="696"/>
      <c r="U124" s="16"/>
      <c r="V124" s="16"/>
      <c r="W124" s="16"/>
      <c r="X124" s="16"/>
      <c r="Y124" s="16"/>
      <c r="Z124" s="16"/>
      <c r="AA124" s="16"/>
      <c r="AB124" s="16"/>
      <c r="AC124" s="16"/>
      <c r="AD124" s="16"/>
    </row>
    <row r="125" spans="1:30" ht="15.75" customHeight="1">
      <c r="A125" s="16"/>
      <c r="B125" s="16"/>
      <c r="C125" s="16"/>
      <c r="D125" s="16"/>
      <c r="E125" s="16"/>
      <c r="F125" s="16"/>
      <c r="G125" s="16"/>
      <c r="H125" s="16"/>
      <c r="I125" s="16"/>
      <c r="J125" s="16"/>
      <c r="K125" s="16"/>
      <c r="L125" s="16"/>
      <c r="M125" s="735"/>
      <c r="N125" s="696"/>
      <c r="O125" s="696"/>
      <c r="P125" s="696"/>
      <c r="Q125" s="696"/>
      <c r="R125" s="696"/>
      <c r="S125" s="696"/>
      <c r="T125" s="696"/>
      <c r="U125" s="16"/>
      <c r="V125" s="16"/>
      <c r="W125" s="16"/>
      <c r="X125" s="16"/>
      <c r="Y125" s="16"/>
      <c r="Z125" s="16"/>
      <c r="AA125" s="16"/>
      <c r="AB125" s="16"/>
      <c r="AC125" s="16"/>
      <c r="AD125" s="16"/>
    </row>
    <row r="126" spans="1:30" ht="15.75" customHeight="1">
      <c r="A126" s="16"/>
      <c r="B126" s="16"/>
      <c r="C126" s="16"/>
      <c r="D126" s="16"/>
      <c r="E126" s="16"/>
      <c r="F126" s="16"/>
      <c r="G126" s="16"/>
      <c r="H126" s="16"/>
      <c r="I126" s="16"/>
      <c r="J126" s="16"/>
      <c r="K126" s="16"/>
      <c r="L126" s="16"/>
      <c r="M126" s="735"/>
      <c r="N126" s="696"/>
      <c r="O126" s="696"/>
      <c r="P126" s="696"/>
      <c r="Q126" s="696"/>
      <c r="R126" s="696"/>
      <c r="S126" s="696"/>
      <c r="T126" s="696"/>
      <c r="U126" s="16"/>
      <c r="V126" s="16"/>
      <c r="W126" s="16"/>
      <c r="X126" s="16"/>
      <c r="Y126" s="16"/>
      <c r="Z126" s="16"/>
      <c r="AA126" s="16"/>
      <c r="AB126" s="16"/>
      <c r="AC126" s="16"/>
      <c r="AD126" s="16"/>
    </row>
    <row r="127" spans="1:30" ht="15.75" customHeight="1">
      <c r="A127" s="16"/>
      <c r="B127" s="16"/>
      <c r="C127" s="16"/>
      <c r="D127" s="16"/>
      <c r="E127" s="16"/>
      <c r="F127" s="16"/>
      <c r="G127" s="16"/>
      <c r="H127" s="16"/>
      <c r="I127" s="16"/>
      <c r="J127" s="16"/>
      <c r="K127" s="16"/>
      <c r="L127" s="16"/>
      <c r="M127" s="735"/>
      <c r="N127" s="696"/>
      <c r="O127" s="696"/>
      <c r="P127" s="696"/>
      <c r="Q127" s="696"/>
      <c r="R127" s="696"/>
      <c r="S127" s="696"/>
      <c r="T127" s="696"/>
      <c r="U127" s="16"/>
      <c r="V127" s="16"/>
      <c r="W127" s="16"/>
      <c r="X127" s="16"/>
      <c r="Y127" s="16"/>
      <c r="Z127" s="16"/>
      <c r="AA127" s="16"/>
      <c r="AB127" s="16"/>
      <c r="AC127" s="16"/>
      <c r="AD127" s="16"/>
    </row>
    <row r="128" spans="1:30" ht="15.75" customHeight="1">
      <c r="A128" s="16"/>
      <c r="B128" s="16"/>
      <c r="C128" s="16"/>
      <c r="D128" s="16"/>
      <c r="E128" s="16"/>
      <c r="F128" s="16"/>
      <c r="G128" s="16"/>
      <c r="H128" s="16"/>
      <c r="I128" s="16"/>
      <c r="J128" s="16"/>
      <c r="K128" s="16"/>
      <c r="L128" s="16"/>
      <c r="M128" s="735"/>
      <c r="N128" s="696"/>
      <c r="O128" s="696"/>
      <c r="P128" s="696"/>
      <c r="Q128" s="696"/>
      <c r="R128" s="696"/>
      <c r="S128" s="696"/>
      <c r="T128" s="696"/>
      <c r="U128" s="16"/>
      <c r="V128" s="16"/>
      <c r="W128" s="16"/>
      <c r="X128" s="16"/>
      <c r="Y128" s="16"/>
      <c r="Z128" s="16"/>
      <c r="AA128" s="16"/>
      <c r="AB128" s="16"/>
      <c r="AC128" s="16"/>
      <c r="AD128" s="16"/>
    </row>
    <row r="129" spans="1:30" ht="15.75" customHeight="1">
      <c r="A129" s="16"/>
      <c r="B129" s="16"/>
      <c r="C129" s="16"/>
      <c r="D129" s="16"/>
      <c r="E129" s="16"/>
      <c r="F129" s="16"/>
      <c r="G129" s="16"/>
      <c r="H129" s="16"/>
      <c r="I129" s="16"/>
      <c r="J129" s="16"/>
      <c r="K129" s="16"/>
      <c r="L129" s="16"/>
      <c r="M129" s="735"/>
      <c r="N129" s="696"/>
      <c r="O129" s="696"/>
      <c r="P129" s="696"/>
      <c r="Q129" s="696"/>
      <c r="R129" s="696"/>
      <c r="S129" s="696"/>
      <c r="T129" s="696"/>
      <c r="U129" s="16"/>
      <c r="V129" s="16"/>
      <c r="W129" s="16"/>
      <c r="X129" s="16"/>
      <c r="Y129" s="16"/>
      <c r="Z129" s="16"/>
      <c r="AA129" s="16"/>
      <c r="AB129" s="16"/>
      <c r="AC129" s="16"/>
      <c r="AD129" s="16"/>
    </row>
    <row r="130" spans="1:30" ht="15.75" customHeight="1">
      <c r="A130" s="16"/>
      <c r="B130" s="16"/>
      <c r="C130" s="16"/>
      <c r="D130" s="16"/>
      <c r="E130" s="16"/>
      <c r="F130" s="16"/>
      <c r="G130" s="16"/>
      <c r="H130" s="16"/>
      <c r="I130" s="16"/>
      <c r="J130" s="16"/>
      <c r="K130" s="16"/>
      <c r="L130" s="16"/>
      <c r="M130" s="735"/>
      <c r="N130" s="696"/>
      <c r="O130" s="696"/>
      <c r="P130" s="696"/>
      <c r="Q130" s="696"/>
      <c r="R130" s="696"/>
      <c r="S130" s="696"/>
      <c r="T130" s="696"/>
      <c r="U130" s="16"/>
      <c r="V130" s="16"/>
      <c r="W130" s="16"/>
      <c r="X130" s="16"/>
      <c r="Y130" s="16"/>
      <c r="Z130" s="16"/>
      <c r="AA130" s="16"/>
      <c r="AB130" s="16"/>
      <c r="AC130" s="16"/>
      <c r="AD130" s="16"/>
    </row>
    <row r="131" spans="1:30" ht="15.75" customHeight="1">
      <c r="A131" s="16"/>
      <c r="B131" s="16"/>
      <c r="C131" s="16"/>
      <c r="D131" s="16"/>
      <c r="E131" s="16"/>
      <c r="F131" s="16"/>
      <c r="G131" s="16"/>
      <c r="H131" s="16"/>
      <c r="I131" s="16"/>
      <c r="J131" s="16"/>
      <c r="K131" s="16"/>
      <c r="L131" s="16"/>
      <c r="M131" s="735"/>
      <c r="N131" s="696"/>
      <c r="O131" s="696"/>
      <c r="P131" s="696"/>
      <c r="Q131" s="696"/>
      <c r="R131" s="696"/>
      <c r="S131" s="696"/>
      <c r="T131" s="696"/>
      <c r="U131" s="16"/>
      <c r="V131" s="16"/>
      <c r="W131" s="16"/>
      <c r="X131" s="16"/>
      <c r="Y131" s="16"/>
      <c r="Z131" s="16"/>
      <c r="AA131" s="16"/>
      <c r="AB131" s="16"/>
      <c r="AC131" s="16"/>
      <c r="AD131" s="16"/>
    </row>
    <row r="132" spans="1:30" ht="15.75" customHeight="1">
      <c r="A132" s="16"/>
      <c r="B132" s="16"/>
      <c r="C132" s="16"/>
      <c r="D132" s="16"/>
      <c r="E132" s="16"/>
      <c r="F132" s="16"/>
      <c r="G132" s="16"/>
      <c r="H132" s="16"/>
      <c r="I132" s="16"/>
      <c r="J132" s="16"/>
      <c r="K132" s="16"/>
      <c r="L132" s="16"/>
      <c r="M132" s="735"/>
      <c r="N132" s="696"/>
      <c r="O132" s="696"/>
      <c r="P132" s="696"/>
      <c r="Q132" s="696"/>
      <c r="R132" s="696"/>
      <c r="S132" s="696"/>
      <c r="T132" s="696"/>
      <c r="U132" s="16"/>
      <c r="V132" s="16"/>
      <c r="W132" s="16"/>
      <c r="X132" s="16"/>
      <c r="Y132" s="16"/>
      <c r="Z132" s="16"/>
      <c r="AA132" s="16"/>
      <c r="AB132" s="16"/>
      <c r="AC132" s="16"/>
      <c r="AD132" s="16"/>
    </row>
    <row r="133" spans="1:30" ht="15.75" customHeight="1">
      <c r="A133" s="16"/>
      <c r="B133" s="16"/>
      <c r="C133" s="16"/>
      <c r="D133" s="16"/>
      <c r="E133" s="16"/>
      <c r="F133" s="16"/>
      <c r="G133" s="16"/>
      <c r="H133" s="16"/>
      <c r="I133" s="16"/>
      <c r="J133" s="16"/>
      <c r="K133" s="16"/>
      <c r="L133" s="16"/>
      <c r="M133" s="735"/>
      <c r="N133" s="696"/>
      <c r="O133" s="696"/>
      <c r="P133" s="696"/>
      <c r="Q133" s="696"/>
      <c r="R133" s="696"/>
      <c r="S133" s="696"/>
      <c r="T133" s="696"/>
      <c r="U133" s="16"/>
      <c r="V133" s="16"/>
      <c r="W133" s="16"/>
      <c r="X133" s="16"/>
      <c r="Y133" s="16"/>
      <c r="Z133" s="16"/>
      <c r="AA133" s="16"/>
      <c r="AB133" s="16"/>
      <c r="AC133" s="16"/>
      <c r="AD133" s="16"/>
    </row>
    <row r="134" spans="1:30" ht="15.75" customHeight="1">
      <c r="A134" s="16"/>
      <c r="B134" s="16"/>
      <c r="C134" s="16"/>
      <c r="D134" s="16"/>
      <c r="E134" s="16"/>
      <c r="F134" s="16"/>
      <c r="G134" s="16"/>
      <c r="H134" s="16"/>
      <c r="I134" s="16"/>
      <c r="J134" s="16"/>
      <c r="K134" s="16"/>
      <c r="L134" s="16"/>
      <c r="M134" s="735"/>
      <c r="N134" s="696"/>
      <c r="O134" s="696"/>
      <c r="P134" s="696"/>
      <c r="Q134" s="696"/>
      <c r="R134" s="696"/>
      <c r="S134" s="696"/>
      <c r="T134" s="696"/>
      <c r="U134" s="16"/>
      <c r="V134" s="16"/>
      <c r="W134" s="16"/>
      <c r="X134" s="16"/>
      <c r="Y134" s="16"/>
      <c r="Z134" s="16"/>
      <c r="AA134" s="16"/>
      <c r="AB134" s="16"/>
      <c r="AC134" s="16"/>
      <c r="AD134" s="16"/>
    </row>
    <row r="135" spans="1:30" ht="15.75" customHeight="1">
      <c r="A135" s="16"/>
      <c r="B135" s="16"/>
      <c r="C135" s="16"/>
      <c r="D135" s="16"/>
      <c r="E135" s="16"/>
      <c r="F135" s="16"/>
      <c r="G135" s="16"/>
      <c r="H135" s="16"/>
      <c r="I135" s="16"/>
      <c r="J135" s="16"/>
      <c r="K135" s="16"/>
      <c r="L135" s="16"/>
      <c r="M135" s="735"/>
      <c r="N135" s="696"/>
      <c r="O135" s="696"/>
      <c r="P135" s="696"/>
      <c r="Q135" s="696"/>
      <c r="R135" s="696"/>
      <c r="S135" s="696"/>
      <c r="T135" s="696"/>
      <c r="U135" s="16"/>
      <c r="V135" s="16"/>
      <c r="W135" s="16"/>
      <c r="X135" s="16"/>
      <c r="Y135" s="16"/>
      <c r="Z135" s="16"/>
      <c r="AA135" s="16"/>
      <c r="AB135" s="16"/>
      <c r="AC135" s="16"/>
      <c r="AD135" s="16"/>
    </row>
    <row r="136" spans="1:30" ht="15.75" customHeight="1">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c r="AA136" s="16"/>
      <c r="AB136" s="16"/>
      <c r="AC136" s="16"/>
      <c r="AD136" s="16"/>
    </row>
    <row r="137" spans="1:30" ht="15.75" customHeight="1">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c r="AA137" s="16"/>
      <c r="AB137" s="16"/>
      <c r="AC137" s="16"/>
      <c r="AD137" s="16"/>
    </row>
    <row r="138" spans="1:30" ht="15.75" customHeight="1">
      <c r="A138" s="16"/>
      <c r="B138" s="16"/>
      <c r="C138" s="16"/>
      <c r="D138" s="16"/>
      <c r="E138" s="16"/>
      <c r="F138" s="16"/>
      <c r="G138" s="16"/>
      <c r="H138" s="16"/>
      <c r="I138" s="16"/>
      <c r="J138" s="16"/>
      <c r="K138" s="16"/>
      <c r="L138" s="16"/>
      <c r="M138" s="735"/>
      <c r="N138" s="696"/>
      <c r="O138" s="696"/>
      <c r="P138" s="735"/>
      <c r="Q138" s="696"/>
      <c r="R138" s="696"/>
      <c r="S138" s="696"/>
      <c r="T138" s="696"/>
      <c r="U138" s="16"/>
      <c r="V138" s="16"/>
      <c r="W138" s="16"/>
      <c r="X138" s="16"/>
      <c r="Y138" s="16"/>
      <c r="Z138" s="16"/>
      <c r="AA138" s="16"/>
      <c r="AB138" s="16"/>
      <c r="AC138" s="16"/>
      <c r="AD138" s="16"/>
    </row>
    <row r="139" spans="1:30" ht="15.75" customHeight="1">
      <c r="A139" s="16"/>
      <c r="B139" s="16"/>
      <c r="C139" s="16"/>
      <c r="D139" s="16"/>
      <c r="E139" s="16"/>
      <c r="F139" s="16"/>
      <c r="G139" s="16"/>
      <c r="H139" s="16"/>
      <c r="I139" s="16"/>
      <c r="J139" s="16"/>
      <c r="K139" s="16"/>
      <c r="L139" s="16"/>
      <c r="M139" s="735"/>
      <c r="N139" s="696"/>
      <c r="O139" s="696"/>
      <c r="P139" s="735"/>
      <c r="Q139" s="696"/>
      <c r="R139" s="696"/>
      <c r="S139" s="696"/>
      <c r="T139" s="696"/>
      <c r="U139" s="16"/>
      <c r="V139" s="16"/>
      <c r="W139" s="16"/>
      <c r="X139" s="16"/>
      <c r="Y139" s="16"/>
      <c r="Z139" s="16"/>
      <c r="AA139" s="16"/>
      <c r="AB139" s="16"/>
      <c r="AC139" s="16"/>
      <c r="AD139" s="16"/>
    </row>
    <row r="140" spans="1:30" ht="15.75" customHeight="1">
      <c r="A140" s="16"/>
      <c r="B140" s="16"/>
      <c r="C140" s="16"/>
      <c r="D140" s="16"/>
      <c r="E140" s="16"/>
      <c r="F140" s="16"/>
      <c r="G140" s="16"/>
      <c r="H140" s="16"/>
      <c r="I140" s="16"/>
      <c r="J140" s="16"/>
      <c r="K140" s="16"/>
      <c r="L140" s="16"/>
      <c r="M140" s="735"/>
      <c r="N140" s="696"/>
      <c r="O140" s="696"/>
      <c r="P140" s="696"/>
      <c r="Q140" s="696"/>
      <c r="R140" s="696"/>
      <c r="S140" s="696"/>
      <c r="T140" s="696"/>
      <c r="U140" s="16"/>
      <c r="V140" s="16"/>
      <c r="W140" s="16"/>
      <c r="X140" s="16"/>
      <c r="Y140" s="16"/>
      <c r="Z140" s="16"/>
      <c r="AA140" s="16"/>
      <c r="AB140" s="16"/>
      <c r="AC140" s="16"/>
      <c r="AD140" s="16"/>
    </row>
    <row r="141" spans="1:30" ht="15.75" customHeight="1">
      <c r="A141" s="16"/>
      <c r="B141" s="16"/>
      <c r="C141" s="16"/>
      <c r="D141" s="16"/>
      <c r="E141" s="16"/>
      <c r="F141" s="16"/>
      <c r="G141" s="16"/>
      <c r="H141" s="16"/>
      <c r="I141" s="16"/>
      <c r="J141" s="16"/>
      <c r="K141" s="16"/>
      <c r="L141" s="16"/>
      <c r="M141" s="735"/>
      <c r="N141" s="696"/>
      <c r="O141" s="696"/>
      <c r="P141" s="696"/>
      <c r="Q141" s="696"/>
      <c r="R141" s="696"/>
      <c r="S141" s="696"/>
      <c r="T141" s="696"/>
      <c r="U141" s="16"/>
      <c r="V141" s="16"/>
      <c r="W141" s="16"/>
      <c r="X141" s="16"/>
      <c r="Y141" s="16"/>
      <c r="Z141" s="16"/>
      <c r="AA141" s="16"/>
      <c r="AB141" s="16"/>
      <c r="AC141" s="16"/>
      <c r="AD141" s="16"/>
    </row>
    <row r="142" spans="1:30" ht="15.75" customHeight="1">
      <c r="A142" s="16"/>
      <c r="B142" s="16"/>
      <c r="C142" s="16"/>
      <c r="D142" s="16"/>
      <c r="E142" s="16"/>
      <c r="F142" s="16"/>
      <c r="G142" s="16"/>
      <c r="H142" s="16"/>
      <c r="I142" s="16"/>
      <c r="J142" s="16"/>
      <c r="K142" s="16"/>
      <c r="L142" s="16"/>
      <c r="M142" s="735"/>
      <c r="N142" s="696"/>
      <c r="O142" s="696"/>
      <c r="P142" s="696"/>
      <c r="Q142" s="696"/>
      <c r="R142" s="696"/>
      <c r="S142" s="696"/>
      <c r="T142" s="696"/>
      <c r="U142" s="16"/>
      <c r="V142" s="16"/>
      <c r="W142" s="16"/>
      <c r="X142" s="16"/>
      <c r="Y142" s="16"/>
      <c r="Z142" s="16"/>
      <c r="AA142" s="16"/>
      <c r="AB142" s="16"/>
      <c r="AC142" s="16"/>
      <c r="AD142" s="16"/>
    </row>
    <row r="143" spans="1:30" ht="15.75" customHeight="1">
      <c r="A143" s="16"/>
      <c r="B143" s="16"/>
      <c r="C143" s="16"/>
      <c r="D143" s="16"/>
      <c r="E143" s="16"/>
      <c r="F143" s="16"/>
      <c r="G143" s="16"/>
      <c r="H143" s="16"/>
      <c r="I143" s="16"/>
      <c r="J143" s="16"/>
      <c r="K143" s="16"/>
      <c r="L143" s="16"/>
      <c r="M143" s="735"/>
      <c r="N143" s="696"/>
      <c r="O143" s="696"/>
      <c r="P143" s="696"/>
      <c r="Q143" s="696"/>
      <c r="R143" s="696"/>
      <c r="S143" s="696"/>
      <c r="T143" s="696"/>
      <c r="U143" s="16"/>
      <c r="V143" s="16"/>
      <c r="W143" s="16"/>
      <c r="X143" s="16"/>
      <c r="Y143" s="16"/>
      <c r="Z143" s="16"/>
      <c r="AA143" s="16"/>
      <c r="AB143" s="16"/>
      <c r="AC143" s="16"/>
      <c r="AD143" s="16"/>
    </row>
    <row r="144" spans="1:30" ht="15.75" customHeight="1">
      <c r="A144" s="16"/>
      <c r="B144" s="16"/>
      <c r="C144" s="16"/>
      <c r="D144" s="16"/>
      <c r="E144" s="16"/>
      <c r="F144" s="16"/>
      <c r="G144" s="16"/>
      <c r="H144" s="16"/>
      <c r="I144" s="16"/>
      <c r="J144" s="16"/>
      <c r="K144" s="16"/>
      <c r="L144" s="16"/>
      <c r="M144" s="735"/>
      <c r="N144" s="696"/>
      <c r="O144" s="696"/>
      <c r="P144" s="696"/>
      <c r="Q144" s="696"/>
      <c r="R144" s="696"/>
      <c r="S144" s="696"/>
      <c r="T144" s="696"/>
      <c r="U144" s="16"/>
      <c r="V144" s="16"/>
      <c r="W144" s="16"/>
      <c r="X144" s="16"/>
      <c r="Y144" s="16"/>
      <c r="Z144" s="16"/>
      <c r="AA144" s="16"/>
      <c r="AB144" s="16"/>
      <c r="AC144" s="16"/>
      <c r="AD144" s="16"/>
    </row>
    <row r="145" spans="1:30" ht="15.75" customHeight="1">
      <c r="A145" s="16"/>
      <c r="B145" s="16"/>
      <c r="C145" s="16"/>
      <c r="D145" s="16"/>
      <c r="E145" s="16"/>
      <c r="F145" s="16"/>
      <c r="G145" s="16"/>
      <c r="H145" s="16"/>
      <c r="I145" s="16"/>
      <c r="J145" s="16"/>
      <c r="K145" s="16"/>
      <c r="L145" s="16"/>
      <c r="M145" s="735"/>
      <c r="N145" s="696"/>
      <c r="O145" s="696"/>
      <c r="P145" s="696"/>
      <c r="Q145" s="696"/>
      <c r="R145" s="696"/>
      <c r="S145" s="696"/>
      <c r="T145" s="696"/>
      <c r="U145" s="16"/>
      <c r="V145" s="16"/>
      <c r="W145" s="16"/>
      <c r="X145" s="16"/>
      <c r="Y145" s="16"/>
      <c r="Z145" s="16"/>
      <c r="AA145" s="16"/>
      <c r="AB145" s="16"/>
      <c r="AC145" s="16"/>
      <c r="AD145" s="16"/>
    </row>
    <row r="146" spans="1:30" ht="15.75" customHeight="1">
      <c r="A146" s="16"/>
      <c r="B146" s="16"/>
      <c r="C146" s="16"/>
      <c r="D146" s="16"/>
      <c r="E146" s="16"/>
      <c r="F146" s="16"/>
      <c r="G146" s="16"/>
      <c r="H146" s="16"/>
      <c r="I146" s="16"/>
      <c r="J146" s="16"/>
      <c r="K146" s="16"/>
      <c r="L146" s="16"/>
      <c r="M146" s="735"/>
      <c r="N146" s="696"/>
      <c r="O146" s="696"/>
      <c r="P146" s="696"/>
      <c r="Q146" s="696"/>
      <c r="R146" s="696"/>
      <c r="S146" s="696"/>
      <c r="T146" s="696"/>
      <c r="U146" s="16"/>
      <c r="V146" s="16"/>
      <c r="W146" s="16"/>
      <c r="X146" s="16"/>
      <c r="Y146" s="16"/>
      <c r="Z146" s="16"/>
      <c r="AA146" s="16"/>
      <c r="AB146" s="16"/>
      <c r="AC146" s="16"/>
      <c r="AD146" s="16"/>
    </row>
    <row r="147" spans="1:30" ht="15.75" customHeight="1">
      <c r="A147" s="16"/>
      <c r="B147" s="16"/>
      <c r="C147" s="16"/>
      <c r="D147" s="16"/>
      <c r="E147" s="16"/>
      <c r="F147" s="16"/>
      <c r="G147" s="16"/>
      <c r="H147" s="16"/>
      <c r="I147" s="16"/>
      <c r="J147" s="16"/>
      <c r="K147" s="16"/>
      <c r="L147" s="16"/>
      <c r="M147" s="735"/>
      <c r="N147" s="696"/>
      <c r="O147" s="696"/>
      <c r="P147" s="696"/>
      <c r="Q147" s="696"/>
      <c r="R147" s="696"/>
      <c r="S147" s="696"/>
      <c r="T147" s="696"/>
      <c r="U147" s="16"/>
      <c r="V147" s="16"/>
      <c r="W147" s="16"/>
      <c r="X147" s="16"/>
      <c r="Y147" s="16"/>
      <c r="Z147" s="16"/>
      <c r="AA147" s="16"/>
      <c r="AB147" s="16"/>
      <c r="AC147" s="16"/>
      <c r="AD147" s="16"/>
    </row>
    <row r="148" spans="1:30" ht="15.75" customHeight="1">
      <c r="A148" s="16"/>
      <c r="B148" s="16"/>
      <c r="C148" s="16"/>
      <c r="D148" s="16"/>
      <c r="E148" s="16"/>
      <c r="F148" s="16"/>
      <c r="G148" s="16"/>
      <c r="H148" s="16"/>
      <c r="I148" s="16"/>
      <c r="J148" s="16"/>
      <c r="K148" s="16"/>
      <c r="L148" s="16"/>
      <c r="M148" s="735"/>
      <c r="N148" s="696"/>
      <c r="O148" s="696"/>
      <c r="P148" s="696"/>
      <c r="Q148" s="696"/>
      <c r="R148" s="696"/>
      <c r="S148" s="696"/>
      <c r="T148" s="696"/>
      <c r="U148" s="16"/>
      <c r="V148" s="16"/>
      <c r="W148" s="16"/>
      <c r="X148" s="16"/>
      <c r="Y148" s="16"/>
      <c r="Z148" s="16"/>
      <c r="AA148" s="16"/>
      <c r="AB148" s="16"/>
      <c r="AC148" s="16"/>
      <c r="AD148" s="16"/>
    </row>
    <row r="149" spans="1:30" ht="15.75" customHeight="1">
      <c r="A149" s="16"/>
      <c r="B149" s="16"/>
      <c r="C149" s="16"/>
      <c r="D149" s="16"/>
      <c r="E149" s="16"/>
      <c r="F149" s="16"/>
      <c r="G149" s="16"/>
      <c r="H149" s="16"/>
      <c r="I149" s="16"/>
      <c r="J149" s="16"/>
      <c r="K149" s="16"/>
      <c r="L149" s="16"/>
      <c r="M149" s="735"/>
      <c r="N149" s="696"/>
      <c r="O149" s="696"/>
      <c r="P149" s="696"/>
      <c r="Q149" s="696"/>
      <c r="R149" s="696"/>
      <c r="S149" s="696"/>
      <c r="T149" s="696"/>
      <c r="U149" s="16"/>
      <c r="V149" s="16"/>
      <c r="W149" s="16"/>
      <c r="X149" s="16"/>
      <c r="Y149" s="16"/>
      <c r="Z149" s="16"/>
      <c r="AA149" s="16"/>
      <c r="AB149" s="16"/>
      <c r="AC149" s="16"/>
      <c r="AD149" s="16"/>
    </row>
    <row r="150" spans="1:30" ht="15.75" customHeight="1">
      <c r="A150" s="16"/>
      <c r="B150" s="16"/>
      <c r="C150" s="16"/>
      <c r="D150" s="16"/>
      <c r="E150" s="16"/>
      <c r="F150" s="16"/>
      <c r="G150" s="16"/>
      <c r="H150" s="16"/>
      <c r="I150" s="16"/>
      <c r="J150" s="16"/>
      <c r="K150" s="16"/>
      <c r="L150" s="16"/>
      <c r="M150" s="735"/>
      <c r="N150" s="696"/>
      <c r="O150" s="696"/>
      <c r="P150" s="696"/>
      <c r="Q150" s="696"/>
      <c r="R150" s="696"/>
      <c r="S150" s="696"/>
      <c r="T150" s="696"/>
      <c r="U150" s="16"/>
      <c r="V150" s="16"/>
      <c r="W150" s="16"/>
      <c r="X150" s="16"/>
      <c r="Y150" s="16"/>
      <c r="Z150" s="16"/>
      <c r="AA150" s="16"/>
      <c r="AB150" s="16"/>
      <c r="AC150" s="16"/>
      <c r="AD150" s="16"/>
    </row>
    <row r="151" spans="1:30" ht="15.75" customHeight="1">
      <c r="A151" s="16"/>
      <c r="B151" s="16"/>
      <c r="C151" s="16"/>
      <c r="D151" s="16"/>
      <c r="E151" s="16"/>
      <c r="F151" s="16"/>
      <c r="G151" s="16"/>
      <c r="H151" s="16"/>
      <c r="I151" s="16"/>
      <c r="J151" s="16"/>
      <c r="K151" s="16"/>
      <c r="L151" s="16"/>
      <c r="M151" s="735"/>
      <c r="N151" s="696"/>
      <c r="O151" s="696"/>
      <c r="P151" s="696"/>
      <c r="Q151" s="696"/>
      <c r="R151" s="696"/>
      <c r="S151" s="696"/>
      <c r="T151" s="696"/>
      <c r="U151" s="16"/>
      <c r="V151" s="16"/>
      <c r="W151" s="16"/>
      <c r="X151" s="16"/>
      <c r="Y151" s="16"/>
      <c r="Z151" s="16"/>
      <c r="AA151" s="16"/>
      <c r="AB151" s="16"/>
      <c r="AC151" s="16"/>
      <c r="AD151" s="16"/>
    </row>
    <row r="152" spans="1:30" ht="15.75" customHeight="1">
      <c r="A152" s="16"/>
      <c r="B152" s="16"/>
      <c r="C152" s="16"/>
      <c r="D152" s="16"/>
      <c r="E152" s="16"/>
      <c r="F152" s="16"/>
      <c r="G152" s="16"/>
      <c r="H152" s="16"/>
      <c r="I152" s="16"/>
      <c r="J152" s="16"/>
      <c r="K152" s="16"/>
      <c r="L152" s="16"/>
      <c r="M152" s="735"/>
      <c r="N152" s="696"/>
      <c r="O152" s="696"/>
      <c r="P152" s="696"/>
      <c r="Q152" s="696"/>
      <c r="R152" s="696"/>
      <c r="S152" s="696"/>
      <c r="T152" s="696"/>
      <c r="U152" s="16"/>
      <c r="V152" s="16"/>
      <c r="W152" s="16"/>
      <c r="X152" s="16"/>
      <c r="Y152" s="16"/>
      <c r="Z152" s="16"/>
      <c r="AA152" s="16"/>
      <c r="AB152" s="16"/>
      <c r="AC152" s="16"/>
      <c r="AD152" s="16"/>
    </row>
    <row r="153" spans="1:30" ht="15.75" customHeight="1">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c r="AA153" s="16"/>
      <c r="AB153" s="16"/>
      <c r="AC153" s="16"/>
      <c r="AD153" s="16"/>
    </row>
    <row r="154" spans="1:30" ht="15.75" customHeight="1">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c r="AA154" s="16"/>
      <c r="AB154" s="16"/>
      <c r="AC154" s="16"/>
      <c r="AD154" s="16"/>
    </row>
    <row r="155" spans="1:30" ht="15.75" customHeight="1">
      <c r="A155" s="16"/>
      <c r="B155" s="735"/>
      <c r="C155" s="696"/>
      <c r="D155" s="16"/>
      <c r="E155" s="16"/>
      <c r="F155" s="16"/>
      <c r="G155" s="16"/>
      <c r="H155" s="16"/>
      <c r="I155" s="16"/>
      <c r="J155" s="16"/>
      <c r="K155" s="16"/>
      <c r="L155" s="16"/>
      <c r="M155" s="735"/>
      <c r="N155" s="696"/>
      <c r="O155" s="696"/>
      <c r="P155" s="735"/>
      <c r="Q155" s="696"/>
      <c r="R155" s="696"/>
      <c r="S155" s="696"/>
      <c r="T155" s="696"/>
      <c r="U155" s="16"/>
      <c r="V155" s="16"/>
      <c r="W155" s="16"/>
      <c r="X155" s="16"/>
      <c r="Y155" s="16"/>
      <c r="Z155" s="16"/>
      <c r="AA155" s="16"/>
      <c r="AB155" s="16"/>
      <c r="AC155" s="16"/>
      <c r="AD155" s="16"/>
    </row>
    <row r="156" spans="1:30" ht="15.75" customHeight="1">
      <c r="A156" s="16"/>
      <c r="B156" s="735"/>
      <c r="C156" s="696"/>
      <c r="D156" s="16"/>
      <c r="E156" s="16"/>
      <c r="F156" s="16"/>
      <c r="G156" s="16"/>
      <c r="H156" s="16"/>
      <c r="I156" s="16"/>
      <c r="J156" s="16"/>
      <c r="K156" s="16"/>
      <c r="L156" s="16"/>
      <c r="M156" s="735"/>
      <c r="N156" s="696"/>
      <c r="O156" s="696"/>
      <c r="P156" s="735"/>
      <c r="Q156" s="696"/>
      <c r="R156" s="696"/>
      <c r="S156" s="696"/>
      <c r="T156" s="696"/>
      <c r="U156" s="16"/>
      <c r="V156" s="16"/>
      <c r="W156" s="16"/>
      <c r="X156" s="16"/>
      <c r="Y156" s="16"/>
      <c r="Z156" s="16"/>
      <c r="AA156" s="16"/>
      <c r="AB156" s="16"/>
      <c r="AC156" s="16"/>
      <c r="AD156" s="16"/>
    </row>
    <row r="157" spans="1:30" ht="15.75" customHeight="1">
      <c r="A157" s="16"/>
      <c r="B157" s="735"/>
      <c r="C157" s="696"/>
      <c r="D157" s="16"/>
      <c r="E157" s="16"/>
      <c r="F157" s="16"/>
      <c r="G157" s="16"/>
      <c r="H157" s="16"/>
      <c r="I157" s="16"/>
      <c r="J157" s="16"/>
      <c r="K157" s="16"/>
      <c r="L157" s="16"/>
      <c r="M157" s="735"/>
      <c r="N157" s="696"/>
      <c r="O157" s="696"/>
      <c r="P157" s="696"/>
      <c r="Q157" s="696"/>
      <c r="R157" s="696"/>
      <c r="S157" s="696"/>
      <c r="T157" s="696"/>
      <c r="U157" s="16"/>
      <c r="V157" s="16"/>
      <c r="W157" s="16"/>
      <c r="X157" s="16"/>
      <c r="Y157" s="16"/>
      <c r="Z157" s="16"/>
      <c r="AA157" s="16"/>
      <c r="AB157" s="16"/>
      <c r="AC157" s="16"/>
      <c r="AD157" s="16"/>
    </row>
    <row r="158" spans="1:30" ht="15.75" customHeight="1">
      <c r="A158" s="16"/>
      <c r="B158" s="735"/>
      <c r="C158" s="696"/>
      <c r="D158" s="16"/>
      <c r="E158" s="16"/>
      <c r="F158" s="16"/>
      <c r="G158" s="16"/>
      <c r="H158" s="16"/>
      <c r="I158" s="16"/>
      <c r="J158" s="16"/>
      <c r="K158" s="16"/>
      <c r="L158" s="16"/>
      <c r="M158" s="735"/>
      <c r="N158" s="696"/>
      <c r="O158" s="696"/>
      <c r="P158" s="696"/>
      <c r="Q158" s="696"/>
      <c r="R158" s="696"/>
      <c r="S158" s="696"/>
      <c r="T158" s="696"/>
      <c r="U158" s="16"/>
      <c r="V158" s="16"/>
      <c r="W158" s="16"/>
      <c r="X158" s="16"/>
      <c r="Y158" s="16"/>
      <c r="Z158" s="16"/>
      <c r="AA158" s="16"/>
      <c r="AB158" s="16"/>
      <c r="AC158" s="16"/>
      <c r="AD158" s="16"/>
    </row>
    <row r="159" spans="1:30" ht="15.75" customHeight="1">
      <c r="A159" s="16"/>
      <c r="B159" s="735"/>
      <c r="C159" s="696"/>
      <c r="D159" s="16"/>
      <c r="E159" s="16"/>
      <c r="F159" s="16"/>
      <c r="G159" s="16"/>
      <c r="H159" s="16"/>
      <c r="I159" s="16"/>
      <c r="J159" s="16"/>
      <c r="K159" s="16"/>
      <c r="L159" s="16"/>
      <c r="M159" s="735"/>
      <c r="N159" s="696"/>
      <c r="O159" s="696"/>
      <c r="P159" s="696"/>
      <c r="Q159" s="696"/>
      <c r="R159" s="696"/>
      <c r="S159" s="696"/>
      <c r="T159" s="696"/>
      <c r="U159" s="16"/>
      <c r="V159" s="16"/>
      <c r="W159" s="16"/>
      <c r="X159" s="16"/>
      <c r="Y159" s="16"/>
      <c r="Z159" s="16"/>
      <c r="AA159" s="16"/>
      <c r="AB159" s="16"/>
      <c r="AC159" s="16"/>
      <c r="AD159" s="16"/>
    </row>
    <row r="160" spans="1:30" ht="15.75" customHeight="1">
      <c r="A160" s="16"/>
      <c r="B160" s="735"/>
      <c r="C160" s="696"/>
      <c r="D160" s="16"/>
      <c r="E160" s="16"/>
      <c r="F160" s="16"/>
      <c r="G160" s="16"/>
      <c r="H160" s="16"/>
      <c r="I160" s="16"/>
      <c r="J160" s="16"/>
      <c r="K160" s="16"/>
      <c r="L160" s="16"/>
      <c r="M160" s="735"/>
      <c r="N160" s="696"/>
      <c r="O160" s="696"/>
      <c r="P160" s="696"/>
      <c r="Q160" s="696"/>
      <c r="R160" s="696"/>
      <c r="S160" s="696"/>
      <c r="T160" s="696"/>
      <c r="U160" s="16"/>
      <c r="V160" s="16"/>
      <c r="W160" s="16"/>
      <c r="X160" s="16"/>
      <c r="Y160" s="16"/>
      <c r="Z160" s="16"/>
      <c r="AA160" s="16"/>
      <c r="AB160" s="16"/>
      <c r="AC160" s="16"/>
      <c r="AD160" s="16"/>
    </row>
    <row r="161" spans="1:30" ht="15.75" customHeight="1">
      <c r="A161" s="16"/>
      <c r="B161" s="735"/>
      <c r="C161" s="696"/>
      <c r="D161" s="16"/>
      <c r="E161" s="16"/>
      <c r="F161" s="16"/>
      <c r="G161" s="16"/>
      <c r="H161" s="16"/>
      <c r="I161" s="16"/>
      <c r="J161" s="16"/>
      <c r="K161" s="16"/>
      <c r="L161" s="16"/>
      <c r="M161" s="735"/>
      <c r="N161" s="696"/>
      <c r="O161" s="696"/>
      <c r="P161" s="696"/>
      <c r="Q161" s="696"/>
      <c r="R161" s="696"/>
      <c r="S161" s="696"/>
      <c r="T161" s="696"/>
      <c r="U161" s="16"/>
      <c r="V161" s="16"/>
      <c r="W161" s="16"/>
      <c r="X161" s="16"/>
      <c r="Y161" s="16"/>
      <c r="Z161" s="16"/>
      <c r="AA161" s="16"/>
      <c r="AB161" s="16"/>
      <c r="AC161" s="16"/>
      <c r="AD161" s="16"/>
    </row>
    <row r="162" spans="1:30" ht="15.75" customHeight="1">
      <c r="A162" s="16"/>
      <c r="B162" s="735"/>
      <c r="C162" s="696"/>
      <c r="D162" s="16"/>
      <c r="E162" s="16"/>
      <c r="F162" s="16"/>
      <c r="G162" s="16"/>
      <c r="H162" s="16"/>
      <c r="I162" s="16"/>
      <c r="J162" s="16"/>
      <c r="K162" s="16"/>
      <c r="L162" s="16"/>
      <c r="M162" s="735"/>
      <c r="N162" s="696"/>
      <c r="O162" s="696"/>
      <c r="P162" s="696"/>
      <c r="Q162" s="696"/>
      <c r="R162" s="696"/>
      <c r="S162" s="696"/>
      <c r="T162" s="696"/>
      <c r="U162" s="16"/>
      <c r="V162" s="16"/>
      <c r="W162" s="16"/>
      <c r="X162" s="16"/>
      <c r="Y162" s="16"/>
      <c r="Z162" s="16"/>
      <c r="AA162" s="16"/>
      <c r="AB162" s="16"/>
      <c r="AC162" s="16"/>
      <c r="AD162" s="16"/>
    </row>
    <row r="163" spans="1:30" ht="15.75" customHeight="1">
      <c r="A163" s="16"/>
      <c r="B163" s="735"/>
      <c r="C163" s="696"/>
      <c r="D163" s="16"/>
      <c r="E163" s="16"/>
      <c r="F163" s="16"/>
      <c r="G163" s="16"/>
      <c r="H163" s="16"/>
      <c r="I163" s="16"/>
      <c r="J163" s="16"/>
      <c r="K163" s="16"/>
      <c r="L163" s="16"/>
      <c r="M163" s="735"/>
      <c r="N163" s="696"/>
      <c r="O163" s="696"/>
      <c r="P163" s="696"/>
      <c r="Q163" s="696"/>
      <c r="R163" s="696"/>
      <c r="S163" s="696"/>
      <c r="T163" s="696"/>
      <c r="U163" s="16"/>
      <c r="V163" s="16"/>
      <c r="W163" s="16"/>
      <c r="X163" s="16"/>
      <c r="Y163" s="16"/>
      <c r="Z163" s="16"/>
      <c r="AA163" s="16"/>
      <c r="AB163" s="16"/>
      <c r="AC163" s="16"/>
      <c r="AD163" s="16"/>
    </row>
    <row r="164" spans="1:30" ht="15.75" customHeight="1">
      <c r="A164" s="16"/>
      <c r="B164" s="735"/>
      <c r="C164" s="696"/>
      <c r="D164" s="16"/>
      <c r="E164" s="16"/>
      <c r="F164" s="16"/>
      <c r="G164" s="16"/>
      <c r="H164" s="16"/>
      <c r="I164" s="16"/>
      <c r="J164" s="16"/>
      <c r="K164" s="16"/>
      <c r="L164" s="16"/>
      <c r="M164" s="735"/>
      <c r="N164" s="696"/>
      <c r="O164" s="696"/>
      <c r="P164" s="696"/>
      <c r="Q164" s="696"/>
      <c r="R164" s="696"/>
      <c r="S164" s="696"/>
      <c r="T164" s="696"/>
      <c r="U164" s="16"/>
      <c r="V164" s="16"/>
      <c r="W164" s="16"/>
      <c r="X164" s="16"/>
      <c r="Y164" s="16"/>
      <c r="Z164" s="16"/>
      <c r="AA164" s="16"/>
      <c r="AB164" s="16"/>
      <c r="AC164" s="16"/>
      <c r="AD164" s="16"/>
    </row>
    <row r="165" spans="1:30" ht="15.75" customHeight="1">
      <c r="A165" s="16"/>
      <c r="B165" s="735"/>
      <c r="C165" s="696"/>
      <c r="D165" s="16"/>
      <c r="E165" s="16"/>
      <c r="F165" s="16"/>
      <c r="G165" s="16"/>
      <c r="H165" s="16"/>
      <c r="I165" s="16"/>
      <c r="J165" s="16"/>
      <c r="K165" s="16"/>
      <c r="L165" s="16"/>
      <c r="M165" s="735"/>
      <c r="N165" s="696"/>
      <c r="O165" s="696"/>
      <c r="P165" s="696"/>
      <c r="Q165" s="696"/>
      <c r="R165" s="696"/>
      <c r="S165" s="696"/>
      <c r="T165" s="696"/>
      <c r="U165" s="16"/>
      <c r="V165" s="16"/>
      <c r="W165" s="16"/>
      <c r="X165" s="16"/>
      <c r="Y165" s="16"/>
      <c r="Z165" s="16"/>
      <c r="AA165" s="16"/>
      <c r="AB165" s="16"/>
      <c r="AC165" s="16"/>
      <c r="AD165" s="16"/>
    </row>
    <row r="166" spans="1:30" ht="15.75" customHeight="1">
      <c r="A166" s="16"/>
      <c r="B166" s="735"/>
      <c r="C166" s="696"/>
      <c r="D166" s="16"/>
      <c r="E166" s="16"/>
      <c r="F166" s="16"/>
      <c r="G166" s="16"/>
      <c r="H166" s="16"/>
      <c r="I166" s="16"/>
      <c r="J166" s="16"/>
      <c r="K166" s="16"/>
      <c r="L166" s="16"/>
      <c r="M166" s="735"/>
      <c r="N166" s="696"/>
      <c r="O166" s="696"/>
      <c r="P166" s="696"/>
      <c r="Q166" s="696"/>
      <c r="R166" s="696"/>
      <c r="S166" s="696"/>
      <c r="T166" s="696"/>
      <c r="U166" s="16"/>
      <c r="V166" s="16"/>
      <c r="W166" s="16"/>
      <c r="X166" s="16"/>
      <c r="Y166" s="16"/>
      <c r="Z166" s="16"/>
      <c r="AA166" s="16"/>
      <c r="AB166" s="16"/>
      <c r="AC166" s="16"/>
      <c r="AD166" s="16"/>
    </row>
    <row r="167" spans="1:30" ht="15.75" customHeight="1">
      <c r="A167" s="16"/>
      <c r="B167" s="735"/>
      <c r="C167" s="696"/>
      <c r="D167" s="16"/>
      <c r="E167" s="16"/>
      <c r="F167" s="16"/>
      <c r="G167" s="16"/>
      <c r="H167" s="16"/>
      <c r="I167" s="16"/>
      <c r="J167" s="16"/>
      <c r="K167" s="16"/>
      <c r="L167" s="16"/>
      <c r="M167" s="735"/>
      <c r="N167" s="696"/>
      <c r="O167" s="696"/>
      <c r="P167" s="696"/>
      <c r="Q167" s="696"/>
      <c r="R167" s="696"/>
      <c r="S167" s="696"/>
      <c r="T167" s="696"/>
      <c r="U167" s="16"/>
      <c r="V167" s="16"/>
      <c r="W167" s="16"/>
      <c r="X167" s="16"/>
      <c r="Y167" s="16"/>
      <c r="Z167" s="16"/>
      <c r="AA167" s="16"/>
      <c r="AB167" s="16"/>
      <c r="AC167" s="16"/>
      <c r="AD167" s="16"/>
    </row>
    <row r="168" spans="1:30" ht="15.75" customHeight="1">
      <c r="A168" s="16"/>
      <c r="B168" s="735"/>
      <c r="C168" s="696"/>
      <c r="D168" s="16"/>
      <c r="E168" s="16"/>
      <c r="F168" s="16"/>
      <c r="G168" s="16"/>
      <c r="H168" s="16"/>
      <c r="I168" s="16"/>
      <c r="J168" s="16"/>
      <c r="K168" s="16"/>
      <c r="L168" s="16"/>
      <c r="M168" s="735"/>
      <c r="N168" s="696"/>
      <c r="O168" s="696"/>
      <c r="P168" s="696"/>
      <c r="Q168" s="696"/>
      <c r="R168" s="696"/>
      <c r="S168" s="696"/>
      <c r="T168" s="696"/>
      <c r="U168" s="16"/>
      <c r="V168" s="16"/>
      <c r="W168" s="16"/>
      <c r="X168" s="16"/>
      <c r="Y168" s="16"/>
      <c r="Z168" s="16"/>
      <c r="AA168" s="16"/>
      <c r="AB168" s="16"/>
      <c r="AC168" s="16"/>
      <c r="AD168" s="16"/>
    </row>
    <row r="169" spans="1:30" ht="15.75" customHeight="1">
      <c r="A169" s="16"/>
      <c r="B169" s="735"/>
      <c r="C169" s="696"/>
      <c r="D169" s="16"/>
      <c r="E169" s="16"/>
      <c r="F169" s="16"/>
      <c r="G169" s="16"/>
      <c r="H169" s="16"/>
      <c r="I169" s="16"/>
      <c r="J169" s="16"/>
      <c r="K169" s="16"/>
      <c r="L169" s="16"/>
      <c r="M169" s="735"/>
      <c r="N169" s="696"/>
      <c r="O169" s="696"/>
      <c r="P169" s="696"/>
      <c r="Q169" s="696"/>
      <c r="R169" s="696"/>
      <c r="S169" s="696"/>
      <c r="T169" s="696"/>
      <c r="U169" s="16"/>
      <c r="V169" s="16"/>
      <c r="W169" s="16"/>
      <c r="X169" s="16"/>
      <c r="Y169" s="16"/>
      <c r="Z169" s="16"/>
      <c r="AA169" s="16"/>
      <c r="AB169" s="16"/>
      <c r="AC169" s="16"/>
      <c r="AD169" s="16"/>
    </row>
    <row r="170" spans="1:30" ht="15.75" customHeight="1">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c r="AA170" s="16"/>
      <c r="AB170" s="16"/>
      <c r="AC170" s="16"/>
      <c r="AD170" s="16"/>
    </row>
    <row r="171" spans="1:30" ht="15.75" customHeight="1">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c r="AA171" s="16"/>
      <c r="AB171" s="16"/>
      <c r="AC171" s="16"/>
      <c r="AD171" s="16"/>
    </row>
    <row r="172" spans="1:30" ht="15.75" customHeight="1">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row>
    <row r="173" spans="1:30" ht="15.75" customHeight="1">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c r="AC173" s="16"/>
      <c r="AD173" s="16"/>
    </row>
    <row r="174" spans="1:30" ht="15.75" customHeight="1">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c r="AC174" s="16"/>
      <c r="AD174" s="16"/>
    </row>
    <row r="175" spans="1:30" ht="15.75" customHeight="1">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c r="AA175" s="16"/>
      <c r="AB175" s="16"/>
      <c r="AC175" s="16"/>
      <c r="AD175" s="16"/>
    </row>
    <row r="176" spans="1:30" ht="15.75" customHeight="1">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c r="AD176" s="16"/>
    </row>
    <row r="177" spans="1:30" ht="15.75" customHeight="1">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c r="AD177" s="16"/>
    </row>
    <row r="178" spans="1:30" ht="15.75" customHeight="1">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c r="AA178" s="16"/>
      <c r="AB178" s="16"/>
      <c r="AC178" s="16"/>
      <c r="AD178" s="16"/>
    </row>
    <row r="179" spans="1:30" ht="15.75" customHeight="1">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c r="AD179" s="16"/>
    </row>
    <row r="180" spans="1:30" ht="15.75" customHeight="1">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c r="AD180" s="16"/>
    </row>
    <row r="181" spans="1:30" ht="15.75" customHeight="1">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c r="AD181" s="16"/>
    </row>
    <row r="182" spans="1:30" ht="15.75" customHeight="1">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c r="AD182" s="16"/>
    </row>
    <row r="183" spans="1:30" ht="15.75" customHeight="1">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c r="AD183" s="16"/>
    </row>
    <row r="184" spans="1:30" ht="15.75" customHeight="1">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c r="AD184" s="16"/>
    </row>
    <row r="185" spans="1:30" ht="15.75" customHeight="1">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c r="AD185" s="16"/>
    </row>
    <row r="186" spans="1:30" ht="15.75" customHeight="1">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c r="AD186" s="16"/>
    </row>
    <row r="187" spans="1:30" ht="15.75" customHeight="1">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16"/>
      <c r="AB187" s="16"/>
      <c r="AC187" s="16"/>
      <c r="AD187" s="16"/>
    </row>
    <row r="188" spans="1:30" ht="15.75" customHeight="1">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c r="AD188" s="16"/>
    </row>
    <row r="189" spans="1:30" ht="15.75" customHeight="1">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c r="AD189" s="16"/>
    </row>
    <row r="190" spans="1:30" ht="15.75" customHeight="1">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c r="AD190" s="16"/>
    </row>
    <row r="191" spans="1:30" ht="15.75" customHeight="1">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c r="AD191" s="16"/>
    </row>
    <row r="192" spans="1:30" ht="15.75" customHeight="1">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c r="AD192" s="16"/>
    </row>
    <row r="193" spans="1:30" ht="15.75" customHeight="1">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c r="AA193" s="16"/>
      <c r="AB193" s="16"/>
      <c r="AC193" s="16"/>
      <c r="AD193" s="16"/>
    </row>
    <row r="194" spans="1:30" ht="15.75" customHeight="1">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c r="AA194" s="16"/>
      <c r="AB194" s="16"/>
      <c r="AC194" s="16"/>
      <c r="AD194" s="16"/>
    </row>
    <row r="195" spans="1:30" ht="15.75" customHeight="1">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c r="AA195" s="16"/>
      <c r="AB195" s="16"/>
      <c r="AC195" s="16"/>
      <c r="AD195" s="16"/>
    </row>
    <row r="196" spans="1:30" ht="15.75" customHeight="1">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c r="AA196" s="16"/>
      <c r="AB196" s="16"/>
      <c r="AC196" s="16"/>
      <c r="AD196" s="16"/>
    </row>
    <row r="197" spans="1:30" ht="15.75" customHeight="1">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c r="AD197" s="16"/>
    </row>
    <row r="198" spans="1:30" ht="15.75" customHeight="1">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c r="AD198" s="16"/>
    </row>
    <row r="199" spans="1:30" ht="15.75" customHeight="1">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c r="AA199" s="16"/>
      <c r="AB199" s="16"/>
      <c r="AC199" s="16"/>
      <c r="AD199" s="16"/>
    </row>
    <row r="200" spans="1:30" ht="15.75" customHeight="1">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c r="AA200" s="16"/>
      <c r="AB200" s="16"/>
      <c r="AC200" s="16"/>
      <c r="AD200" s="16"/>
    </row>
    <row r="201" spans="1:30" ht="15.75" customHeight="1">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c r="AD201" s="16"/>
    </row>
    <row r="202" spans="1:30" ht="15.75" customHeight="1">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c r="AD202" s="16"/>
    </row>
    <row r="203" spans="1:30" ht="15.75" customHeight="1">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c r="AA203" s="16"/>
      <c r="AB203" s="16"/>
      <c r="AC203" s="16"/>
      <c r="AD203" s="16"/>
    </row>
    <row r="204" spans="1:30" ht="15.75" customHeight="1">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c r="AA204" s="16"/>
      <c r="AB204" s="16"/>
      <c r="AC204" s="16"/>
      <c r="AD204" s="16"/>
    </row>
    <row r="205" spans="1:30" ht="15.75" customHeight="1">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c r="AD205" s="16"/>
    </row>
    <row r="206" spans="1:30" ht="15.75" customHeight="1">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row>
    <row r="207" spans="1:30" ht="15.75" customHeight="1">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c r="AD207" s="16"/>
    </row>
    <row r="208" spans="1:30" ht="15.75" customHeight="1">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c r="AD208" s="16"/>
    </row>
    <row r="209" spans="1:30" ht="15.75" customHeight="1">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c r="AD209" s="16"/>
    </row>
    <row r="210" spans="1:30" ht="15.75" customHeight="1">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c r="AD210" s="16"/>
    </row>
    <row r="211" spans="1:30" ht="15.75" customHeight="1">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row>
    <row r="212" spans="1:30" ht="15.75" customHeight="1">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c r="AD212" s="16"/>
    </row>
    <row r="213" spans="1:30" ht="15.75" customHeight="1">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c r="AD213" s="16"/>
    </row>
    <row r="214" spans="1:30" ht="15.75" customHeight="1">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row>
    <row r="215" spans="1:30" ht="15.75" customHeight="1">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c r="AD215" s="16"/>
    </row>
    <row r="216" spans="1:30" ht="15.75" customHeight="1">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c r="AD216" s="16"/>
    </row>
    <row r="217" spans="1:30" ht="15.75" customHeight="1">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c r="AD217" s="16"/>
    </row>
    <row r="218" spans="1:30" ht="15.75" customHeight="1">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c r="AD218" s="16"/>
    </row>
    <row r="219" spans="1:30" ht="15.75" customHeight="1">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c r="AD219" s="16"/>
    </row>
    <row r="220" spans="1:30" ht="15.75" customHeight="1">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c r="AD220" s="16"/>
    </row>
    <row r="221" spans="1:30" ht="15.75" customHeight="1">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row>
    <row r="222" spans="1:30" ht="15.75" customHeight="1">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row>
    <row r="223" spans="1:30" ht="15.75" customHeight="1">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c r="AD223" s="16"/>
    </row>
    <row r="224" spans="1:30" ht="15.75" customHeight="1">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c r="AD224" s="16"/>
    </row>
    <row r="225" spans="1:30" ht="15.75" customHeight="1">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16"/>
    </row>
    <row r="226" spans="1:30" ht="15.75" customHeight="1">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row>
    <row r="227" spans="1:30" ht="15.75" customHeight="1">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16"/>
    </row>
    <row r="228" spans="1:30" ht="15.75" customHeight="1">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c r="AD228" s="16"/>
    </row>
    <row r="229" spans="1:30" ht="15.75" customHeight="1">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c r="AD229" s="16"/>
    </row>
    <row r="230" spans="1:30" ht="15.75" customHeight="1">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row>
    <row r="231" spans="1:30" ht="15.75" customHeight="1">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c r="AD231" s="16"/>
    </row>
    <row r="232" spans="1:30" ht="15.75" customHeight="1">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c r="AD232" s="16"/>
    </row>
    <row r="233" spans="1:30" ht="15.75" customHeight="1">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c r="AD233" s="16"/>
    </row>
    <row r="234" spans="1:30" ht="15.75" customHeight="1">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c r="AD234" s="16"/>
    </row>
    <row r="235" spans="1:30" ht="15.75" customHeight="1">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row>
    <row r="236" spans="1:30" ht="15.75" customHeight="1">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c r="AD236" s="16"/>
    </row>
    <row r="237" spans="1:30" ht="15.75" customHeight="1">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c r="AD237" s="16"/>
    </row>
    <row r="238" spans="1:30" ht="15.75" customHeight="1">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c r="AD238" s="16"/>
    </row>
    <row r="239" spans="1:30" ht="15.75" customHeight="1">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c r="AD239" s="16"/>
    </row>
    <row r="240" spans="1:30" ht="15.75" customHeight="1">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c r="AD240" s="16"/>
    </row>
    <row r="241" spans="1:30" ht="15.75" customHeight="1">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c r="AD241" s="16"/>
    </row>
    <row r="242" spans="1:30" ht="15.75" customHeight="1">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c r="AD242" s="16"/>
    </row>
    <row r="243" spans="1:30" ht="15.75" customHeight="1">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c r="AD243" s="16"/>
    </row>
    <row r="244" spans="1:30" ht="15.75" customHeight="1">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16"/>
    </row>
    <row r="245" spans="1:30" ht="15.75" customHeight="1">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c r="AD245" s="16"/>
    </row>
    <row r="246" spans="1:30" ht="15.75" customHeight="1">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row>
    <row r="247" spans="1:30" ht="15.75" customHeight="1">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c r="AD247" s="16"/>
    </row>
    <row r="248" spans="1:30" ht="15.75" customHeight="1">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row>
    <row r="249" spans="1:30" ht="15.75" customHeight="1">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row>
    <row r="250" spans="1:30" ht="15.75" customHeight="1">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c r="AD250" s="16"/>
    </row>
    <row r="251" spans="1:30" ht="15.75" customHeight="1">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row>
    <row r="252" spans="1:30" ht="15.75" customHeight="1">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16"/>
    </row>
    <row r="253" spans="1:30" ht="15.75" customHeight="1">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c r="AD253" s="16"/>
    </row>
    <row r="254" spans="1:30" ht="15.75" customHeight="1">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row>
    <row r="255" spans="1:30" ht="15.75" customHeight="1">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c r="AD255" s="16"/>
    </row>
    <row r="256" spans="1:30" ht="15.75" customHeight="1">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row>
    <row r="257" spans="1:30" ht="15.75" customHeight="1">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c r="AD257" s="16"/>
    </row>
    <row r="258" spans="1:30" ht="15.75" customHeight="1">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c r="AD258" s="16"/>
    </row>
    <row r="259" spans="1:30" ht="15.75" customHeight="1">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row>
    <row r="260" spans="1:30" ht="15.75" customHeight="1">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row>
    <row r="261" spans="1:30" ht="15.75" customHeight="1">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c r="AD261" s="16"/>
    </row>
    <row r="262" spans="1:30" ht="15.75" customHeight="1">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row>
    <row r="263" spans="1:30" ht="15.75" customHeight="1">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row>
    <row r="264" spans="1:30" ht="15.75" customHeight="1">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c r="AD264" s="16"/>
    </row>
    <row r="265" spans="1:30" ht="15.75" customHeight="1">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row>
    <row r="266" spans="1:30" ht="15.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row>
    <row r="267" spans="1:30" ht="15.75" customHeight="1">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row>
    <row r="268" spans="1:30" ht="15.75" customHeight="1">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c r="AD268" s="16"/>
    </row>
    <row r="269" spans="1:30" ht="15.75" customHeight="1">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row>
    <row r="270" spans="1:30" ht="15.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row>
    <row r="271" spans="1:30" ht="15.75" customHeight="1">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c r="AD271" s="16"/>
    </row>
    <row r="272" spans="1:30" ht="15.75" customHeight="1">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c r="AD272" s="16"/>
    </row>
    <row r="273" spans="1:30" ht="15.75" customHeight="1">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c r="AD273" s="16"/>
    </row>
    <row r="274" spans="1:30" ht="15.75" customHeight="1">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c r="AD274" s="16"/>
    </row>
    <row r="275" spans="1:30" ht="15.75" customHeight="1">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c r="AD275" s="16"/>
    </row>
    <row r="276" spans="1:30" ht="15.75" customHeight="1">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row>
    <row r="277" spans="1:30" ht="15.75" customHeight="1">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16"/>
    </row>
    <row r="278" spans="1:30" ht="15.75" customHeight="1">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row>
    <row r="279" spans="1:30" ht="15.75" customHeight="1">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16"/>
    </row>
    <row r="280" spans="1:30" ht="15.75" customHeight="1">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c r="AD280" s="16"/>
    </row>
    <row r="281" spans="1:30" ht="15.75" customHeight="1">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c r="AD281" s="16"/>
    </row>
    <row r="282" spans="1:30" ht="15.75" customHeight="1">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c r="AD282" s="16"/>
    </row>
    <row r="283" spans="1:30" ht="15.75" customHeight="1">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c r="AD283" s="16"/>
    </row>
    <row r="284" spans="1:30" ht="15.75" customHeight="1">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c r="AD284" s="16"/>
    </row>
    <row r="285" spans="1:30" ht="15.75" customHeight="1">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c r="AD285" s="16"/>
    </row>
    <row r="286" spans="1:30" ht="15.75" customHeight="1">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row>
    <row r="287" spans="1:30" ht="15.75" customHeight="1">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row>
    <row r="288" spans="1:30" ht="15.75" customHeight="1">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row>
    <row r="289" spans="1:30" ht="15.75" customHeight="1">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row>
    <row r="290" spans="1:30" ht="15.75" customHeight="1">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row>
    <row r="291" spans="1:30" ht="15.75" customHeight="1">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c r="AD291" s="16"/>
    </row>
    <row r="292" spans="1:30" ht="15.75" customHeight="1">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row>
    <row r="293" spans="1:30" ht="15.75" customHeight="1">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row>
    <row r="294" spans="1:30" ht="15.75" customHeight="1">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row>
    <row r="295" spans="1:30" ht="15.75" customHeight="1">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row>
    <row r="296" spans="1:30" ht="15.75" customHeight="1">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row>
    <row r="297" spans="1:30" ht="15.75" customHeight="1">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row>
    <row r="298" spans="1:30" ht="15.75" customHeight="1">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row>
    <row r="299" spans="1:30" ht="15.75" customHeight="1">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row>
    <row r="300" spans="1:30" ht="15.75" customHeight="1">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row>
    <row r="301" spans="1:30" ht="15.75" customHeight="1">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c r="AD301" s="16"/>
    </row>
    <row r="302" spans="1:30" ht="15.75" customHeight="1">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c r="AD302" s="16"/>
    </row>
    <row r="303" spans="1:30" ht="15.75" customHeight="1">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row>
    <row r="304" spans="1:30" ht="15.75" customHeight="1">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c r="AD304" s="16"/>
    </row>
    <row r="305" spans="1:30" ht="15.75" customHeight="1">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c r="AD305" s="16"/>
    </row>
    <row r="306" spans="1:30" ht="15.75" customHeight="1"/>
    <row r="307" spans="1:30" ht="15.75" customHeight="1"/>
    <row r="308" spans="1:30" ht="15.75" customHeight="1"/>
    <row r="309" spans="1:30" ht="15.75" customHeight="1"/>
    <row r="310" spans="1:30" ht="15.75" customHeight="1"/>
    <row r="311" spans="1:30" ht="15.75" customHeight="1"/>
    <row r="312" spans="1:30" ht="15.75" customHeight="1"/>
    <row r="313" spans="1:30" ht="15.75" customHeight="1"/>
    <row r="314" spans="1:30" ht="15.75" customHeight="1"/>
    <row r="315" spans="1:30" ht="15.75" customHeight="1"/>
    <row r="316" spans="1:30" ht="15.75" customHeight="1"/>
    <row r="317" spans="1:30" ht="15.75" customHeight="1"/>
    <row r="318" spans="1:30" ht="15.75" customHeight="1"/>
    <row r="319" spans="1:30" ht="15.75" customHeight="1"/>
    <row r="320" spans="1:3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99">
    <mergeCell ref="M164:O164"/>
    <mergeCell ref="B168:C168"/>
    <mergeCell ref="M168:O168"/>
    <mergeCell ref="B169:C169"/>
    <mergeCell ref="M169:O169"/>
    <mergeCell ref="B165:C165"/>
    <mergeCell ref="M165:O165"/>
    <mergeCell ref="B166:C166"/>
    <mergeCell ref="M166:O166"/>
    <mergeCell ref="B167:C167"/>
    <mergeCell ref="M167:O167"/>
    <mergeCell ref="M152:O152"/>
    <mergeCell ref="B155:C155"/>
    <mergeCell ref="M155:O155"/>
    <mergeCell ref="M158:O158"/>
    <mergeCell ref="B159:C159"/>
    <mergeCell ref="M159:O159"/>
    <mergeCell ref="P155:T155"/>
    <mergeCell ref="B156:C156"/>
    <mergeCell ref="M156:O156"/>
    <mergeCell ref="P156:T169"/>
    <mergeCell ref="B157:C157"/>
    <mergeCell ref="M157:O157"/>
    <mergeCell ref="B158:C158"/>
    <mergeCell ref="B161:C161"/>
    <mergeCell ref="M161:O161"/>
    <mergeCell ref="B160:C160"/>
    <mergeCell ref="M160:O160"/>
    <mergeCell ref="B162:C162"/>
    <mergeCell ref="M162:O162"/>
    <mergeCell ref="B163:C163"/>
    <mergeCell ref="M163:O163"/>
    <mergeCell ref="B164:C164"/>
    <mergeCell ref="M151:O151"/>
    <mergeCell ref="M138:O138"/>
    <mergeCell ref="P138:T138"/>
    <mergeCell ref="M139:O139"/>
    <mergeCell ref="P139:T152"/>
    <mergeCell ref="M140:O140"/>
    <mergeCell ref="M141:O141"/>
    <mergeCell ref="M142:O142"/>
    <mergeCell ref="M143:O143"/>
    <mergeCell ref="M144:O144"/>
    <mergeCell ref="M145:O145"/>
    <mergeCell ref="M146:O146"/>
    <mergeCell ref="M147:O147"/>
    <mergeCell ref="M148:O148"/>
    <mergeCell ref="M149:O149"/>
    <mergeCell ref="M150:O150"/>
    <mergeCell ref="M135:O135"/>
    <mergeCell ref="P121:R121"/>
    <mergeCell ref="M123:O123"/>
    <mergeCell ref="P123:T123"/>
    <mergeCell ref="M124:O124"/>
    <mergeCell ref="P124:T135"/>
    <mergeCell ref="M125:O125"/>
    <mergeCell ref="M126:O126"/>
    <mergeCell ref="M127:O127"/>
    <mergeCell ref="M128:O128"/>
    <mergeCell ref="M129:O129"/>
    <mergeCell ref="M130:O130"/>
    <mergeCell ref="M131:O131"/>
    <mergeCell ref="M132:O132"/>
    <mergeCell ref="M133:O133"/>
    <mergeCell ref="M134:O134"/>
    <mergeCell ref="P119:R119"/>
    <mergeCell ref="P120:R120"/>
    <mergeCell ref="AG29:AH29"/>
    <mergeCell ref="AI29:AJ29"/>
    <mergeCell ref="AG30:AH40"/>
    <mergeCell ref="AI30:AJ40"/>
    <mergeCell ref="P115:R115"/>
    <mergeCell ref="P70:Q70"/>
    <mergeCell ref="H92:I105"/>
    <mergeCell ref="J92:K105"/>
    <mergeCell ref="P116:R116"/>
    <mergeCell ref="P117:R117"/>
    <mergeCell ref="P118:R118"/>
    <mergeCell ref="H37:J37"/>
    <mergeCell ref="K71:O87"/>
    <mergeCell ref="P71:Q87"/>
    <mergeCell ref="H91:I91"/>
    <mergeCell ref="J91:K91"/>
    <mergeCell ref="K70:O70"/>
    <mergeCell ref="H38:J42"/>
    <mergeCell ref="I45:K45"/>
    <mergeCell ref="I46:K50"/>
    <mergeCell ref="K54:M54"/>
    <mergeCell ref="K55:M67"/>
    <mergeCell ref="A1:C1"/>
    <mergeCell ref="E1:H1"/>
    <mergeCell ref="D7:I7"/>
    <mergeCell ref="D8:I8"/>
    <mergeCell ref="A28:F28"/>
    <mergeCell ref="A30:F30"/>
    <mergeCell ref="A31:F31"/>
    <mergeCell ref="A32:F32"/>
    <mergeCell ref="A34:F34"/>
    <mergeCell ref="A29:F29"/>
  </mergeCells>
  <phoneticPr fontId="31" type="noConversion"/>
  <conditionalFormatting sqref="I55:I66">
    <cfRule type="containsText" dxfId="682" priority="1" operator="containsText" text="5">
      <formula>NOT(ISERROR(SEARCH(("5"),(I55))))</formula>
    </cfRule>
    <cfRule type="containsText" dxfId="681" priority="2" operator="containsText" text="42">
      <formula>NOT(ISERROR(SEARCH(("42"),(I55))))</formula>
    </cfRule>
    <cfRule type="containsText" dxfId="680" priority="3" operator="containsText" text="Please fill in">
      <formula>NOT(ISERROR(SEARCH(("Please fill in"),(I55))))</formula>
    </cfRule>
  </conditionalFormatting>
  <dataValidations count="4">
    <dataValidation type="list" allowBlank="1" showErrorMessage="1" sqref="D48:D50 H61:H67" xr:uid="{6908FA0F-908E-BF45-85FA-E6B6C8BD2BC9}">
      <formula1>DIOK!TypesOfTrainers</formula1>
    </dataValidation>
    <dataValidation type="list" allowBlank="1" showErrorMessage="1" sqref="B9" xr:uid="{4A69E4E3-705C-1F4E-8769-17AC1169749D}">
      <formula1>"yes,no,partial"</formula1>
    </dataValidation>
    <dataValidation type="list" allowBlank="1" sqref="G46:G50" xr:uid="{1AA7D8C6-4000-FD4F-BE02-A50285CEE452}">
      <formula1>"yes,no"</formula1>
    </dataValidation>
    <dataValidation type="list" allowBlank="1" showErrorMessage="1" sqref="D46:D47 H55:H60" xr:uid="{36713114-0F89-974B-B2C4-B039E4C02441}">
      <formula1>'https://universiteittwente.sharepoint.com/sites/SportsCoordinatorsSUT/Gedeelde documenten/General/(WIP) FAM Sheets - Regulations 2025-28 - Version April 2025.xlsx'!TypesOfTrainers</formula1>
    </dataValidation>
  </dataValidations>
  <pageMargins left="0.7" right="0.7" top="0.75" bottom="0.75" header="0" footer="0"/>
  <pageSetup paperSize="9" orientation="portrait"/>
  <drawing r:id="rId1"/>
  <legacyDrawing r:id="rId2"/>
  <tableParts count="6">
    <tablePart r:id="rId3"/>
    <tablePart r:id="rId4"/>
    <tablePart r:id="rId5"/>
    <tablePart r:id="rId6"/>
    <tablePart r:id="rId7"/>
    <tablePart r:id="rId8"/>
  </tableParts>
  <extLst>
    <ext xmlns:x14="http://schemas.microsoft.com/office/spreadsheetml/2009/9/main" uri="{CCE6A557-97BC-4b89-ADB6-D9C93CAAB3DF}">
      <x14:dataValidations xmlns:xm="http://schemas.microsoft.com/office/excel/2006/main" count="4">
        <x14:dataValidation type="list" allowBlank="1" showInputMessage="1" showErrorMessage="1" xr:uid="{7E891310-FB8B-F746-AF02-0FC71FF17419}">
          <x14:formula1>
            <xm:f>Constants!$M$6:$M$7</xm:f>
          </x14:formula1>
          <xm:sqref>B97:B107</xm:sqref>
        </x14:dataValidation>
        <x14:dataValidation type="list" allowBlank="1" showInputMessage="1" showErrorMessage="1" xr:uid="{26585B07-213D-E340-8619-2086DFB99B6C}">
          <x14:formula1>
            <xm:f>Constants!$C$55:$C$56</xm:f>
          </x14:formula1>
          <xm:sqref>B12</xm:sqref>
        </x14:dataValidation>
        <x14:dataValidation type="list" allowBlank="1" showErrorMessage="1" xr:uid="{A4E5CD50-8226-204A-9918-7EDA20020237}">
          <x14:formula1>
            <xm:f>Constants!$H$6:$H$13</xm:f>
          </x14:formula1>
          <xm:sqref>B55:B67</xm:sqref>
        </x14:dataValidation>
        <x14:dataValidation type="list" allowBlank="1" showErrorMessage="1" xr:uid="{5388FC56-38C1-1643-8175-AFFCAED5250E}">
          <x14:formula1>
            <xm:f>Constants!$A$2:$AD$2</xm:f>
          </x14:formula1>
          <xm:sqref>B71:B87</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F0443C-9267-4AC9-811C-BBE19DE993BB}">
  <dimension ref="A1:BG1043"/>
  <sheetViews>
    <sheetView topLeftCell="Y24" workbookViewId="0">
      <selection activeCell="AF30" sqref="AF30"/>
    </sheetView>
  </sheetViews>
  <sheetFormatPr defaultColWidth="12.625" defaultRowHeight="15" customHeight="1"/>
  <cols>
    <col min="1" max="1" width="36.625" customWidth="1"/>
    <col min="2" max="2" width="28.125" customWidth="1"/>
    <col min="3" max="3" width="21" customWidth="1"/>
    <col min="4" max="4" width="17.5" customWidth="1"/>
    <col min="5" max="5" width="16.125" customWidth="1"/>
    <col min="6" max="6" width="21.5" customWidth="1"/>
    <col min="7" max="7" width="22.625" customWidth="1"/>
    <col min="8" max="8" width="18.625" customWidth="1"/>
    <col min="9" max="9" width="19.625" customWidth="1"/>
    <col min="10" max="10" width="18.875" customWidth="1"/>
    <col min="11" max="11" width="21.625" customWidth="1"/>
    <col min="12" max="12" width="17.375" customWidth="1"/>
    <col min="13" max="13" width="15.125" customWidth="1"/>
    <col min="14" max="14" width="15.625" customWidth="1"/>
    <col min="15" max="15" width="28.5" customWidth="1"/>
    <col min="16" max="16" width="13.125" customWidth="1"/>
    <col min="17" max="17" width="21.875" customWidth="1"/>
    <col min="18" max="18" width="27" customWidth="1"/>
    <col min="19" max="19" width="20.5" customWidth="1"/>
    <col min="20" max="22" width="7.625" customWidth="1"/>
    <col min="23" max="23" width="31.875" customWidth="1"/>
    <col min="24" max="24" width="7.625" customWidth="1"/>
    <col min="25" max="25" width="8.375" customWidth="1"/>
    <col min="26" max="26" width="21.625" customWidth="1"/>
    <col min="27" max="27" width="12" customWidth="1"/>
    <col min="28" max="28" width="16.5" customWidth="1"/>
    <col min="29" max="29" width="6" customWidth="1"/>
    <col min="30" max="30" width="31.125" customWidth="1"/>
  </cols>
  <sheetData>
    <row r="1" spans="1:59" ht="171" customHeight="1">
      <c r="A1" s="703"/>
      <c r="B1" s="704"/>
      <c r="C1" s="705"/>
      <c r="D1" s="16"/>
      <c r="E1" s="572" t="s">
        <v>200</v>
      </c>
      <c r="F1" s="704"/>
      <c r="G1" s="704"/>
      <c r="H1" s="705"/>
      <c r="I1" s="16"/>
      <c r="J1" s="16"/>
      <c r="K1" s="16"/>
      <c r="L1" s="16"/>
      <c r="M1" s="16"/>
      <c r="N1" s="16"/>
      <c r="O1" s="16"/>
      <c r="P1" s="16"/>
      <c r="Q1" s="16"/>
      <c r="R1" s="16"/>
      <c r="S1" s="16"/>
      <c r="T1" s="16"/>
      <c r="U1" s="16"/>
      <c r="V1" s="16"/>
      <c r="W1" s="16"/>
      <c r="X1" s="16"/>
      <c r="Y1" s="16"/>
      <c r="Z1" s="16"/>
      <c r="AA1" s="16"/>
      <c r="AB1" s="16"/>
      <c r="AC1" s="16"/>
      <c r="AD1" s="16"/>
    </row>
    <row r="2" spans="1:59">
      <c r="A2" s="58" t="s">
        <v>404</v>
      </c>
      <c r="B2" s="152" t="s">
        <v>716</v>
      </c>
      <c r="C2" s="59"/>
      <c r="D2" s="16"/>
      <c r="E2" s="60" t="s">
        <v>406</v>
      </c>
      <c r="F2" s="153"/>
      <c r="G2" s="154"/>
      <c r="H2" s="61"/>
      <c r="I2" s="16"/>
      <c r="J2" s="16"/>
      <c r="K2" s="16"/>
      <c r="L2" s="16"/>
      <c r="M2" s="16"/>
      <c r="N2" s="16"/>
      <c r="O2" s="16"/>
      <c r="P2" s="16"/>
      <c r="Q2" s="16"/>
      <c r="R2" s="16"/>
      <c r="S2" s="16"/>
      <c r="T2" s="16"/>
      <c r="U2" s="16"/>
      <c r="V2" s="16"/>
      <c r="W2" s="16"/>
      <c r="X2" s="16"/>
      <c r="Y2" s="16"/>
      <c r="Z2" s="15"/>
      <c r="AA2" s="15"/>
      <c r="AB2" s="15"/>
      <c r="AC2" s="15"/>
      <c r="AD2" s="16"/>
      <c r="AE2" s="16"/>
      <c r="AF2" s="16"/>
      <c r="AG2" s="16"/>
      <c r="AH2" s="16"/>
      <c r="AI2" s="17"/>
      <c r="AJ2" s="17"/>
      <c r="AK2" s="17"/>
      <c r="AL2" s="17"/>
      <c r="AM2" s="17"/>
      <c r="AN2" s="17"/>
      <c r="AO2" s="17"/>
      <c r="AP2" s="17"/>
      <c r="AQ2" s="17"/>
      <c r="AR2" s="18"/>
      <c r="AS2" s="17"/>
      <c r="AT2" s="17"/>
      <c r="AU2" s="16"/>
      <c r="AV2" s="16"/>
      <c r="AW2" s="16"/>
      <c r="AX2" s="16"/>
      <c r="AY2" s="16"/>
      <c r="AZ2" s="16"/>
      <c r="BA2" s="16"/>
    </row>
    <row r="3" spans="1:59">
      <c r="A3" s="62" t="s">
        <v>408</v>
      </c>
      <c r="B3" s="155">
        <v>5</v>
      </c>
      <c r="C3" s="156"/>
      <c r="D3" s="16"/>
      <c r="E3" s="63" t="s">
        <v>409</v>
      </c>
      <c r="F3" s="157"/>
      <c r="G3" s="158"/>
      <c r="H3" s="159"/>
      <c r="I3" s="16"/>
      <c r="J3" s="16"/>
      <c r="K3" s="16"/>
      <c r="L3" s="16"/>
      <c r="M3" s="16"/>
      <c r="N3" s="16"/>
      <c r="O3" s="16"/>
      <c r="P3" s="16"/>
      <c r="Q3" s="16"/>
      <c r="R3" s="16"/>
      <c r="S3" s="16"/>
      <c r="T3" s="16"/>
      <c r="U3" s="16"/>
      <c r="V3" s="16"/>
      <c r="W3" s="16"/>
      <c r="X3" s="16"/>
      <c r="Y3" s="16"/>
      <c r="Z3" s="16"/>
      <c r="AA3" s="16"/>
      <c r="AB3" s="16"/>
      <c r="AC3" s="16"/>
      <c r="AD3" s="16"/>
    </row>
    <row r="4" spans="1:59">
      <c r="A4" s="160" t="s">
        <v>410</v>
      </c>
      <c r="B4" s="161">
        <v>45812</v>
      </c>
      <c r="C4" s="162"/>
      <c r="D4" s="16"/>
      <c r="E4" s="163"/>
      <c r="F4" s="164"/>
      <c r="G4" s="165"/>
      <c r="H4" s="166"/>
      <c r="I4" s="16"/>
      <c r="J4" s="16"/>
      <c r="K4" s="16"/>
      <c r="L4" s="16"/>
      <c r="M4" s="16"/>
      <c r="N4" s="16"/>
      <c r="O4" s="16"/>
      <c r="P4" s="16"/>
      <c r="Q4" s="16"/>
      <c r="R4" s="16"/>
      <c r="S4" s="16"/>
      <c r="T4" s="16"/>
      <c r="U4" s="16"/>
      <c r="V4" s="16"/>
      <c r="W4" s="16"/>
      <c r="X4" s="16"/>
      <c r="Y4" s="16"/>
      <c r="Z4" s="16"/>
      <c r="AA4" s="16"/>
      <c r="AB4" s="16"/>
      <c r="AC4" s="16"/>
      <c r="AD4" s="16"/>
    </row>
    <row r="5" spans="1:59">
      <c r="A5" s="167" t="s">
        <v>411</v>
      </c>
      <c r="B5" s="168"/>
      <c r="C5" s="167"/>
      <c r="D5" s="16"/>
      <c r="E5" s="169" t="s">
        <v>412</v>
      </c>
      <c r="F5" s="169"/>
      <c r="G5" s="158"/>
      <c r="H5" s="169"/>
      <c r="I5" s="16"/>
      <c r="J5" s="16"/>
      <c r="K5" s="16"/>
      <c r="L5" s="16"/>
      <c r="M5" s="16"/>
      <c r="N5" s="16"/>
      <c r="O5" s="16"/>
      <c r="P5" s="16"/>
      <c r="Q5" s="16"/>
      <c r="R5" s="16"/>
      <c r="S5" s="16"/>
      <c r="T5" s="16"/>
      <c r="U5" s="16"/>
      <c r="V5" s="16"/>
      <c r="W5" s="16"/>
      <c r="X5" s="16"/>
      <c r="Y5" s="16"/>
      <c r="Z5" s="16"/>
      <c r="AA5" s="16"/>
      <c r="AB5" s="16"/>
      <c r="AC5" s="16"/>
      <c r="AD5" s="16"/>
    </row>
    <row r="6" spans="1:59">
      <c r="A6" s="15"/>
      <c r="B6" s="64"/>
      <c r="C6" s="16"/>
      <c r="D6" s="16"/>
      <c r="E6" s="16"/>
      <c r="F6" s="16"/>
      <c r="G6" s="16"/>
      <c r="H6" s="16"/>
      <c r="I6" s="16"/>
      <c r="J6" s="64"/>
      <c r="K6" s="16"/>
      <c r="L6" s="16"/>
      <c r="M6" s="16"/>
      <c r="N6" s="16"/>
      <c r="O6" s="16"/>
      <c r="P6" s="16"/>
      <c r="Q6" s="16"/>
      <c r="R6" s="16"/>
      <c r="S6" s="16"/>
      <c r="T6" s="16"/>
      <c r="U6" s="16"/>
      <c r="V6" s="16"/>
      <c r="W6" s="16"/>
      <c r="X6" s="16"/>
      <c r="Y6" s="16"/>
      <c r="Z6" s="16"/>
      <c r="AA6" s="16"/>
      <c r="AB6" s="16"/>
      <c r="AC6" s="16"/>
      <c r="AD6" s="16"/>
    </row>
    <row r="7" spans="1:59">
      <c r="A7" s="170" t="s">
        <v>413</v>
      </c>
      <c r="B7" s="59">
        <v>307</v>
      </c>
      <c r="C7" s="16"/>
      <c r="D7" s="573" t="s">
        <v>414</v>
      </c>
      <c r="E7" s="701"/>
      <c r="F7" s="701"/>
      <c r="G7" s="701"/>
      <c r="H7" s="701"/>
      <c r="I7" s="701"/>
      <c r="J7" s="16"/>
      <c r="K7" s="16"/>
      <c r="L7" s="16"/>
      <c r="M7" s="16"/>
      <c r="N7" s="16"/>
      <c r="O7" s="16"/>
      <c r="P7" s="16"/>
      <c r="Q7" s="16"/>
      <c r="R7" s="16"/>
      <c r="S7" s="16"/>
      <c r="T7" s="16"/>
      <c r="U7" s="16"/>
      <c r="V7" s="16"/>
      <c r="W7" s="16"/>
      <c r="X7" s="16"/>
      <c r="Y7" s="16"/>
      <c r="Z7" s="16"/>
      <c r="AA7" s="16"/>
      <c r="AB7" s="16"/>
      <c r="AC7" s="16"/>
      <c r="AD7" s="16"/>
    </row>
    <row r="8" spans="1:59" ht="14.25" customHeight="1">
      <c r="A8" s="171" t="s">
        <v>415</v>
      </c>
      <c r="B8" s="172">
        <f ca="1">M21-M17</f>
        <v>21853.093551613703</v>
      </c>
      <c r="C8" s="16" t="s">
        <v>416</v>
      </c>
      <c r="D8" s="574" t="s">
        <v>417</v>
      </c>
      <c r="E8" s="704"/>
      <c r="F8" s="704"/>
      <c r="G8" s="704"/>
      <c r="H8" s="704"/>
      <c r="I8" s="704"/>
      <c r="J8" s="16"/>
      <c r="K8" s="16"/>
      <c r="L8" s="16"/>
      <c r="M8" s="16"/>
      <c r="N8" s="16"/>
      <c r="O8" s="16"/>
      <c r="P8" s="16"/>
      <c r="Q8" s="16"/>
      <c r="R8" s="16"/>
      <c r="S8" s="16"/>
      <c r="T8" s="16"/>
      <c r="U8" s="16"/>
      <c r="V8" s="16"/>
      <c r="W8" s="16"/>
      <c r="X8" s="16"/>
      <c r="Y8" s="16"/>
      <c r="Z8" s="16"/>
      <c r="AA8" s="16"/>
      <c r="AB8" s="16"/>
      <c r="AC8" s="16"/>
    </row>
    <row r="9" spans="1:59">
      <c r="A9" s="65" t="s">
        <v>418</v>
      </c>
      <c r="B9" s="173" t="s">
        <v>419</v>
      </c>
      <c r="C9" s="16"/>
      <c r="D9" s="16"/>
      <c r="E9" s="17"/>
      <c r="F9" s="17"/>
      <c r="G9" s="17"/>
      <c r="H9" s="17"/>
      <c r="I9" s="17"/>
      <c r="J9" s="17"/>
      <c r="K9" s="17"/>
      <c r="L9" s="17"/>
      <c r="M9" s="17"/>
      <c r="N9" s="17"/>
      <c r="O9" s="17"/>
      <c r="P9" s="17"/>
      <c r="Q9" s="16"/>
      <c r="R9" s="17"/>
      <c r="S9" s="17"/>
      <c r="T9" s="17"/>
      <c r="U9" s="17"/>
      <c r="V9" s="17"/>
      <c r="W9" s="17"/>
      <c r="X9" s="17"/>
      <c r="Y9" s="17"/>
      <c r="Z9" s="17"/>
      <c r="AA9" s="17"/>
      <c r="AB9" s="17"/>
      <c r="AC9" s="17"/>
      <c r="AD9" s="18" t="s">
        <v>242</v>
      </c>
    </row>
    <row r="10" spans="1:59">
      <c r="A10" s="174" t="s">
        <v>420</v>
      </c>
      <c r="B10" s="257">
        <f>COUNTA(A38:A47)+COUNTA(A51:A75)</f>
        <v>35</v>
      </c>
      <c r="C10" s="16"/>
      <c r="D10" s="16"/>
      <c r="E10" s="17"/>
      <c r="F10" s="17"/>
      <c r="G10" s="17"/>
      <c r="H10" s="17"/>
      <c r="I10" s="17"/>
      <c r="J10" s="17"/>
      <c r="K10" s="17"/>
      <c r="L10" s="17"/>
      <c r="M10" s="17"/>
      <c r="N10" s="17"/>
      <c r="O10" s="17"/>
      <c r="P10" s="17"/>
      <c r="Q10" s="16"/>
      <c r="R10" s="17"/>
      <c r="S10" s="17"/>
      <c r="T10" s="17"/>
      <c r="U10" s="17"/>
      <c r="V10" s="17"/>
      <c r="W10" s="17"/>
      <c r="X10" s="17"/>
      <c r="Y10" s="17"/>
      <c r="Z10" s="17"/>
      <c r="AA10" s="17"/>
      <c r="AB10" s="17"/>
      <c r="AC10" s="17"/>
      <c r="AD10" s="18"/>
    </row>
    <row r="11" spans="1:59">
      <c r="A11" s="171" t="s">
        <v>421</v>
      </c>
      <c r="B11" s="256">
        <f>SUM(B38:B47)+SUM(B51:B75)</f>
        <v>374</v>
      </c>
      <c r="C11" s="16"/>
      <c r="D11" s="16"/>
      <c r="E11" s="17"/>
      <c r="F11" s="17"/>
      <c r="G11" s="17"/>
      <c r="H11" s="17"/>
      <c r="I11" s="17"/>
      <c r="J11" s="17"/>
      <c r="K11" s="17"/>
      <c r="L11" s="17"/>
      <c r="M11" s="17"/>
      <c r="N11" s="17"/>
      <c r="O11" s="17"/>
      <c r="P11" s="17"/>
      <c r="Q11" s="16"/>
      <c r="R11" s="17"/>
      <c r="S11" s="17"/>
      <c r="T11" s="17"/>
      <c r="U11" s="17"/>
      <c r="V11" s="17"/>
      <c r="W11" s="17"/>
      <c r="X11" s="17"/>
      <c r="Y11" s="17"/>
      <c r="Z11" s="17"/>
      <c r="AA11" s="17"/>
      <c r="AB11" s="17"/>
      <c r="AC11" s="17"/>
      <c r="AD11" s="18"/>
    </row>
    <row r="12" spans="1:59">
      <c r="A12" s="239" t="s">
        <v>422</v>
      </c>
      <c r="B12" s="240" t="s">
        <v>319</v>
      </c>
      <c r="C12" s="16"/>
      <c r="D12" s="16"/>
      <c r="E12" s="17"/>
      <c r="F12" s="17"/>
      <c r="G12" s="17"/>
      <c r="H12" s="17"/>
      <c r="I12" s="17"/>
      <c r="J12" s="17"/>
      <c r="K12" s="17"/>
      <c r="L12" s="17"/>
      <c r="M12" s="17"/>
      <c r="N12" s="17"/>
      <c r="O12" s="17"/>
      <c r="P12" s="17"/>
      <c r="Q12" s="16"/>
      <c r="R12" s="17"/>
      <c r="S12" s="17"/>
      <c r="T12" s="17"/>
      <c r="U12" s="17"/>
      <c r="V12" s="17"/>
      <c r="W12" s="17"/>
      <c r="X12" s="17"/>
      <c r="Y12" s="17"/>
      <c r="Z12" s="17"/>
      <c r="AA12" s="17"/>
      <c r="AB12" s="17"/>
      <c r="AC12" s="17"/>
      <c r="AD12" s="18"/>
    </row>
    <row r="13" spans="1:59">
      <c r="A13" s="16"/>
      <c r="B13" s="16"/>
      <c r="C13" s="16"/>
      <c r="D13" s="16"/>
      <c r="E13" s="17"/>
      <c r="F13" s="17"/>
      <c r="G13" s="17"/>
      <c r="H13" s="17"/>
      <c r="I13" s="17"/>
      <c r="J13" s="17"/>
      <c r="K13" s="17"/>
      <c r="L13" s="17"/>
      <c r="M13" s="17"/>
      <c r="N13" s="17"/>
      <c r="O13" s="17"/>
      <c r="P13" s="17"/>
      <c r="Q13" s="16"/>
      <c r="R13" s="17"/>
      <c r="S13" s="17"/>
      <c r="T13" s="17"/>
      <c r="U13" s="17"/>
      <c r="V13" s="17"/>
      <c r="W13" s="17"/>
      <c r="X13" s="17"/>
      <c r="Y13" s="17"/>
      <c r="Z13" s="17"/>
      <c r="AA13" s="17"/>
      <c r="AB13" s="17"/>
      <c r="AC13" s="17"/>
      <c r="AD13" s="17" t="str" cm="1">
        <f t="array" ref="AD13:BF14">Constants!A2:AC3</f>
        <v>SC1</v>
      </c>
      <c r="AE13" s="17" t="str">
        <v>SC1 - Half</v>
      </c>
      <c r="AF13" s="17" t="str">
        <v>SC2</v>
      </c>
      <c r="AG13" s="17" t="str">
        <v>SC2 - Half</v>
      </c>
      <c r="AH13" s="17" t="str">
        <v>SC3</v>
      </c>
      <c r="AI13" s="17" t="str">
        <v>SC4</v>
      </c>
      <c r="AJ13" s="17" t="str">
        <v>SC5</v>
      </c>
      <c r="AK13" s="17" t="str">
        <v>SC6</v>
      </c>
      <c r="AL13" s="17" t="str">
        <v>Dojo</v>
      </c>
      <c r="AM13" s="17" t="str">
        <v>Boulder Wall</v>
      </c>
      <c r="AN13" s="17" t="str">
        <v>Climbing Wall</v>
      </c>
      <c r="AO13" s="17" t="str">
        <v>Artificial Hockey field</v>
      </c>
      <c r="AP13" s="17" t="str">
        <v>Artificial Hockey field - Half</v>
      </c>
      <c r="AQ13" s="17" t="str">
        <v>Artificial Soccer field</v>
      </c>
      <c r="AR13" s="17" t="str">
        <v>Artificial Soccer field - Half</v>
      </c>
      <c r="AS13" s="17" t="str">
        <v>Basketball</v>
      </c>
      <c r="AT13" s="17" t="str">
        <v>Bastille field</v>
      </c>
      <c r="AU13" s="17" t="str">
        <v>Beach fields</v>
      </c>
      <c r="AV13" s="17" t="str">
        <v>Shooting range</v>
      </c>
      <c r="AW13" s="17" t="str">
        <v>Multi/Lacrosse field</v>
      </c>
      <c r="AX13" s="17" t="str">
        <v>Multi/Lacrosse field - Half</v>
      </c>
      <c r="AY13" s="17" t="str">
        <v>Bootcamp field</v>
      </c>
      <c r="AZ13" s="17" t="str">
        <v>Multi/Baseball field</v>
      </c>
      <c r="BA13" s="17" t="str">
        <v>Tennis court</v>
      </c>
      <c r="BB13" s="17" t="str">
        <v>Utrack</v>
      </c>
      <c r="BC13" s="22" t="str">
        <v>Verreveld</v>
      </c>
      <c r="BD13" s="22" t="str">
        <v>Wsc</v>
      </c>
      <c r="BE13" s="22" t="str">
        <v>Indoor pool</v>
      </c>
      <c r="BF13" s="22" t="str">
        <v>Outdoor pool</v>
      </c>
      <c r="BG13" s="22"/>
    </row>
    <row r="14" spans="1:59">
      <c r="A14" s="175" t="s">
        <v>423</v>
      </c>
      <c r="B14" s="16"/>
      <c r="C14" s="16"/>
      <c r="D14" s="16"/>
      <c r="E14" s="16"/>
      <c r="F14" s="16"/>
      <c r="G14" s="175" t="s">
        <v>424</v>
      </c>
      <c r="I14" s="17"/>
      <c r="J14" s="17"/>
      <c r="K14" s="176" t="s">
        <v>425</v>
      </c>
      <c r="L14" s="17"/>
      <c r="M14" s="176" t="s">
        <v>426</v>
      </c>
      <c r="N14" s="629" t="s">
        <v>815</v>
      </c>
      <c r="O14" s="753"/>
      <c r="P14" s="17"/>
      <c r="Q14" s="17"/>
      <c r="R14" s="17"/>
      <c r="S14" s="16"/>
      <c r="T14" s="17"/>
      <c r="U14" s="17"/>
      <c r="V14" s="17"/>
      <c r="W14" s="17"/>
      <c r="X14" s="17"/>
      <c r="Y14" s="17"/>
      <c r="Z14" s="17"/>
      <c r="AA14" s="17"/>
      <c r="AB14" s="17"/>
      <c r="AC14" s="17"/>
      <c r="AD14" s="19">
        <v>67.5</v>
      </c>
      <c r="AE14" s="19">
        <v>35</v>
      </c>
      <c r="AF14" s="19">
        <v>67.5</v>
      </c>
      <c r="AG14" s="19">
        <v>35</v>
      </c>
      <c r="AH14" s="19">
        <v>40</v>
      </c>
      <c r="AI14" s="19">
        <v>40</v>
      </c>
      <c r="AJ14" s="19">
        <v>35</v>
      </c>
      <c r="AK14" s="19">
        <v>35</v>
      </c>
      <c r="AL14" s="19">
        <v>40</v>
      </c>
      <c r="AM14" s="19">
        <v>27.5</v>
      </c>
      <c r="AN14" s="19">
        <v>45</v>
      </c>
      <c r="AO14" s="19">
        <v>75</v>
      </c>
      <c r="AP14" s="19">
        <v>40</v>
      </c>
      <c r="AQ14" s="19">
        <v>75</v>
      </c>
      <c r="AR14" s="19">
        <v>40</v>
      </c>
      <c r="AS14" s="19">
        <v>30</v>
      </c>
      <c r="AT14" s="19">
        <v>50</v>
      </c>
      <c r="AU14" s="19">
        <v>75</v>
      </c>
      <c r="AV14" s="19">
        <v>40</v>
      </c>
      <c r="AW14" s="19">
        <v>75</v>
      </c>
      <c r="AX14" s="19">
        <v>40</v>
      </c>
      <c r="AY14" s="19">
        <v>50</v>
      </c>
      <c r="AZ14" s="19">
        <v>65</v>
      </c>
      <c r="BA14" s="19">
        <v>35</v>
      </c>
      <c r="BB14" s="19">
        <v>45</v>
      </c>
      <c r="BC14" s="19">
        <v>50</v>
      </c>
      <c r="BD14" s="19">
        <v>0</v>
      </c>
      <c r="BE14" s="19">
        <v>65</v>
      </c>
      <c r="BF14" s="20">
        <v>70</v>
      </c>
      <c r="BG14" s="20"/>
    </row>
    <row r="15" spans="1:59">
      <c r="A15" s="67"/>
      <c r="B15" s="68" t="str">
        <f>Constants!H6</f>
        <v>Performance training</v>
      </c>
      <c r="C15" s="68" t="str">
        <f>Constants!H7</f>
        <v>Performance coaching</v>
      </c>
      <c r="D15" s="68" t="str">
        <f>Constants!H8</f>
        <v>Dangerous</v>
      </c>
      <c r="E15" s="69" t="str">
        <f>Constants!H9</f>
        <v>Recreational</v>
      </c>
      <c r="F15" s="69" t="s">
        <v>290</v>
      </c>
      <c r="G15" s="70"/>
      <c r="H15" s="71" t="s">
        <v>427</v>
      </c>
      <c r="I15" s="72" t="s">
        <v>272</v>
      </c>
      <c r="J15" s="70" t="s">
        <v>5</v>
      </c>
      <c r="K15" s="72" t="s">
        <v>428</v>
      </c>
      <c r="L15" s="70" t="s">
        <v>429</v>
      </c>
      <c r="M15" s="73" cm="1">
        <f t="array" ref="M15">(SUM(IF($D$51:$D$75="PT",($F$51:$F$75)/1.5+IF($G$51:$G$75="yes",1)))+SUM(IF($D$51:$D$75="Extern",($F$51:$F$75)/1.5+IF($G$51:$G$75="yes",1)))+SUM(IF($D$51:$D$75="PT-ZZP",($F$51:$F$75)/1.5+IF($G$51:$G$75="yes",1))))*Constants!B10</f>
        <v>4500</v>
      </c>
      <c r="N15" s="630"/>
      <c r="O15" s="754"/>
      <c r="P15" s="755"/>
      <c r="Q15" s="17"/>
      <c r="R15" s="16"/>
      <c r="S15" s="17"/>
      <c r="T15" s="17"/>
      <c r="U15" s="17"/>
      <c r="V15" s="17"/>
      <c r="W15" s="17"/>
      <c r="X15" s="17"/>
      <c r="Y15" s="17"/>
      <c r="Z15" s="17"/>
      <c r="AA15" s="17"/>
      <c r="AB15" s="17"/>
      <c r="AC15" s="17"/>
      <c r="AD15" s="16">
        <f t="shared" ref="AD15:BF15" si="0">SUMIF($B$100:$B$117,AD13,$F$100:$F$117)</f>
        <v>0</v>
      </c>
      <c r="AE15" s="16">
        <f t="shared" si="0"/>
        <v>0</v>
      </c>
      <c r="AF15" s="16">
        <f t="shared" si="0"/>
        <v>0</v>
      </c>
      <c r="AG15" s="16">
        <f t="shared" si="0"/>
        <v>0</v>
      </c>
      <c r="AH15" s="16">
        <f t="shared" si="0"/>
        <v>0</v>
      </c>
      <c r="AI15" s="16">
        <f t="shared" si="0"/>
        <v>0</v>
      </c>
      <c r="AJ15" s="16">
        <f t="shared" si="0"/>
        <v>0</v>
      </c>
      <c r="AK15" s="16">
        <f t="shared" si="0"/>
        <v>0</v>
      </c>
      <c r="AL15" s="16">
        <f t="shared" si="0"/>
        <v>0</v>
      </c>
      <c r="AM15" s="16">
        <f t="shared" si="0"/>
        <v>0</v>
      </c>
      <c r="AN15" s="16">
        <f t="shared" si="0"/>
        <v>0</v>
      </c>
      <c r="AO15" s="16">
        <f t="shared" si="0"/>
        <v>0</v>
      </c>
      <c r="AP15" s="16">
        <f t="shared" si="0"/>
        <v>0</v>
      </c>
      <c r="AQ15" s="16">
        <f t="shared" si="0"/>
        <v>0</v>
      </c>
      <c r="AR15" s="16">
        <f t="shared" si="0"/>
        <v>0</v>
      </c>
      <c r="AS15" s="16">
        <f t="shared" si="0"/>
        <v>0</v>
      </c>
      <c r="AT15" s="16">
        <f t="shared" si="0"/>
        <v>0</v>
      </c>
      <c r="AU15" s="16">
        <f t="shared" si="0"/>
        <v>0</v>
      </c>
      <c r="AV15" s="16">
        <f t="shared" si="0"/>
        <v>0</v>
      </c>
      <c r="AW15" s="16">
        <f t="shared" si="0"/>
        <v>0</v>
      </c>
      <c r="AX15" s="16">
        <f t="shared" si="0"/>
        <v>0</v>
      </c>
      <c r="AY15" s="16">
        <f t="shared" si="0"/>
        <v>0</v>
      </c>
      <c r="AZ15" s="16">
        <f t="shared" si="0"/>
        <v>0</v>
      </c>
      <c r="BA15" s="16">
        <f t="shared" si="0"/>
        <v>0</v>
      </c>
      <c r="BB15" s="16">
        <f t="shared" si="0"/>
        <v>0</v>
      </c>
      <c r="BC15" s="16">
        <f t="shared" si="0"/>
        <v>0</v>
      </c>
      <c r="BD15" s="16">
        <f t="shared" si="0"/>
        <v>292</v>
      </c>
      <c r="BE15" s="16">
        <f t="shared" si="0"/>
        <v>0</v>
      </c>
      <c r="BF15" s="16">
        <f t="shared" si="0"/>
        <v>0</v>
      </c>
    </row>
    <row r="16" spans="1:59">
      <c r="A16" s="74" t="str">
        <f>Constants!E6</f>
        <v>PT</v>
      </c>
      <c r="B16">
        <f>SUMIFS('DRV Euros'!$F$79:$F$95,'DRV Euros'!$B$79:$B$95, B$15,'DRV Euros'!$H$79:$H$95,$A16)*(1+Constants!$B$7)</f>
        <v>336</v>
      </c>
      <c r="C16">
        <f>SUMIFS('DRV Euros'!$F$79:$F$95,'DRV Euros'!$B$79:$B$95, C$15,'DRV Euros'!$H$79:$H$95,$A16)</f>
        <v>280</v>
      </c>
      <c r="D16">
        <f>SUMIFS('DRV Euros'!$F$79:$F$95,'DRV Euros'!$B$79:$B$95, D$15,'DRV Euros'!$H$79:$H$95,$A16)*(1+Constants!$B$7)</f>
        <v>0</v>
      </c>
      <c r="E16">
        <f>SUMIFS('DRV Euros'!$F$79:$F$95,'DRV Euros'!$B$79:$B$95, E$15,'DRV Euros'!$H$79:$H$95,$A16)*(1+Constants!$B$7)</f>
        <v>0</v>
      </c>
      <c r="F16">
        <f>SUMIFS('DRV Euros'!$F$79:$F$95,'DRV Euros'!$B$79:$B$95, F$15,'DRV Euros'!$H$79:$H$95,$A16)*(1+Constants!$B$7)</f>
        <v>453.59999999999997</v>
      </c>
      <c r="G16" s="74" t="s">
        <v>430</v>
      </c>
      <c r="H16" s="16">
        <f>SUMIF('DRV Euros'!$B$102:$B$118,"&lt;&gt;External",'DRV Euros'!$F$102:$F$118)</f>
        <v>40</v>
      </c>
      <c r="I16" s="75">
        <f>SUMIF('DRV Euros'!$B$102:$B$118,"External",'DRV Euros'!$F$102:$F$118)</f>
        <v>0</v>
      </c>
      <c r="J16" s="234">
        <f>SUM($F$121:$F$145)</f>
        <v>72074</v>
      </c>
      <c r="K16" s="76">
        <f>IF(OR(ISBLANK(B7),ISBLANK(B9)), "ERROR",MAX(MIN(J16,B7*Constants!B15)-Constants!B14*B7,0)*IF(B9="yes",Constants!B16,IF(B9="no",Constants!B17,0)))</f>
        <v>30700</v>
      </c>
      <c r="L16" s="77" t="s">
        <v>360</v>
      </c>
      <c r="M16" s="76">
        <f>E16*Constants!B6+E17*Constants!B8+E22+E21</f>
        <v>0</v>
      </c>
      <c r="N16" s="631"/>
      <c r="O16" s="696"/>
      <c r="P16" s="756"/>
      <c r="Q16" s="17"/>
      <c r="R16" s="16"/>
      <c r="S16" s="17"/>
      <c r="T16" s="17"/>
      <c r="U16" s="17"/>
      <c r="V16" s="17"/>
      <c r="W16" s="17"/>
      <c r="X16" s="17"/>
      <c r="Y16" s="17"/>
      <c r="Z16" s="17"/>
      <c r="AA16" s="17"/>
      <c r="AB16" s="17"/>
      <c r="AC16" s="17"/>
      <c r="AD16" s="19">
        <f t="shared" ref="AD16:BF16" si="1">AD14*AD15</f>
        <v>0</v>
      </c>
      <c r="AE16" s="19">
        <f t="shared" si="1"/>
        <v>0</v>
      </c>
      <c r="AF16" s="19">
        <f t="shared" si="1"/>
        <v>0</v>
      </c>
      <c r="AG16" s="19">
        <f t="shared" si="1"/>
        <v>0</v>
      </c>
      <c r="AH16" s="19">
        <f t="shared" si="1"/>
        <v>0</v>
      </c>
      <c r="AI16" s="19">
        <f t="shared" si="1"/>
        <v>0</v>
      </c>
      <c r="AJ16" s="19">
        <f t="shared" si="1"/>
        <v>0</v>
      </c>
      <c r="AK16" s="19">
        <f t="shared" si="1"/>
        <v>0</v>
      </c>
      <c r="AL16" s="19">
        <f t="shared" si="1"/>
        <v>0</v>
      </c>
      <c r="AM16" s="19">
        <f t="shared" si="1"/>
        <v>0</v>
      </c>
      <c r="AN16" s="19">
        <f t="shared" si="1"/>
        <v>0</v>
      </c>
      <c r="AO16" s="19">
        <f t="shared" si="1"/>
        <v>0</v>
      </c>
      <c r="AP16" s="19">
        <f t="shared" si="1"/>
        <v>0</v>
      </c>
      <c r="AQ16" s="19">
        <f t="shared" si="1"/>
        <v>0</v>
      </c>
      <c r="AR16" s="19">
        <f t="shared" si="1"/>
        <v>0</v>
      </c>
      <c r="AS16" s="19">
        <f t="shared" si="1"/>
        <v>0</v>
      </c>
      <c r="AT16" s="19">
        <f t="shared" si="1"/>
        <v>0</v>
      </c>
      <c r="AU16" s="19">
        <f t="shared" si="1"/>
        <v>0</v>
      </c>
      <c r="AV16" s="19">
        <f t="shared" si="1"/>
        <v>0</v>
      </c>
      <c r="AW16" s="19">
        <f t="shared" si="1"/>
        <v>0</v>
      </c>
      <c r="AX16" s="19">
        <f t="shared" si="1"/>
        <v>0</v>
      </c>
      <c r="AY16" s="19">
        <f t="shared" si="1"/>
        <v>0</v>
      </c>
      <c r="AZ16" s="19">
        <f t="shared" si="1"/>
        <v>0</v>
      </c>
      <c r="BA16" s="19">
        <f t="shared" si="1"/>
        <v>0</v>
      </c>
      <c r="BB16" s="19">
        <f t="shared" si="1"/>
        <v>0</v>
      </c>
      <c r="BC16" s="19">
        <f t="shared" si="1"/>
        <v>0</v>
      </c>
      <c r="BD16" s="19">
        <f t="shared" si="1"/>
        <v>0</v>
      </c>
      <c r="BE16" s="19">
        <f t="shared" si="1"/>
        <v>0</v>
      </c>
      <c r="BF16" s="19">
        <f t="shared" si="1"/>
        <v>0</v>
      </c>
    </row>
    <row r="17" spans="1:36">
      <c r="A17" s="74" t="str">
        <f>Constants!E7</f>
        <v>PT-V</v>
      </c>
      <c r="B17">
        <f>SUMIFS('DRV Euros'!$F$79:$F$95,'DRV Euros'!$B$79:$B$95, B$15,'DRV Euros'!$H$79:$H$95,$A17)*(1+Constants!$B$9)</f>
        <v>0</v>
      </c>
      <c r="C17">
        <f>SUMIFS('DRV Euros'!$F$79:$F$95,'DRV Euros'!$B$79:$B$95, C$15,'DRV Euros'!$H$79:$H$95,$A17)</f>
        <v>0</v>
      </c>
      <c r="D17">
        <f>SUMIFS('DRV Euros'!$F$79:$F$95,'DRV Euros'!$B$79:$B$95, D$15,'DRV Euros'!$H$79:$H$95,$A17)*(1+Constants!$B$9)</f>
        <v>0</v>
      </c>
      <c r="E17">
        <f>SUMIFS('DRV Euros'!$F$79:$F$95,'DRV Euros'!$B$79:$B$95, E$15,'DRV Euros'!$H$79:$H$95,$A17)*(1+Constants!$B$9)</f>
        <v>0</v>
      </c>
      <c r="F17">
        <f>SUMIFS('DRV Euros'!$F$79:$F$95,'DRV Euros'!$B$79:$B$95, F$15,'DRV Euros'!$H$79:$H$95,$A17)</f>
        <v>0</v>
      </c>
      <c r="G17" s="74" t="s">
        <v>38</v>
      </c>
      <c r="H17" s="78">
        <f>SUM(AD16:BZ16)</f>
        <v>0</v>
      </c>
      <c r="I17" s="76" cm="1">
        <f t="array" ref="I17">SUM(IF($B$100:$B$116="External",$F$100:$F$116*$H$100:$H$116,0))</f>
        <v>0</v>
      </c>
      <c r="J17" s="79"/>
      <c r="K17" s="80"/>
      <c r="L17" s="77" t="s">
        <v>63</v>
      </c>
      <c r="M17" s="76">
        <f>J16-K16</f>
        <v>41374</v>
      </c>
      <c r="N17" s="631" t="s">
        <v>816</v>
      </c>
      <c r="O17" s="696"/>
      <c r="P17" s="756"/>
      <c r="Q17" s="17"/>
      <c r="R17" s="16"/>
      <c r="S17" s="17"/>
      <c r="T17" s="17"/>
      <c r="U17" s="17"/>
      <c r="V17" s="17"/>
      <c r="W17" s="17"/>
      <c r="X17" s="17"/>
      <c r="Y17" s="17"/>
      <c r="Z17" s="17"/>
      <c r="AA17" s="17"/>
      <c r="AB17" s="17"/>
      <c r="AC17" s="17"/>
      <c r="AD17" s="17"/>
      <c r="AE17" s="17"/>
    </row>
    <row r="18" spans="1:36">
      <c r="A18" s="74" t="str">
        <f>Constants!E8</f>
        <v>PT-ZZP</v>
      </c>
      <c r="B18">
        <f>SUMIFS('DRV Euros'!$F$79:$F$95,'DRV Euros'!$B$79:$B$95, B$15,'DRV Euros'!$H$79:$H$95,$A18)*(1+Constants!$B$7)</f>
        <v>0</v>
      </c>
      <c r="C18">
        <f>SUMIFS('DRV Euros'!$F$79:$F$95,'DRV Euros'!$B$79:$B$95, C$15,'DRV Euros'!$H$79:$H$95,$A18)</f>
        <v>0</v>
      </c>
      <c r="D18">
        <f>SUMIFS('DRV Euros'!$F$79:$F$95,'DRV Euros'!$B$79:$B$95, D$15,'DRV Euros'!$H$79:$H$95,$A18)*(1+Constants!$B$7)</f>
        <v>0</v>
      </c>
      <c r="E18">
        <f>SUMIFS('DRV Euros'!$F$79:$F$95,'DRV Euros'!$B$79:$B$95, E$15,'DRV Euros'!$H$79:$H$95,$A18)*(1+Constants!$B$7)</f>
        <v>0</v>
      </c>
      <c r="F18">
        <f>SUMIFS('DRV Euros'!$F$79:$F$95,'DRV Euros'!$B$79:$B$95, F$15,'DRV Euros'!$H$79:$H$95,$A18)*(1+Constants!$B$7)</f>
        <v>0</v>
      </c>
      <c r="G18" s="74"/>
      <c r="H18" s="78"/>
      <c r="I18" s="76"/>
      <c r="J18" s="79"/>
      <c r="K18" s="80"/>
      <c r="L18" s="77" t="s">
        <v>60</v>
      </c>
      <c r="M18" s="76" t="str">
        <f>IF(I17-Constants!I17*$B$7&gt;0,$I$17-Constants!I17*$B$7,"-")</f>
        <v>-</v>
      </c>
      <c r="N18" s="631"/>
      <c r="O18" s="696"/>
      <c r="P18" s="756"/>
      <c r="Q18" s="17"/>
      <c r="R18" s="16"/>
      <c r="S18" s="17"/>
      <c r="T18" s="17"/>
      <c r="U18" s="17"/>
      <c r="V18" s="17"/>
      <c r="W18" s="17"/>
      <c r="X18" s="17"/>
      <c r="Y18" s="17"/>
      <c r="Z18" s="17"/>
      <c r="AA18" s="17"/>
      <c r="AB18" s="17"/>
      <c r="AC18" s="17"/>
      <c r="AD18" s="17"/>
      <c r="AE18" s="17"/>
    </row>
    <row r="19" spans="1:36">
      <c r="A19" s="74" t="str">
        <f>Constants!E9</f>
        <v>RT</v>
      </c>
      <c r="B19">
        <f>SUMIFS('DRV Euros'!$F$79:$F$95,'DRV Euros'!$B$79:$B$95, B$15,'DRV Euros'!$H$79:$H$95,$A19)</f>
        <v>3528</v>
      </c>
      <c r="C19">
        <f>SUMIFS('DRV Euros'!$F$79:$F$95,'DRV Euros'!$B$79:$B$95, C$15,'DRV Euros'!$H$79:$H$95,$A19)</f>
        <v>0</v>
      </c>
      <c r="D19">
        <f>SUMIFS('DRV Euros'!$F$79:$F$95,'DRV Euros'!$B$79:$B$95, D$15,'DRV Euros'!$H$79:$H$95,$A19)</f>
        <v>0</v>
      </c>
      <c r="E19">
        <f>SUMIFS('DRV Euros'!$F$79:$F$95,'DRV Euros'!$B$79:$B$95, E$15,'DRV Euros'!$H$79:$H$95,$A19)</f>
        <v>3178</v>
      </c>
      <c r="F19">
        <f>SUMIFS('DRV Euros'!$F$79:$F$95,'DRV Euros'!$B$79:$B$95, F$15,'DRV Euros'!$H$79:$H$95,$A19)</f>
        <v>0</v>
      </c>
      <c r="G19" s="74" t="s">
        <v>396</v>
      </c>
      <c r="H19" s="78"/>
      <c r="I19" s="76">
        <f>IF(B7*Constants!I17&lt;I17,B7*Constants!I17,I17)</f>
        <v>0</v>
      </c>
      <c r="J19" s="79"/>
      <c r="K19" s="80"/>
      <c r="L19" s="77" t="s">
        <v>431</v>
      </c>
      <c r="M19" s="255">
        <f ca="1">Constants!C31*B7+Data!L11</f>
        <v>17353.093551613703</v>
      </c>
      <c r="N19" s="631"/>
      <c r="O19" s="696"/>
      <c r="P19" s="756"/>
      <c r="Q19" s="17"/>
      <c r="R19" s="16"/>
      <c r="S19" s="17"/>
      <c r="T19" s="17"/>
      <c r="U19" s="17"/>
      <c r="V19" s="17"/>
      <c r="W19" s="17"/>
      <c r="X19" s="17"/>
      <c r="Y19" s="17"/>
      <c r="Z19" s="17"/>
      <c r="AA19" s="17"/>
      <c r="AB19" s="17"/>
      <c r="AC19" s="17"/>
      <c r="AD19" s="17"/>
      <c r="AE19" s="17"/>
    </row>
    <row r="20" spans="1:36">
      <c r="A20" s="74" t="str">
        <f>Constants!E10</f>
        <v>Extern</v>
      </c>
      <c r="B20">
        <f>SUMIFS('DRV Euros'!$F$79:$F$95,'DRV Euros'!$B$79:$B$95, B$15,'DRV Euros'!$H$79:$H$95,$A20)</f>
        <v>0</v>
      </c>
      <c r="C20">
        <f>SUMIFS('DRV Euros'!$F$79:$F$95,'DRV Euros'!$B$79:$B$95, C$15,'DRV Euros'!$H$79:$H$95,$A20)</f>
        <v>0</v>
      </c>
      <c r="D20">
        <f>SUMIFS('DRV Euros'!$F$79:$F$95,'DRV Euros'!$B$79:$B$95, D$15,'DRV Euros'!$H$79:$H$95,$A20)</f>
        <v>0</v>
      </c>
      <c r="E20">
        <f>SUMIFS('DRV Euros'!$F$79:$F$95,'DRV Euros'!$B$79:$B$95, E$15,'DRV Euros'!$H$79:$H$95,$A20)</f>
        <v>0</v>
      </c>
      <c r="F20">
        <f>SUMIFS('DRV Euros'!$F$79:$F$95,'DRV Euros'!$B$79:$B$95, F$15,'DRV Euros'!$H$79:$H$95,$A20)</f>
        <v>0</v>
      </c>
      <c r="G20" s="81"/>
      <c r="H20" s="16"/>
      <c r="I20" s="75"/>
      <c r="J20" s="79"/>
      <c r="K20" s="82"/>
      <c r="L20" s="83"/>
      <c r="M20" s="84"/>
      <c r="N20" s="631"/>
      <c r="O20" s="696"/>
      <c r="P20" s="756"/>
      <c r="Q20" s="17"/>
      <c r="R20" s="16"/>
      <c r="S20" s="17"/>
      <c r="T20" s="17"/>
      <c r="U20" s="17"/>
      <c r="V20" s="17"/>
      <c r="W20" s="17"/>
      <c r="X20" s="17"/>
      <c r="Y20" s="17"/>
      <c r="Z20" s="17"/>
      <c r="AA20" s="17"/>
      <c r="AB20" s="17"/>
      <c r="AC20" s="17"/>
      <c r="AD20" s="17"/>
      <c r="AE20" s="17"/>
    </row>
    <row r="21" spans="1:36">
      <c r="A21" s="74" t="str">
        <f>CONCATENATE(A18," Costs")</f>
        <v>PT-ZZP Costs</v>
      </c>
      <c r="B21" s="78">
        <f t="array" ref="B21">SUM(IF('DRV Euros'!$B$79:$B$95=B$15,IF('DRV Euros'!$H$79:$H$95="PT-ZZP",'DRV Euros'!$F$79:$F$95*'DRV Euros'!$I$79:$I$95*(1+Constants!$B$7),0),0))</f>
        <v>0</v>
      </c>
      <c r="C21" s="78">
        <f t="array" ref="C21">SUM(IF('DRV Euros'!$B$79:$B$95=C$15,IF('DRV Euros'!$H$79:$H$95="PT-ZZP",'DRV Euros'!$F$79:$F$95*'DRV Euros'!$I$79:$I$95,0),0))</f>
        <v>0</v>
      </c>
      <c r="D21" s="78">
        <f t="array" ref="D21">SUM(IF('DRV Euros'!$B$79:$B$95=D$15,IF('DRV Euros'!$H$79:$H$95="PT-ZZP",'DRV Euros'!$F$79:$F$95*'DRV Euros'!$I$79:$I$95*(1+Constants!$B$7),0),0))</f>
        <v>0</v>
      </c>
      <c r="E21" s="78">
        <f t="array" ref="E21">SUM(IF('DRV Euros'!$B$79:$B$95=E$15,IF('DRV Euros'!$H$79:$H$95="PT-ZZP",'DRV Euros'!$F$79:$F$95*'DRV Euros'!$I$79:$I$95*(1+Constants!$B$7),0),0))</f>
        <v>0</v>
      </c>
      <c r="F21" s="78">
        <f t="array" ref="F21">SUM(IF('DRV Euros'!$B$79:$B$95=F$15,IF('DRV Euros'!$H$79:$H$95="PT-ZZP",'DRV Euros'!$F$79:$F$95*'DRV Euros'!$I$79:$I$95*(1+Constants!$B$7),0),0))</f>
        <v>0</v>
      </c>
      <c r="G21" s="81"/>
      <c r="H21" s="16"/>
      <c r="I21" s="75"/>
      <c r="J21" s="79"/>
      <c r="K21" s="82"/>
      <c r="L21" s="77" t="s">
        <v>5</v>
      </c>
      <c r="M21" s="76">
        <f ca="1">SUM(M15:M20)</f>
        <v>63227.093551613703</v>
      </c>
      <c r="N21" s="631"/>
      <c r="O21" s="696"/>
      <c r="P21" s="756"/>
      <c r="Q21" s="17"/>
      <c r="R21" s="16"/>
      <c r="S21" s="17"/>
      <c r="T21" s="17"/>
      <c r="U21" s="17"/>
      <c r="V21" s="17"/>
      <c r="W21" s="17"/>
      <c r="X21" s="17"/>
      <c r="Y21" s="17"/>
      <c r="Z21" s="17"/>
      <c r="AA21" s="17"/>
      <c r="AB21" s="17"/>
      <c r="AC21" s="17"/>
      <c r="AD21" s="17"/>
      <c r="AE21" s="17"/>
    </row>
    <row r="22" spans="1:36" ht="15.75" customHeight="1">
      <c r="A22" s="74" t="str">
        <f>CONCATENATE(A20," Costs")</f>
        <v>Extern Costs</v>
      </c>
      <c r="B22" s="78">
        <f t="array" ref="B22">SUM(IF('DRV Euros'!$B$79:$B$95=B$15,IF('DRV Euros'!$H$79:$H$95="Extern",'DRV Euros'!$F$79:$F$95*'DRV Euros'!$I$79:$I$95,0),0))</f>
        <v>0</v>
      </c>
      <c r="C22" s="78">
        <f t="array" ref="C22">SUM(IF('DRV Euros'!$B$79:$B$95=C$15,IF('DRV Euros'!$H$79:$H$95="Extern",'DRV Euros'!$F$79:$F$95*'DRV Euros'!$I$79:$I$95,0),0))</f>
        <v>0</v>
      </c>
      <c r="D22" s="78">
        <f t="array" ref="D22">SUM(IF('DRV Euros'!$B$79:$B$95=D$15,IF('DRV Euros'!$H$79:$H$95="Extern",'DRV Euros'!$F$79:$F$95*'DRV Euros'!$I$79:$I$95,0),0))</f>
        <v>0</v>
      </c>
      <c r="E22" s="78">
        <f t="array" ref="E22">SUM(IF('DRV Euros'!$B$79:$B$95=E$15,IF('DRV Euros'!$H$79:$H$95="Extern",'DRV Euros'!$F$79:$F$95*'DRV Euros'!$I$79:$I$95,0),0))</f>
        <v>0</v>
      </c>
      <c r="F22" s="76">
        <f t="array" ref="F22">SUM(IF('DRV Euros'!$B$79:$B$95=F$15,IF('DRV Euros'!$H$79:$H$95="Extern",'DRV Euros'!$F$79:$F$95*'DRV Euros'!$I$79:$I$95,0),0))</f>
        <v>0</v>
      </c>
      <c r="G22" s="85"/>
      <c r="H22" s="177"/>
      <c r="I22" s="86"/>
      <c r="J22" s="87"/>
      <c r="K22" s="88"/>
      <c r="L22" s="87"/>
      <c r="M22" s="88"/>
      <c r="N22" s="637"/>
      <c r="O22" s="753"/>
      <c r="P22" s="757"/>
      <c r="Q22" s="17"/>
      <c r="R22" s="16"/>
      <c r="S22" s="17"/>
      <c r="T22" s="17"/>
      <c r="U22" s="17"/>
      <c r="V22" s="17"/>
      <c r="W22" s="17"/>
      <c r="X22" s="17"/>
      <c r="Y22" s="17"/>
      <c r="Z22" s="17"/>
      <c r="AA22" s="17"/>
      <c r="AB22" s="17"/>
      <c r="AC22" s="17"/>
      <c r="AD22" s="17"/>
      <c r="AE22" s="17"/>
    </row>
    <row r="23" spans="1:36" ht="15" customHeight="1">
      <c r="A23" s="74" t="s">
        <v>432</v>
      </c>
      <c r="B23" s="78"/>
      <c r="C23" s="78"/>
      <c r="D23" s="78"/>
      <c r="E23" s="78"/>
      <c r="F23" s="76">
        <f t="array" ref="F23">SUMIFS('DRV Euros'!$F$79:$F$95,'DRV Euros'!$B$79:$B$95,"Mentorship",'DRV Euros'!$H$79:$H$95,"PT-V")*Constants!B8+SUMIFS('DRV Euros'!$F$79:$F$95,'DRV Euros'!$B$79:$B$95,"Mentorship",'DRV Euros'!$H$79:$H$95,"PT")*Constants!B6+SUMPRODUCT(IF('DRV Euros'!$B$79:$B$95="Mentorship",IF('DRV Euros'!$H$79:$H$95="PT-ZZP",'DRV Euros'!$F$79:$F$95*'DRV Euros'!$I$79:$I$95,0)))</f>
        <v>18900</v>
      </c>
    </row>
    <row r="24" spans="1:36" ht="15" customHeight="1">
      <c r="A24" s="89" t="s">
        <v>433</v>
      </c>
      <c r="B24" s="178"/>
      <c r="C24" s="178"/>
      <c r="D24" s="178"/>
      <c r="E24" s="267">
        <f>SUMIF('DRV Euros'!$B$79:$B$95,"External Trainer Course",'DRV Euros'!$I$79:$I$95)</f>
        <v>2490</v>
      </c>
      <c r="F24" s="90"/>
    </row>
    <row r="25" spans="1:36" ht="15.75" customHeight="1">
      <c r="A25" s="16"/>
      <c r="B25" s="16"/>
      <c r="C25" s="16"/>
      <c r="D25" s="16"/>
      <c r="E25" s="17"/>
      <c r="F25" s="17"/>
      <c r="G25" s="17"/>
      <c r="H25" s="17"/>
      <c r="I25" s="17"/>
      <c r="J25" s="17"/>
      <c r="K25" s="17"/>
      <c r="L25" s="17"/>
      <c r="M25" s="17"/>
      <c r="N25" s="17"/>
      <c r="O25" s="17"/>
      <c r="P25" s="17"/>
      <c r="Q25" s="16"/>
      <c r="R25" s="17"/>
      <c r="S25" s="17"/>
      <c r="T25" s="17"/>
      <c r="U25" s="17"/>
      <c r="V25" s="17"/>
      <c r="W25" s="17"/>
      <c r="X25" s="17"/>
      <c r="Y25" s="17"/>
      <c r="Z25" s="17"/>
      <c r="AA25" s="17"/>
      <c r="AB25" s="17"/>
      <c r="AC25" s="17"/>
      <c r="AD25" s="17"/>
    </row>
    <row r="26" spans="1:36" ht="15.75" customHeight="1">
      <c r="A26" s="16"/>
      <c r="B26" s="16"/>
      <c r="C26" s="16"/>
      <c r="D26" s="16"/>
      <c r="E26" s="17"/>
      <c r="F26" s="17"/>
      <c r="G26" s="17"/>
      <c r="H26" s="17"/>
      <c r="I26" s="17"/>
      <c r="J26" s="17"/>
      <c r="K26" s="17"/>
      <c r="L26" s="17"/>
      <c r="M26" s="17"/>
      <c r="N26" s="17"/>
      <c r="O26" s="17"/>
      <c r="P26" s="17"/>
      <c r="Q26" s="16"/>
      <c r="R26" s="17"/>
      <c r="S26" s="17"/>
      <c r="T26" s="17"/>
      <c r="U26" s="17"/>
      <c r="V26" s="17"/>
      <c r="W26" s="17"/>
      <c r="X26" s="17"/>
      <c r="Y26" s="17"/>
      <c r="Z26" s="17"/>
      <c r="AA26" s="17"/>
      <c r="AB26" s="17"/>
      <c r="AC26" s="17"/>
      <c r="AD26" s="17"/>
    </row>
    <row r="27" spans="1:36" ht="15.75" customHeight="1" thickBot="1">
      <c r="A27" s="91" t="s">
        <v>434</v>
      </c>
      <c r="B27" s="17"/>
      <c r="C27" s="17"/>
      <c r="D27" s="17"/>
      <c r="E27" s="17"/>
      <c r="F27" s="17"/>
      <c r="G27" s="92"/>
      <c r="H27" s="19"/>
      <c r="I27" s="17"/>
      <c r="J27" s="17"/>
      <c r="K27" s="17"/>
      <c r="L27" s="17"/>
      <c r="M27" s="17"/>
      <c r="N27" s="17"/>
      <c r="O27" s="17"/>
      <c r="P27" s="17"/>
      <c r="Q27" s="16"/>
      <c r="R27" s="17"/>
      <c r="S27" s="17"/>
      <c r="T27" s="17"/>
      <c r="U27" s="17"/>
      <c r="V27" s="17"/>
      <c r="W27" s="17"/>
      <c r="X27" s="17"/>
      <c r="Y27" s="17"/>
      <c r="Z27" s="17"/>
      <c r="AA27" s="17"/>
      <c r="AB27" s="17"/>
      <c r="AC27" s="17"/>
      <c r="AD27" s="17"/>
    </row>
    <row r="28" spans="1:36" ht="15.75" customHeight="1" thickTop="1" thickBot="1">
      <c r="A28" s="706" t="s">
        <v>435</v>
      </c>
      <c r="B28" s="707"/>
      <c r="C28" s="707"/>
      <c r="D28" s="707"/>
      <c r="E28" s="707"/>
      <c r="F28" s="708"/>
      <c r="G28" s="15"/>
      <c r="H28" s="17"/>
      <c r="I28" s="17"/>
      <c r="J28" s="17"/>
      <c r="K28" s="17"/>
      <c r="L28" s="17"/>
      <c r="M28" s="17"/>
      <c r="N28" s="17"/>
      <c r="O28" s="17"/>
      <c r="P28" s="17"/>
      <c r="Q28" s="16"/>
      <c r="R28" s="17"/>
      <c r="S28" s="17"/>
      <c r="T28" s="17"/>
      <c r="U28" s="17"/>
      <c r="V28" s="17"/>
      <c r="W28" s="17"/>
      <c r="X28" s="17"/>
      <c r="Y28" s="17"/>
      <c r="Z28" s="17"/>
      <c r="AA28" s="17"/>
      <c r="AB28" s="17"/>
      <c r="AC28" s="17"/>
      <c r="AD28" s="242" t="s">
        <v>436</v>
      </c>
      <c r="AE28" s="16"/>
      <c r="AF28" s="128"/>
      <c r="AG28" s="51"/>
      <c r="AH28" s="51"/>
      <c r="AI28" s="51"/>
      <c r="AJ28" s="51"/>
    </row>
    <row r="29" spans="1:36" ht="15.75" customHeight="1" thickBot="1">
      <c r="A29" s="709" t="s">
        <v>437</v>
      </c>
      <c r="B29" s="696"/>
      <c r="C29" s="696"/>
      <c r="D29" s="696"/>
      <c r="E29" s="696"/>
      <c r="F29" s="710"/>
      <c r="G29" s="17"/>
      <c r="H29" s="17"/>
      <c r="I29" s="17"/>
      <c r="J29" s="17"/>
      <c r="K29" s="17"/>
      <c r="L29" s="17"/>
      <c r="M29" s="17"/>
      <c r="N29" s="17"/>
      <c r="O29" s="17"/>
      <c r="P29" s="17"/>
      <c r="Q29" s="16"/>
      <c r="R29" s="17"/>
      <c r="S29" s="17"/>
      <c r="T29" s="17"/>
      <c r="U29" s="17"/>
      <c r="V29" s="17"/>
      <c r="W29" s="17"/>
      <c r="X29" s="17"/>
      <c r="Y29" s="17"/>
      <c r="Z29" s="17"/>
      <c r="AA29" s="17"/>
      <c r="AB29" s="17"/>
      <c r="AC29" s="17"/>
      <c r="AD29" s="243" t="s">
        <v>438</v>
      </c>
      <c r="AE29" s="243" t="s">
        <v>439</v>
      </c>
      <c r="AF29" s="243" t="s">
        <v>440</v>
      </c>
      <c r="AG29" s="711" t="s">
        <v>441</v>
      </c>
      <c r="AH29" s="712"/>
      <c r="AI29" s="711" t="s">
        <v>434</v>
      </c>
      <c r="AJ29" s="712"/>
    </row>
    <row r="30" spans="1:36" ht="15.75" customHeight="1" thickBot="1">
      <c r="A30" s="709" t="s">
        <v>442</v>
      </c>
      <c r="B30" s="696"/>
      <c r="C30" s="696"/>
      <c r="D30" s="696"/>
      <c r="E30" s="696"/>
      <c r="F30" s="710"/>
      <c r="G30" s="17"/>
      <c r="H30" s="17"/>
      <c r="I30" s="17"/>
      <c r="J30" s="17"/>
      <c r="K30" s="17"/>
      <c r="L30" s="17"/>
      <c r="M30" s="17"/>
      <c r="N30" s="17"/>
      <c r="O30" s="17"/>
      <c r="P30" s="17"/>
      <c r="Q30" s="16"/>
      <c r="R30" s="17"/>
      <c r="S30" s="17"/>
      <c r="T30" s="17"/>
      <c r="U30" s="17"/>
      <c r="V30" s="17"/>
      <c r="W30" s="17"/>
      <c r="X30" s="17"/>
      <c r="Y30" s="17"/>
      <c r="Z30" s="17"/>
      <c r="AA30" s="17"/>
      <c r="AB30" s="17"/>
      <c r="AC30" s="17"/>
      <c r="AD30" s="244" t="str">
        <f>IF($B$12="individual",Constants!F55,Constants!L55)</f>
        <v>member count</v>
      </c>
      <c r="AE30" s="244">
        <f>B7</f>
        <v>307</v>
      </c>
      <c r="AF30" s="269">
        <f>IF(AE30&gt;=301,5,IF(AE30&gt;=176,4,IF(AE30&gt;=101,3,IF(AE30&gt;=51,2,1))))</f>
        <v>5</v>
      </c>
      <c r="AG30" s="560" t="s">
        <v>817</v>
      </c>
      <c r="AH30" s="560"/>
      <c r="AI30" s="560" t="s">
        <v>443</v>
      </c>
      <c r="AJ30" s="560"/>
    </row>
    <row r="31" spans="1:36" ht="15" customHeight="1" thickBot="1">
      <c r="A31" s="709" t="s">
        <v>444</v>
      </c>
      <c r="B31" s="696"/>
      <c r="C31" s="696"/>
      <c r="D31" s="696"/>
      <c r="E31" s="696"/>
      <c r="F31" s="710"/>
      <c r="G31" s="17"/>
      <c r="H31" s="17"/>
      <c r="I31" s="17"/>
      <c r="J31" s="17"/>
      <c r="K31" s="17"/>
      <c r="L31" s="17"/>
      <c r="M31" s="17"/>
      <c r="N31" s="17"/>
      <c r="O31" s="17"/>
      <c r="P31" s="17"/>
      <c r="Q31" s="16"/>
      <c r="R31" s="17"/>
      <c r="S31" s="17"/>
      <c r="T31" s="17"/>
      <c r="U31" s="17"/>
      <c r="V31" s="17"/>
      <c r="W31" s="17"/>
      <c r="X31" s="17"/>
      <c r="Y31" s="17"/>
      <c r="Z31" s="17"/>
      <c r="AA31" s="17"/>
      <c r="AB31" s="17"/>
      <c r="AC31" s="17"/>
      <c r="AD31" s="244" t="str">
        <f>IF($B$12="individual",Constants!F56,Constants!L56)</f>
        <v>number of trainings per week</v>
      </c>
      <c r="AE31" s="244" cm="1">
        <f t="array" ref="AE31">SUMPRODUCT(C79:C95*D79:D95)/42</f>
        <v>70.80952380952381</v>
      </c>
      <c r="AF31" s="270">
        <f>IF(AE31&gt;=4,3,IF(AE31&gt;=3,2,IF(AE31&gt;=2,1,0)))</f>
        <v>3</v>
      </c>
      <c r="AG31" s="560"/>
      <c r="AH31" s="560"/>
      <c r="AI31" s="560"/>
      <c r="AJ31" s="560"/>
    </row>
    <row r="32" spans="1:36" ht="15.75" customHeight="1" thickBot="1">
      <c r="A32" s="709" t="s">
        <v>445</v>
      </c>
      <c r="B32" s="696"/>
      <c r="C32" s="696"/>
      <c r="D32" s="696"/>
      <c r="E32" s="696"/>
      <c r="F32" s="710"/>
      <c r="G32" s="17"/>
      <c r="H32" s="16"/>
      <c r="I32" s="16"/>
      <c r="J32" s="16"/>
      <c r="K32" s="17"/>
      <c r="L32" s="17"/>
      <c r="M32" s="17"/>
      <c r="N32" s="17"/>
      <c r="O32" s="17"/>
      <c r="P32" s="17"/>
      <c r="Q32" s="16"/>
      <c r="R32" s="17"/>
      <c r="S32" s="17"/>
      <c r="T32" s="17"/>
      <c r="U32" s="17"/>
      <c r="V32" s="17"/>
      <c r="W32" s="17"/>
      <c r="X32" s="17"/>
      <c r="Y32" s="17"/>
      <c r="Z32" s="17"/>
      <c r="AA32" s="17"/>
      <c r="AB32" s="17"/>
      <c r="AC32" s="17"/>
      <c r="AD32" s="244" t="str">
        <f>IF($B$12="individual",Constants!F57,Constants!L57)</f>
        <v>number of trainings weeks per year</v>
      </c>
      <c r="AE32" s="266">
        <f>MAX(C79:C95)</f>
        <v>42</v>
      </c>
      <c r="AF32" s="250">
        <f>IF(AE32&gt;=40,3,IF(AE32&gt;=35,2,1))</f>
        <v>3</v>
      </c>
      <c r="AG32" s="560"/>
      <c r="AH32" s="560"/>
      <c r="AI32" s="560"/>
      <c r="AJ32" s="560"/>
    </row>
    <row r="33" spans="1:58" ht="15.75" customHeight="1" thickBot="1">
      <c r="A33" s="93" t="s">
        <v>446</v>
      </c>
      <c r="F33" s="94"/>
      <c r="G33" s="17"/>
      <c r="H33" s="16"/>
      <c r="I33" s="16"/>
      <c r="J33" s="16"/>
      <c r="K33" s="17"/>
      <c r="L33" s="17"/>
      <c r="M33" s="17"/>
      <c r="N33" s="17"/>
      <c r="O33" s="17"/>
      <c r="P33" s="17"/>
      <c r="Q33" s="16"/>
      <c r="R33" s="17"/>
      <c r="S33" s="17"/>
      <c r="T33" s="17"/>
      <c r="U33" s="17"/>
      <c r="V33" s="17"/>
      <c r="W33" s="17"/>
      <c r="X33" s="17"/>
      <c r="Y33" s="17"/>
      <c r="Z33" s="17"/>
      <c r="AA33" s="17"/>
      <c r="AB33" s="17"/>
      <c r="AC33" s="17"/>
      <c r="AD33" s="244" t="str">
        <f>IF($B$12="individual",Constants!F58,Constants!L58)</f>
        <v>number of training hours by RT / PT-V</v>
      </c>
      <c r="AE33" s="265">
        <f>(SUMIF(H79:H95,"RT",F79:F95)+SUMIF(H79:H95,"PT-V",F79:F95))/SUM(F79:F95)</f>
        <v>0.85842293906810041</v>
      </c>
      <c r="AF33" s="270">
        <f>IF(AE33&gt;0.9,3,IF(AE33&gt;0.6,2,IF(AE33&gt;0.3,1,0)))</f>
        <v>2</v>
      </c>
      <c r="AG33" s="560"/>
      <c r="AH33" s="560"/>
      <c r="AI33" s="560"/>
      <c r="AJ33" s="560"/>
    </row>
    <row r="34" spans="1:58" ht="15.75" customHeight="1" thickBot="1">
      <c r="A34" s="713" t="s">
        <v>447</v>
      </c>
      <c r="B34" s="714"/>
      <c r="C34" s="714"/>
      <c r="D34" s="714"/>
      <c r="E34" s="714"/>
      <c r="F34" s="715"/>
      <c r="G34" s="17"/>
      <c r="H34" s="16"/>
      <c r="I34" s="16"/>
      <c r="J34" s="16"/>
      <c r="K34" s="17"/>
      <c r="L34" s="17"/>
      <c r="M34" s="17"/>
      <c r="N34" s="17"/>
      <c r="O34" s="17"/>
      <c r="P34" s="17"/>
      <c r="Q34" s="16"/>
      <c r="R34" s="17"/>
      <c r="S34" s="17"/>
      <c r="T34" s="17"/>
      <c r="U34" s="17"/>
      <c r="V34" s="17"/>
      <c r="W34" s="17"/>
      <c r="X34" s="17"/>
      <c r="Y34" s="17"/>
      <c r="Z34" s="17"/>
      <c r="AA34" s="17"/>
      <c r="AB34" s="17"/>
      <c r="AC34" s="17"/>
      <c r="AD34" s="244" t="str">
        <f>IF($B$12="individual",Constants!F59,Constants!L59)</f>
        <v>number of training groups / teams</v>
      </c>
      <c r="AE34" s="244">
        <f>B10</f>
        <v>35</v>
      </c>
      <c r="AF34" s="271">
        <f>IF(AE34&gt;9,3,IF(AE34&gt;4,2,IF(AE34&gt;2,1,0)))</f>
        <v>3</v>
      </c>
      <c r="AG34" s="560"/>
      <c r="AH34" s="560"/>
      <c r="AI34" s="560"/>
      <c r="AJ34" s="560"/>
    </row>
    <row r="35" spans="1:58" ht="15.75" customHeight="1" thickTop="1" thickBot="1">
      <c r="A35" s="16"/>
      <c r="G35" s="17"/>
      <c r="H35" s="16"/>
      <c r="I35" s="16"/>
      <c r="J35" s="16"/>
      <c r="K35" s="17"/>
      <c r="L35" s="17"/>
      <c r="M35" s="17"/>
      <c r="N35" s="17"/>
      <c r="O35" s="17"/>
      <c r="P35" s="17"/>
      <c r="Q35" s="16"/>
      <c r="R35" s="17"/>
      <c r="S35" s="17"/>
      <c r="T35" s="17"/>
      <c r="U35" s="17"/>
      <c r="V35" s="17"/>
      <c r="W35" s="17"/>
      <c r="X35" s="17"/>
      <c r="Y35" s="17"/>
      <c r="Z35" s="17"/>
      <c r="AA35" s="17"/>
      <c r="AB35" s="17"/>
      <c r="AC35" s="17"/>
      <c r="AD35" s="244" t="str">
        <f>IF($B$12="individual",Constants!F60,Constants!L60)</f>
        <v>number of competitions organised</v>
      </c>
      <c r="AE35" s="249">
        <v>2</v>
      </c>
      <c r="AF35" s="271">
        <f>IF(AE35&gt;=4,5,IF(AE35&gt;=2,3,IF(AE35&gt;=1,1,0)))</f>
        <v>3</v>
      </c>
      <c r="AG35" s="560"/>
      <c r="AH35" s="560"/>
      <c r="AI35" s="560"/>
      <c r="AJ35" s="560"/>
    </row>
    <row r="36" spans="1:58" ht="15.75" customHeight="1" thickBot="1">
      <c r="A36" s="179" t="s">
        <v>448</v>
      </c>
      <c r="B36" s="16"/>
      <c r="C36" s="16"/>
      <c r="D36" s="16"/>
      <c r="E36" s="16"/>
      <c r="F36" s="16"/>
      <c r="G36" s="16"/>
      <c r="H36" s="16"/>
      <c r="I36" s="16"/>
      <c r="J36" s="16"/>
      <c r="K36" s="16"/>
      <c r="L36" s="16"/>
      <c r="M36" s="16"/>
      <c r="N36" s="16"/>
      <c r="O36" s="16"/>
      <c r="P36" s="16"/>
      <c r="Q36" s="16"/>
      <c r="R36" s="16"/>
      <c r="S36" s="16"/>
      <c r="T36" s="16"/>
      <c r="U36" s="16"/>
      <c r="V36" s="16"/>
      <c r="W36" s="16"/>
      <c r="X36" s="16"/>
      <c r="Y36" s="16"/>
      <c r="Z36" s="16"/>
      <c r="AA36" s="16"/>
      <c r="AB36" s="18"/>
      <c r="AC36" s="16"/>
      <c r="AD36" s="244" t="str">
        <f>IF($B$12="individual",Constants!F61,Constants!L61)</f>
        <v>number of social activities</v>
      </c>
      <c r="AE36" s="249">
        <v>25</v>
      </c>
      <c r="AF36" s="271">
        <f>IF(AE36&gt;=20,2,IF(AE36&gt;=10,1,0))</f>
        <v>2</v>
      </c>
      <c r="AG36" s="560"/>
      <c r="AH36" s="560"/>
      <c r="AI36" s="560"/>
      <c r="AJ36" s="560"/>
    </row>
    <row r="37" spans="1:58" ht="15" customHeight="1" thickTop="1" thickBot="1">
      <c r="A37" s="258" t="s">
        <v>449</v>
      </c>
      <c r="B37" s="259" t="s">
        <v>450</v>
      </c>
      <c r="C37" s="258" t="s">
        <v>451</v>
      </c>
      <c r="D37" s="258" t="s">
        <v>452</v>
      </c>
      <c r="E37" s="258" t="s">
        <v>453</v>
      </c>
      <c r="F37" s="258" t="s">
        <v>454</v>
      </c>
      <c r="G37" s="259" t="s">
        <v>455</v>
      </c>
      <c r="H37" s="561" t="s">
        <v>456</v>
      </c>
      <c r="I37" s="716"/>
      <c r="J37" s="717"/>
      <c r="K37" s="98"/>
      <c r="L37" s="98"/>
      <c r="M37" s="98"/>
      <c r="N37" s="98"/>
      <c r="O37" s="98"/>
      <c r="P37" s="98"/>
      <c r="Q37" s="98"/>
      <c r="R37" s="98"/>
      <c r="S37" s="98"/>
      <c r="T37" s="98"/>
      <c r="U37" s="96"/>
      <c r="V37" s="96"/>
      <c r="W37" s="96"/>
      <c r="X37" s="96"/>
      <c r="Y37" s="99"/>
      <c r="Z37" s="96"/>
      <c r="AA37" s="96"/>
      <c r="AB37" s="100"/>
      <c r="AC37" s="100"/>
      <c r="AD37" s="244" t="str">
        <f>IF($B$12="individual",Constants!F62,Constants!L62)</f>
        <v>number of bar days</v>
      </c>
      <c r="AE37" s="249">
        <v>0</v>
      </c>
      <c r="AF37" s="271">
        <f>IF(AE37&gt;=15,2,IF(AE37&gt;=8,1,0))</f>
        <v>0</v>
      </c>
      <c r="AG37" s="560"/>
      <c r="AH37" s="560"/>
      <c r="AI37" s="560"/>
      <c r="AJ37" s="560"/>
      <c r="AK37" s="100"/>
      <c r="AL37" s="100"/>
      <c r="AM37" s="100"/>
      <c r="AN37" s="100"/>
      <c r="AO37" s="100"/>
      <c r="AP37" s="100"/>
      <c r="AQ37" s="100"/>
      <c r="AR37" s="100"/>
      <c r="AS37" s="100"/>
      <c r="AT37" s="100"/>
      <c r="AU37" s="100"/>
      <c r="AV37" s="100"/>
      <c r="AW37" s="100"/>
      <c r="AX37" s="100"/>
      <c r="AY37" s="100"/>
      <c r="AZ37" s="100"/>
      <c r="BA37" s="100"/>
      <c r="BB37" s="100"/>
      <c r="BC37" s="100"/>
      <c r="BD37" s="100"/>
      <c r="BE37" s="100"/>
      <c r="BF37" s="100"/>
    </row>
    <row r="38" spans="1:58" ht="15" customHeight="1" thickTop="1" thickBot="1">
      <c r="A38" s="312" t="s">
        <v>818</v>
      </c>
      <c r="B38" s="232">
        <v>8</v>
      </c>
      <c r="C38" s="269">
        <v>2</v>
      </c>
      <c r="D38" s="269">
        <v>38</v>
      </c>
      <c r="E38" s="313" t="s">
        <v>55</v>
      </c>
      <c r="F38" s="369" t="s">
        <v>328</v>
      </c>
      <c r="G38" s="259"/>
      <c r="H38" s="606"/>
      <c r="I38" s="606"/>
      <c r="J38" s="595"/>
      <c r="K38" s="98"/>
      <c r="L38" s="98"/>
      <c r="M38" s="98"/>
      <c r="N38" s="98"/>
      <c r="O38" s="98"/>
      <c r="P38" s="98"/>
      <c r="Q38" s="98"/>
      <c r="R38" s="98"/>
      <c r="S38" s="98"/>
      <c r="T38" s="98"/>
      <c r="U38" s="96"/>
      <c r="V38" s="96"/>
      <c r="W38" s="96"/>
      <c r="X38" s="96"/>
      <c r="Y38" s="99"/>
      <c r="Z38" s="96"/>
      <c r="AA38" s="96"/>
      <c r="AB38" s="100"/>
      <c r="AC38" s="100"/>
      <c r="AD38" s="244" t="str">
        <f>IF($B$12="individual",Constants!F63,Constants!L63)</f>
        <v>own bar / extra location</v>
      </c>
      <c r="AE38" s="249">
        <v>15</v>
      </c>
      <c r="AF38" s="271">
        <f>IF(AE38&gt;=15,2,IF(AE38&gt;=8,1,0))</f>
        <v>2</v>
      </c>
      <c r="AG38" s="560"/>
      <c r="AH38" s="560"/>
      <c r="AI38" s="560"/>
      <c r="AJ38" s="560"/>
      <c r="AK38" s="100"/>
      <c r="AL38" s="100"/>
      <c r="AM38" s="100"/>
      <c r="AN38" s="100"/>
      <c r="AO38" s="100"/>
      <c r="AP38" s="100"/>
      <c r="AQ38" s="100"/>
      <c r="AR38" s="100"/>
      <c r="AS38" s="100"/>
      <c r="AT38" s="100"/>
      <c r="AU38" s="100"/>
      <c r="AV38" s="100"/>
      <c r="AW38" s="100"/>
      <c r="AX38" s="100"/>
      <c r="AY38" s="100"/>
      <c r="AZ38" s="100"/>
      <c r="BA38" s="100"/>
      <c r="BB38" s="100"/>
      <c r="BC38" s="100"/>
      <c r="BD38" s="100"/>
      <c r="BE38" s="100"/>
      <c r="BF38" s="100"/>
    </row>
    <row r="39" spans="1:58" ht="15" customHeight="1" thickBot="1">
      <c r="A39" s="312" t="s">
        <v>818</v>
      </c>
      <c r="B39" s="232">
        <v>8</v>
      </c>
      <c r="C39" s="269">
        <v>2</v>
      </c>
      <c r="D39" s="269">
        <v>38</v>
      </c>
      <c r="E39" s="313" t="s">
        <v>55</v>
      </c>
      <c r="F39" s="369" t="s">
        <v>328</v>
      </c>
      <c r="G39" s="259"/>
      <c r="H39" s="589"/>
      <c r="I39" s="589"/>
      <c r="J39" s="597"/>
      <c r="K39" s="98"/>
      <c r="L39" s="98"/>
      <c r="M39" s="98"/>
      <c r="N39" s="98"/>
      <c r="O39" s="98"/>
      <c r="P39" s="98"/>
      <c r="Q39" s="98"/>
      <c r="R39" s="98"/>
      <c r="S39" s="98"/>
      <c r="T39" s="98"/>
      <c r="U39" s="96"/>
      <c r="V39" s="96"/>
      <c r="W39" s="96"/>
      <c r="X39" s="96"/>
      <c r="Y39" s="99"/>
      <c r="Z39" s="96"/>
      <c r="AA39" s="96"/>
      <c r="AB39" s="100"/>
      <c r="AC39" s="100"/>
      <c r="AD39" s="244" t="str">
        <f>IF($B$12="individual",Constants!F65,Constants!L64)</f>
        <v>number of facilities used</v>
      </c>
      <c r="AE39" s="249">
        <v>1</v>
      </c>
      <c r="AF39" s="273">
        <f>IF(B12="individual", IF(AE39&gt;10, 5, IF(AE39&gt;6, 3, IF(AE39&gt;2, 1, 0))), IF(AE39&gt;3, 3, IF(AE39&gt;1, 2, 1)))</f>
        <v>1</v>
      </c>
      <c r="AG39" s="560"/>
      <c r="AH39" s="560"/>
      <c r="AI39" s="560"/>
      <c r="AJ39" s="560"/>
      <c r="AK39" s="100"/>
      <c r="AL39" s="100"/>
      <c r="AM39" s="100"/>
      <c r="AN39" s="100"/>
      <c r="AO39" s="100"/>
      <c r="AP39" s="100"/>
      <c r="AQ39" s="100"/>
      <c r="AR39" s="100"/>
      <c r="AS39" s="100"/>
      <c r="AT39" s="100"/>
      <c r="AU39" s="100"/>
      <c r="AV39" s="100"/>
      <c r="AW39" s="100"/>
      <c r="AX39" s="100"/>
      <c r="AY39" s="100"/>
      <c r="AZ39" s="100"/>
      <c r="BA39" s="100"/>
      <c r="BB39" s="100"/>
      <c r="BC39" s="100"/>
      <c r="BD39" s="100"/>
      <c r="BE39" s="100"/>
      <c r="BF39" s="100"/>
    </row>
    <row r="40" spans="1:58" ht="15" customHeight="1" thickBot="1">
      <c r="A40" s="312" t="s">
        <v>818</v>
      </c>
      <c r="B40" s="232">
        <v>8</v>
      </c>
      <c r="C40" s="269">
        <v>2</v>
      </c>
      <c r="D40" s="269">
        <v>38</v>
      </c>
      <c r="E40" s="313" t="s">
        <v>55</v>
      </c>
      <c r="F40" s="369" t="s">
        <v>328</v>
      </c>
      <c r="G40" s="259"/>
      <c r="H40" s="589"/>
      <c r="I40" s="589"/>
      <c r="J40" s="597"/>
      <c r="K40" s="98"/>
      <c r="L40" s="98"/>
      <c r="M40" s="98"/>
      <c r="N40" s="98"/>
      <c r="O40" s="98"/>
      <c r="P40" s="98"/>
      <c r="Q40" s="98"/>
      <c r="R40" s="98"/>
      <c r="S40" s="98"/>
      <c r="T40" s="98"/>
      <c r="U40" s="96"/>
      <c r="V40" s="96"/>
      <c r="W40" s="96"/>
      <c r="X40" s="96"/>
      <c r="Y40" s="99"/>
      <c r="Z40" s="96"/>
      <c r="AA40" s="96"/>
      <c r="AB40" s="100"/>
      <c r="AC40" s="100"/>
      <c r="AD40" s="231" t="str">
        <f>IF($B$12="individual",Constants!F64,Constants!L65)</f>
        <v>ratio of competing teams / training teams</v>
      </c>
      <c r="AE40" s="248">
        <f>IF(AD40="n/a","",COUNTA(A51:A75)/COUNTA(A38:A47))</f>
        <v>2.5</v>
      </c>
      <c r="AF40" s="272">
        <f>IF(B12="group", IF(AE40&gt;0.15, 5, IF(AE40&gt;0.1, 3, IF(AE40&gt;0.05, 1, 0))), " ")</f>
        <v>5</v>
      </c>
      <c r="AG40" s="560"/>
      <c r="AH40" s="560"/>
      <c r="AI40" s="560"/>
      <c r="AJ40" s="560"/>
      <c r="AK40" s="100"/>
      <c r="AL40" s="100"/>
      <c r="AM40" s="100"/>
      <c r="AN40" s="100"/>
      <c r="AO40" s="100"/>
      <c r="AP40" s="100"/>
      <c r="AQ40" s="100"/>
      <c r="AR40" s="100"/>
      <c r="AS40" s="100"/>
      <c r="AT40" s="100"/>
      <c r="AU40" s="100"/>
      <c r="AV40" s="100"/>
      <c r="AW40" s="100"/>
      <c r="AX40" s="100"/>
      <c r="AY40" s="100"/>
      <c r="AZ40" s="100"/>
      <c r="BA40" s="100"/>
      <c r="BB40" s="100"/>
      <c r="BC40" s="100"/>
      <c r="BD40" s="100"/>
      <c r="BE40" s="100"/>
      <c r="BF40" s="100"/>
    </row>
    <row r="41" spans="1:58" ht="15" customHeight="1" thickBot="1">
      <c r="A41" s="312" t="s">
        <v>818</v>
      </c>
      <c r="B41" s="232">
        <v>8</v>
      </c>
      <c r="C41" s="269">
        <v>2</v>
      </c>
      <c r="D41" s="269">
        <v>38</v>
      </c>
      <c r="E41" s="313" t="s">
        <v>55</v>
      </c>
      <c r="F41" s="369" t="s">
        <v>328</v>
      </c>
      <c r="G41" s="259"/>
      <c r="H41" s="589"/>
      <c r="I41" s="589"/>
      <c r="J41" s="597"/>
      <c r="K41" s="98"/>
      <c r="L41" s="98"/>
      <c r="M41" s="98"/>
      <c r="N41" s="98"/>
      <c r="O41" s="98"/>
      <c r="P41" s="98"/>
      <c r="Q41" s="98"/>
      <c r="R41" s="98"/>
      <c r="S41" s="98"/>
      <c r="T41" s="98"/>
      <c r="U41" s="96"/>
      <c r="V41" s="96"/>
      <c r="W41" s="96"/>
      <c r="X41" s="96"/>
      <c r="Y41" s="99"/>
      <c r="Z41" s="96"/>
      <c r="AA41" s="96"/>
      <c r="AB41" s="100"/>
      <c r="AC41" s="100"/>
      <c r="AD41" s="16"/>
      <c r="AE41" s="275" t="s">
        <v>461</v>
      </c>
      <c r="AF41" s="274">
        <f>SUM(AF30:AF40)</f>
        <v>29</v>
      </c>
      <c r="AG41" s="247"/>
      <c r="AH41" s="245"/>
      <c r="AI41" s="246"/>
      <c r="AJ41" s="247"/>
      <c r="AK41" s="100"/>
      <c r="AL41" s="100"/>
      <c r="AM41" s="100"/>
      <c r="AN41" s="100"/>
      <c r="AO41" s="100"/>
      <c r="AP41" s="100"/>
      <c r="AQ41" s="100"/>
      <c r="AR41" s="100"/>
      <c r="AS41" s="100"/>
      <c r="AT41" s="100"/>
      <c r="AU41" s="100"/>
      <c r="AV41" s="100"/>
      <c r="AW41" s="100"/>
      <c r="AX41" s="100"/>
      <c r="AY41" s="100"/>
      <c r="AZ41" s="100"/>
      <c r="BA41" s="100"/>
      <c r="BB41" s="100"/>
      <c r="BC41" s="100"/>
      <c r="BD41" s="100"/>
      <c r="BE41" s="100"/>
      <c r="BF41" s="100"/>
    </row>
    <row r="42" spans="1:58" ht="15" customHeight="1">
      <c r="A42" s="312" t="s">
        <v>818</v>
      </c>
      <c r="B42" s="232">
        <v>8</v>
      </c>
      <c r="C42" s="269">
        <v>2</v>
      </c>
      <c r="D42" s="269">
        <v>38</v>
      </c>
      <c r="E42" s="313" t="s">
        <v>55</v>
      </c>
      <c r="F42" s="369" t="s">
        <v>328</v>
      </c>
      <c r="G42" s="259"/>
      <c r="H42" s="589"/>
      <c r="I42" s="589"/>
      <c r="J42" s="597"/>
      <c r="K42" s="98"/>
      <c r="L42" s="98"/>
      <c r="M42" s="98"/>
      <c r="N42" s="98"/>
      <c r="O42" s="98"/>
      <c r="P42" s="98"/>
      <c r="Q42" s="98"/>
      <c r="R42" s="98"/>
      <c r="S42" s="98"/>
      <c r="T42" s="98"/>
      <c r="U42" s="96"/>
      <c r="V42" s="96"/>
      <c r="W42" s="96"/>
      <c r="X42" s="96"/>
      <c r="Y42" s="99"/>
      <c r="Z42" s="96"/>
      <c r="AA42" s="96"/>
      <c r="AB42" s="100"/>
      <c r="AC42" s="100"/>
      <c r="AD42" s="100"/>
      <c r="AE42" s="100"/>
      <c r="AF42" s="100"/>
      <c r="AG42" s="100"/>
      <c r="AH42" s="100"/>
      <c r="AI42" s="100"/>
      <c r="AJ42" s="100"/>
      <c r="AK42" s="100"/>
      <c r="AL42" s="100"/>
      <c r="AM42" s="100"/>
      <c r="AN42" s="100"/>
      <c r="AO42" s="100"/>
      <c r="AP42" s="100"/>
      <c r="AQ42" s="100"/>
      <c r="AR42" s="100"/>
      <c r="AS42" s="100"/>
      <c r="AT42" s="100"/>
      <c r="AU42" s="100"/>
      <c r="AV42" s="100"/>
      <c r="AW42" s="100"/>
      <c r="AX42" s="100"/>
      <c r="AY42" s="100"/>
      <c r="AZ42" s="100"/>
      <c r="BA42" s="100"/>
      <c r="BB42" s="100"/>
      <c r="BC42" s="100"/>
      <c r="BD42" s="100"/>
      <c r="BE42" s="100"/>
      <c r="BF42" s="100"/>
    </row>
    <row r="43" spans="1:58" ht="14.25" customHeight="1">
      <c r="A43" s="312" t="s">
        <v>818</v>
      </c>
      <c r="B43" s="232">
        <v>8</v>
      </c>
      <c r="C43" s="269">
        <v>2</v>
      </c>
      <c r="D43" s="269">
        <v>38</v>
      </c>
      <c r="E43" s="313" t="s">
        <v>55</v>
      </c>
      <c r="F43" s="369" t="s">
        <v>328</v>
      </c>
      <c r="G43" s="323"/>
      <c r="H43" s="589"/>
      <c r="I43" s="589"/>
      <c r="J43" s="597"/>
      <c r="K43" s="16"/>
      <c r="L43" s="16"/>
      <c r="M43" s="16"/>
      <c r="N43" s="16"/>
      <c r="O43" s="16"/>
      <c r="P43" s="16"/>
      <c r="Q43" s="16"/>
      <c r="R43" s="16"/>
      <c r="S43" s="16"/>
      <c r="T43" s="16"/>
      <c r="U43" s="16"/>
      <c r="V43" s="16"/>
      <c r="W43" s="16"/>
      <c r="X43" s="16"/>
      <c r="Y43" s="17"/>
      <c r="Z43" s="16"/>
      <c r="AA43" s="16"/>
    </row>
    <row r="44" spans="1:58" ht="14.25" customHeight="1">
      <c r="A44" s="312" t="s">
        <v>818</v>
      </c>
      <c r="B44" s="232">
        <v>8</v>
      </c>
      <c r="C44" s="269">
        <v>2</v>
      </c>
      <c r="D44" s="269">
        <v>38</v>
      </c>
      <c r="E44" s="313" t="s">
        <v>55</v>
      </c>
      <c r="F44" s="369" t="s">
        <v>328</v>
      </c>
      <c r="G44" s="325"/>
      <c r="H44" s="589"/>
      <c r="I44" s="589"/>
      <c r="J44" s="597"/>
      <c r="K44" s="16"/>
      <c r="L44" s="16"/>
      <c r="M44" s="16"/>
      <c r="N44" s="16"/>
      <c r="O44" s="16"/>
      <c r="P44" s="16"/>
      <c r="Q44" s="16"/>
      <c r="R44" s="16"/>
      <c r="S44" s="16"/>
      <c r="T44" s="16"/>
      <c r="U44" s="16"/>
      <c r="V44" s="16"/>
      <c r="W44" s="16"/>
      <c r="X44" s="16"/>
      <c r="Y44" s="17"/>
      <c r="Z44" s="16"/>
      <c r="AA44" s="16"/>
    </row>
    <row r="45" spans="1:58" ht="15.75" customHeight="1">
      <c r="A45" s="312" t="s">
        <v>818</v>
      </c>
      <c r="B45" s="232">
        <v>8</v>
      </c>
      <c r="C45" s="269">
        <v>2</v>
      </c>
      <c r="D45" s="269">
        <v>38</v>
      </c>
      <c r="E45" s="313" t="s">
        <v>55</v>
      </c>
      <c r="F45" s="369" t="s">
        <v>328</v>
      </c>
      <c r="G45" s="231"/>
      <c r="H45" s="589"/>
      <c r="I45" s="589"/>
      <c r="J45" s="597"/>
      <c r="K45" s="16"/>
      <c r="L45" s="16"/>
      <c r="M45" s="16"/>
      <c r="N45" s="16"/>
      <c r="O45" s="16"/>
      <c r="P45" s="16"/>
      <c r="Q45" s="16"/>
      <c r="R45" s="16"/>
      <c r="S45" s="16"/>
      <c r="T45" s="16"/>
      <c r="U45" s="16"/>
      <c r="V45" s="16"/>
      <c r="W45" s="16"/>
      <c r="X45" s="16"/>
      <c r="Y45" s="16"/>
      <c r="Z45" s="16"/>
      <c r="AA45" s="16"/>
    </row>
    <row r="46" spans="1:58" ht="15.75" customHeight="1">
      <c r="A46" s="312" t="s">
        <v>818</v>
      </c>
      <c r="B46" s="232">
        <v>8</v>
      </c>
      <c r="C46" s="269">
        <v>2</v>
      </c>
      <c r="D46" s="269">
        <v>38</v>
      </c>
      <c r="E46" s="313" t="s">
        <v>55</v>
      </c>
      <c r="F46" s="369" t="s">
        <v>328</v>
      </c>
      <c r="G46" s="231"/>
      <c r="H46" s="589"/>
      <c r="I46" s="589"/>
      <c r="J46" s="597"/>
      <c r="K46" s="16"/>
      <c r="L46" s="16"/>
      <c r="M46" s="16"/>
      <c r="N46" s="16"/>
      <c r="O46" s="16"/>
      <c r="P46" s="16"/>
      <c r="Q46" s="16"/>
      <c r="R46" s="16"/>
      <c r="S46" s="16"/>
      <c r="T46" s="16"/>
      <c r="U46" s="16"/>
      <c r="V46" s="16"/>
      <c r="W46" s="16"/>
      <c r="X46" s="16"/>
      <c r="Y46" s="16"/>
      <c r="Z46" s="16"/>
      <c r="AA46" s="16"/>
    </row>
    <row r="47" spans="1:58" ht="15.75" customHeight="1" thickBot="1">
      <c r="A47" s="312" t="s">
        <v>819</v>
      </c>
      <c r="B47" s="232">
        <v>150</v>
      </c>
      <c r="C47" s="269">
        <v>1</v>
      </c>
      <c r="D47" s="269">
        <v>42</v>
      </c>
      <c r="E47" s="245" t="s">
        <v>55</v>
      </c>
      <c r="F47" s="261" t="s">
        <v>328</v>
      </c>
      <c r="G47" s="231"/>
      <c r="H47" s="607"/>
      <c r="I47" s="607"/>
      <c r="J47" s="599"/>
      <c r="K47" s="16"/>
      <c r="L47" s="16"/>
      <c r="M47" s="16"/>
      <c r="N47" s="16"/>
      <c r="O47" s="16"/>
      <c r="P47" s="16"/>
      <c r="Q47" s="16"/>
      <c r="R47" s="16"/>
      <c r="S47" s="16"/>
      <c r="T47" s="16"/>
      <c r="U47" s="16"/>
      <c r="V47" s="16"/>
      <c r="W47" s="16"/>
      <c r="X47" s="16"/>
      <c r="Y47" s="16"/>
      <c r="Z47" s="16"/>
      <c r="AA47" s="16"/>
    </row>
    <row r="48" spans="1:58" ht="15.75" customHeight="1" thickTop="1">
      <c r="A48" s="18"/>
      <c r="B48" s="18"/>
      <c r="C48" s="18"/>
      <c r="D48" s="18"/>
      <c r="E48" s="18"/>
      <c r="F48" s="18"/>
      <c r="G48" s="17"/>
      <c r="H48" s="17"/>
      <c r="I48" s="17"/>
      <c r="J48" s="17"/>
      <c r="K48" s="17"/>
      <c r="L48" s="17"/>
      <c r="M48" s="17"/>
      <c r="N48" s="17"/>
      <c r="O48" s="17"/>
      <c r="P48" s="17"/>
      <c r="Q48" s="16"/>
      <c r="R48" s="17"/>
      <c r="S48" s="17"/>
      <c r="T48" s="17"/>
      <c r="U48" s="17"/>
      <c r="V48" s="17"/>
      <c r="W48" s="17"/>
      <c r="X48" s="17"/>
      <c r="Y48" s="17"/>
      <c r="Z48" s="17"/>
      <c r="AA48" s="17"/>
      <c r="AB48" s="17"/>
      <c r="AC48" s="17"/>
      <c r="AD48" s="17"/>
    </row>
    <row r="49" spans="1:58" ht="15.75" customHeight="1" thickBot="1">
      <c r="A49" s="179" t="s">
        <v>462</v>
      </c>
      <c r="B49" s="169"/>
      <c r="C49" s="16"/>
      <c r="D49" s="16"/>
      <c r="E49" s="16"/>
      <c r="F49" s="16"/>
      <c r="G49" s="16"/>
      <c r="H49" s="16"/>
      <c r="I49" s="16"/>
      <c r="J49" s="16"/>
      <c r="K49" s="16"/>
      <c r="L49" s="16"/>
      <c r="M49" s="16"/>
      <c r="N49" s="16"/>
      <c r="O49" s="16"/>
      <c r="P49" s="16"/>
      <c r="Q49" s="16"/>
      <c r="R49" s="16"/>
      <c r="S49" s="16"/>
      <c r="T49" s="16"/>
      <c r="U49" s="16"/>
      <c r="V49" s="16"/>
      <c r="W49" s="16"/>
      <c r="X49" s="16"/>
      <c r="Y49" s="16"/>
      <c r="Z49" s="16"/>
      <c r="AA49" s="16"/>
      <c r="AB49" s="18"/>
      <c r="AC49" s="16"/>
      <c r="AD49" s="16"/>
    </row>
    <row r="50" spans="1:58" ht="15" customHeight="1" thickTop="1" thickBot="1">
      <c r="A50" s="258" t="s">
        <v>449</v>
      </c>
      <c r="B50" s="259" t="s">
        <v>450</v>
      </c>
      <c r="C50" s="258" t="s">
        <v>463</v>
      </c>
      <c r="D50" s="258" t="s">
        <v>464</v>
      </c>
      <c r="E50" s="258" t="s">
        <v>465</v>
      </c>
      <c r="F50" s="258" t="s">
        <v>466</v>
      </c>
      <c r="G50" s="258" t="s">
        <v>467</v>
      </c>
      <c r="H50" s="259" t="s">
        <v>455</v>
      </c>
      <c r="I50" s="561" t="s">
        <v>456</v>
      </c>
      <c r="J50" s="716"/>
      <c r="K50" s="717"/>
      <c r="L50" s="98"/>
      <c r="M50" s="98"/>
      <c r="N50" s="98"/>
      <c r="O50" s="98"/>
      <c r="P50" s="98"/>
      <c r="Q50" s="98"/>
      <c r="R50" s="98"/>
      <c r="S50" s="98"/>
      <c r="T50" s="98"/>
      <c r="U50" s="98"/>
      <c r="V50" s="96"/>
      <c r="W50" s="96"/>
      <c r="X50" s="96"/>
      <c r="Y50" s="96"/>
      <c r="Z50" s="99"/>
      <c r="AA50" s="96"/>
      <c r="AB50" s="96"/>
      <c r="AC50" s="100"/>
      <c r="AD50" s="100"/>
      <c r="AE50" s="100"/>
      <c r="AF50" s="100"/>
      <c r="AG50" s="100"/>
      <c r="AH50" s="100"/>
      <c r="AI50" s="100"/>
      <c r="AJ50" s="100"/>
      <c r="AK50" s="100"/>
      <c r="AL50" s="100"/>
      <c r="AM50" s="100"/>
      <c r="AN50" s="100"/>
      <c r="AO50" s="100"/>
      <c r="AP50" s="100"/>
      <c r="AQ50" s="100"/>
      <c r="AR50" s="100"/>
      <c r="AS50" s="100"/>
      <c r="AT50" s="100"/>
      <c r="AU50" s="100"/>
      <c r="AV50" s="100"/>
      <c r="AW50" s="100"/>
      <c r="AX50" s="100"/>
      <c r="AY50" s="100"/>
      <c r="AZ50" s="100"/>
      <c r="BA50" s="100"/>
      <c r="BB50" s="100"/>
      <c r="BC50" s="100"/>
      <c r="BD50" s="100"/>
      <c r="BE50" s="100"/>
      <c r="BF50" s="100"/>
    </row>
    <row r="51" spans="1:58" ht="15" customHeight="1" thickTop="1">
      <c r="A51" s="312" t="s">
        <v>820</v>
      </c>
      <c r="B51" s="232">
        <v>8</v>
      </c>
      <c r="C51" s="269" t="s">
        <v>821</v>
      </c>
      <c r="D51" s="269" t="s">
        <v>55</v>
      </c>
      <c r="E51" s="261">
        <v>7</v>
      </c>
      <c r="F51" s="261">
        <v>10.5</v>
      </c>
      <c r="G51" s="231" t="s">
        <v>419</v>
      </c>
      <c r="H51" s="323" t="s">
        <v>822</v>
      </c>
      <c r="I51" s="576" t="s">
        <v>823</v>
      </c>
      <c r="J51" s="632"/>
      <c r="K51" s="577"/>
      <c r="L51" s="228"/>
      <c r="M51" s="402"/>
      <c r="N51" s="98"/>
      <c r="O51" s="98"/>
      <c r="P51" s="98"/>
      <c r="Q51" s="98"/>
      <c r="R51" s="98"/>
      <c r="S51" s="98"/>
      <c r="T51" s="98"/>
      <c r="U51" s="98"/>
      <c r="V51" s="96"/>
      <c r="W51" s="96"/>
      <c r="X51" s="96"/>
      <c r="Y51" s="96"/>
      <c r="Z51" s="99"/>
      <c r="AA51" s="96"/>
      <c r="AB51" s="96"/>
      <c r="AC51" s="100"/>
      <c r="AD51" s="100"/>
      <c r="AE51" s="100"/>
      <c r="AF51" s="100"/>
      <c r="AG51" s="100"/>
      <c r="AH51" s="100"/>
      <c r="AI51" s="100"/>
      <c r="AJ51" s="100"/>
      <c r="AK51" s="100"/>
      <c r="AL51" s="100"/>
      <c r="AM51" s="100"/>
      <c r="AN51" s="100"/>
      <c r="AO51" s="100"/>
      <c r="AP51" s="100"/>
      <c r="AQ51" s="100"/>
      <c r="AR51" s="100"/>
      <c r="AS51" s="100"/>
      <c r="AT51" s="100"/>
      <c r="AU51" s="100"/>
      <c r="AV51" s="100"/>
      <c r="AW51" s="100"/>
      <c r="AX51" s="100"/>
      <c r="AY51" s="100"/>
      <c r="AZ51" s="100"/>
      <c r="BA51" s="100"/>
      <c r="BB51" s="100"/>
      <c r="BC51" s="100"/>
      <c r="BD51" s="100"/>
      <c r="BE51" s="100"/>
      <c r="BF51" s="100"/>
    </row>
    <row r="52" spans="1:58" ht="15" customHeight="1">
      <c r="A52" s="312" t="s">
        <v>820</v>
      </c>
      <c r="B52" s="232">
        <v>8</v>
      </c>
      <c r="C52" s="269" t="s">
        <v>824</v>
      </c>
      <c r="D52" s="269" t="s">
        <v>145</v>
      </c>
      <c r="E52" s="245">
        <v>1</v>
      </c>
      <c r="F52" s="261">
        <v>1</v>
      </c>
      <c r="G52" s="231" t="s">
        <v>471</v>
      </c>
      <c r="H52" s="323" t="s">
        <v>825</v>
      </c>
      <c r="I52" s="578"/>
      <c r="J52" s="602"/>
      <c r="K52" s="579"/>
      <c r="L52" s="228"/>
      <c r="M52" s="402"/>
      <c r="N52" s="98"/>
      <c r="O52" s="98"/>
      <c r="P52" s="98"/>
      <c r="Q52" s="98"/>
      <c r="R52" s="98"/>
      <c r="S52" s="98"/>
      <c r="T52" s="98"/>
      <c r="U52" s="98"/>
      <c r="V52" s="96"/>
      <c r="W52" s="96"/>
      <c r="X52" s="96"/>
      <c r="Y52" s="96"/>
      <c r="Z52" s="99"/>
      <c r="AA52" s="96"/>
      <c r="AB52" s="96"/>
      <c r="AC52" s="100"/>
      <c r="AD52" s="100"/>
      <c r="AE52" s="100"/>
      <c r="AF52" s="100"/>
      <c r="AG52" s="100"/>
      <c r="AH52" s="100"/>
      <c r="AI52" s="100"/>
      <c r="AJ52" s="100"/>
      <c r="AK52" s="100"/>
      <c r="AL52" s="100"/>
      <c r="AM52" s="100"/>
      <c r="AN52" s="100"/>
      <c r="AO52" s="100"/>
      <c r="AP52" s="100"/>
      <c r="AQ52" s="100"/>
      <c r="AR52" s="100"/>
      <c r="AS52" s="100"/>
      <c r="AT52" s="100"/>
      <c r="AU52" s="100"/>
      <c r="AV52" s="100"/>
      <c r="AW52" s="100"/>
      <c r="AX52" s="100"/>
      <c r="AY52" s="100"/>
      <c r="AZ52" s="100"/>
      <c r="BA52" s="100"/>
      <c r="BB52" s="100"/>
      <c r="BC52" s="100"/>
      <c r="BD52" s="100"/>
      <c r="BE52" s="100"/>
      <c r="BF52" s="100"/>
    </row>
    <row r="53" spans="1:58" ht="15" customHeight="1">
      <c r="A53" s="312" t="s">
        <v>820</v>
      </c>
      <c r="B53" s="232">
        <v>8</v>
      </c>
      <c r="C53" s="269" t="s">
        <v>570</v>
      </c>
      <c r="D53" s="269" t="s">
        <v>55</v>
      </c>
      <c r="E53" s="245">
        <v>1</v>
      </c>
      <c r="F53" s="261">
        <v>1</v>
      </c>
      <c r="G53" s="231" t="s">
        <v>471</v>
      </c>
      <c r="H53" s="323"/>
      <c r="I53" s="578"/>
      <c r="J53" s="602"/>
      <c r="K53" s="579"/>
      <c r="L53" s="228"/>
      <c r="M53" s="402"/>
      <c r="N53" s="98"/>
      <c r="O53" s="98"/>
      <c r="P53" s="98"/>
      <c r="Q53" s="98"/>
      <c r="R53" s="98"/>
      <c r="S53" s="98"/>
      <c r="T53" s="98"/>
      <c r="U53" s="98"/>
      <c r="V53" s="96"/>
      <c r="W53" s="96"/>
      <c r="X53" s="96"/>
      <c r="Y53" s="96"/>
      <c r="Z53" s="99"/>
      <c r="AA53" s="96"/>
      <c r="AB53" s="96"/>
      <c r="AC53" s="100"/>
      <c r="AD53" s="100"/>
      <c r="AE53" s="100"/>
      <c r="AF53" s="100"/>
      <c r="AG53" s="100"/>
      <c r="AH53" s="100"/>
      <c r="AI53" s="100"/>
      <c r="AJ53" s="100"/>
      <c r="AK53" s="100"/>
      <c r="AL53" s="100"/>
      <c r="AM53" s="100"/>
      <c r="AN53" s="100"/>
      <c r="AO53" s="100"/>
      <c r="AP53" s="100"/>
      <c r="AQ53" s="100"/>
      <c r="AR53" s="100"/>
      <c r="AS53" s="100"/>
      <c r="AT53" s="100"/>
      <c r="AU53" s="100"/>
      <c r="AV53" s="100"/>
      <c r="AW53" s="100"/>
      <c r="AX53" s="100"/>
      <c r="AY53" s="100"/>
      <c r="AZ53" s="100"/>
      <c r="BA53" s="100"/>
      <c r="BB53" s="100"/>
      <c r="BC53" s="100"/>
      <c r="BD53" s="100"/>
      <c r="BE53" s="100"/>
      <c r="BF53" s="100"/>
    </row>
    <row r="54" spans="1:58" ht="15" customHeight="1">
      <c r="A54" s="312" t="s">
        <v>826</v>
      </c>
      <c r="B54" s="232">
        <v>8</v>
      </c>
      <c r="C54" s="269" t="s">
        <v>821</v>
      </c>
      <c r="D54" s="269" t="s">
        <v>55</v>
      </c>
      <c r="E54" s="245">
        <v>7</v>
      </c>
      <c r="F54" s="261">
        <v>10.5</v>
      </c>
      <c r="G54" s="231" t="s">
        <v>419</v>
      </c>
      <c r="H54" s="323" t="s">
        <v>822</v>
      </c>
      <c r="I54" s="578"/>
      <c r="J54" s="602"/>
      <c r="K54" s="579"/>
      <c r="L54" s="228"/>
      <c r="M54" s="402"/>
      <c r="N54" s="98"/>
      <c r="O54" s="98"/>
      <c r="P54" s="98"/>
      <c r="Q54" s="98"/>
      <c r="R54" s="98"/>
      <c r="S54" s="98"/>
      <c r="T54" s="98"/>
      <c r="U54" s="98"/>
      <c r="V54" s="96"/>
      <c r="W54" s="96"/>
      <c r="X54" s="96"/>
      <c r="Y54" s="96"/>
      <c r="Z54" s="99"/>
      <c r="AA54" s="96"/>
      <c r="AB54" s="96"/>
      <c r="AC54" s="100"/>
      <c r="AD54" s="100"/>
      <c r="AE54" s="100"/>
      <c r="AF54" s="100"/>
      <c r="AG54" s="100"/>
      <c r="AH54" s="100"/>
      <c r="AI54" s="100"/>
      <c r="AJ54" s="100"/>
      <c r="AK54" s="100"/>
      <c r="AL54" s="100"/>
      <c r="AM54" s="100"/>
      <c r="AN54" s="100"/>
      <c r="AO54" s="100"/>
      <c r="AP54" s="100"/>
      <c r="AQ54" s="100"/>
      <c r="AR54" s="100"/>
      <c r="AS54" s="100"/>
      <c r="AT54" s="100"/>
      <c r="AU54" s="100"/>
      <c r="AV54" s="100"/>
      <c r="AW54" s="100"/>
      <c r="AX54" s="100"/>
      <c r="AY54" s="100"/>
      <c r="AZ54" s="100"/>
      <c r="BA54" s="100"/>
      <c r="BB54" s="100"/>
      <c r="BC54" s="100"/>
      <c r="BD54" s="100"/>
      <c r="BE54" s="100"/>
      <c r="BF54" s="100"/>
    </row>
    <row r="55" spans="1:58" ht="15" customHeight="1">
      <c r="A55" s="312" t="s">
        <v>826</v>
      </c>
      <c r="B55" s="232">
        <v>8</v>
      </c>
      <c r="C55" s="269" t="s">
        <v>824</v>
      </c>
      <c r="D55" s="269" t="s">
        <v>145</v>
      </c>
      <c r="E55" s="245">
        <v>1</v>
      </c>
      <c r="F55" s="261">
        <v>1</v>
      </c>
      <c r="G55" s="231" t="s">
        <v>471</v>
      </c>
      <c r="H55" s="323" t="s">
        <v>825</v>
      </c>
      <c r="I55" s="578"/>
      <c r="J55" s="602"/>
      <c r="K55" s="579"/>
      <c r="L55" s="228"/>
      <c r="M55" s="402"/>
      <c r="N55" s="98"/>
      <c r="O55" s="98"/>
      <c r="P55" s="98"/>
      <c r="Q55" s="98"/>
      <c r="R55" s="98"/>
      <c r="S55" s="98"/>
      <c r="T55" s="98"/>
      <c r="U55" s="98"/>
      <c r="V55" s="96"/>
      <c r="W55" s="96"/>
      <c r="X55" s="96"/>
      <c r="Y55" s="96"/>
      <c r="Z55" s="99"/>
      <c r="AA55" s="96"/>
      <c r="AB55" s="96"/>
      <c r="AC55" s="100"/>
      <c r="AD55" s="100"/>
      <c r="AE55" s="100"/>
      <c r="AF55" s="100"/>
      <c r="AG55" s="100"/>
      <c r="AH55" s="100"/>
      <c r="AI55" s="100"/>
      <c r="AJ55" s="100"/>
      <c r="AK55" s="100"/>
      <c r="AL55" s="100"/>
      <c r="AM55" s="100"/>
      <c r="AN55" s="100"/>
      <c r="AO55" s="100"/>
      <c r="AP55" s="100"/>
      <c r="AQ55" s="100"/>
      <c r="AR55" s="100"/>
      <c r="AS55" s="100"/>
      <c r="AT55" s="100"/>
      <c r="AU55" s="100"/>
      <c r="AV55" s="100"/>
      <c r="AW55" s="100"/>
      <c r="AX55" s="100"/>
      <c r="AY55" s="100"/>
      <c r="AZ55" s="100"/>
      <c r="BA55" s="100"/>
      <c r="BB55" s="100"/>
      <c r="BC55" s="100"/>
      <c r="BD55" s="100"/>
      <c r="BE55" s="100"/>
      <c r="BF55" s="100"/>
    </row>
    <row r="56" spans="1:58" ht="15" customHeight="1">
      <c r="A56" s="312" t="s">
        <v>826</v>
      </c>
      <c r="B56" s="232">
        <v>8</v>
      </c>
      <c r="C56" s="269" t="s">
        <v>570</v>
      </c>
      <c r="D56" s="269" t="s">
        <v>55</v>
      </c>
      <c r="E56" s="245">
        <v>1</v>
      </c>
      <c r="F56" s="261">
        <v>1</v>
      </c>
      <c r="G56" s="231" t="s">
        <v>471</v>
      </c>
      <c r="H56" s="323"/>
      <c r="I56" s="578"/>
      <c r="J56" s="602"/>
      <c r="K56" s="579"/>
      <c r="L56" s="228"/>
      <c r="M56" s="402"/>
      <c r="N56" s="98"/>
      <c r="O56" s="98"/>
      <c r="P56" s="98"/>
      <c r="Q56" s="98"/>
      <c r="R56" s="98"/>
      <c r="S56" s="98"/>
      <c r="T56" s="98"/>
      <c r="U56" s="98"/>
      <c r="V56" s="96"/>
      <c r="W56" s="96"/>
      <c r="X56" s="96"/>
      <c r="Y56" s="96"/>
      <c r="Z56" s="99"/>
      <c r="AA56" s="96"/>
      <c r="AB56" s="96"/>
      <c r="AC56" s="100"/>
      <c r="AD56" s="100"/>
      <c r="AE56" s="100"/>
      <c r="AF56" s="100"/>
      <c r="AG56" s="100"/>
      <c r="AH56" s="100"/>
      <c r="AI56" s="100"/>
      <c r="AJ56" s="100"/>
      <c r="AK56" s="100"/>
      <c r="AL56" s="100"/>
      <c r="AM56" s="100"/>
      <c r="AN56" s="100"/>
      <c r="AO56" s="100"/>
      <c r="AP56" s="100"/>
      <c r="AQ56" s="100"/>
      <c r="AR56" s="100"/>
      <c r="AS56" s="100"/>
      <c r="AT56" s="100"/>
      <c r="AU56" s="100"/>
      <c r="AV56" s="100"/>
      <c r="AW56" s="100"/>
      <c r="AX56" s="100"/>
      <c r="AY56" s="100"/>
      <c r="AZ56" s="100"/>
      <c r="BA56" s="100"/>
      <c r="BB56" s="100"/>
      <c r="BC56" s="100"/>
      <c r="BD56" s="100"/>
      <c r="BE56" s="100"/>
      <c r="BF56" s="100"/>
    </row>
    <row r="57" spans="1:58" ht="15" customHeight="1">
      <c r="A57" s="312" t="s">
        <v>827</v>
      </c>
      <c r="B57" s="232">
        <v>8</v>
      </c>
      <c r="C57" s="269" t="s">
        <v>821</v>
      </c>
      <c r="D57" s="269" t="s">
        <v>55</v>
      </c>
      <c r="E57" s="245">
        <v>7</v>
      </c>
      <c r="F57" s="261">
        <v>10.5</v>
      </c>
      <c r="G57" s="231" t="s">
        <v>419</v>
      </c>
      <c r="H57" s="323" t="s">
        <v>822</v>
      </c>
      <c r="I57" s="578"/>
      <c r="J57" s="602"/>
      <c r="K57" s="579"/>
      <c r="L57" s="228"/>
      <c r="M57" s="402"/>
      <c r="N57" s="98"/>
      <c r="O57" s="98"/>
      <c r="P57" s="98"/>
      <c r="Q57" s="98"/>
      <c r="R57" s="98"/>
      <c r="S57" s="98"/>
      <c r="T57" s="98"/>
      <c r="U57" s="98"/>
      <c r="V57" s="96"/>
      <c r="W57" s="96"/>
      <c r="X57" s="96"/>
      <c r="Y57" s="96"/>
      <c r="Z57" s="99"/>
      <c r="AA57" s="96"/>
      <c r="AB57" s="96"/>
      <c r="AC57" s="100"/>
      <c r="AD57" s="100"/>
      <c r="AE57" s="100"/>
      <c r="AF57" s="100"/>
      <c r="AG57" s="100"/>
      <c r="AH57" s="100"/>
      <c r="AI57" s="100"/>
      <c r="AJ57" s="100"/>
      <c r="AK57" s="100"/>
      <c r="AL57" s="100"/>
      <c r="AM57" s="100"/>
      <c r="AN57" s="100"/>
      <c r="AO57" s="100"/>
      <c r="AP57" s="100"/>
      <c r="AQ57" s="100"/>
      <c r="AR57" s="100"/>
      <c r="AS57" s="100"/>
      <c r="AT57" s="100"/>
      <c r="AU57" s="100"/>
      <c r="AV57" s="100"/>
      <c r="AW57" s="100"/>
      <c r="AX57" s="100"/>
      <c r="AY57" s="100"/>
      <c r="AZ57" s="100"/>
      <c r="BA57" s="100"/>
      <c r="BB57" s="100"/>
      <c r="BC57" s="100"/>
      <c r="BD57" s="100"/>
      <c r="BE57" s="100"/>
      <c r="BF57" s="100"/>
    </row>
    <row r="58" spans="1:58" ht="15" customHeight="1">
      <c r="A58" s="312" t="s">
        <v>827</v>
      </c>
      <c r="B58" s="232">
        <v>8</v>
      </c>
      <c r="C58" s="269" t="s">
        <v>824</v>
      </c>
      <c r="D58" s="269" t="s">
        <v>145</v>
      </c>
      <c r="E58" s="245">
        <v>1</v>
      </c>
      <c r="F58" s="261">
        <v>1</v>
      </c>
      <c r="G58" s="231" t="s">
        <v>471</v>
      </c>
      <c r="H58" s="323" t="s">
        <v>825</v>
      </c>
      <c r="I58" s="578"/>
      <c r="J58" s="602"/>
      <c r="K58" s="579"/>
      <c r="L58" s="228"/>
      <c r="M58" s="402"/>
      <c r="N58" s="98"/>
      <c r="O58" s="98"/>
      <c r="P58" s="98"/>
      <c r="Q58" s="98"/>
      <c r="R58" s="98"/>
      <c r="S58" s="98"/>
      <c r="T58" s="98"/>
      <c r="U58" s="98"/>
      <c r="V58" s="96"/>
      <c r="W58" s="96"/>
      <c r="X58" s="96"/>
      <c r="Y58" s="96"/>
      <c r="Z58" s="99"/>
      <c r="AA58" s="96"/>
      <c r="AB58" s="96"/>
      <c r="AC58" s="100"/>
      <c r="AD58" s="100"/>
      <c r="AE58" s="100"/>
      <c r="AF58" s="100"/>
      <c r="AG58" s="100"/>
      <c r="AH58" s="100"/>
      <c r="AI58" s="100"/>
      <c r="AJ58" s="100"/>
      <c r="AK58" s="100"/>
      <c r="AL58" s="100"/>
      <c r="AM58" s="100"/>
      <c r="AN58" s="100"/>
      <c r="AO58" s="100"/>
      <c r="AP58" s="100"/>
      <c r="AQ58" s="100"/>
      <c r="AR58" s="100"/>
      <c r="AS58" s="100"/>
      <c r="AT58" s="100"/>
      <c r="AU58" s="100"/>
      <c r="AV58" s="100"/>
      <c r="AW58" s="100"/>
      <c r="AX58" s="100"/>
      <c r="AY58" s="100"/>
      <c r="AZ58" s="100"/>
      <c r="BA58" s="100"/>
      <c r="BB58" s="100"/>
      <c r="BC58" s="100"/>
      <c r="BD58" s="100"/>
      <c r="BE58" s="100"/>
      <c r="BF58" s="100"/>
    </row>
    <row r="59" spans="1:58" ht="15" customHeight="1">
      <c r="A59" s="312" t="s">
        <v>827</v>
      </c>
      <c r="B59" s="232">
        <v>8</v>
      </c>
      <c r="C59" s="244" t="s">
        <v>570</v>
      </c>
      <c r="D59" s="269" t="s">
        <v>55</v>
      </c>
      <c r="E59" s="245">
        <v>1</v>
      </c>
      <c r="F59" s="261">
        <v>1</v>
      </c>
      <c r="G59" s="231" t="s">
        <v>471</v>
      </c>
      <c r="H59" s="323"/>
      <c r="I59" s="578"/>
      <c r="J59" s="602"/>
      <c r="K59" s="579"/>
      <c r="L59" s="228"/>
      <c r="M59" s="402"/>
      <c r="N59" s="98"/>
      <c r="O59" s="98"/>
      <c r="P59" s="98"/>
      <c r="Q59" s="98"/>
      <c r="R59" s="98"/>
      <c r="S59" s="98"/>
      <c r="T59" s="98"/>
      <c r="U59" s="98"/>
      <c r="V59" s="96"/>
      <c r="W59" s="96"/>
      <c r="X59" s="96"/>
      <c r="Y59" s="96"/>
      <c r="Z59" s="99"/>
      <c r="AA59" s="96"/>
      <c r="AB59" s="96"/>
      <c r="AC59" s="100"/>
      <c r="AD59" s="100"/>
      <c r="AE59" s="100"/>
      <c r="AF59" s="100"/>
      <c r="AG59" s="100"/>
      <c r="AH59" s="100"/>
      <c r="AI59" s="100"/>
      <c r="AJ59" s="100"/>
      <c r="AK59" s="100"/>
      <c r="AL59" s="100"/>
      <c r="AM59" s="100"/>
      <c r="AN59" s="100"/>
      <c r="AO59" s="100"/>
      <c r="AP59" s="100"/>
      <c r="AQ59" s="100"/>
      <c r="AR59" s="100"/>
      <c r="AS59" s="100"/>
      <c r="AT59" s="100"/>
      <c r="AU59" s="100"/>
      <c r="AV59" s="100"/>
      <c r="AW59" s="100"/>
      <c r="AX59" s="100"/>
      <c r="AY59" s="100"/>
      <c r="AZ59" s="100"/>
      <c r="BA59" s="100"/>
      <c r="BB59" s="100"/>
      <c r="BC59" s="100"/>
      <c r="BD59" s="100"/>
      <c r="BE59" s="100"/>
      <c r="BF59" s="100"/>
    </row>
    <row r="60" spans="1:58" ht="15" customHeight="1">
      <c r="A60" s="312" t="s">
        <v>828</v>
      </c>
      <c r="B60" s="232">
        <v>8</v>
      </c>
      <c r="C60" s="269" t="s">
        <v>821</v>
      </c>
      <c r="D60" s="269" t="s">
        <v>55</v>
      </c>
      <c r="E60" s="245">
        <v>7</v>
      </c>
      <c r="F60" s="261">
        <v>10.5</v>
      </c>
      <c r="G60" s="231" t="s">
        <v>419</v>
      </c>
      <c r="H60" s="323" t="s">
        <v>822</v>
      </c>
      <c r="I60" s="578"/>
      <c r="J60" s="602"/>
      <c r="K60" s="579"/>
      <c r="L60" s="228"/>
      <c r="M60" s="402"/>
      <c r="N60" s="98"/>
      <c r="O60" s="98"/>
      <c r="P60" s="98"/>
      <c r="Q60" s="98"/>
      <c r="R60" s="98"/>
      <c r="S60" s="98"/>
      <c r="T60" s="98"/>
      <c r="U60" s="98"/>
      <c r="V60" s="96"/>
      <c r="W60" s="96"/>
      <c r="X60" s="96"/>
      <c r="Y60" s="96"/>
      <c r="Z60" s="99"/>
      <c r="AA60" s="96"/>
      <c r="AB60" s="96"/>
      <c r="AC60" s="100"/>
      <c r="AD60" s="100"/>
      <c r="AE60" s="100"/>
      <c r="AF60" s="100"/>
      <c r="AG60" s="100"/>
      <c r="AH60" s="100"/>
      <c r="AI60" s="100"/>
      <c r="AJ60" s="100"/>
      <c r="AK60" s="100"/>
      <c r="AL60" s="100"/>
      <c r="AM60" s="100"/>
      <c r="AN60" s="100"/>
      <c r="AO60" s="100"/>
      <c r="AP60" s="100"/>
      <c r="AQ60" s="100"/>
      <c r="AR60" s="100"/>
      <c r="AS60" s="100"/>
      <c r="AT60" s="100"/>
      <c r="AU60" s="100"/>
      <c r="AV60" s="100"/>
      <c r="AW60" s="100"/>
      <c r="AX60" s="100"/>
      <c r="AY60" s="100"/>
      <c r="AZ60" s="100"/>
      <c r="BA60" s="100"/>
      <c r="BB60" s="100"/>
      <c r="BC60" s="100"/>
      <c r="BD60" s="100"/>
      <c r="BE60" s="100"/>
      <c r="BF60" s="100"/>
    </row>
    <row r="61" spans="1:58" ht="15" customHeight="1">
      <c r="A61" s="312" t="s">
        <v>828</v>
      </c>
      <c r="B61" s="232">
        <v>8</v>
      </c>
      <c r="C61" s="269" t="s">
        <v>824</v>
      </c>
      <c r="D61" s="269" t="s">
        <v>145</v>
      </c>
      <c r="E61" s="245">
        <v>1</v>
      </c>
      <c r="F61" s="261">
        <v>1</v>
      </c>
      <c r="G61" s="231" t="s">
        <v>471</v>
      </c>
      <c r="H61" s="323" t="s">
        <v>825</v>
      </c>
      <c r="I61" s="578"/>
      <c r="J61" s="602"/>
      <c r="K61" s="579"/>
      <c r="L61" s="228"/>
      <c r="M61" s="402"/>
      <c r="N61" s="98"/>
      <c r="O61" s="98"/>
      <c r="P61" s="98"/>
      <c r="Q61" s="98"/>
      <c r="R61" s="98"/>
      <c r="S61" s="98"/>
      <c r="T61" s="98"/>
      <c r="U61" s="98"/>
      <c r="V61" s="96"/>
      <c r="W61" s="96"/>
      <c r="X61" s="96"/>
      <c r="Y61" s="96"/>
      <c r="Z61" s="99"/>
      <c r="AA61" s="96"/>
      <c r="AB61" s="96"/>
      <c r="AC61" s="100"/>
      <c r="AD61" s="100"/>
      <c r="AE61" s="100"/>
      <c r="AF61" s="100"/>
      <c r="AG61" s="100"/>
      <c r="AH61" s="100"/>
      <c r="AI61" s="100"/>
      <c r="AJ61" s="100"/>
      <c r="AK61" s="100"/>
      <c r="AL61" s="100"/>
      <c r="AM61" s="100"/>
      <c r="AN61" s="100"/>
      <c r="AO61" s="100"/>
      <c r="AP61" s="100"/>
      <c r="AQ61" s="100"/>
      <c r="AR61" s="100"/>
      <c r="AS61" s="100"/>
      <c r="AT61" s="100"/>
      <c r="AU61" s="100"/>
      <c r="AV61" s="100"/>
      <c r="AW61" s="100"/>
      <c r="AX61" s="100"/>
      <c r="AY61" s="100"/>
      <c r="AZ61" s="100"/>
      <c r="BA61" s="100"/>
      <c r="BB61" s="100"/>
      <c r="BC61" s="100"/>
      <c r="BD61" s="100"/>
      <c r="BE61" s="100"/>
      <c r="BF61" s="100"/>
    </row>
    <row r="62" spans="1:58" ht="15" customHeight="1">
      <c r="A62" s="312" t="s">
        <v>828</v>
      </c>
      <c r="B62" s="232"/>
      <c r="C62" s="244" t="s">
        <v>570</v>
      </c>
      <c r="D62" s="269" t="s">
        <v>55</v>
      </c>
      <c r="E62" s="245">
        <v>1</v>
      </c>
      <c r="F62" s="261">
        <v>1</v>
      </c>
      <c r="G62" s="231" t="s">
        <v>471</v>
      </c>
      <c r="H62" s="323"/>
      <c r="I62" s="578"/>
      <c r="J62" s="602"/>
      <c r="K62" s="579"/>
      <c r="L62" s="228"/>
      <c r="M62" s="402"/>
      <c r="N62" s="98"/>
      <c r="O62" s="98"/>
      <c r="P62" s="98"/>
      <c r="Q62" s="98"/>
      <c r="R62" s="98"/>
      <c r="S62" s="98"/>
      <c r="T62" s="98"/>
      <c r="U62" s="98"/>
      <c r="V62" s="96"/>
      <c r="W62" s="96"/>
      <c r="X62" s="96"/>
      <c r="Y62" s="96"/>
      <c r="Z62" s="99"/>
      <c r="AA62" s="96"/>
      <c r="AB62" s="96"/>
      <c r="AC62" s="100"/>
      <c r="AD62" s="100"/>
      <c r="AE62" s="100"/>
      <c r="AF62" s="100"/>
      <c r="AG62" s="100"/>
      <c r="AH62" s="100"/>
      <c r="AI62" s="100"/>
      <c r="AJ62" s="100"/>
      <c r="AK62" s="100"/>
      <c r="AL62" s="100"/>
      <c r="AM62" s="100"/>
      <c r="AN62" s="100"/>
      <c r="AO62" s="100"/>
      <c r="AP62" s="100"/>
      <c r="AQ62" s="100"/>
      <c r="AR62" s="100"/>
      <c r="AS62" s="100"/>
      <c r="AT62" s="100"/>
      <c r="AU62" s="100"/>
      <c r="AV62" s="100"/>
      <c r="AW62" s="100"/>
      <c r="AX62" s="100"/>
      <c r="AY62" s="100"/>
      <c r="AZ62" s="100"/>
      <c r="BA62" s="100"/>
      <c r="BB62" s="100"/>
      <c r="BC62" s="100"/>
      <c r="BD62" s="100"/>
      <c r="BE62" s="100"/>
      <c r="BF62" s="100"/>
    </row>
    <row r="63" spans="1:58" ht="15" customHeight="1">
      <c r="A63" s="312" t="s">
        <v>829</v>
      </c>
      <c r="B63" s="232">
        <v>4</v>
      </c>
      <c r="C63" s="269" t="s">
        <v>830</v>
      </c>
      <c r="D63" s="269" t="s">
        <v>55</v>
      </c>
      <c r="E63" s="245">
        <v>7</v>
      </c>
      <c r="F63" s="261">
        <v>10.5</v>
      </c>
      <c r="G63" s="231" t="s">
        <v>419</v>
      </c>
      <c r="H63" s="323" t="s">
        <v>831</v>
      </c>
      <c r="I63" s="578"/>
      <c r="J63" s="602"/>
      <c r="K63" s="579"/>
      <c r="L63" s="228"/>
      <c r="M63" s="402"/>
      <c r="N63" s="98"/>
      <c r="O63" s="98"/>
      <c r="P63" s="98"/>
      <c r="Q63" s="98"/>
      <c r="R63" s="98"/>
      <c r="S63" s="98"/>
      <c r="T63" s="98"/>
      <c r="U63" s="98"/>
      <c r="V63" s="96"/>
      <c r="W63" s="96"/>
      <c r="X63" s="96"/>
      <c r="Y63" s="96"/>
      <c r="Z63" s="99"/>
      <c r="AA63" s="96"/>
      <c r="AB63" s="96"/>
      <c r="AC63" s="100"/>
      <c r="AD63" s="100"/>
      <c r="AE63" s="100"/>
      <c r="AF63" s="100"/>
      <c r="AG63" s="100"/>
      <c r="AH63" s="100"/>
      <c r="AI63" s="100"/>
      <c r="AJ63" s="100"/>
      <c r="AK63" s="100"/>
      <c r="AL63" s="100"/>
      <c r="AM63" s="100"/>
      <c r="AN63" s="100"/>
      <c r="AO63" s="100"/>
      <c r="AP63" s="100"/>
      <c r="AQ63" s="100"/>
      <c r="AR63" s="100"/>
      <c r="AS63" s="100"/>
      <c r="AT63" s="100"/>
      <c r="AU63" s="100"/>
      <c r="AV63" s="100"/>
      <c r="AW63" s="100"/>
      <c r="AX63" s="100"/>
      <c r="AY63" s="100"/>
      <c r="AZ63" s="100"/>
      <c r="BA63" s="100"/>
      <c r="BB63" s="100"/>
      <c r="BC63" s="100"/>
      <c r="BD63" s="100"/>
      <c r="BE63" s="100"/>
      <c r="BF63" s="100"/>
    </row>
    <row r="64" spans="1:58" ht="15" customHeight="1">
      <c r="A64" s="312" t="s">
        <v>829</v>
      </c>
      <c r="B64" s="232">
        <v>4</v>
      </c>
      <c r="C64" s="269" t="s">
        <v>824</v>
      </c>
      <c r="D64" s="269" t="s">
        <v>145</v>
      </c>
      <c r="E64" s="245">
        <v>1</v>
      </c>
      <c r="F64" s="261">
        <v>1</v>
      </c>
      <c r="G64" s="231" t="s">
        <v>471</v>
      </c>
      <c r="H64" s="323" t="s">
        <v>825</v>
      </c>
      <c r="I64" s="578"/>
      <c r="J64" s="602"/>
      <c r="K64" s="579"/>
      <c r="L64" s="228"/>
      <c r="M64" s="402"/>
      <c r="N64" s="98"/>
      <c r="O64" s="98"/>
      <c r="P64" s="98"/>
      <c r="Q64" s="98"/>
      <c r="R64" s="98"/>
      <c r="S64" s="98"/>
      <c r="T64" s="98"/>
      <c r="U64" s="98"/>
      <c r="V64" s="96"/>
      <c r="W64" s="96"/>
      <c r="X64" s="96"/>
      <c r="Y64" s="96"/>
      <c r="Z64" s="99"/>
      <c r="AA64" s="96"/>
      <c r="AB64" s="96"/>
      <c r="AC64" s="100"/>
      <c r="AD64" s="100"/>
      <c r="AE64" s="100"/>
      <c r="AF64" s="100"/>
      <c r="AG64" s="100"/>
      <c r="AH64" s="100"/>
      <c r="AI64" s="100"/>
      <c r="AJ64" s="100"/>
      <c r="AK64" s="100"/>
      <c r="AL64" s="100"/>
      <c r="AM64" s="100"/>
      <c r="AN64" s="100"/>
      <c r="AO64" s="100"/>
      <c r="AP64" s="100"/>
      <c r="AQ64" s="100"/>
      <c r="AR64" s="100"/>
      <c r="AS64" s="100"/>
      <c r="AT64" s="100"/>
      <c r="AU64" s="100"/>
      <c r="AV64" s="100"/>
      <c r="AW64" s="100"/>
      <c r="AX64" s="100"/>
      <c r="AY64" s="100"/>
      <c r="AZ64" s="100"/>
      <c r="BA64" s="100"/>
      <c r="BB64" s="100"/>
      <c r="BC64" s="100"/>
      <c r="BD64" s="100"/>
      <c r="BE64" s="100"/>
      <c r="BF64" s="100"/>
    </row>
    <row r="65" spans="1:58" ht="15" customHeight="1">
      <c r="A65" s="312" t="s">
        <v>829</v>
      </c>
      <c r="B65" s="232"/>
      <c r="C65" s="244" t="s">
        <v>570</v>
      </c>
      <c r="D65" s="269" t="s">
        <v>55</v>
      </c>
      <c r="E65" s="245">
        <v>1</v>
      </c>
      <c r="F65" s="261">
        <v>1</v>
      </c>
      <c r="G65" s="231" t="s">
        <v>471</v>
      </c>
      <c r="H65" s="323"/>
      <c r="I65" s="578"/>
      <c r="J65" s="602"/>
      <c r="K65" s="579"/>
      <c r="L65" s="228"/>
      <c r="M65" s="402"/>
      <c r="N65" s="98"/>
      <c r="O65" s="98"/>
      <c r="P65" s="98"/>
      <c r="Q65" s="98"/>
      <c r="R65" s="98"/>
      <c r="S65" s="98"/>
      <c r="T65" s="98"/>
      <c r="U65" s="98"/>
      <c r="V65" s="96"/>
      <c r="W65" s="96"/>
      <c r="X65" s="96"/>
      <c r="Y65" s="96"/>
      <c r="Z65" s="99"/>
      <c r="AA65" s="96"/>
      <c r="AB65" s="96"/>
      <c r="AC65" s="100"/>
      <c r="AD65" s="100"/>
      <c r="AE65" s="100"/>
      <c r="AF65" s="100"/>
      <c r="AG65" s="100"/>
      <c r="AH65" s="100"/>
      <c r="AI65" s="100"/>
      <c r="AJ65" s="100"/>
      <c r="AK65" s="100"/>
      <c r="AL65" s="100"/>
      <c r="AM65" s="100"/>
      <c r="AN65" s="100"/>
      <c r="AO65" s="100"/>
      <c r="AP65" s="100"/>
      <c r="AQ65" s="100"/>
      <c r="AR65" s="100"/>
      <c r="AS65" s="100"/>
      <c r="AT65" s="100"/>
      <c r="AU65" s="100"/>
      <c r="AV65" s="100"/>
      <c r="AW65" s="100"/>
      <c r="AX65" s="100"/>
      <c r="AY65" s="100"/>
      <c r="AZ65" s="100"/>
      <c r="BA65" s="100"/>
      <c r="BB65" s="100"/>
      <c r="BC65" s="100"/>
      <c r="BD65" s="100"/>
      <c r="BE65" s="100"/>
      <c r="BF65" s="100"/>
    </row>
    <row r="66" spans="1:58" ht="14.25" customHeight="1">
      <c r="A66" s="312" t="s">
        <v>832</v>
      </c>
      <c r="B66" s="232">
        <v>4</v>
      </c>
      <c r="C66" s="269" t="s">
        <v>830</v>
      </c>
      <c r="D66" s="269" t="s">
        <v>55</v>
      </c>
      <c r="E66" s="245">
        <v>7</v>
      </c>
      <c r="F66" s="261">
        <v>10.5</v>
      </c>
      <c r="G66" s="231" t="s">
        <v>419</v>
      </c>
      <c r="H66" s="323" t="s">
        <v>831</v>
      </c>
      <c r="I66" s="578"/>
      <c r="J66" s="602"/>
      <c r="K66" s="579"/>
      <c r="L66" s="228"/>
      <c r="M66" s="231"/>
      <c r="N66" s="16"/>
      <c r="O66" s="16"/>
      <c r="P66" s="16"/>
      <c r="Q66" s="16"/>
      <c r="R66" s="16"/>
      <c r="S66" s="16"/>
      <c r="T66" s="16"/>
      <c r="U66" s="16"/>
      <c r="V66" s="16"/>
      <c r="W66" s="16"/>
      <c r="X66" s="16"/>
      <c r="Y66" s="16"/>
      <c r="Z66" s="17"/>
      <c r="AA66" s="16"/>
      <c r="AB66" s="16"/>
    </row>
    <row r="67" spans="1:58" ht="14.25" customHeight="1">
      <c r="A67" s="312" t="s">
        <v>832</v>
      </c>
      <c r="B67" s="232">
        <v>4</v>
      </c>
      <c r="C67" s="269" t="s">
        <v>824</v>
      </c>
      <c r="D67" s="269" t="s">
        <v>145</v>
      </c>
      <c r="E67" s="245">
        <v>1</v>
      </c>
      <c r="F67" s="261">
        <v>1</v>
      </c>
      <c r="G67" s="231" t="s">
        <v>471</v>
      </c>
      <c r="H67" s="323" t="s">
        <v>825</v>
      </c>
      <c r="I67" s="578"/>
      <c r="J67" s="602"/>
      <c r="K67" s="579"/>
      <c r="L67" s="228"/>
      <c r="M67" s="231"/>
      <c r="N67" s="16"/>
      <c r="O67" s="16"/>
      <c r="P67" s="16"/>
      <c r="Q67" s="16"/>
      <c r="R67" s="16"/>
      <c r="S67" s="16"/>
      <c r="T67" s="16"/>
      <c r="U67" s="16"/>
      <c r="V67" s="16"/>
      <c r="W67" s="16"/>
      <c r="X67" s="16"/>
      <c r="Y67" s="16"/>
      <c r="Z67" s="17"/>
      <c r="AA67" s="16"/>
      <c r="AB67" s="16"/>
    </row>
    <row r="68" spans="1:58" ht="14.25" customHeight="1">
      <c r="A68" s="312" t="s">
        <v>832</v>
      </c>
      <c r="B68" s="232"/>
      <c r="C68" s="244" t="s">
        <v>570</v>
      </c>
      <c r="D68" s="269" t="s">
        <v>55</v>
      </c>
      <c r="E68" s="245">
        <v>1</v>
      </c>
      <c r="F68" s="261">
        <v>1</v>
      </c>
      <c r="G68" s="231" t="s">
        <v>471</v>
      </c>
      <c r="H68" s="323"/>
      <c r="I68" s="578"/>
      <c r="J68" s="602"/>
      <c r="K68" s="579"/>
      <c r="L68" s="228"/>
      <c r="M68" s="231"/>
      <c r="N68" s="16"/>
      <c r="O68" s="16"/>
      <c r="P68" s="16"/>
      <c r="Q68" s="16"/>
      <c r="R68" s="16"/>
      <c r="S68" s="16"/>
      <c r="T68" s="16"/>
      <c r="U68" s="16"/>
      <c r="V68" s="16"/>
      <c r="W68" s="16"/>
      <c r="X68" s="16"/>
      <c r="Y68" s="16"/>
      <c r="Z68" s="17"/>
      <c r="AA68" s="16"/>
      <c r="AB68" s="16"/>
    </row>
    <row r="69" spans="1:58" ht="15.75" customHeight="1">
      <c r="A69" s="312" t="s">
        <v>833</v>
      </c>
      <c r="B69" s="232">
        <v>4</v>
      </c>
      <c r="C69" s="269" t="s">
        <v>830</v>
      </c>
      <c r="D69" s="269" t="s">
        <v>55</v>
      </c>
      <c r="E69" s="245">
        <v>7</v>
      </c>
      <c r="F69" s="261">
        <v>10.5</v>
      </c>
      <c r="G69" s="231" t="s">
        <v>419</v>
      </c>
      <c r="H69" s="323" t="s">
        <v>831</v>
      </c>
      <c r="I69" s="578"/>
      <c r="J69" s="602"/>
      <c r="K69" s="579"/>
      <c r="L69" s="228"/>
      <c r="M69" s="231"/>
      <c r="N69" s="16"/>
      <c r="O69" s="16"/>
      <c r="P69" s="16"/>
      <c r="Q69" s="16"/>
      <c r="R69" s="16"/>
      <c r="S69" s="16"/>
      <c r="T69" s="16"/>
      <c r="U69" s="16"/>
      <c r="V69" s="16"/>
      <c r="W69" s="16"/>
      <c r="X69" s="16"/>
      <c r="Y69" s="16"/>
      <c r="Z69" s="16"/>
      <c r="AA69" s="16"/>
      <c r="AB69" s="16"/>
    </row>
    <row r="70" spans="1:58" ht="15.75" customHeight="1">
      <c r="A70" s="312" t="s">
        <v>833</v>
      </c>
      <c r="B70" s="232">
        <v>4</v>
      </c>
      <c r="C70" s="269" t="s">
        <v>824</v>
      </c>
      <c r="D70" s="269" t="s">
        <v>145</v>
      </c>
      <c r="E70" s="245">
        <v>1</v>
      </c>
      <c r="F70" s="261">
        <v>1</v>
      </c>
      <c r="G70" s="231" t="s">
        <v>471</v>
      </c>
      <c r="H70" s="323" t="s">
        <v>825</v>
      </c>
      <c r="I70" s="578"/>
      <c r="J70" s="602"/>
      <c r="K70" s="579"/>
      <c r="L70" s="228"/>
      <c r="M70" s="231"/>
      <c r="N70" s="16"/>
      <c r="O70" s="16"/>
      <c r="P70" s="16"/>
      <c r="Q70" s="16"/>
      <c r="R70" s="16"/>
      <c r="S70" s="16"/>
      <c r="T70" s="16"/>
      <c r="U70" s="16"/>
      <c r="V70" s="16"/>
      <c r="W70" s="16"/>
      <c r="X70" s="16"/>
      <c r="Y70" s="16"/>
      <c r="Z70" s="16"/>
      <c r="AA70" s="16"/>
      <c r="AB70" s="16"/>
    </row>
    <row r="71" spans="1:58" ht="15.75" customHeight="1">
      <c r="A71" s="312" t="s">
        <v>833</v>
      </c>
      <c r="B71" s="232"/>
      <c r="C71" s="244" t="s">
        <v>570</v>
      </c>
      <c r="D71" s="269" t="s">
        <v>55</v>
      </c>
      <c r="E71" s="245">
        <v>1</v>
      </c>
      <c r="F71" s="261">
        <v>1</v>
      </c>
      <c r="G71" s="231" t="s">
        <v>471</v>
      </c>
      <c r="H71" s="323"/>
      <c r="I71" s="578"/>
      <c r="J71" s="602"/>
      <c r="K71" s="579"/>
      <c r="L71" s="228"/>
      <c r="M71" s="231"/>
      <c r="N71" s="16"/>
      <c r="O71" s="16"/>
      <c r="P71" s="16"/>
      <c r="Q71" s="16"/>
      <c r="R71" s="16"/>
      <c r="S71" s="16"/>
      <c r="T71" s="16"/>
      <c r="U71" s="16"/>
      <c r="V71" s="16"/>
      <c r="W71" s="16"/>
      <c r="X71" s="16"/>
      <c r="Y71" s="16"/>
      <c r="Z71" s="16"/>
      <c r="AA71" s="16"/>
      <c r="AB71" s="16"/>
    </row>
    <row r="72" spans="1:58" ht="15.75" customHeight="1">
      <c r="A72" s="312" t="s">
        <v>834</v>
      </c>
      <c r="B72" s="232">
        <v>2</v>
      </c>
      <c r="C72" s="269" t="s">
        <v>830</v>
      </c>
      <c r="D72" s="269" t="s">
        <v>55</v>
      </c>
      <c r="E72" s="245">
        <v>7</v>
      </c>
      <c r="F72" s="261">
        <v>10.5</v>
      </c>
      <c r="G72" s="231" t="s">
        <v>419</v>
      </c>
      <c r="H72" s="323" t="s">
        <v>831</v>
      </c>
      <c r="I72" s="578"/>
      <c r="J72" s="602"/>
      <c r="K72" s="579"/>
      <c r="L72" s="228"/>
      <c r="M72" s="231"/>
      <c r="N72" s="16"/>
      <c r="O72" s="16"/>
      <c r="P72" s="16"/>
      <c r="Q72" s="16"/>
      <c r="R72" s="16"/>
      <c r="S72" s="16"/>
      <c r="T72" s="16"/>
      <c r="U72" s="16"/>
      <c r="V72" s="16"/>
      <c r="W72" s="16"/>
      <c r="X72" s="16"/>
      <c r="Y72" s="16"/>
      <c r="Z72" s="16"/>
      <c r="AA72" s="16"/>
      <c r="AB72" s="16"/>
    </row>
    <row r="73" spans="1:58" ht="15.75" customHeight="1">
      <c r="A73" s="312" t="s">
        <v>834</v>
      </c>
      <c r="B73" s="232">
        <v>2</v>
      </c>
      <c r="C73" s="269" t="s">
        <v>824</v>
      </c>
      <c r="D73" s="269" t="s">
        <v>145</v>
      </c>
      <c r="E73" s="245">
        <v>1</v>
      </c>
      <c r="F73" s="261">
        <v>1</v>
      </c>
      <c r="G73" s="231" t="s">
        <v>471</v>
      </c>
      <c r="H73" s="323" t="s">
        <v>825</v>
      </c>
      <c r="I73" s="578"/>
      <c r="J73" s="602"/>
      <c r="K73" s="579"/>
      <c r="L73" s="228"/>
      <c r="M73" s="231"/>
      <c r="N73" s="16"/>
      <c r="O73" s="16"/>
      <c r="P73" s="16"/>
      <c r="Q73" s="16"/>
      <c r="R73" s="16"/>
      <c r="S73" s="16"/>
      <c r="T73" s="16"/>
      <c r="U73" s="16"/>
      <c r="V73" s="16"/>
      <c r="W73" s="16"/>
      <c r="X73" s="16"/>
      <c r="Y73" s="16"/>
      <c r="Z73" s="16"/>
      <c r="AA73" s="16"/>
      <c r="AB73" s="16"/>
      <c r="AC73" s="16"/>
      <c r="AD73" s="16"/>
    </row>
    <row r="74" spans="1:58" ht="15.75" customHeight="1">
      <c r="A74" s="312" t="s">
        <v>834</v>
      </c>
      <c r="B74" s="232"/>
      <c r="C74" s="244" t="s">
        <v>570</v>
      </c>
      <c r="D74" s="269" t="s">
        <v>55</v>
      </c>
      <c r="E74" s="245">
        <v>1</v>
      </c>
      <c r="F74" s="261">
        <v>1</v>
      </c>
      <c r="G74" s="231" t="s">
        <v>471</v>
      </c>
      <c r="H74" s="323"/>
      <c r="I74" s="578"/>
      <c r="J74" s="602"/>
      <c r="K74" s="579"/>
      <c r="L74" s="228"/>
      <c r="M74" s="231"/>
      <c r="N74" s="16"/>
      <c r="O74" s="16"/>
      <c r="P74" s="16"/>
      <c r="Q74" s="16"/>
      <c r="R74" s="16"/>
      <c r="S74" s="16"/>
      <c r="T74" s="16"/>
      <c r="U74" s="16"/>
      <c r="V74" s="16"/>
      <c r="W74" s="16"/>
      <c r="X74" s="16"/>
      <c r="Y74" s="16"/>
      <c r="Z74" s="16"/>
      <c r="AA74" s="16"/>
      <c r="AB74" s="16"/>
      <c r="AC74" s="16"/>
      <c r="AD74" s="16"/>
    </row>
    <row r="75" spans="1:58" ht="15.75" customHeight="1" thickBot="1">
      <c r="A75" s="312" t="s">
        <v>835</v>
      </c>
      <c r="B75" s="232">
        <v>36</v>
      </c>
      <c r="C75" s="269" t="s">
        <v>824</v>
      </c>
      <c r="D75" s="269" t="s">
        <v>145</v>
      </c>
      <c r="E75" s="245">
        <v>0</v>
      </c>
      <c r="F75" s="261">
        <v>4</v>
      </c>
      <c r="G75" s="231" t="s">
        <v>419</v>
      </c>
      <c r="H75" s="323" t="s">
        <v>836</v>
      </c>
      <c r="I75" s="580"/>
      <c r="J75" s="633"/>
      <c r="K75" s="581"/>
      <c r="L75" s="228"/>
      <c r="M75" s="231"/>
      <c r="N75" s="16"/>
      <c r="O75" s="16"/>
      <c r="P75" s="16"/>
      <c r="Q75" s="16"/>
      <c r="W75" s="16"/>
      <c r="X75" s="16"/>
      <c r="Y75" s="16"/>
      <c r="Z75" s="16"/>
      <c r="AA75" s="16"/>
      <c r="AB75" s="16"/>
      <c r="AC75" s="16"/>
      <c r="AD75" s="16"/>
    </row>
    <row r="76" spans="1:58" ht="15.75" customHeight="1" thickTop="1">
      <c r="A76" s="101"/>
      <c r="B76" s="51"/>
      <c r="C76" s="104"/>
      <c r="D76" s="104"/>
      <c r="E76" s="105"/>
      <c r="F76" s="106"/>
      <c r="G76" s="16"/>
      <c r="H76" s="102"/>
      <c r="I76" s="16"/>
      <c r="L76" s="228"/>
      <c r="M76" s="231"/>
      <c r="N76" s="16"/>
      <c r="O76" s="16"/>
      <c r="P76" s="16"/>
      <c r="Q76" s="16"/>
      <c r="W76" s="16"/>
      <c r="X76" s="16"/>
      <c r="Y76" s="16"/>
      <c r="Z76" s="16"/>
      <c r="AA76" s="16"/>
      <c r="AB76" s="16"/>
      <c r="AC76" s="16"/>
      <c r="AD76" s="16"/>
    </row>
    <row r="77" spans="1:58" ht="15.75" customHeight="1" thickBot="1">
      <c r="A77" s="186" t="s">
        <v>475</v>
      </c>
      <c r="B77" s="231"/>
      <c r="C77" s="231"/>
      <c r="D77" s="231"/>
      <c r="E77" s="231"/>
      <c r="F77" s="231"/>
      <c r="G77" s="231"/>
      <c r="H77" s="231"/>
      <c r="I77" s="231"/>
      <c r="J77" s="248"/>
      <c r="L77" s="228"/>
      <c r="M77" s="231"/>
      <c r="N77" s="16"/>
      <c r="O77" s="16"/>
      <c r="P77" s="16"/>
      <c r="Q77" s="16"/>
      <c r="W77" s="16"/>
      <c r="X77" s="16"/>
      <c r="Y77" s="16"/>
      <c r="Z77" s="16"/>
      <c r="AA77" s="16"/>
      <c r="AB77" s="16"/>
      <c r="AC77" s="16"/>
      <c r="AD77" s="16"/>
    </row>
    <row r="78" spans="1:58" ht="15.75" customHeight="1" thickTop="1" thickBot="1">
      <c r="A78" s="230" t="s">
        <v>476</v>
      </c>
      <c r="B78" s="230" t="s">
        <v>477</v>
      </c>
      <c r="C78" s="230" t="s">
        <v>478</v>
      </c>
      <c r="D78" s="230" t="s">
        <v>479</v>
      </c>
      <c r="E78" s="230" t="s">
        <v>480</v>
      </c>
      <c r="F78" s="230" t="s">
        <v>481</v>
      </c>
      <c r="G78" s="230" t="s">
        <v>482</v>
      </c>
      <c r="H78" s="230" t="s">
        <v>453</v>
      </c>
      <c r="I78" s="230" t="s">
        <v>483</v>
      </c>
      <c r="J78" s="278" t="s">
        <v>455</v>
      </c>
      <c r="K78" s="634" t="s">
        <v>456</v>
      </c>
      <c r="L78" s="635"/>
      <c r="M78" s="636"/>
      <c r="N78" s="15"/>
      <c r="O78" s="16"/>
      <c r="P78" s="16"/>
      <c r="Q78" s="16"/>
      <c r="W78" s="16"/>
      <c r="X78" s="16"/>
      <c r="Y78" s="16"/>
      <c r="Z78" s="16"/>
      <c r="AA78" s="16"/>
      <c r="AB78" s="16"/>
    </row>
    <row r="79" spans="1:58" ht="15.75" customHeight="1" thickTop="1">
      <c r="A79" s="319" t="s">
        <v>837</v>
      </c>
      <c r="B79" s="319" t="s">
        <v>278</v>
      </c>
      <c r="C79" s="261">
        <v>28</v>
      </c>
      <c r="D79" s="261">
        <v>2</v>
      </c>
      <c r="E79" s="261">
        <v>8</v>
      </c>
      <c r="F79" s="261">
        <f>Table_4168236[[#This Row],['# Weeks]]*Table_4168236[[#This Row],[Total hours/week]]</f>
        <v>224</v>
      </c>
      <c r="G79" s="384" t="s">
        <v>824</v>
      </c>
      <c r="H79" s="319" t="s">
        <v>57</v>
      </c>
      <c r="I79" s="339">
        <f>Constants!$B$6</f>
        <v>50</v>
      </c>
      <c r="J79" s="231" t="s">
        <v>838</v>
      </c>
      <c r="K79" s="634"/>
      <c r="L79" s="635"/>
      <c r="M79" s="636"/>
      <c r="N79" s="15"/>
      <c r="O79" s="16"/>
      <c r="P79" s="16"/>
      <c r="Q79" s="16"/>
      <c r="W79" s="16"/>
      <c r="X79" s="16"/>
      <c r="Y79" s="16"/>
      <c r="Z79" s="16"/>
      <c r="AA79" s="16"/>
      <c r="AB79" s="16"/>
    </row>
    <row r="80" spans="1:58" ht="15.75" customHeight="1">
      <c r="A80" s="231" t="s">
        <v>837</v>
      </c>
      <c r="B80" s="319" t="s">
        <v>278</v>
      </c>
      <c r="C80" s="261">
        <v>14</v>
      </c>
      <c r="D80" s="261">
        <v>1</v>
      </c>
      <c r="E80" s="261">
        <v>4</v>
      </c>
      <c r="F80" s="261">
        <f>Table_4168236[[#This Row],['# Weeks]]*Table_4168236[[#This Row],[Total hours/week]]</f>
        <v>56</v>
      </c>
      <c r="G80" s="384" t="s">
        <v>824</v>
      </c>
      <c r="H80" s="319" t="s">
        <v>57</v>
      </c>
      <c r="I80" s="339">
        <f>Constants!$B$6</f>
        <v>50</v>
      </c>
      <c r="J80" s="231" t="s">
        <v>839</v>
      </c>
      <c r="K80" s="638"/>
      <c r="L80" s="639"/>
      <c r="M80" s="640"/>
      <c r="N80" s="15"/>
      <c r="O80" s="16"/>
      <c r="P80" s="16"/>
      <c r="Q80" s="16"/>
      <c r="W80" s="16"/>
      <c r="X80" s="16"/>
      <c r="Y80" s="16"/>
      <c r="Z80" s="16"/>
      <c r="AA80" s="16"/>
      <c r="AB80" s="16"/>
    </row>
    <row r="81" spans="1:28" ht="15.75" customHeight="1">
      <c r="A81" s="319" t="s">
        <v>840</v>
      </c>
      <c r="B81" s="319" t="s">
        <v>282</v>
      </c>
      <c r="C81" s="261">
        <v>14</v>
      </c>
      <c r="D81" s="261">
        <v>1</v>
      </c>
      <c r="E81" s="261">
        <v>8</v>
      </c>
      <c r="F81" s="261">
        <f>Table_4168236[[#This Row],['# Weeks]]*Table_4168236[[#This Row],[Total hours/week]]</f>
        <v>112</v>
      </c>
      <c r="G81" s="319" t="s">
        <v>824</v>
      </c>
      <c r="H81" s="319" t="s">
        <v>57</v>
      </c>
      <c r="I81" s="339">
        <f>Constants!$B$6</f>
        <v>50</v>
      </c>
      <c r="J81" s="231" t="s">
        <v>841</v>
      </c>
      <c r="K81" s="638"/>
      <c r="L81" s="639"/>
      <c r="M81" s="640"/>
      <c r="N81" s="15"/>
      <c r="O81" s="16"/>
      <c r="P81" s="16"/>
      <c r="Q81" s="16"/>
      <c r="W81" s="16"/>
      <c r="X81" s="16"/>
      <c r="Y81" s="16"/>
      <c r="Z81" s="16"/>
      <c r="AA81" s="16"/>
      <c r="AB81" s="16"/>
    </row>
    <row r="82" spans="1:28" ht="15.75" customHeight="1">
      <c r="A82" s="319" t="s">
        <v>842</v>
      </c>
      <c r="B82" s="319" t="s">
        <v>282</v>
      </c>
      <c r="C82" s="261">
        <v>42</v>
      </c>
      <c r="D82" s="261">
        <v>1</v>
      </c>
      <c r="E82" s="261">
        <v>4</v>
      </c>
      <c r="F82" s="261">
        <f>Table_4168236[[#This Row],['# Weeks]]*Table_4168236[[#This Row],[Total hours/week]]</f>
        <v>168</v>
      </c>
      <c r="G82" s="319" t="s">
        <v>824</v>
      </c>
      <c r="H82" s="319" t="s">
        <v>57</v>
      </c>
      <c r="I82" s="339" t="s">
        <v>328</v>
      </c>
      <c r="J82" s="231" t="s">
        <v>836</v>
      </c>
      <c r="K82" s="638"/>
      <c r="L82" s="639"/>
      <c r="M82" s="640"/>
      <c r="N82" s="15"/>
      <c r="O82" s="16"/>
      <c r="P82" s="16"/>
      <c r="Q82" s="16"/>
      <c r="W82" s="16"/>
      <c r="X82" s="16"/>
      <c r="Y82" s="16"/>
      <c r="Z82" s="16"/>
      <c r="AA82" s="16"/>
      <c r="AB82" s="16"/>
    </row>
    <row r="83" spans="1:28" ht="15.75" customHeight="1">
      <c r="A83" s="319" t="s">
        <v>843</v>
      </c>
      <c r="B83" s="319" t="s">
        <v>278</v>
      </c>
      <c r="C83" s="261">
        <v>42</v>
      </c>
      <c r="D83" s="261">
        <v>7</v>
      </c>
      <c r="E83" s="261">
        <v>10.5</v>
      </c>
      <c r="F83" s="261">
        <f>Table_4168236[[#This Row],['# Weeks]]*Table_4168236[[#This Row],[Total hours/week]]</f>
        <v>441</v>
      </c>
      <c r="G83" s="319" t="s">
        <v>821</v>
      </c>
      <c r="H83" s="319" t="s">
        <v>55</v>
      </c>
      <c r="I83" s="339" t="s">
        <v>328</v>
      </c>
      <c r="J83" s="231" t="s">
        <v>822</v>
      </c>
      <c r="K83" s="638"/>
      <c r="L83" s="639"/>
      <c r="M83" s="640"/>
      <c r="N83" s="15"/>
      <c r="O83" s="16"/>
      <c r="P83" s="16"/>
      <c r="Q83" s="16"/>
      <c r="W83" s="16"/>
      <c r="X83" s="16"/>
      <c r="Y83" s="16"/>
      <c r="Z83" s="16"/>
      <c r="AA83" s="16"/>
      <c r="AB83" s="16"/>
    </row>
    <row r="84" spans="1:28" ht="15.75" customHeight="1">
      <c r="A84" s="231" t="s">
        <v>844</v>
      </c>
      <c r="B84" s="319" t="s">
        <v>278</v>
      </c>
      <c r="C84" s="261">
        <v>42</v>
      </c>
      <c r="D84" s="261">
        <v>7</v>
      </c>
      <c r="E84" s="261">
        <v>10.5</v>
      </c>
      <c r="F84" s="261">
        <f>Table_4168236[[#This Row],['# Weeks]]*Table_4168236[[#This Row],[Total hours/week]]</f>
        <v>441</v>
      </c>
      <c r="G84" s="319" t="s">
        <v>821</v>
      </c>
      <c r="H84" s="319" t="s">
        <v>55</v>
      </c>
      <c r="I84" s="339" t="s">
        <v>328</v>
      </c>
      <c r="J84" s="231" t="s">
        <v>822</v>
      </c>
      <c r="K84" s="638"/>
      <c r="L84" s="639"/>
      <c r="M84" s="640"/>
      <c r="N84" s="15"/>
      <c r="O84" s="16"/>
      <c r="P84" s="16"/>
      <c r="Q84" s="16"/>
      <c r="W84" s="16"/>
      <c r="X84" s="16"/>
      <c r="Y84" s="16"/>
      <c r="Z84" s="16"/>
      <c r="AA84" s="16"/>
      <c r="AB84" s="16"/>
    </row>
    <row r="85" spans="1:28" ht="15.75" customHeight="1">
      <c r="A85" s="319" t="s">
        <v>845</v>
      </c>
      <c r="B85" s="319" t="s">
        <v>278</v>
      </c>
      <c r="C85" s="261">
        <v>42</v>
      </c>
      <c r="D85" s="261">
        <v>7</v>
      </c>
      <c r="E85" s="261">
        <v>10.5</v>
      </c>
      <c r="F85" s="261">
        <f>Table_4168236[[#This Row],['# Weeks]]*Table_4168236[[#This Row],[Total hours/week]]</f>
        <v>441</v>
      </c>
      <c r="G85" s="319" t="s">
        <v>821</v>
      </c>
      <c r="H85" s="319" t="s">
        <v>55</v>
      </c>
      <c r="I85" s="339" t="s">
        <v>328</v>
      </c>
      <c r="J85" s="231" t="s">
        <v>822</v>
      </c>
      <c r="K85" s="638"/>
      <c r="L85" s="639"/>
      <c r="M85" s="640"/>
      <c r="N85" s="15"/>
      <c r="O85" s="16"/>
      <c r="P85" s="16"/>
      <c r="Q85" s="16"/>
      <c r="W85" s="16"/>
      <c r="X85" s="16"/>
      <c r="Y85" s="16"/>
      <c r="Z85" s="16"/>
      <c r="AA85" s="16"/>
      <c r="AB85" s="16"/>
    </row>
    <row r="86" spans="1:28" ht="15.75" customHeight="1">
      <c r="A86" s="319" t="s">
        <v>846</v>
      </c>
      <c r="B86" s="319" t="s">
        <v>278</v>
      </c>
      <c r="C86" s="261">
        <v>42</v>
      </c>
      <c r="D86" s="261">
        <v>7</v>
      </c>
      <c r="E86" s="261">
        <v>10.5</v>
      </c>
      <c r="F86" s="261">
        <f>Table_4168236[[#This Row],['# Weeks]]*Table_4168236[[#This Row],[Total hours/week]]</f>
        <v>441</v>
      </c>
      <c r="G86" s="319" t="s">
        <v>821</v>
      </c>
      <c r="H86" s="319" t="s">
        <v>55</v>
      </c>
      <c r="I86" s="339" t="s">
        <v>328</v>
      </c>
      <c r="J86" s="231" t="s">
        <v>822</v>
      </c>
      <c r="K86" s="638"/>
      <c r="L86" s="639"/>
      <c r="M86" s="640"/>
      <c r="N86" s="15"/>
      <c r="O86" s="16"/>
      <c r="P86" s="16"/>
      <c r="Q86" s="16"/>
      <c r="W86" s="16"/>
      <c r="X86" s="16"/>
      <c r="Y86" s="16"/>
      <c r="Z86" s="16"/>
      <c r="AA86" s="16"/>
      <c r="AB86" s="16"/>
    </row>
    <row r="87" spans="1:28" ht="15.75" customHeight="1">
      <c r="A87" s="319" t="s">
        <v>829</v>
      </c>
      <c r="B87" s="319" t="s">
        <v>278</v>
      </c>
      <c r="C87" s="261">
        <v>42</v>
      </c>
      <c r="D87" s="261">
        <v>7</v>
      </c>
      <c r="E87" s="261">
        <v>10.5</v>
      </c>
      <c r="F87" s="261">
        <f>Table_4168236[[#This Row],['# Weeks]]*Table_4168236[[#This Row],[Total hours/week]]</f>
        <v>441</v>
      </c>
      <c r="G87" s="319" t="s">
        <v>821</v>
      </c>
      <c r="H87" s="319" t="s">
        <v>55</v>
      </c>
      <c r="I87" s="339" t="s">
        <v>328</v>
      </c>
      <c r="J87" s="231" t="s">
        <v>822</v>
      </c>
      <c r="K87" s="638"/>
      <c r="L87" s="639"/>
      <c r="M87" s="640"/>
      <c r="N87" s="15"/>
      <c r="O87" s="16"/>
      <c r="P87" s="16"/>
      <c r="Q87" s="16"/>
      <c r="W87" s="16"/>
      <c r="X87" s="16"/>
      <c r="Y87" s="16"/>
      <c r="Z87" s="16"/>
      <c r="AA87" s="16"/>
      <c r="AB87" s="16"/>
    </row>
    <row r="88" spans="1:28" ht="15.75" customHeight="1">
      <c r="A88" s="319" t="s">
        <v>832</v>
      </c>
      <c r="B88" s="319" t="s">
        <v>278</v>
      </c>
      <c r="C88" s="261">
        <v>42</v>
      </c>
      <c r="D88" s="261">
        <v>7</v>
      </c>
      <c r="E88" s="261">
        <v>10.5</v>
      </c>
      <c r="F88" s="261">
        <f>Table_4168236[[#This Row],['# Weeks]]*Table_4168236[[#This Row],[Total hours/week]]</f>
        <v>441</v>
      </c>
      <c r="G88" s="319" t="s">
        <v>821</v>
      </c>
      <c r="H88" s="319" t="s">
        <v>55</v>
      </c>
      <c r="I88" s="339" t="s">
        <v>328</v>
      </c>
      <c r="J88" s="231" t="s">
        <v>822</v>
      </c>
      <c r="K88" s="638"/>
      <c r="L88" s="639"/>
      <c r="M88" s="640"/>
      <c r="N88" s="15"/>
      <c r="O88" s="16"/>
      <c r="P88" s="16"/>
      <c r="Q88" s="16"/>
      <c r="W88" s="16"/>
      <c r="X88" s="16"/>
      <c r="Y88" s="16"/>
      <c r="Z88" s="16"/>
      <c r="AA88" s="16"/>
      <c r="AB88" s="16"/>
    </row>
    <row r="89" spans="1:28" ht="15.75" customHeight="1">
      <c r="A89" s="319" t="s">
        <v>833</v>
      </c>
      <c r="B89" s="319" t="s">
        <v>278</v>
      </c>
      <c r="C89" s="261">
        <v>42</v>
      </c>
      <c r="D89" s="261">
        <v>7</v>
      </c>
      <c r="E89" s="261">
        <v>10.5</v>
      </c>
      <c r="F89" s="261">
        <f>Table_4168236[[#This Row],['# Weeks]]*Table_4168236[[#This Row],[Total hours/week]]</f>
        <v>441</v>
      </c>
      <c r="G89" s="319" t="s">
        <v>821</v>
      </c>
      <c r="H89" s="319" t="s">
        <v>55</v>
      </c>
      <c r="I89" s="339" t="s">
        <v>328</v>
      </c>
      <c r="J89" s="231" t="s">
        <v>822</v>
      </c>
      <c r="K89" s="638"/>
      <c r="L89" s="639"/>
      <c r="M89" s="640"/>
      <c r="N89" s="15"/>
      <c r="O89" s="16"/>
      <c r="P89" s="16"/>
      <c r="Q89" s="16"/>
      <c r="W89" s="16"/>
      <c r="X89" s="16"/>
      <c r="Y89" s="16"/>
      <c r="Z89" s="16"/>
      <c r="AA89" s="16"/>
      <c r="AB89" s="16"/>
    </row>
    <row r="90" spans="1:28" ht="15.75" customHeight="1">
      <c r="A90" s="319" t="s">
        <v>834</v>
      </c>
      <c r="B90" s="319" t="s">
        <v>278</v>
      </c>
      <c r="C90" s="261">
        <v>42</v>
      </c>
      <c r="D90" s="261">
        <v>7</v>
      </c>
      <c r="E90" s="261">
        <v>10.5</v>
      </c>
      <c r="F90" s="261">
        <f>Table_4168236[[#This Row],['# Weeks]]*Table_4168236[[#This Row],[Total hours/week]]</f>
        <v>441</v>
      </c>
      <c r="G90" s="319" t="s">
        <v>821</v>
      </c>
      <c r="H90" s="319" t="s">
        <v>55</v>
      </c>
      <c r="I90" s="339" t="s">
        <v>328</v>
      </c>
      <c r="J90" s="231" t="s">
        <v>822</v>
      </c>
      <c r="K90" s="638"/>
      <c r="L90" s="639"/>
      <c r="M90" s="640"/>
      <c r="N90" s="15"/>
      <c r="O90" s="16"/>
      <c r="P90" s="16"/>
      <c r="Q90" s="16"/>
      <c r="W90" s="16"/>
      <c r="X90" s="16"/>
      <c r="Y90" s="16"/>
      <c r="Z90" s="16"/>
      <c r="AA90" s="16"/>
      <c r="AB90" s="16"/>
    </row>
    <row r="91" spans="1:28" ht="15.75" customHeight="1">
      <c r="A91" s="319" t="s">
        <v>818</v>
      </c>
      <c r="B91" s="319" t="s">
        <v>287</v>
      </c>
      <c r="C91" s="261">
        <v>38</v>
      </c>
      <c r="D91" s="261">
        <v>2</v>
      </c>
      <c r="E91" s="261">
        <v>56</v>
      </c>
      <c r="F91" s="261">
        <f>Table_4168236[[#This Row],['# Weeks]]*Table_4168236[[#This Row],[Total hours/week]]</f>
        <v>2128</v>
      </c>
      <c r="G91" s="319" t="s">
        <v>847</v>
      </c>
      <c r="H91" s="319" t="s">
        <v>55</v>
      </c>
      <c r="I91" s="339" t="s">
        <v>328</v>
      </c>
      <c r="J91" s="231" t="s">
        <v>848</v>
      </c>
      <c r="K91" s="638"/>
      <c r="L91" s="639"/>
      <c r="M91" s="640"/>
      <c r="N91" s="15"/>
      <c r="O91" s="16"/>
      <c r="P91" s="16"/>
      <c r="Q91" s="16"/>
      <c r="W91" s="16"/>
      <c r="X91" s="16"/>
      <c r="Y91" s="16"/>
      <c r="Z91" s="16"/>
      <c r="AA91" s="16"/>
      <c r="AB91" s="16"/>
    </row>
    <row r="92" spans="1:28" ht="15" customHeight="1">
      <c r="A92" s="231" t="s">
        <v>819</v>
      </c>
      <c r="B92" s="319" t="s">
        <v>287</v>
      </c>
      <c r="C92" s="232">
        <v>42</v>
      </c>
      <c r="D92" s="232">
        <v>1</v>
      </c>
      <c r="E92" s="261">
        <v>25</v>
      </c>
      <c r="F92" s="261">
        <f>Table_4168236[[#This Row],['# Weeks]]*Table_4168236[[#This Row],[Total hours/week]]</f>
        <v>1050</v>
      </c>
      <c r="G92" s="231" t="s">
        <v>849</v>
      </c>
      <c r="H92" s="319" t="s">
        <v>55</v>
      </c>
      <c r="I92" s="339" t="s">
        <v>328</v>
      </c>
      <c r="J92" s="231" t="s">
        <v>850</v>
      </c>
      <c r="K92" s="638"/>
      <c r="L92" s="639"/>
      <c r="M92" s="640"/>
      <c r="N92" s="16"/>
      <c r="O92" s="16"/>
      <c r="P92" s="16"/>
      <c r="Q92" s="16"/>
      <c r="W92" s="16"/>
      <c r="X92" s="16"/>
      <c r="Y92" s="16"/>
      <c r="Z92" s="16"/>
      <c r="AA92" s="16"/>
      <c r="AB92" s="16"/>
    </row>
    <row r="93" spans="1:28" ht="15.75" customHeight="1">
      <c r="A93" s="231" t="s">
        <v>851</v>
      </c>
      <c r="B93" s="319" t="s">
        <v>293</v>
      </c>
      <c r="C93" s="232"/>
      <c r="D93" s="232"/>
      <c r="E93" s="261"/>
      <c r="F93" s="261">
        <f>$E80*$C80</f>
        <v>56</v>
      </c>
      <c r="G93" s="231"/>
      <c r="H93" s="319"/>
      <c r="I93" s="339">
        <v>1592</v>
      </c>
      <c r="J93" s="231" t="s">
        <v>852</v>
      </c>
      <c r="K93" s="638"/>
      <c r="L93" s="639"/>
      <c r="M93" s="640"/>
      <c r="N93" s="16"/>
      <c r="O93" s="16"/>
      <c r="P93" s="16"/>
      <c r="Q93" s="16"/>
      <c r="W93" s="16"/>
      <c r="X93" s="16"/>
      <c r="Y93" s="16"/>
      <c r="Z93" s="16"/>
      <c r="AA93" s="16"/>
      <c r="AB93" s="16"/>
    </row>
    <row r="94" spans="1:28" ht="14.25" customHeight="1">
      <c r="A94" s="231" t="s">
        <v>853</v>
      </c>
      <c r="B94" s="319" t="s">
        <v>293</v>
      </c>
      <c r="C94" s="232"/>
      <c r="D94" s="232"/>
      <c r="E94" s="261"/>
      <c r="F94" s="261">
        <f>$E81*$C81</f>
        <v>112</v>
      </c>
      <c r="G94" s="231"/>
      <c r="H94" s="319"/>
      <c r="I94" s="339">
        <v>898</v>
      </c>
      <c r="J94" s="231" t="s">
        <v>854</v>
      </c>
      <c r="K94" s="638"/>
      <c r="L94" s="639"/>
      <c r="M94" s="640"/>
      <c r="N94" s="16"/>
      <c r="O94" s="16"/>
      <c r="P94" s="16"/>
      <c r="Q94" s="16"/>
      <c r="W94" s="16"/>
      <c r="X94" s="16"/>
      <c r="Y94" s="16"/>
      <c r="Z94" s="16"/>
      <c r="AA94" s="16"/>
      <c r="AB94" s="16"/>
    </row>
    <row r="95" spans="1:28" ht="15.75" customHeight="1" thickBot="1">
      <c r="A95" s="231" t="s">
        <v>290</v>
      </c>
      <c r="B95" s="319" t="s">
        <v>290</v>
      </c>
      <c r="C95" s="245">
        <v>42</v>
      </c>
      <c r="D95" s="232">
        <v>9</v>
      </c>
      <c r="E95" s="261">
        <v>9</v>
      </c>
      <c r="F95" s="261">
        <f>Table_4168236[[#This Row],['# Weeks]]*Table_4168236[[#This Row],[Total hours/week]]</f>
        <v>378</v>
      </c>
      <c r="G95" s="263" t="s">
        <v>855</v>
      </c>
      <c r="H95" s="263" t="s">
        <v>57</v>
      </c>
      <c r="I95" s="403" t="str">
        <f>IF(H95 = "PT-V","n/a",IF(H95 = "PT","n/a",IF(H95 = "RT","n/a",IF(OR(H95 = "Extern",H95 = "PT-ZZP"), "Please fill in", 0))))</f>
        <v>n/a</v>
      </c>
      <c r="J95" s="231"/>
      <c r="K95" s="641"/>
      <c r="L95" s="642"/>
      <c r="M95" s="643"/>
      <c r="N95" s="16"/>
      <c r="O95" s="16"/>
      <c r="P95" s="16"/>
      <c r="Q95" s="16"/>
      <c r="W95" s="16"/>
      <c r="X95" s="16"/>
      <c r="Y95" s="16"/>
      <c r="Z95" s="16"/>
      <c r="AA95" s="16"/>
      <c r="AB95" s="16"/>
    </row>
    <row r="96" spans="1:28" ht="15.75" customHeight="1" thickTop="1">
      <c r="A96" s="116"/>
      <c r="B96" s="117"/>
      <c r="C96" s="16"/>
      <c r="D96" s="16"/>
      <c r="E96" s="16"/>
      <c r="F96" s="16"/>
      <c r="G96" s="16"/>
      <c r="H96" s="117"/>
      <c r="I96" s="119"/>
      <c r="J96" s="16"/>
      <c r="K96" s="228"/>
      <c r="L96" s="248"/>
      <c r="M96" s="228"/>
      <c r="N96" s="16"/>
      <c r="O96" s="16"/>
      <c r="P96" s="16"/>
      <c r="Q96" s="16"/>
      <c r="W96" s="16"/>
      <c r="X96" s="16"/>
      <c r="Y96" s="16"/>
      <c r="Z96" s="16"/>
      <c r="AA96" s="16"/>
      <c r="AB96" s="16"/>
    </row>
    <row r="97" spans="1:30" ht="15.75" customHeight="1">
      <c r="A97" s="16"/>
      <c r="B97" s="16"/>
      <c r="C97" s="16"/>
      <c r="D97" s="16"/>
      <c r="E97" s="16"/>
      <c r="F97" s="16"/>
      <c r="G97" s="16"/>
      <c r="H97" s="16"/>
      <c r="I97" s="16"/>
      <c r="J97" s="16"/>
      <c r="K97" s="16"/>
      <c r="L97" s="16"/>
      <c r="M97" s="16"/>
      <c r="N97" s="16"/>
      <c r="O97" s="16"/>
      <c r="P97" s="16"/>
      <c r="Q97" s="16"/>
      <c r="W97" s="16"/>
      <c r="X97" s="16"/>
      <c r="Y97" s="16"/>
      <c r="Z97" s="16"/>
      <c r="AA97" s="16"/>
      <c r="AB97" s="16"/>
      <c r="AC97" s="16"/>
      <c r="AD97" s="16"/>
    </row>
    <row r="98" spans="1:30" ht="15.75" customHeight="1" thickBot="1">
      <c r="A98" s="186" t="s">
        <v>499</v>
      </c>
      <c r="B98" s="231"/>
      <c r="C98" s="231"/>
      <c r="D98" s="231"/>
      <c r="E98" s="231"/>
      <c r="F98" s="231"/>
      <c r="G98" s="231"/>
      <c r="H98" s="231"/>
      <c r="I98" s="231"/>
      <c r="J98" s="231"/>
      <c r="K98" s="123"/>
      <c r="L98" s="123"/>
      <c r="M98" s="16"/>
      <c r="N98" s="16"/>
      <c r="O98" s="16"/>
      <c r="P98" s="16"/>
      <c r="Q98" s="16"/>
      <c r="W98" s="16"/>
      <c r="X98" s="16"/>
      <c r="Y98" s="16"/>
      <c r="Z98" s="16"/>
      <c r="AA98" s="16"/>
      <c r="AB98" s="16"/>
      <c r="AC98" s="16"/>
      <c r="AD98" s="16"/>
    </row>
    <row r="99" spans="1:30" ht="15.75" customHeight="1" thickTop="1" thickBot="1">
      <c r="A99" s="230" t="s">
        <v>476</v>
      </c>
      <c r="B99" s="230" t="s">
        <v>500</v>
      </c>
      <c r="C99" s="230" t="s">
        <v>501</v>
      </c>
      <c r="D99" s="230" t="s">
        <v>502</v>
      </c>
      <c r="E99" s="230" t="s">
        <v>503</v>
      </c>
      <c r="F99" s="230" t="s">
        <v>504</v>
      </c>
      <c r="G99" s="230" t="s">
        <v>505</v>
      </c>
      <c r="H99" s="230" t="s">
        <v>506</v>
      </c>
      <c r="I99" s="230" t="s">
        <v>507</v>
      </c>
      <c r="J99" s="230" t="s">
        <v>508</v>
      </c>
      <c r="K99" s="561" t="s">
        <v>441</v>
      </c>
      <c r="L99" s="561"/>
      <c r="M99" s="561"/>
      <c r="N99" s="561"/>
      <c r="O99" s="570"/>
      <c r="P99" s="726" t="s">
        <v>434</v>
      </c>
      <c r="Q99" s="727"/>
      <c r="R99" s="16"/>
      <c r="S99" s="16"/>
      <c r="V99" s="16"/>
      <c r="W99" s="16"/>
      <c r="X99" s="16"/>
      <c r="Y99" s="16"/>
      <c r="Z99" s="16"/>
      <c r="AA99" s="16"/>
    </row>
    <row r="100" spans="1:30" ht="15.75" customHeight="1" thickTop="1">
      <c r="A100" s="319" t="s">
        <v>856</v>
      </c>
      <c r="B100" s="231" t="s">
        <v>269</v>
      </c>
      <c r="C100" s="232" t="s">
        <v>857</v>
      </c>
      <c r="D100" s="261">
        <v>3</v>
      </c>
      <c r="E100" s="245">
        <v>42</v>
      </c>
      <c r="F100" s="326">
        <f>'DRV Euros'!$D100*'DRV Euros'!$E100</f>
        <v>126</v>
      </c>
      <c r="G100" s="245"/>
      <c r="H100" s="332">
        <f>IF($B100= "","-",IF($B100= "External","Specify location tariff", INDEX(Constants!$3:$3,MATCH($B100,Constants!$2:$2,0))))</f>
        <v>0</v>
      </c>
      <c r="I100" s="333">
        <f t="shared" ref="I100:I116" si="2">IF($H100="-","-",IF($H100="Specify location tariff","-",$H100*$F100))</f>
        <v>0</v>
      </c>
      <c r="J100" s="247"/>
      <c r="K100" s="644" t="s">
        <v>858</v>
      </c>
      <c r="L100" s="645"/>
      <c r="M100" s="645"/>
      <c r="N100" s="645"/>
      <c r="O100" s="646"/>
      <c r="P100" s="564" t="s">
        <v>511</v>
      </c>
      <c r="Q100" s="565"/>
      <c r="R100" s="16"/>
      <c r="S100" s="16"/>
      <c r="V100" s="16"/>
      <c r="W100" s="16"/>
      <c r="X100" s="16"/>
      <c r="Y100" s="16"/>
      <c r="Z100" s="16"/>
      <c r="AA100" s="16"/>
    </row>
    <row r="101" spans="1:30" ht="15.75" customHeight="1">
      <c r="A101" s="231" t="s">
        <v>856</v>
      </c>
      <c r="B101" s="231" t="s">
        <v>269</v>
      </c>
      <c r="C101" s="232" t="s">
        <v>859</v>
      </c>
      <c r="D101" s="261">
        <v>3</v>
      </c>
      <c r="E101" s="245">
        <v>42</v>
      </c>
      <c r="F101" s="326">
        <f>'DRV Euros'!$D101*'DRV Euros'!$E101</f>
        <v>126</v>
      </c>
      <c r="G101" s="245"/>
      <c r="H101" s="332">
        <f>IF($B101= "","-",IF($B101= "External","Specify location tariff", INDEX(Constants!$3:$3,MATCH($B101,Constants!$2:$2,0))))</f>
        <v>0</v>
      </c>
      <c r="I101" s="333">
        <f t="shared" si="2"/>
        <v>0</v>
      </c>
      <c r="J101" s="247"/>
      <c r="K101" s="647"/>
      <c r="L101" s="648"/>
      <c r="M101" s="648"/>
      <c r="N101" s="648"/>
      <c r="O101" s="649"/>
      <c r="P101" s="566"/>
      <c r="Q101" s="567"/>
      <c r="R101" s="16"/>
      <c r="S101" s="16"/>
      <c r="V101" s="16"/>
      <c r="W101" s="16"/>
      <c r="X101" s="16"/>
      <c r="Y101" s="16"/>
      <c r="Z101" s="16"/>
      <c r="AA101" s="16"/>
    </row>
    <row r="102" spans="1:30" ht="15.75" customHeight="1">
      <c r="A102" s="231" t="s">
        <v>860</v>
      </c>
      <c r="B102" s="231" t="s">
        <v>269</v>
      </c>
      <c r="C102" s="232" t="s">
        <v>861</v>
      </c>
      <c r="D102" s="261">
        <v>2</v>
      </c>
      <c r="E102" s="245">
        <v>20</v>
      </c>
      <c r="F102" s="326">
        <f>'DRV Euros'!$D102*'DRV Euros'!$E102</f>
        <v>40</v>
      </c>
      <c r="G102" s="245"/>
      <c r="H102" s="332">
        <f>IF($B102= "","-",IF($B102= "External","Specify location tariff", INDEX(Constants!$3:$3,MATCH($B102,Constants!$2:$2,0))))</f>
        <v>0</v>
      </c>
      <c r="I102" s="333">
        <f t="shared" si="2"/>
        <v>0</v>
      </c>
      <c r="J102" s="247"/>
      <c r="K102" s="647"/>
      <c r="L102" s="648"/>
      <c r="M102" s="648"/>
      <c r="N102" s="648"/>
      <c r="O102" s="649"/>
      <c r="P102" s="566"/>
      <c r="Q102" s="567"/>
      <c r="R102" s="16"/>
      <c r="S102" s="16"/>
      <c r="V102" s="16"/>
      <c r="W102" s="16"/>
      <c r="X102" s="16"/>
      <c r="Y102" s="16"/>
      <c r="Z102" s="16"/>
      <c r="AA102" s="16"/>
    </row>
    <row r="103" spans="1:30" ht="15.75" customHeight="1">
      <c r="A103" s="231"/>
      <c r="B103" s="231"/>
      <c r="C103" s="232"/>
      <c r="D103" s="261"/>
      <c r="E103" s="245"/>
      <c r="F103" s="326">
        <f>'DRV Euros'!$D103*'DRV Euros'!$E103</f>
        <v>0</v>
      </c>
      <c r="G103" s="245"/>
      <c r="H103" s="332" t="str">
        <f>IF($B103= "","-",IF($B103= "External","Specify location tariff", INDEX(Constants!$3:$3,MATCH($B103,Constants!$2:$2,0))))</f>
        <v>-</v>
      </c>
      <c r="I103" s="333" t="str">
        <f t="shared" si="2"/>
        <v>-</v>
      </c>
      <c r="J103" s="247"/>
      <c r="K103" s="647"/>
      <c r="L103" s="648"/>
      <c r="M103" s="648"/>
      <c r="N103" s="648"/>
      <c r="O103" s="649"/>
      <c r="P103" s="566"/>
      <c r="Q103" s="567"/>
      <c r="R103" s="16"/>
      <c r="S103" s="16"/>
      <c r="V103" s="16"/>
      <c r="W103" s="16"/>
      <c r="X103" s="16"/>
      <c r="Y103" s="16"/>
      <c r="Z103" s="16"/>
      <c r="AA103" s="16"/>
    </row>
    <row r="104" spans="1:30" ht="15.75" customHeight="1">
      <c r="A104" s="231"/>
      <c r="B104" s="231"/>
      <c r="C104" s="232"/>
      <c r="D104" s="261"/>
      <c r="E104" s="245"/>
      <c r="F104" s="326">
        <f>'DRV Euros'!$D104*'DRV Euros'!$E104</f>
        <v>0</v>
      </c>
      <c r="G104" s="245"/>
      <c r="H104" s="332" t="str">
        <f>IF($B104= "","-",IF($B104= "External","Specify location tariff", INDEX(Constants!$3:$3,MATCH($B104,Constants!$2:$2,0))))</f>
        <v>-</v>
      </c>
      <c r="I104" s="333" t="str">
        <f t="shared" si="2"/>
        <v>-</v>
      </c>
      <c r="J104" s="247"/>
      <c r="K104" s="647"/>
      <c r="L104" s="648"/>
      <c r="M104" s="648"/>
      <c r="N104" s="648"/>
      <c r="O104" s="649"/>
      <c r="P104" s="566"/>
      <c r="Q104" s="567"/>
      <c r="R104" s="16"/>
      <c r="S104" s="16"/>
      <c r="V104" s="16"/>
      <c r="W104" s="16"/>
      <c r="X104" s="16"/>
      <c r="Y104" s="16"/>
      <c r="Z104" s="16"/>
      <c r="AA104" s="16"/>
    </row>
    <row r="105" spans="1:30" ht="15.75" customHeight="1">
      <c r="A105" s="231"/>
      <c r="B105" s="231"/>
      <c r="C105" s="232"/>
      <c r="D105" s="261"/>
      <c r="E105" s="245"/>
      <c r="F105" s="326">
        <f>'DRV Euros'!$D105*'DRV Euros'!$E105</f>
        <v>0</v>
      </c>
      <c r="G105" s="245"/>
      <c r="H105" s="332" t="str">
        <f>IF($B105= "","-",IF($B105= "External","Specify location tariff", INDEX(Constants!$3:$3,MATCH($B105,Constants!$2:$2,0))))</f>
        <v>-</v>
      </c>
      <c r="I105" s="333" t="str">
        <f t="shared" si="2"/>
        <v>-</v>
      </c>
      <c r="J105" s="247"/>
      <c r="K105" s="647"/>
      <c r="L105" s="648"/>
      <c r="M105" s="648"/>
      <c r="N105" s="648"/>
      <c r="O105" s="649"/>
      <c r="P105" s="566"/>
      <c r="Q105" s="567"/>
      <c r="R105" s="16"/>
      <c r="S105" s="16"/>
      <c r="V105" s="16"/>
      <c r="W105" s="16"/>
      <c r="X105" s="16"/>
      <c r="Y105" s="16"/>
      <c r="Z105" s="16"/>
      <c r="AA105" s="16"/>
    </row>
    <row r="106" spans="1:30" ht="15.75" customHeight="1">
      <c r="A106" s="231"/>
      <c r="B106" s="231"/>
      <c r="C106" s="232"/>
      <c r="D106" s="261"/>
      <c r="E106" s="245"/>
      <c r="F106" s="326">
        <f>'DRV Euros'!$D106*'DRV Euros'!$E106</f>
        <v>0</v>
      </c>
      <c r="G106" s="245"/>
      <c r="H106" s="332" t="str">
        <f>IF($B106= "","-",IF($B106= "External","Specify location tariff", INDEX(Constants!$3:$3,MATCH($B106,Constants!$2:$2,0))))</f>
        <v>-</v>
      </c>
      <c r="I106" s="333" t="str">
        <f t="shared" si="2"/>
        <v>-</v>
      </c>
      <c r="J106" s="247"/>
      <c r="K106" s="647"/>
      <c r="L106" s="648"/>
      <c r="M106" s="648"/>
      <c r="N106" s="648"/>
      <c r="O106" s="649"/>
      <c r="P106" s="566"/>
      <c r="Q106" s="567"/>
      <c r="R106" s="16"/>
      <c r="S106" s="16"/>
      <c r="V106" s="16"/>
      <c r="W106" s="16"/>
      <c r="X106" s="16"/>
      <c r="Y106" s="16"/>
      <c r="Z106" s="16"/>
      <c r="AA106" s="16"/>
    </row>
    <row r="107" spans="1:30" ht="15.75" customHeight="1">
      <c r="A107" s="231"/>
      <c r="B107" s="231"/>
      <c r="C107" s="232"/>
      <c r="D107" s="261"/>
      <c r="E107" s="245"/>
      <c r="F107" s="326">
        <f>'DRV Euros'!$D107*'DRV Euros'!$E107</f>
        <v>0</v>
      </c>
      <c r="G107" s="245"/>
      <c r="H107" s="332" t="str">
        <f>IF($B107= "","-",IF($B107= "External","Specify location tariff", INDEX(Constants!$3:$3,MATCH($B107,Constants!$2:$2,0))))</f>
        <v>-</v>
      </c>
      <c r="I107" s="333" t="str">
        <f t="shared" si="2"/>
        <v>-</v>
      </c>
      <c r="J107" s="247"/>
      <c r="K107" s="647"/>
      <c r="L107" s="648"/>
      <c r="M107" s="648"/>
      <c r="N107" s="648"/>
      <c r="O107" s="649"/>
      <c r="P107" s="566"/>
      <c r="Q107" s="567"/>
      <c r="R107" s="16"/>
      <c r="S107" s="16"/>
      <c r="V107" s="16"/>
      <c r="W107" s="16"/>
      <c r="X107" s="16"/>
      <c r="Y107" s="16"/>
      <c r="Z107" s="16"/>
      <c r="AA107" s="16"/>
    </row>
    <row r="108" spans="1:30" ht="15.75" customHeight="1">
      <c r="A108" s="231"/>
      <c r="B108" s="231"/>
      <c r="C108" s="232"/>
      <c r="D108" s="261"/>
      <c r="E108" s="245"/>
      <c r="F108" s="326">
        <f>'DRV Euros'!$D108*'DRV Euros'!$E108</f>
        <v>0</v>
      </c>
      <c r="G108" s="245"/>
      <c r="H108" s="332" t="str">
        <f>IF($B108= "","-",IF($B108= "External","Specify location tariff", INDEX(Constants!$3:$3,MATCH($B108,Constants!$2:$2,0))))</f>
        <v>-</v>
      </c>
      <c r="I108" s="333" t="str">
        <f t="shared" si="2"/>
        <v>-</v>
      </c>
      <c r="J108" s="247"/>
      <c r="K108" s="647"/>
      <c r="L108" s="648"/>
      <c r="M108" s="648"/>
      <c r="N108" s="648"/>
      <c r="O108" s="649"/>
      <c r="P108" s="566"/>
      <c r="Q108" s="567"/>
      <c r="R108" s="16"/>
      <c r="S108" s="16"/>
      <c r="V108" s="16"/>
      <c r="W108" s="16"/>
      <c r="X108" s="16"/>
      <c r="Y108" s="16"/>
      <c r="Z108" s="16"/>
      <c r="AA108" s="16"/>
    </row>
    <row r="109" spans="1:30" ht="15.75" customHeight="1">
      <c r="A109" s="231"/>
      <c r="B109" s="231"/>
      <c r="C109" s="232"/>
      <c r="D109" s="261"/>
      <c r="E109" s="245"/>
      <c r="F109" s="326">
        <f>'DRV Euros'!$D109*'DRV Euros'!$E109</f>
        <v>0</v>
      </c>
      <c r="G109" s="245"/>
      <c r="H109" s="332" t="str">
        <f>IF($B109= "","-",IF($B109= "External","Specify location tariff", INDEX(Constants!$3:$3,MATCH($B109,Constants!$2:$2,0))))</f>
        <v>-</v>
      </c>
      <c r="I109" s="333" t="str">
        <f t="shared" si="2"/>
        <v>-</v>
      </c>
      <c r="J109" s="247"/>
      <c r="K109" s="647"/>
      <c r="L109" s="648"/>
      <c r="M109" s="648"/>
      <c r="N109" s="648"/>
      <c r="O109" s="649"/>
      <c r="P109" s="566"/>
      <c r="Q109" s="567"/>
      <c r="R109" s="16"/>
      <c r="S109" s="16"/>
      <c r="V109" s="16"/>
      <c r="W109" s="16"/>
      <c r="X109" s="16"/>
      <c r="Y109" s="16"/>
      <c r="Z109" s="16"/>
      <c r="AA109" s="16"/>
    </row>
    <row r="110" spans="1:30" ht="15.75" customHeight="1">
      <c r="A110" s="231"/>
      <c r="B110" s="231"/>
      <c r="C110" s="232"/>
      <c r="D110" s="261"/>
      <c r="E110" s="245"/>
      <c r="F110" s="326">
        <f>'DRV Euros'!$D110*'DRV Euros'!$E110</f>
        <v>0</v>
      </c>
      <c r="G110" s="245"/>
      <c r="H110" s="332" t="str">
        <f>IF($B110= "","-",IF($B110= "External","Specify location tariff", INDEX(Constants!$3:$3,MATCH($B110,Constants!$2:$2,0))))</f>
        <v>-</v>
      </c>
      <c r="I110" s="333" t="str">
        <f t="shared" si="2"/>
        <v>-</v>
      </c>
      <c r="J110" s="247"/>
      <c r="K110" s="647"/>
      <c r="L110" s="648"/>
      <c r="M110" s="648"/>
      <c r="N110" s="648"/>
      <c r="O110" s="649"/>
      <c r="P110" s="566"/>
      <c r="Q110" s="567"/>
      <c r="R110" s="16"/>
      <c r="S110" s="16"/>
      <c r="V110" s="16"/>
      <c r="W110" s="16"/>
      <c r="X110" s="16"/>
      <c r="Y110" s="16"/>
      <c r="Z110" s="16"/>
      <c r="AA110" s="16"/>
    </row>
    <row r="111" spans="1:30" ht="15.75" customHeight="1">
      <c r="A111" s="231"/>
      <c r="B111" s="231"/>
      <c r="C111" s="232"/>
      <c r="D111" s="261"/>
      <c r="E111" s="245"/>
      <c r="F111" s="326">
        <f>'DRV Euros'!$D111*'DRV Euros'!$E111</f>
        <v>0</v>
      </c>
      <c r="G111" s="245"/>
      <c r="H111" s="332" t="str">
        <f>IF($B111= "","-",IF($B111= "External","Specify location tariff", INDEX(Constants!$3:$3,MATCH($B111,Constants!$2:$2,0))))</f>
        <v>-</v>
      </c>
      <c r="I111" s="333" t="str">
        <f t="shared" si="2"/>
        <v>-</v>
      </c>
      <c r="J111" s="247"/>
      <c r="K111" s="647"/>
      <c r="L111" s="648"/>
      <c r="M111" s="648"/>
      <c r="N111" s="648"/>
      <c r="O111" s="649"/>
      <c r="P111" s="566"/>
      <c r="Q111" s="567"/>
      <c r="R111" s="16"/>
      <c r="S111" s="16"/>
      <c r="V111" s="16"/>
      <c r="W111" s="16"/>
      <c r="X111" s="16"/>
      <c r="Y111" s="16"/>
      <c r="Z111" s="16"/>
      <c r="AA111" s="16"/>
    </row>
    <row r="112" spans="1:30" ht="15.75" customHeight="1">
      <c r="A112" s="231"/>
      <c r="B112" s="231"/>
      <c r="C112" s="232"/>
      <c r="D112" s="261"/>
      <c r="E112" s="245"/>
      <c r="F112" s="326">
        <f>'DRV Euros'!$D112*'DRV Euros'!$E112</f>
        <v>0</v>
      </c>
      <c r="G112" s="245"/>
      <c r="H112" s="332" t="str">
        <f>IF($B112= "","-",IF($B112= "External","Specify location tariff", INDEX(Constants!$3:$3,MATCH($B112,Constants!$2:$2,0))))</f>
        <v>-</v>
      </c>
      <c r="I112" s="333" t="str">
        <f t="shared" si="2"/>
        <v>-</v>
      </c>
      <c r="J112" s="247"/>
      <c r="K112" s="647"/>
      <c r="L112" s="648"/>
      <c r="M112" s="648"/>
      <c r="N112" s="648"/>
      <c r="O112" s="649"/>
      <c r="P112" s="566"/>
      <c r="Q112" s="567"/>
      <c r="R112" s="16"/>
      <c r="S112" s="16"/>
      <c r="V112" s="16"/>
      <c r="W112" s="16"/>
      <c r="X112" s="16"/>
      <c r="Y112" s="16"/>
      <c r="Z112" s="16"/>
      <c r="AA112" s="16"/>
    </row>
    <row r="113" spans="1:30" ht="15.75" customHeight="1">
      <c r="A113" s="231"/>
      <c r="B113" s="231"/>
      <c r="C113" s="232"/>
      <c r="D113" s="261"/>
      <c r="E113" s="245"/>
      <c r="F113" s="326">
        <f>'DRV Euros'!$D113*'DRV Euros'!$E113</f>
        <v>0</v>
      </c>
      <c r="G113" s="245"/>
      <c r="H113" s="332" t="str">
        <f>IF($B113= "","-",IF($B113= "External","Specify location tariff", INDEX(Constants!$3:$3,MATCH($B113,Constants!$2:$2,0))))</f>
        <v>-</v>
      </c>
      <c r="I113" s="333" t="str">
        <f t="shared" si="2"/>
        <v>-</v>
      </c>
      <c r="J113" s="247"/>
      <c r="K113" s="647"/>
      <c r="L113" s="648"/>
      <c r="M113" s="648"/>
      <c r="N113" s="648"/>
      <c r="O113" s="649"/>
      <c r="P113" s="566"/>
      <c r="Q113" s="567"/>
      <c r="R113" s="16"/>
      <c r="S113" s="16"/>
      <c r="V113" s="16"/>
      <c r="W113" s="16"/>
      <c r="X113" s="16"/>
      <c r="Y113" s="16"/>
      <c r="Z113" s="16"/>
      <c r="AA113" s="16"/>
    </row>
    <row r="114" spans="1:30" ht="15.75" customHeight="1">
      <c r="A114" s="231"/>
      <c r="B114" s="231"/>
      <c r="C114" s="232"/>
      <c r="D114" s="261"/>
      <c r="E114" s="245"/>
      <c r="F114" s="326">
        <f>'DRV Euros'!$D114*'DRV Euros'!$E114</f>
        <v>0</v>
      </c>
      <c r="G114" s="245"/>
      <c r="H114" s="332" t="str">
        <f>IF($B114= "","-",IF($B114= "External","Specify location tariff", INDEX(Constants!$3:$3,MATCH($B114,Constants!$2:$2,0))))</f>
        <v>-</v>
      </c>
      <c r="I114" s="333" t="str">
        <f t="shared" si="2"/>
        <v>-</v>
      </c>
      <c r="J114" s="247"/>
      <c r="K114" s="647"/>
      <c r="L114" s="648"/>
      <c r="M114" s="648"/>
      <c r="N114" s="648"/>
      <c r="O114" s="649"/>
      <c r="P114" s="566"/>
      <c r="Q114" s="567"/>
      <c r="R114" s="16"/>
      <c r="S114" s="16"/>
      <c r="V114" s="16"/>
      <c r="W114" s="16"/>
      <c r="X114" s="16"/>
      <c r="Y114" s="16"/>
      <c r="Z114" s="16"/>
      <c r="AA114" s="16"/>
    </row>
    <row r="115" spans="1:30" ht="15.75" customHeight="1">
      <c r="A115" s="231"/>
      <c r="B115" s="231"/>
      <c r="C115" s="232"/>
      <c r="D115" s="261"/>
      <c r="E115" s="245"/>
      <c r="F115" s="326">
        <f>'DRV Euros'!$D115*'DRV Euros'!$E115</f>
        <v>0</v>
      </c>
      <c r="G115" s="245"/>
      <c r="H115" s="332" t="str">
        <f>IF($B115= "","-",IF($B115= "External","Specify location tariff", INDEX(Constants!$3:$3,MATCH($B115,Constants!$2:$2,0))))</f>
        <v>-</v>
      </c>
      <c r="I115" s="333" t="str">
        <f t="shared" si="2"/>
        <v>-</v>
      </c>
      <c r="J115" s="247"/>
      <c r="K115" s="647"/>
      <c r="L115" s="648"/>
      <c r="M115" s="648"/>
      <c r="N115" s="648"/>
      <c r="O115" s="649"/>
      <c r="P115" s="566"/>
      <c r="Q115" s="567"/>
      <c r="R115" s="16"/>
      <c r="S115" s="16"/>
      <c r="V115" s="16"/>
      <c r="W115" s="16"/>
      <c r="X115" s="16"/>
      <c r="Y115" s="16"/>
      <c r="Z115" s="16"/>
      <c r="AA115" s="16"/>
    </row>
    <row r="116" spans="1:30" ht="15.75" customHeight="1" thickBot="1">
      <c r="A116" s="231"/>
      <c r="B116" s="231"/>
      <c r="C116" s="232"/>
      <c r="D116" s="261"/>
      <c r="E116" s="245"/>
      <c r="F116" s="326">
        <f>'DRV Euros'!$D116*'DRV Euros'!$E116</f>
        <v>0</v>
      </c>
      <c r="G116" s="245"/>
      <c r="H116" s="332" t="str">
        <f>IF($B116= "","-",IF($B116= "External","Specify location tariff", INDEX(Constants!$3:$3,MATCH($B116,Constants!$2:$2,0))))</f>
        <v>-</v>
      </c>
      <c r="I116" s="333" t="str">
        <f t="shared" si="2"/>
        <v>-</v>
      </c>
      <c r="J116" s="247"/>
      <c r="K116" s="650"/>
      <c r="L116" s="651"/>
      <c r="M116" s="651"/>
      <c r="N116" s="651"/>
      <c r="O116" s="652"/>
      <c r="P116" s="568"/>
      <c r="Q116" s="569"/>
      <c r="R116" s="16"/>
      <c r="S116" s="16"/>
      <c r="V116" s="16"/>
      <c r="W116" s="16"/>
      <c r="X116" s="16"/>
      <c r="Y116" s="16"/>
      <c r="Z116" s="16"/>
      <c r="AA116" s="16"/>
    </row>
    <row r="117" spans="1:30" ht="15.75" customHeight="1" thickTop="1">
      <c r="A117" s="15"/>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c r="AA117" s="16"/>
      <c r="AB117" s="16"/>
      <c r="AC117" s="16"/>
      <c r="AD117" s="16"/>
    </row>
    <row r="118" spans="1:30" ht="15.75" customHeight="1">
      <c r="A118" s="15"/>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c r="AA118" s="16"/>
      <c r="AB118" s="16"/>
      <c r="AC118" s="16"/>
      <c r="AD118" s="16"/>
    </row>
    <row r="119" spans="1:30" ht="15.75" customHeight="1" thickBot="1">
      <c r="A119" s="186" t="s">
        <v>519</v>
      </c>
      <c r="B119" s="16"/>
      <c r="C119" s="128"/>
      <c r="D119" s="51"/>
      <c r="E119" s="51"/>
      <c r="F119" s="51"/>
      <c r="G119" s="51"/>
      <c r="H119" s="51"/>
      <c r="I119" s="51"/>
      <c r="J119" s="51"/>
      <c r="K119" s="51"/>
      <c r="L119" s="232"/>
      <c r="M119" s="231"/>
      <c r="N119" s="16"/>
      <c r="O119" s="16"/>
      <c r="P119" s="16"/>
      <c r="Q119" s="16"/>
      <c r="R119" s="16"/>
      <c r="S119" s="16"/>
      <c r="T119" s="16"/>
      <c r="U119" s="16"/>
      <c r="V119" s="16"/>
      <c r="W119" s="16"/>
      <c r="X119" s="16"/>
      <c r="Y119" s="16"/>
      <c r="Z119" s="16"/>
      <c r="AA119" s="16"/>
      <c r="AB119" s="16"/>
      <c r="AC119" s="16"/>
      <c r="AD119" s="16"/>
    </row>
    <row r="120" spans="1:30" ht="15" customHeight="1" thickTop="1" thickBot="1">
      <c r="A120" s="230" t="s">
        <v>438</v>
      </c>
      <c r="B120" s="230" t="s">
        <v>439</v>
      </c>
      <c r="C120" s="230" t="s">
        <v>520</v>
      </c>
      <c r="D120" s="230" t="s">
        <v>521</v>
      </c>
      <c r="E120" s="230" t="s">
        <v>522</v>
      </c>
      <c r="F120" s="230" t="s">
        <v>523</v>
      </c>
      <c r="G120" s="230" t="s">
        <v>508</v>
      </c>
      <c r="H120" s="721" t="s">
        <v>441</v>
      </c>
      <c r="I120" s="728"/>
      <c r="J120" s="729" t="s">
        <v>434</v>
      </c>
      <c r="K120" s="730"/>
      <c r="L120" s="16"/>
      <c r="M120" s="16"/>
      <c r="N120" s="16"/>
      <c r="O120" s="16"/>
      <c r="P120" s="117"/>
      <c r="Q120" s="15"/>
      <c r="R120" s="16"/>
      <c r="S120" s="130"/>
      <c r="T120" s="16"/>
      <c r="U120" s="16"/>
      <c r="V120" s="16"/>
      <c r="W120" s="241"/>
      <c r="X120" s="16"/>
      <c r="Y120" s="16"/>
      <c r="Z120" s="16"/>
      <c r="AA120" s="16"/>
      <c r="AB120" s="16"/>
    </row>
    <row r="121" spans="1:30" ht="15" customHeight="1" thickTop="1">
      <c r="A121" s="244" t="s">
        <v>862</v>
      </c>
      <c r="B121" s="244" t="s">
        <v>687</v>
      </c>
      <c r="C121" s="372">
        <v>49200</v>
      </c>
      <c r="D121" s="394">
        <v>30</v>
      </c>
      <c r="E121" s="338">
        <v>5</v>
      </c>
      <c r="F121" s="372">
        <v>8200</v>
      </c>
      <c r="G121" s="247"/>
      <c r="H121" s="606"/>
      <c r="I121" s="595"/>
      <c r="J121" s="594"/>
      <c r="K121" s="595"/>
      <c r="L121" s="16"/>
      <c r="M121" s="16"/>
      <c r="N121" s="16"/>
      <c r="O121" s="16"/>
      <c r="P121" s="117"/>
      <c r="Q121" s="15"/>
      <c r="R121" s="16"/>
      <c r="S121" s="130"/>
      <c r="T121" s="16"/>
      <c r="U121" s="16"/>
      <c r="V121" s="16"/>
      <c r="W121" s="241"/>
      <c r="X121" s="16"/>
      <c r="Y121" s="16"/>
      <c r="Z121" s="16"/>
      <c r="AA121" s="16"/>
      <c r="AB121" s="16"/>
    </row>
    <row r="122" spans="1:30" ht="15" customHeight="1">
      <c r="A122" s="244" t="s">
        <v>863</v>
      </c>
      <c r="B122" s="244" t="s">
        <v>687</v>
      </c>
      <c r="C122" s="372">
        <v>49200</v>
      </c>
      <c r="D122" s="394">
        <v>26</v>
      </c>
      <c r="E122" s="338">
        <v>2</v>
      </c>
      <c r="F122" s="372">
        <v>3784</v>
      </c>
      <c r="G122" s="247"/>
      <c r="H122" s="589"/>
      <c r="I122" s="597"/>
      <c r="J122" s="596"/>
      <c r="K122" s="597"/>
      <c r="L122" s="16"/>
      <c r="M122" s="16"/>
      <c r="N122" s="16"/>
      <c r="O122" s="16"/>
      <c r="P122" s="117"/>
      <c r="Q122" s="15"/>
      <c r="R122" s="16"/>
      <c r="S122" s="130"/>
      <c r="T122" s="16"/>
      <c r="U122" s="16"/>
      <c r="V122" s="16"/>
      <c r="W122" s="241"/>
      <c r="X122" s="16"/>
      <c r="Y122" s="16"/>
      <c r="Z122" s="16"/>
      <c r="AA122" s="16"/>
      <c r="AB122" s="16"/>
    </row>
    <row r="123" spans="1:30" ht="15" customHeight="1">
      <c r="A123" s="244" t="s">
        <v>864</v>
      </c>
      <c r="B123" s="244" t="s">
        <v>687</v>
      </c>
      <c r="C123" s="372">
        <v>28900</v>
      </c>
      <c r="D123" s="394">
        <v>28</v>
      </c>
      <c r="E123" s="338">
        <v>7</v>
      </c>
      <c r="F123" s="372">
        <v>7225</v>
      </c>
      <c r="G123" s="247"/>
      <c r="H123" s="589"/>
      <c r="I123" s="597"/>
      <c r="J123" s="596"/>
      <c r="K123" s="597"/>
      <c r="L123" s="16"/>
      <c r="M123" s="16"/>
      <c r="N123" s="16"/>
      <c r="O123" s="16"/>
      <c r="P123" s="117"/>
      <c r="Q123" s="15"/>
      <c r="R123" s="16"/>
      <c r="S123" s="130"/>
      <c r="T123" s="16"/>
      <c r="U123" s="16"/>
      <c r="V123" s="16"/>
      <c r="W123" s="241"/>
      <c r="X123" s="16"/>
      <c r="Y123" s="16"/>
      <c r="Z123" s="16"/>
      <c r="AA123" s="16"/>
      <c r="AB123" s="16"/>
    </row>
    <row r="124" spans="1:30" ht="15" customHeight="1">
      <c r="A124" s="244" t="s">
        <v>865</v>
      </c>
      <c r="B124" s="244" t="s">
        <v>687</v>
      </c>
      <c r="C124" s="372">
        <v>28900</v>
      </c>
      <c r="D124" s="394">
        <v>24</v>
      </c>
      <c r="E124" s="338">
        <v>3</v>
      </c>
      <c r="F124" s="372">
        <v>3612</v>
      </c>
      <c r="G124" s="247"/>
      <c r="H124" s="589"/>
      <c r="I124" s="597"/>
      <c r="J124" s="596"/>
      <c r="K124" s="597"/>
      <c r="L124" s="16"/>
      <c r="M124" s="16"/>
      <c r="N124" s="16"/>
      <c r="O124" s="16"/>
      <c r="P124" s="117"/>
      <c r="Q124" s="15"/>
      <c r="R124" s="16"/>
      <c r="S124" s="130"/>
      <c r="T124" s="16"/>
      <c r="U124" s="16"/>
      <c r="V124" s="16"/>
      <c r="W124" s="241"/>
      <c r="X124" s="16"/>
      <c r="Y124" s="16"/>
      <c r="Z124" s="16"/>
      <c r="AA124" s="16"/>
      <c r="AB124" s="16"/>
    </row>
    <row r="125" spans="1:30" ht="15" customHeight="1">
      <c r="A125" s="244" t="s">
        <v>866</v>
      </c>
      <c r="B125" s="244" t="s">
        <v>687</v>
      </c>
      <c r="C125" s="372">
        <v>28500</v>
      </c>
      <c r="D125" s="394">
        <v>24</v>
      </c>
      <c r="E125" s="338">
        <v>4</v>
      </c>
      <c r="F125" s="372">
        <v>3562</v>
      </c>
      <c r="G125" s="247"/>
      <c r="H125" s="589"/>
      <c r="I125" s="597"/>
      <c r="J125" s="596"/>
      <c r="K125" s="597"/>
      <c r="L125" s="16"/>
      <c r="M125" s="16"/>
      <c r="N125" s="16"/>
      <c r="O125" s="16"/>
      <c r="P125" s="117"/>
      <c r="Q125" s="15"/>
      <c r="R125" s="16"/>
      <c r="S125" s="130"/>
      <c r="T125" s="16"/>
      <c r="U125" s="16"/>
      <c r="V125" s="16"/>
      <c r="W125" s="241"/>
      <c r="X125" s="16"/>
      <c r="Y125" s="16"/>
      <c r="Z125" s="16"/>
      <c r="AA125" s="16"/>
      <c r="AB125" s="16"/>
    </row>
    <row r="126" spans="1:30" ht="15" customHeight="1">
      <c r="A126" s="244" t="s">
        <v>867</v>
      </c>
      <c r="B126" s="244" t="s">
        <v>687</v>
      </c>
      <c r="C126" s="372">
        <v>28500</v>
      </c>
      <c r="D126" s="394">
        <v>26</v>
      </c>
      <c r="E126" s="338">
        <v>2</v>
      </c>
      <c r="F126" s="372">
        <v>2192</v>
      </c>
      <c r="G126" s="247"/>
      <c r="H126" s="589"/>
      <c r="I126" s="597"/>
      <c r="J126" s="596"/>
      <c r="K126" s="597"/>
      <c r="L126" s="16"/>
      <c r="M126" s="16"/>
      <c r="N126" s="16"/>
      <c r="O126" s="16"/>
      <c r="P126" s="117"/>
      <c r="Q126" s="15"/>
      <c r="R126" s="16"/>
      <c r="S126" s="130"/>
      <c r="T126" s="16"/>
      <c r="U126" s="16"/>
      <c r="V126" s="16"/>
      <c r="W126" s="241"/>
      <c r="X126" s="16"/>
      <c r="Y126" s="16"/>
      <c r="Z126" s="16"/>
      <c r="AA126" s="16"/>
      <c r="AB126" s="16"/>
    </row>
    <row r="127" spans="1:30" ht="15" customHeight="1">
      <c r="A127" s="244" t="s">
        <v>868</v>
      </c>
      <c r="B127" s="244" t="s">
        <v>687</v>
      </c>
      <c r="C127" s="372">
        <v>21000</v>
      </c>
      <c r="D127" s="394">
        <v>24</v>
      </c>
      <c r="E127" s="338">
        <v>3</v>
      </c>
      <c r="F127" s="372">
        <v>2625</v>
      </c>
      <c r="G127" s="247"/>
      <c r="H127" s="589"/>
      <c r="I127" s="597"/>
      <c r="J127" s="596"/>
      <c r="K127" s="597"/>
      <c r="L127" s="16"/>
      <c r="M127" s="16"/>
      <c r="N127" s="16"/>
      <c r="O127" s="16"/>
      <c r="P127" s="117"/>
      <c r="Q127" s="15"/>
      <c r="R127" s="16"/>
      <c r="S127" s="130"/>
      <c r="T127" s="16"/>
      <c r="U127" s="16"/>
      <c r="V127" s="16"/>
      <c r="W127" s="241"/>
      <c r="X127" s="16"/>
      <c r="Y127" s="16"/>
      <c r="Z127" s="16"/>
      <c r="AA127" s="16"/>
      <c r="AB127" s="16"/>
    </row>
    <row r="128" spans="1:30" ht="15" customHeight="1">
      <c r="A128" s="244" t="s">
        <v>869</v>
      </c>
      <c r="B128" s="244" t="s">
        <v>687</v>
      </c>
      <c r="C128" s="372">
        <v>21000</v>
      </c>
      <c r="D128" s="394">
        <v>30</v>
      </c>
      <c r="E128" s="338">
        <v>6</v>
      </c>
      <c r="F128" s="372">
        <v>4200</v>
      </c>
      <c r="G128" s="247"/>
      <c r="H128" s="589"/>
      <c r="I128" s="597"/>
      <c r="J128" s="596"/>
      <c r="K128" s="597"/>
      <c r="L128" s="16"/>
      <c r="M128" s="16"/>
      <c r="N128" s="16"/>
      <c r="O128" s="16"/>
      <c r="P128" s="117"/>
      <c r="Q128" s="15"/>
      <c r="R128" s="16"/>
      <c r="S128" s="130"/>
      <c r="T128" s="16"/>
      <c r="U128" s="16"/>
      <c r="V128" s="16"/>
      <c r="W128" s="241"/>
      <c r="X128" s="16"/>
      <c r="Y128" s="16"/>
      <c r="Z128" s="16"/>
      <c r="AA128" s="16"/>
      <c r="AB128" s="16"/>
    </row>
    <row r="129" spans="1:28" ht="15" customHeight="1">
      <c r="A129" s="244" t="s">
        <v>870</v>
      </c>
      <c r="B129" s="244" t="s">
        <v>687</v>
      </c>
      <c r="C129" s="372">
        <v>21000</v>
      </c>
      <c r="D129" s="394">
        <v>30</v>
      </c>
      <c r="E129" s="338">
        <v>3</v>
      </c>
      <c r="F129" s="372">
        <v>2100</v>
      </c>
      <c r="G129" s="247"/>
      <c r="H129" s="589"/>
      <c r="I129" s="597"/>
      <c r="J129" s="596"/>
      <c r="K129" s="597"/>
      <c r="L129" s="16"/>
      <c r="M129" s="16"/>
      <c r="N129" s="16"/>
      <c r="O129" s="16"/>
      <c r="P129" s="117"/>
      <c r="Q129" s="15"/>
      <c r="R129" s="16"/>
      <c r="S129" s="130"/>
      <c r="T129" s="16"/>
      <c r="U129" s="16"/>
      <c r="V129" s="16"/>
      <c r="W129" s="241"/>
      <c r="X129" s="16"/>
      <c r="Y129" s="16"/>
      <c r="Z129" s="16"/>
      <c r="AA129" s="16"/>
      <c r="AB129" s="16"/>
    </row>
    <row r="130" spans="1:28" ht="15" customHeight="1">
      <c r="A130" s="244" t="s">
        <v>871</v>
      </c>
      <c r="B130" s="244" t="s">
        <v>687</v>
      </c>
      <c r="C130" s="372">
        <v>12950</v>
      </c>
      <c r="D130" s="394">
        <v>27</v>
      </c>
      <c r="E130" s="338">
        <v>3</v>
      </c>
      <c r="F130" s="372">
        <v>1439</v>
      </c>
      <c r="G130" s="247"/>
      <c r="H130" s="589"/>
      <c r="I130" s="597"/>
      <c r="J130" s="596"/>
      <c r="K130" s="597"/>
      <c r="L130" s="16"/>
      <c r="M130" s="16"/>
      <c r="N130" s="16"/>
      <c r="O130" s="16"/>
      <c r="P130" s="117"/>
      <c r="Q130" s="15"/>
      <c r="R130" s="16"/>
      <c r="S130" s="130"/>
      <c r="T130" s="16"/>
      <c r="U130" s="16"/>
      <c r="V130" s="16"/>
      <c r="W130" s="241"/>
      <c r="X130" s="16"/>
      <c r="Y130" s="16"/>
      <c r="Z130" s="16"/>
      <c r="AA130" s="16"/>
      <c r="AB130" s="16"/>
    </row>
    <row r="131" spans="1:28" ht="15" customHeight="1">
      <c r="A131" s="244" t="s">
        <v>872</v>
      </c>
      <c r="B131" s="244" t="s">
        <v>687</v>
      </c>
      <c r="C131" s="372">
        <v>12950</v>
      </c>
      <c r="D131" s="394">
        <v>28</v>
      </c>
      <c r="E131" s="338">
        <v>8</v>
      </c>
      <c r="F131" s="372">
        <v>3700</v>
      </c>
      <c r="G131" s="247"/>
      <c r="H131" s="589"/>
      <c r="I131" s="597"/>
      <c r="J131" s="596"/>
      <c r="K131" s="597"/>
      <c r="L131" s="16"/>
      <c r="M131" s="16"/>
      <c r="N131" s="16"/>
      <c r="O131" s="16"/>
      <c r="P131" s="117"/>
      <c r="Q131" s="15"/>
      <c r="R131" s="16"/>
      <c r="S131" s="130"/>
      <c r="T131" s="16"/>
      <c r="U131" s="16"/>
      <c r="V131" s="16"/>
      <c r="W131" s="241"/>
      <c r="X131" s="16"/>
      <c r="Y131" s="16"/>
      <c r="Z131" s="16"/>
      <c r="AA131" s="16"/>
      <c r="AB131" s="16"/>
    </row>
    <row r="132" spans="1:28" ht="15" customHeight="1">
      <c r="A132" s="244" t="s">
        <v>873</v>
      </c>
      <c r="B132" s="244" t="s">
        <v>687</v>
      </c>
      <c r="C132" s="372">
        <v>12950</v>
      </c>
      <c r="D132" s="394">
        <v>28</v>
      </c>
      <c r="E132" s="338">
        <v>4</v>
      </c>
      <c r="F132" s="372">
        <v>1850</v>
      </c>
      <c r="G132" s="247"/>
      <c r="H132" s="589"/>
      <c r="I132" s="597"/>
      <c r="J132" s="596"/>
      <c r="K132" s="597"/>
      <c r="L132" s="16"/>
      <c r="M132" s="16"/>
      <c r="N132" s="16"/>
      <c r="O132" s="16"/>
      <c r="P132" s="117"/>
      <c r="Q132" s="15"/>
      <c r="R132" s="16"/>
      <c r="S132" s="130"/>
      <c r="T132" s="16"/>
      <c r="U132" s="16"/>
      <c r="V132" s="16"/>
      <c r="W132" s="241"/>
      <c r="X132" s="16"/>
      <c r="Y132" s="16"/>
      <c r="Z132" s="16"/>
      <c r="AA132" s="16"/>
      <c r="AB132" s="16"/>
    </row>
    <row r="133" spans="1:28" ht="15" customHeight="1">
      <c r="A133" s="244" t="s">
        <v>874</v>
      </c>
      <c r="B133" s="244" t="s">
        <v>687</v>
      </c>
      <c r="C133" s="372">
        <v>4380</v>
      </c>
      <c r="D133" s="394">
        <v>25</v>
      </c>
      <c r="E133" s="338">
        <v>5</v>
      </c>
      <c r="F133" s="372">
        <v>876</v>
      </c>
      <c r="G133" s="247"/>
      <c r="H133" s="589"/>
      <c r="I133" s="597"/>
      <c r="J133" s="596"/>
      <c r="K133" s="597"/>
      <c r="L133" s="16"/>
      <c r="M133" s="16"/>
      <c r="N133" s="16"/>
      <c r="O133" s="16"/>
      <c r="P133" s="117"/>
      <c r="Q133" s="15"/>
      <c r="R133" s="16"/>
      <c r="S133" s="130"/>
      <c r="T133" s="16"/>
      <c r="U133" s="16"/>
      <c r="V133" s="16"/>
      <c r="W133" s="241"/>
      <c r="X133" s="16"/>
      <c r="Y133" s="16"/>
      <c r="Z133" s="16"/>
      <c r="AA133" s="16"/>
      <c r="AB133" s="16"/>
    </row>
    <row r="134" spans="1:28" ht="15" customHeight="1">
      <c r="A134" s="244" t="s">
        <v>875</v>
      </c>
      <c r="B134" s="244" t="s">
        <v>687</v>
      </c>
      <c r="C134" s="372">
        <v>13750</v>
      </c>
      <c r="D134" s="394">
        <v>35</v>
      </c>
      <c r="E134" s="338">
        <v>7</v>
      </c>
      <c r="F134" s="372">
        <v>2750</v>
      </c>
      <c r="G134" s="247"/>
      <c r="H134" s="589"/>
      <c r="I134" s="597"/>
      <c r="J134" s="596"/>
      <c r="K134" s="597"/>
      <c r="L134" s="16"/>
      <c r="M134" s="16"/>
      <c r="N134" s="16"/>
      <c r="O134" s="16"/>
      <c r="P134" s="117"/>
      <c r="Q134" s="15"/>
      <c r="R134" s="16"/>
      <c r="S134" s="130"/>
      <c r="T134" s="16"/>
      <c r="U134" s="16"/>
      <c r="V134" s="16"/>
      <c r="W134" s="241"/>
      <c r="X134" s="16"/>
      <c r="Y134" s="16"/>
      <c r="Z134" s="16"/>
      <c r="AA134" s="16"/>
      <c r="AB134" s="16"/>
    </row>
    <row r="135" spans="1:28" ht="15" customHeight="1">
      <c r="A135" s="244" t="s">
        <v>876</v>
      </c>
      <c r="B135" s="244" t="s">
        <v>687</v>
      </c>
      <c r="C135" s="372">
        <v>9750</v>
      </c>
      <c r="D135" s="394">
        <v>40</v>
      </c>
      <c r="E135" s="338">
        <v>1</v>
      </c>
      <c r="F135" s="372">
        <v>243</v>
      </c>
      <c r="G135" s="247"/>
      <c r="H135" s="589"/>
      <c r="I135" s="597"/>
      <c r="J135" s="596"/>
      <c r="K135" s="597"/>
      <c r="L135" s="16"/>
      <c r="M135" s="16"/>
      <c r="N135" s="16"/>
      <c r="O135" s="16"/>
      <c r="P135" s="117"/>
      <c r="Q135" s="15"/>
      <c r="R135" s="16"/>
      <c r="S135" s="130"/>
      <c r="T135" s="16"/>
      <c r="U135" s="16"/>
      <c r="V135" s="16"/>
      <c r="W135" s="241"/>
      <c r="X135" s="16"/>
      <c r="Y135" s="16"/>
      <c r="Z135" s="16"/>
      <c r="AA135" s="16"/>
      <c r="AB135" s="16"/>
    </row>
    <row r="136" spans="1:28" ht="15" customHeight="1">
      <c r="A136" s="244" t="s">
        <v>877</v>
      </c>
      <c r="B136" s="244" t="s">
        <v>687</v>
      </c>
      <c r="C136" s="372">
        <v>4780</v>
      </c>
      <c r="D136" s="394">
        <v>16</v>
      </c>
      <c r="E136" s="338">
        <v>4</v>
      </c>
      <c r="F136" s="372">
        <v>1195</v>
      </c>
      <c r="G136" s="247"/>
      <c r="H136" s="589"/>
      <c r="I136" s="597"/>
      <c r="J136" s="596"/>
      <c r="K136" s="597"/>
      <c r="L136" s="16"/>
      <c r="M136" s="16"/>
      <c r="N136" s="16"/>
      <c r="O136" s="16"/>
      <c r="P136" s="117"/>
      <c r="Q136" s="15"/>
      <c r="R136" s="16"/>
      <c r="S136" s="130"/>
      <c r="T136" s="16"/>
      <c r="U136" s="16"/>
      <c r="V136" s="16"/>
      <c r="W136" s="241"/>
      <c r="X136" s="16"/>
      <c r="Y136" s="16"/>
      <c r="Z136" s="16"/>
      <c r="AA136" s="16"/>
      <c r="AB136" s="16"/>
    </row>
    <row r="137" spans="1:28" ht="15" customHeight="1">
      <c r="A137" s="244" t="s">
        <v>878</v>
      </c>
      <c r="B137" s="244" t="s">
        <v>687</v>
      </c>
      <c r="C137" s="372">
        <v>1410</v>
      </c>
      <c r="D137" s="394">
        <v>16</v>
      </c>
      <c r="E137" s="338">
        <v>3</v>
      </c>
      <c r="F137" s="372">
        <v>264</v>
      </c>
      <c r="G137" s="247"/>
      <c r="H137" s="589"/>
      <c r="I137" s="597"/>
      <c r="J137" s="596"/>
      <c r="K137" s="597"/>
      <c r="L137" s="16"/>
      <c r="M137" s="16"/>
      <c r="N137" s="16"/>
      <c r="O137" s="16"/>
      <c r="P137" s="117"/>
      <c r="Q137" s="15"/>
      <c r="R137" s="16"/>
      <c r="S137" s="130"/>
      <c r="T137" s="16"/>
      <c r="U137" s="16"/>
      <c r="V137" s="16"/>
      <c r="W137" s="241"/>
      <c r="X137" s="16"/>
      <c r="Y137" s="16"/>
      <c r="Z137" s="16"/>
      <c r="AA137" s="16"/>
      <c r="AB137" s="16"/>
    </row>
    <row r="138" spans="1:28" ht="15" customHeight="1">
      <c r="A138" s="244" t="s">
        <v>879</v>
      </c>
      <c r="B138" s="244" t="s">
        <v>687</v>
      </c>
      <c r="C138" s="372">
        <v>4560</v>
      </c>
      <c r="D138" s="394">
        <v>30</v>
      </c>
      <c r="E138" s="338">
        <v>15</v>
      </c>
      <c r="F138" s="372">
        <v>2280</v>
      </c>
      <c r="G138" s="247"/>
      <c r="H138" s="589"/>
      <c r="I138" s="597"/>
      <c r="J138" s="596"/>
      <c r="K138" s="597"/>
      <c r="L138" s="16"/>
      <c r="M138" s="16"/>
      <c r="N138" s="16"/>
      <c r="O138" s="16"/>
      <c r="P138" s="117"/>
      <c r="Q138" s="15"/>
      <c r="R138" s="16"/>
      <c r="S138" s="130"/>
      <c r="T138" s="16"/>
      <c r="U138" s="16"/>
      <c r="V138" s="16"/>
      <c r="W138" s="241"/>
      <c r="X138" s="16"/>
      <c r="Y138" s="16"/>
      <c r="Z138" s="16"/>
      <c r="AA138" s="16"/>
      <c r="AB138" s="16"/>
    </row>
    <row r="139" spans="1:28" ht="15" customHeight="1">
      <c r="A139" s="244" t="s">
        <v>880</v>
      </c>
      <c r="B139" s="244" t="s">
        <v>687</v>
      </c>
      <c r="C139" s="372">
        <v>3400</v>
      </c>
      <c r="D139" s="394">
        <v>25</v>
      </c>
      <c r="E139" s="338" t="s">
        <v>881</v>
      </c>
      <c r="F139" s="372">
        <v>1700</v>
      </c>
      <c r="G139" s="247"/>
      <c r="H139" s="589"/>
      <c r="I139" s="597"/>
      <c r="J139" s="596"/>
      <c r="K139" s="597"/>
      <c r="L139" s="16"/>
      <c r="M139" s="16"/>
      <c r="N139" s="16"/>
      <c r="O139" s="16"/>
      <c r="P139" s="117"/>
      <c r="Q139" s="15"/>
      <c r="R139" s="16"/>
      <c r="S139" s="130"/>
      <c r="T139" s="16"/>
      <c r="U139" s="16"/>
      <c r="V139" s="16"/>
      <c r="W139" s="241"/>
      <c r="X139" s="16"/>
      <c r="Y139" s="16"/>
      <c r="Z139" s="16"/>
      <c r="AA139" s="16"/>
      <c r="AB139" s="16"/>
    </row>
    <row r="140" spans="1:28" ht="15" customHeight="1">
      <c r="A140" s="244" t="s">
        <v>882</v>
      </c>
      <c r="B140" s="244" t="s">
        <v>687</v>
      </c>
      <c r="C140" s="372">
        <v>870</v>
      </c>
      <c r="D140" s="394">
        <v>10</v>
      </c>
      <c r="E140" s="338">
        <v>10</v>
      </c>
      <c r="F140" s="372">
        <v>870</v>
      </c>
      <c r="G140" s="247"/>
      <c r="H140" s="589"/>
      <c r="I140" s="597"/>
      <c r="J140" s="596"/>
      <c r="K140" s="597"/>
      <c r="L140" s="16"/>
      <c r="M140" s="16"/>
      <c r="N140" s="16"/>
      <c r="O140" s="16"/>
      <c r="P140" s="117"/>
      <c r="Q140" s="15"/>
      <c r="R140" s="16"/>
      <c r="S140" s="130"/>
      <c r="T140" s="16"/>
      <c r="U140" s="16"/>
      <c r="V140" s="16"/>
      <c r="W140" s="241"/>
      <c r="X140" s="16"/>
      <c r="Y140" s="16"/>
      <c r="Z140" s="16"/>
      <c r="AA140" s="16"/>
      <c r="AB140" s="16"/>
    </row>
    <row r="141" spans="1:28" ht="15" customHeight="1">
      <c r="A141" s="244" t="s">
        <v>883</v>
      </c>
      <c r="B141" s="244" t="s">
        <v>687</v>
      </c>
      <c r="C141" s="372">
        <v>18418.400000000001</v>
      </c>
      <c r="D141" s="394">
        <v>10</v>
      </c>
      <c r="E141" s="338">
        <v>1</v>
      </c>
      <c r="F141" s="372">
        <v>1841</v>
      </c>
      <c r="G141" s="247"/>
      <c r="H141" s="589"/>
      <c r="I141" s="597"/>
      <c r="J141" s="596"/>
      <c r="K141" s="597"/>
      <c r="L141" s="16"/>
      <c r="M141" s="16"/>
      <c r="N141" s="16"/>
      <c r="O141" s="16"/>
      <c r="P141" s="117"/>
      <c r="Q141" s="15"/>
      <c r="R141" s="16"/>
      <c r="S141" s="130"/>
      <c r="T141" s="16"/>
      <c r="U141" s="16"/>
      <c r="V141" s="16"/>
      <c r="W141" s="241"/>
      <c r="X141" s="16"/>
      <c r="Y141" s="16"/>
      <c r="Z141" s="16"/>
      <c r="AA141" s="16"/>
      <c r="AB141" s="16"/>
    </row>
    <row r="142" spans="1:28" ht="15" customHeight="1">
      <c r="A142" s="244" t="s">
        <v>884</v>
      </c>
      <c r="B142" s="244" t="s">
        <v>699</v>
      </c>
      <c r="C142" s="372">
        <v>15566.67</v>
      </c>
      <c r="D142" s="404"/>
      <c r="E142" s="338">
        <v>1</v>
      </c>
      <c r="F142" s="372">
        <v>15566</v>
      </c>
      <c r="G142" s="247"/>
      <c r="H142" s="589"/>
      <c r="I142" s="597"/>
      <c r="J142" s="596"/>
      <c r="K142" s="597"/>
      <c r="L142" s="16"/>
      <c r="M142" s="16"/>
      <c r="N142" s="16"/>
      <c r="O142" s="16"/>
      <c r="P142" s="117"/>
      <c r="Q142" s="15"/>
      <c r="R142" s="16"/>
      <c r="S142" s="130"/>
      <c r="T142" s="16"/>
      <c r="U142" s="16"/>
      <c r="V142" s="16"/>
      <c r="W142" s="241"/>
      <c r="X142" s="16"/>
      <c r="Y142" s="16"/>
      <c r="Z142" s="16"/>
      <c r="AA142" s="16"/>
      <c r="AB142" s="16"/>
    </row>
    <row r="143" spans="1:28" ht="15" customHeight="1">
      <c r="A143" s="230"/>
      <c r="B143" s="230"/>
      <c r="C143" s="230"/>
      <c r="D143" s="230"/>
      <c r="E143" s="230"/>
      <c r="F143" s="230"/>
      <c r="G143" s="230"/>
      <c r="H143" s="589"/>
      <c r="I143" s="597"/>
      <c r="J143" s="596"/>
      <c r="K143" s="597"/>
      <c r="L143" s="16"/>
      <c r="M143" s="16"/>
      <c r="N143" s="16"/>
      <c r="O143" s="16"/>
      <c r="P143" s="117"/>
      <c r="Q143" s="15"/>
      <c r="R143" s="16"/>
      <c r="S143" s="130"/>
      <c r="T143" s="16"/>
      <c r="U143" s="16"/>
      <c r="V143" s="16"/>
      <c r="W143" s="241"/>
      <c r="X143" s="16"/>
      <c r="Y143" s="16"/>
      <c r="Z143" s="16"/>
      <c r="AA143" s="16"/>
      <c r="AB143" s="16"/>
    </row>
    <row r="144" spans="1:28" ht="15" customHeight="1">
      <c r="A144" s="230"/>
      <c r="B144" s="230"/>
      <c r="C144" s="230"/>
      <c r="D144" s="230"/>
      <c r="E144" s="230"/>
      <c r="F144" s="230"/>
      <c r="G144" s="230"/>
      <c r="H144" s="589"/>
      <c r="I144" s="597"/>
      <c r="J144" s="596"/>
      <c r="K144" s="597"/>
      <c r="L144" s="16"/>
      <c r="M144" s="16"/>
      <c r="N144" s="16"/>
      <c r="O144" s="16"/>
      <c r="P144" s="117"/>
      <c r="Q144" s="15"/>
      <c r="R144" s="16"/>
      <c r="S144" s="130"/>
      <c r="T144" s="16"/>
      <c r="U144" s="16"/>
      <c r="V144" s="16"/>
      <c r="W144" s="241"/>
      <c r="X144" s="16"/>
      <c r="Y144" s="16"/>
      <c r="Z144" s="16"/>
      <c r="AA144" s="16"/>
      <c r="AB144" s="16"/>
    </row>
    <row r="145" spans="1:30" ht="15" customHeight="1" thickBot="1">
      <c r="A145" s="230"/>
      <c r="B145" s="230"/>
      <c r="C145" s="230"/>
      <c r="D145" s="230"/>
      <c r="E145" s="230"/>
      <c r="F145" s="230"/>
      <c r="G145" s="230"/>
      <c r="H145" s="607"/>
      <c r="I145" s="599"/>
      <c r="J145" s="598"/>
      <c r="K145" s="599"/>
      <c r="L145" s="16"/>
      <c r="M145" s="16"/>
      <c r="N145" s="16"/>
      <c r="O145" s="16"/>
      <c r="P145" s="117"/>
      <c r="Q145" s="15"/>
      <c r="R145" s="16"/>
      <c r="S145" s="130"/>
      <c r="T145" s="16"/>
      <c r="U145" s="16"/>
      <c r="V145" s="16"/>
      <c r="W145" s="241"/>
      <c r="X145" s="16"/>
      <c r="Y145" s="16"/>
      <c r="Z145" s="16"/>
      <c r="AA145" s="16"/>
      <c r="AB145" s="16"/>
    </row>
    <row r="146" spans="1:30" ht="15.75" customHeight="1" thickTop="1">
      <c r="A146" s="15"/>
      <c r="B146" s="131"/>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c r="AA146" s="16"/>
      <c r="AB146" s="16"/>
      <c r="AC146" s="16"/>
      <c r="AD146" s="16"/>
    </row>
    <row r="147" spans="1:30" ht="15.75" customHeight="1">
      <c r="A147" s="15"/>
      <c r="B147" s="131"/>
      <c r="C147" s="16"/>
      <c r="D147" s="16"/>
      <c r="E147" s="16"/>
      <c r="F147" s="16"/>
      <c r="G147" s="16"/>
      <c r="I147" s="16"/>
      <c r="J147" s="16"/>
      <c r="K147" s="16"/>
      <c r="L147" s="16"/>
      <c r="M147" s="16"/>
      <c r="N147" s="16"/>
      <c r="O147" s="16"/>
      <c r="P147" s="16"/>
      <c r="Q147" s="16"/>
      <c r="R147" s="16"/>
      <c r="S147" s="16"/>
      <c r="T147" s="16"/>
      <c r="U147" s="16"/>
      <c r="V147" s="16"/>
      <c r="W147" s="16"/>
      <c r="X147" s="16"/>
      <c r="Y147" s="16"/>
      <c r="Z147" s="16"/>
      <c r="AA147" s="16"/>
      <c r="AB147" s="16"/>
      <c r="AC147" s="16"/>
      <c r="AD147" s="16"/>
    </row>
    <row r="148" spans="1:30" ht="15.75" customHeight="1">
      <c r="H148" s="51"/>
      <c r="I148" s="51"/>
      <c r="J148" s="51"/>
      <c r="K148" s="51"/>
      <c r="L148" s="16"/>
      <c r="M148" s="16"/>
      <c r="N148" s="16"/>
      <c r="O148" s="16"/>
      <c r="P148" s="16"/>
      <c r="Q148" s="16"/>
      <c r="R148" s="16"/>
      <c r="S148" s="16"/>
      <c r="T148" s="16"/>
      <c r="U148" s="16"/>
      <c r="V148" s="16"/>
      <c r="W148" s="16"/>
      <c r="X148" s="16"/>
      <c r="Y148" s="16"/>
      <c r="Z148" s="16"/>
      <c r="AA148" s="16"/>
      <c r="AB148" s="16"/>
      <c r="AC148" s="16"/>
      <c r="AD148" s="16"/>
    </row>
    <row r="149" spans="1:30" ht="15.75" customHeight="1">
      <c r="L149" s="16"/>
      <c r="M149" s="16"/>
      <c r="N149" s="16"/>
      <c r="O149" s="16"/>
      <c r="P149" s="16"/>
      <c r="Q149" s="16"/>
      <c r="R149" s="16"/>
      <c r="S149" s="16"/>
      <c r="T149" s="16"/>
      <c r="U149" s="16"/>
      <c r="V149" s="16"/>
      <c r="W149" s="16"/>
      <c r="X149" s="16"/>
      <c r="Y149" s="16"/>
      <c r="Z149" s="16"/>
      <c r="AA149" s="16"/>
      <c r="AB149" s="16"/>
      <c r="AC149" s="16"/>
      <c r="AD149" s="16"/>
    </row>
    <row r="150" spans="1:30" ht="15.75" customHeight="1">
      <c r="L150" s="16"/>
      <c r="M150" s="16"/>
      <c r="N150" s="16"/>
      <c r="O150" s="16"/>
      <c r="P150" s="16"/>
      <c r="Q150" s="16"/>
      <c r="R150" s="16"/>
      <c r="S150" s="16"/>
      <c r="T150" s="16"/>
      <c r="U150" s="16"/>
      <c r="V150" s="16"/>
      <c r="W150" s="16"/>
      <c r="X150" s="16"/>
      <c r="Y150" s="16"/>
      <c r="Z150" s="16"/>
      <c r="AA150" s="16"/>
      <c r="AB150" s="16"/>
      <c r="AC150" s="16"/>
      <c r="AD150" s="16"/>
    </row>
    <row r="151" spans="1:30" ht="15.75" customHeight="1">
      <c r="L151" s="16"/>
      <c r="M151" s="16"/>
      <c r="N151" s="16"/>
      <c r="O151" s="16"/>
      <c r="P151" s="16"/>
      <c r="Q151" s="16"/>
      <c r="R151" s="16"/>
      <c r="S151" s="16"/>
      <c r="T151" s="16"/>
      <c r="U151" s="16"/>
      <c r="V151" s="16"/>
      <c r="W151" s="16"/>
      <c r="X151" s="16"/>
      <c r="Y151" s="16"/>
      <c r="Z151" s="16"/>
      <c r="AA151" s="16"/>
      <c r="AB151" s="16"/>
      <c r="AC151" s="16"/>
      <c r="AD151" s="16"/>
    </row>
    <row r="152" spans="1:30" ht="15.75" customHeight="1">
      <c r="L152" s="16"/>
      <c r="M152" s="16"/>
      <c r="N152" s="16"/>
      <c r="O152" s="16"/>
      <c r="P152" s="16"/>
      <c r="Q152" s="16"/>
      <c r="R152" s="16"/>
      <c r="S152" s="16"/>
      <c r="T152" s="16"/>
      <c r="U152" s="16"/>
      <c r="V152" s="16"/>
      <c r="W152" s="16"/>
      <c r="X152" s="16"/>
      <c r="Y152" s="16"/>
      <c r="Z152" s="16"/>
      <c r="AA152" s="16"/>
      <c r="AB152" s="16"/>
      <c r="AC152" s="16"/>
      <c r="AD152" s="16"/>
    </row>
    <row r="153" spans="1:30" ht="15.75" customHeight="1">
      <c r="L153" s="16"/>
      <c r="M153" s="16"/>
      <c r="N153" s="16"/>
      <c r="O153" s="16"/>
      <c r="P153" s="16"/>
      <c r="Q153" s="16"/>
      <c r="R153" s="16"/>
      <c r="S153" s="16"/>
      <c r="T153" s="16"/>
      <c r="U153" s="16"/>
      <c r="V153" s="16"/>
      <c r="W153" s="16"/>
      <c r="X153" s="16"/>
      <c r="Y153" s="16"/>
      <c r="Z153" s="16"/>
      <c r="AA153" s="16"/>
      <c r="AB153" s="16"/>
      <c r="AC153" s="16"/>
      <c r="AD153" s="16"/>
    </row>
    <row r="154" spans="1:30" ht="15.75" customHeight="1">
      <c r="L154" s="16"/>
      <c r="M154" s="16"/>
      <c r="N154" s="16"/>
      <c r="O154" s="16"/>
      <c r="P154" s="16"/>
      <c r="Q154" s="16"/>
      <c r="R154" s="16"/>
      <c r="S154" s="16"/>
      <c r="T154" s="16"/>
      <c r="U154" s="16"/>
      <c r="V154" s="16"/>
      <c r="W154" s="16"/>
      <c r="X154" s="16"/>
      <c r="Y154" s="16"/>
      <c r="Z154" s="16"/>
      <c r="AA154" s="16"/>
      <c r="AB154" s="16"/>
      <c r="AC154" s="16"/>
      <c r="AD154" s="16"/>
    </row>
    <row r="155" spans="1:30" ht="15.75" customHeight="1">
      <c r="L155" s="16"/>
      <c r="M155" s="16"/>
      <c r="N155" s="16"/>
      <c r="O155" s="16"/>
      <c r="P155" s="735"/>
      <c r="Q155" s="696"/>
      <c r="R155" s="696"/>
      <c r="S155" s="16"/>
      <c r="T155" s="16"/>
      <c r="U155" s="16"/>
      <c r="V155" s="16"/>
      <c r="W155" s="16"/>
      <c r="X155" s="16"/>
      <c r="Y155" s="16"/>
      <c r="Z155" s="16"/>
      <c r="AA155" s="16"/>
      <c r="AB155" s="16"/>
      <c r="AC155" s="16"/>
      <c r="AD155" s="16"/>
    </row>
    <row r="156" spans="1:30" ht="15.75" customHeight="1">
      <c r="L156" s="16"/>
      <c r="M156" s="16"/>
      <c r="N156" s="16"/>
      <c r="O156" s="16"/>
      <c r="P156" s="735"/>
      <c r="Q156" s="696"/>
      <c r="R156" s="696"/>
      <c r="S156" s="16"/>
      <c r="T156" s="16"/>
      <c r="U156" s="16"/>
      <c r="V156" s="16"/>
      <c r="W156" s="16"/>
      <c r="X156" s="16"/>
      <c r="Y156" s="16"/>
      <c r="Z156" s="16"/>
      <c r="AA156" s="16"/>
      <c r="AB156" s="16"/>
      <c r="AC156" s="16"/>
      <c r="AD156" s="16"/>
    </row>
    <row r="157" spans="1:30" ht="15.75" customHeight="1">
      <c r="L157" s="16"/>
      <c r="M157" s="16"/>
      <c r="N157" s="16"/>
      <c r="O157" s="16"/>
      <c r="P157" s="735"/>
      <c r="Q157" s="696"/>
      <c r="R157" s="696"/>
      <c r="S157" s="16"/>
      <c r="T157" s="16"/>
      <c r="U157" s="16"/>
      <c r="V157" s="16"/>
      <c r="W157" s="16"/>
      <c r="X157" s="16"/>
      <c r="Y157" s="16"/>
      <c r="Z157" s="16"/>
      <c r="AA157" s="16"/>
      <c r="AB157" s="16"/>
      <c r="AC157" s="16"/>
      <c r="AD157" s="16"/>
    </row>
    <row r="158" spans="1:30" ht="15.75" customHeight="1">
      <c r="L158" s="16"/>
      <c r="M158" s="16"/>
      <c r="N158" s="16"/>
      <c r="O158" s="16"/>
      <c r="P158" s="735"/>
      <c r="Q158" s="696"/>
      <c r="R158" s="696"/>
      <c r="S158" s="16"/>
      <c r="T158" s="16"/>
      <c r="U158" s="16"/>
      <c r="V158" s="16"/>
      <c r="W158" s="16"/>
      <c r="X158" s="16"/>
      <c r="Y158" s="16"/>
      <c r="Z158" s="16"/>
      <c r="AA158" s="16"/>
      <c r="AB158" s="16"/>
      <c r="AC158" s="16"/>
      <c r="AD158" s="16"/>
    </row>
    <row r="159" spans="1:30" ht="15.75" customHeight="1">
      <c r="L159" s="16"/>
      <c r="M159" s="16"/>
      <c r="N159" s="16"/>
      <c r="O159" s="16"/>
      <c r="P159" s="735"/>
      <c r="Q159" s="696"/>
      <c r="R159" s="696"/>
      <c r="S159" s="16"/>
      <c r="T159" s="16"/>
      <c r="U159" s="16"/>
      <c r="V159" s="16"/>
      <c r="W159" s="16"/>
      <c r="X159" s="16"/>
      <c r="Y159" s="16"/>
      <c r="Z159" s="16"/>
      <c r="AA159" s="16"/>
      <c r="AB159" s="16"/>
      <c r="AC159" s="16"/>
      <c r="AD159" s="16"/>
    </row>
    <row r="160" spans="1:30" ht="15.75" customHeight="1">
      <c r="L160" s="16"/>
      <c r="M160" s="16"/>
      <c r="N160" s="16"/>
      <c r="O160" s="16"/>
      <c r="P160" s="735"/>
      <c r="Q160" s="696"/>
      <c r="R160" s="696"/>
      <c r="S160" s="16"/>
      <c r="T160" s="16"/>
      <c r="U160" s="16"/>
      <c r="V160" s="16"/>
      <c r="W160" s="16"/>
      <c r="X160" s="16"/>
      <c r="Y160" s="16"/>
      <c r="Z160" s="16"/>
      <c r="AA160" s="16"/>
      <c r="AB160" s="16"/>
      <c r="AC160" s="16"/>
      <c r="AD160" s="16"/>
    </row>
    <row r="161" spans="1:30" ht="15.75" customHeight="1">
      <c r="H161" s="248"/>
      <c r="I161" s="248"/>
      <c r="J161" s="228"/>
      <c r="K161" s="228"/>
      <c r="L161" s="16"/>
      <c r="M161" s="16"/>
      <c r="N161" s="16"/>
      <c r="O161" s="16"/>
      <c r="P161" s="735"/>
      <c r="Q161" s="696"/>
      <c r="R161" s="696"/>
      <c r="S161" s="16"/>
      <c r="T161" s="16"/>
      <c r="U161" s="16"/>
      <c r="V161" s="16"/>
      <c r="W161" s="16"/>
      <c r="X161" s="16"/>
      <c r="Y161" s="16"/>
      <c r="Z161" s="16"/>
      <c r="AA161" s="16"/>
      <c r="AB161" s="16"/>
      <c r="AC161" s="16"/>
      <c r="AD161" s="16"/>
    </row>
    <row r="162" spans="1:30" ht="15.75" customHeight="1">
      <c r="A162" s="231"/>
      <c r="B162" s="231"/>
      <c r="C162" s="246"/>
      <c r="D162" s="247"/>
      <c r="E162" s="245"/>
      <c r="F162" s="246"/>
      <c r="G162" s="247"/>
      <c r="H162" s="248"/>
      <c r="I162" s="248"/>
      <c r="J162" s="228"/>
      <c r="K162" s="228"/>
      <c r="L162" s="16"/>
      <c r="M162" s="16"/>
      <c r="N162" s="16"/>
      <c r="O162" s="16"/>
      <c r="P162" s="16"/>
      <c r="Q162" s="16"/>
      <c r="R162" s="16"/>
      <c r="S162" s="16"/>
      <c r="T162" s="16"/>
      <c r="U162" s="16"/>
      <c r="V162" s="16"/>
      <c r="W162" s="16"/>
      <c r="X162" s="16"/>
      <c r="Y162" s="16"/>
      <c r="Z162" s="16"/>
      <c r="AA162" s="16"/>
      <c r="AB162" s="16"/>
      <c r="AC162" s="16"/>
      <c r="AD162" s="16"/>
    </row>
    <row r="163" spans="1:30" ht="15.75" customHeight="1">
      <c r="A163" s="231"/>
      <c r="B163" s="16"/>
      <c r="C163" s="246"/>
      <c r="D163" s="247"/>
      <c r="E163" s="245"/>
      <c r="F163" s="246"/>
      <c r="G163" s="247"/>
      <c r="H163" s="228"/>
      <c r="I163" s="228"/>
      <c r="J163" s="228"/>
      <c r="K163" s="228"/>
      <c r="L163" s="16"/>
      <c r="M163" s="735"/>
      <c r="N163" s="696"/>
      <c r="O163" s="696"/>
      <c r="P163" s="735"/>
      <c r="Q163" s="696"/>
      <c r="R163" s="696"/>
      <c r="S163" s="696"/>
      <c r="T163" s="696"/>
      <c r="U163" s="16"/>
      <c r="V163" s="16"/>
      <c r="W163" s="16"/>
      <c r="X163" s="16"/>
      <c r="Y163" s="16"/>
      <c r="Z163" s="16"/>
      <c r="AA163" s="16"/>
      <c r="AB163" s="16"/>
      <c r="AC163" s="16"/>
      <c r="AD163" s="16"/>
    </row>
    <row r="164" spans="1:30" ht="15.75" customHeight="1">
      <c r="A164" s="16"/>
      <c r="B164" s="16"/>
      <c r="C164" s="16"/>
      <c r="D164" s="16"/>
      <c r="E164" s="16"/>
      <c r="F164" s="16"/>
      <c r="G164" s="16"/>
      <c r="H164" s="16"/>
      <c r="I164" s="16"/>
      <c r="J164" s="16"/>
      <c r="K164" s="16"/>
      <c r="L164" s="16"/>
      <c r="M164" s="735"/>
      <c r="N164" s="696"/>
      <c r="O164" s="696"/>
      <c r="P164" s="735"/>
      <c r="Q164" s="696"/>
      <c r="R164" s="696"/>
      <c r="S164" s="696"/>
      <c r="T164" s="696"/>
      <c r="U164" s="16"/>
      <c r="V164" s="16"/>
      <c r="W164" s="16"/>
      <c r="X164" s="16"/>
      <c r="Y164" s="16"/>
      <c r="Z164" s="16"/>
      <c r="AA164" s="16"/>
      <c r="AB164" s="16"/>
      <c r="AC164" s="16"/>
      <c r="AD164" s="16"/>
    </row>
    <row r="165" spans="1:30" ht="15.75" customHeight="1">
      <c r="A165" s="16"/>
      <c r="B165" s="16"/>
      <c r="C165" s="16"/>
      <c r="D165" s="16"/>
      <c r="E165" s="16"/>
      <c r="F165" s="16"/>
      <c r="G165" s="16"/>
      <c r="H165" s="16"/>
      <c r="I165" s="16"/>
      <c r="J165" s="16"/>
      <c r="K165" s="16"/>
      <c r="L165" s="16"/>
      <c r="M165" s="735"/>
      <c r="N165" s="696"/>
      <c r="O165" s="696"/>
      <c r="P165" s="696"/>
      <c r="Q165" s="696"/>
      <c r="R165" s="696"/>
      <c r="S165" s="696"/>
      <c r="T165" s="696"/>
      <c r="U165" s="16"/>
      <c r="V165" s="16"/>
      <c r="W165" s="16"/>
      <c r="X165" s="16"/>
      <c r="Y165" s="16"/>
      <c r="Z165" s="16"/>
      <c r="AA165" s="16"/>
      <c r="AB165" s="16"/>
      <c r="AC165" s="16"/>
      <c r="AD165" s="16"/>
    </row>
    <row r="166" spans="1:30" ht="15.75" customHeight="1">
      <c r="A166" s="16"/>
      <c r="B166" s="16"/>
      <c r="C166" s="16"/>
      <c r="D166" s="16"/>
      <c r="E166" s="16"/>
      <c r="F166" s="16"/>
      <c r="G166" s="16"/>
      <c r="H166" s="16"/>
      <c r="I166" s="16"/>
      <c r="J166" s="16"/>
      <c r="K166" s="16"/>
      <c r="L166" s="16"/>
      <c r="M166" s="735"/>
      <c r="N166" s="696"/>
      <c r="O166" s="696"/>
      <c r="P166" s="696"/>
      <c r="Q166" s="696"/>
      <c r="R166" s="696"/>
      <c r="S166" s="696"/>
      <c r="T166" s="696"/>
      <c r="U166" s="16"/>
      <c r="V166" s="16"/>
      <c r="W166" s="16"/>
      <c r="X166" s="16"/>
      <c r="Y166" s="16"/>
      <c r="Z166" s="16"/>
      <c r="AA166" s="16"/>
      <c r="AB166" s="16"/>
      <c r="AC166" s="16"/>
      <c r="AD166" s="16"/>
    </row>
    <row r="167" spans="1:30" ht="15.75" customHeight="1">
      <c r="A167" s="16"/>
      <c r="B167" s="16"/>
      <c r="C167" s="16"/>
      <c r="D167" s="16"/>
      <c r="E167" s="16"/>
      <c r="F167" s="16"/>
      <c r="G167" s="16"/>
      <c r="H167" s="16"/>
      <c r="I167" s="16"/>
      <c r="J167" s="16"/>
      <c r="K167" s="16"/>
      <c r="L167" s="16"/>
      <c r="M167" s="735"/>
      <c r="N167" s="696"/>
      <c r="O167" s="696"/>
      <c r="P167" s="696"/>
      <c r="Q167" s="696"/>
      <c r="R167" s="696"/>
      <c r="S167" s="696"/>
      <c r="T167" s="696"/>
      <c r="U167" s="16"/>
      <c r="V167" s="16"/>
      <c r="W167" s="16"/>
      <c r="X167" s="16"/>
      <c r="Y167" s="16"/>
      <c r="Z167" s="16"/>
      <c r="AA167" s="16"/>
      <c r="AB167" s="16"/>
      <c r="AC167" s="16"/>
      <c r="AD167" s="16"/>
    </row>
    <row r="168" spans="1:30" ht="15.75" customHeight="1">
      <c r="A168" s="16"/>
      <c r="B168" s="16"/>
      <c r="C168" s="16"/>
      <c r="D168" s="16"/>
      <c r="E168" s="16"/>
      <c r="F168" s="16"/>
      <c r="G168" s="16"/>
      <c r="H168" s="16"/>
      <c r="I168" s="16"/>
      <c r="J168" s="16"/>
      <c r="K168" s="16"/>
      <c r="L168" s="16"/>
      <c r="M168" s="735"/>
      <c r="N168" s="696"/>
      <c r="O168" s="696"/>
      <c r="P168" s="696"/>
      <c r="Q168" s="696"/>
      <c r="R168" s="696"/>
      <c r="S168" s="696"/>
      <c r="T168" s="696"/>
      <c r="U168" s="16"/>
      <c r="V168" s="16"/>
      <c r="W168" s="16"/>
      <c r="X168" s="16"/>
      <c r="Y168" s="16"/>
      <c r="Z168" s="16"/>
      <c r="AA168" s="16"/>
      <c r="AB168" s="16"/>
      <c r="AC168" s="16"/>
      <c r="AD168" s="16"/>
    </row>
    <row r="169" spans="1:30" ht="15.75" customHeight="1">
      <c r="A169" s="16"/>
      <c r="B169" s="16"/>
      <c r="C169" s="16"/>
      <c r="D169" s="16"/>
      <c r="E169" s="16"/>
      <c r="F169" s="16"/>
      <c r="G169" s="16"/>
      <c r="H169" s="16"/>
      <c r="I169" s="16"/>
      <c r="J169" s="16"/>
      <c r="K169" s="16"/>
      <c r="L169" s="16"/>
      <c r="M169" s="735"/>
      <c r="N169" s="696"/>
      <c r="O169" s="696"/>
      <c r="P169" s="696"/>
      <c r="Q169" s="696"/>
      <c r="R169" s="696"/>
      <c r="S169" s="696"/>
      <c r="T169" s="696"/>
      <c r="U169" s="16"/>
      <c r="V169" s="16"/>
      <c r="W169" s="16"/>
      <c r="X169" s="16"/>
      <c r="Y169" s="16"/>
      <c r="Z169" s="16"/>
      <c r="AA169" s="16"/>
      <c r="AB169" s="16"/>
      <c r="AC169" s="16"/>
      <c r="AD169" s="16"/>
    </row>
    <row r="170" spans="1:30" ht="15.75" customHeight="1">
      <c r="A170" s="16"/>
      <c r="B170" s="16"/>
      <c r="C170" s="16"/>
      <c r="D170" s="16"/>
      <c r="E170" s="16"/>
      <c r="F170" s="16"/>
      <c r="G170" s="16"/>
      <c r="H170" s="16"/>
      <c r="I170" s="16"/>
      <c r="J170" s="16"/>
      <c r="K170" s="16"/>
      <c r="L170" s="16"/>
      <c r="M170" s="735"/>
      <c r="N170" s="696"/>
      <c r="O170" s="696"/>
      <c r="P170" s="696"/>
      <c r="Q170" s="696"/>
      <c r="R170" s="696"/>
      <c r="S170" s="696"/>
      <c r="T170" s="696"/>
      <c r="U170" s="16"/>
      <c r="V170" s="16"/>
      <c r="W170" s="16"/>
      <c r="X170" s="16"/>
      <c r="Y170" s="16"/>
      <c r="Z170" s="16"/>
      <c r="AA170" s="16"/>
      <c r="AB170" s="16"/>
      <c r="AC170" s="16"/>
      <c r="AD170" s="16"/>
    </row>
    <row r="171" spans="1:30" ht="15.75" customHeight="1">
      <c r="A171" s="16"/>
      <c r="B171" s="16"/>
      <c r="C171" s="16"/>
      <c r="D171" s="16"/>
      <c r="E171" s="16"/>
      <c r="F171" s="16"/>
      <c r="G171" s="16"/>
      <c r="H171" s="16"/>
      <c r="I171" s="16"/>
      <c r="J171" s="16"/>
      <c r="K171" s="16"/>
      <c r="L171" s="16"/>
      <c r="M171" s="735"/>
      <c r="N171" s="696"/>
      <c r="O171" s="696"/>
      <c r="P171" s="696"/>
      <c r="Q171" s="696"/>
      <c r="R171" s="696"/>
      <c r="S171" s="696"/>
      <c r="T171" s="696"/>
      <c r="U171" s="16"/>
      <c r="V171" s="16"/>
      <c r="W171" s="16"/>
      <c r="X171" s="16"/>
      <c r="Y171" s="16"/>
      <c r="Z171" s="16"/>
      <c r="AA171" s="16"/>
      <c r="AB171" s="16"/>
      <c r="AC171" s="16"/>
      <c r="AD171" s="16"/>
    </row>
    <row r="172" spans="1:30" ht="15.75" customHeight="1">
      <c r="A172" s="16"/>
      <c r="B172" s="16"/>
      <c r="C172" s="16"/>
      <c r="D172" s="16"/>
      <c r="E172" s="16"/>
      <c r="F172" s="16"/>
      <c r="G172" s="16"/>
      <c r="H172" s="16"/>
      <c r="I172" s="16"/>
      <c r="J172" s="16"/>
      <c r="K172" s="16"/>
      <c r="L172" s="16"/>
      <c r="M172" s="735"/>
      <c r="N172" s="696"/>
      <c r="O172" s="696"/>
      <c r="P172" s="696"/>
      <c r="Q172" s="696"/>
      <c r="R172" s="696"/>
      <c r="S172" s="696"/>
      <c r="T172" s="696"/>
      <c r="U172" s="16"/>
      <c r="V172" s="16"/>
      <c r="W172" s="16"/>
      <c r="X172" s="16"/>
      <c r="Y172" s="16"/>
      <c r="Z172" s="16"/>
      <c r="AA172" s="16"/>
      <c r="AB172" s="16"/>
      <c r="AC172" s="16"/>
      <c r="AD172" s="16"/>
    </row>
    <row r="173" spans="1:30" ht="15.75" customHeight="1">
      <c r="A173" s="16"/>
      <c r="B173" s="16"/>
      <c r="C173" s="16"/>
      <c r="D173" s="16"/>
      <c r="E173" s="16"/>
      <c r="F173" s="16"/>
      <c r="G173" s="16"/>
      <c r="H173" s="16"/>
      <c r="I173" s="16"/>
      <c r="J173" s="16"/>
      <c r="K173" s="16"/>
      <c r="L173" s="16"/>
      <c r="M173" s="735"/>
      <c r="N173" s="696"/>
      <c r="O173" s="696"/>
      <c r="P173" s="696"/>
      <c r="Q173" s="696"/>
      <c r="R173" s="696"/>
      <c r="S173" s="696"/>
      <c r="T173" s="696"/>
      <c r="U173" s="16"/>
      <c r="V173" s="16"/>
      <c r="W173" s="16"/>
      <c r="X173" s="16"/>
      <c r="Y173" s="16"/>
      <c r="Z173" s="16"/>
      <c r="AA173" s="16"/>
      <c r="AB173" s="16"/>
      <c r="AC173" s="16"/>
      <c r="AD173" s="16"/>
    </row>
    <row r="174" spans="1:30" ht="15.75" customHeight="1">
      <c r="A174" s="16"/>
      <c r="B174" s="16"/>
      <c r="C174" s="16"/>
      <c r="D174" s="16"/>
      <c r="E174" s="16"/>
      <c r="F174" s="16"/>
      <c r="G174" s="16"/>
      <c r="H174" s="16"/>
      <c r="I174" s="16"/>
      <c r="J174" s="16"/>
      <c r="K174" s="16"/>
      <c r="L174" s="16"/>
      <c r="M174" s="735"/>
      <c r="N174" s="696"/>
      <c r="O174" s="696"/>
      <c r="P174" s="696"/>
      <c r="Q174" s="696"/>
      <c r="R174" s="696"/>
      <c r="S174" s="696"/>
      <c r="T174" s="696"/>
      <c r="U174" s="16"/>
      <c r="V174" s="16"/>
      <c r="W174" s="16"/>
      <c r="X174" s="16"/>
      <c r="Y174" s="16"/>
      <c r="Z174" s="16"/>
      <c r="AA174" s="16"/>
      <c r="AB174" s="16"/>
      <c r="AC174" s="16"/>
      <c r="AD174" s="16"/>
    </row>
    <row r="175" spans="1:30" ht="15.75" customHeight="1">
      <c r="A175" s="16"/>
      <c r="B175" s="16"/>
      <c r="C175" s="16"/>
      <c r="D175" s="16"/>
      <c r="E175" s="16"/>
      <c r="F175" s="16"/>
      <c r="G175" s="16"/>
      <c r="H175" s="16"/>
      <c r="I175" s="16"/>
      <c r="J175" s="16"/>
      <c r="K175" s="16"/>
      <c r="L175" s="16"/>
      <c r="M175" s="735"/>
      <c r="N175" s="696"/>
      <c r="O175" s="696"/>
      <c r="P175" s="696"/>
      <c r="Q175" s="696"/>
      <c r="R175" s="696"/>
      <c r="S175" s="696"/>
      <c r="T175" s="696"/>
      <c r="U175" s="16"/>
      <c r="V175" s="16"/>
      <c r="W175" s="16"/>
      <c r="X175" s="16"/>
      <c r="Y175" s="16"/>
      <c r="Z175" s="16"/>
      <c r="AA175" s="16"/>
      <c r="AB175" s="16"/>
      <c r="AC175" s="16"/>
      <c r="AD175" s="16"/>
    </row>
    <row r="176" spans="1:30" ht="15.75" customHeight="1">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c r="AD176" s="16"/>
    </row>
    <row r="177" spans="1:30" ht="15.75" customHeight="1">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c r="AD177" s="16"/>
    </row>
    <row r="178" spans="1:30" ht="15.75" customHeight="1">
      <c r="A178" s="16"/>
      <c r="B178" s="16"/>
      <c r="C178" s="16"/>
      <c r="D178" s="16"/>
      <c r="E178" s="16"/>
      <c r="F178" s="16"/>
      <c r="G178" s="16"/>
      <c r="H178" s="16"/>
      <c r="I178" s="16"/>
      <c r="J178" s="16"/>
      <c r="K178" s="16"/>
      <c r="L178" s="16"/>
      <c r="M178" s="735"/>
      <c r="N178" s="696"/>
      <c r="O178" s="696"/>
      <c r="P178" s="735"/>
      <c r="Q178" s="696"/>
      <c r="R178" s="696"/>
      <c r="S178" s="696"/>
      <c r="T178" s="696"/>
      <c r="U178" s="16"/>
      <c r="V178" s="16"/>
      <c r="W178" s="16"/>
      <c r="X178" s="16"/>
      <c r="Y178" s="16"/>
      <c r="Z178" s="16"/>
      <c r="AA178" s="16"/>
      <c r="AB178" s="16"/>
      <c r="AC178" s="16"/>
      <c r="AD178" s="16"/>
    </row>
    <row r="179" spans="1:30" ht="15.75" customHeight="1">
      <c r="A179" s="16"/>
      <c r="B179" s="16"/>
      <c r="C179" s="16"/>
      <c r="D179" s="16"/>
      <c r="E179" s="16"/>
      <c r="F179" s="16"/>
      <c r="G179" s="16"/>
      <c r="H179" s="16"/>
      <c r="I179" s="16"/>
      <c r="J179" s="16"/>
      <c r="K179" s="16"/>
      <c r="L179" s="16"/>
      <c r="M179" s="735"/>
      <c r="N179" s="696"/>
      <c r="O179" s="696"/>
      <c r="P179" s="735"/>
      <c r="Q179" s="696"/>
      <c r="R179" s="696"/>
      <c r="S179" s="696"/>
      <c r="T179" s="696"/>
      <c r="U179" s="16"/>
      <c r="V179" s="16"/>
      <c r="W179" s="16"/>
      <c r="X179" s="16"/>
      <c r="Y179" s="16"/>
      <c r="Z179" s="16"/>
      <c r="AA179" s="16"/>
      <c r="AB179" s="16"/>
      <c r="AC179" s="16"/>
      <c r="AD179" s="16"/>
    </row>
    <row r="180" spans="1:30" ht="15.75" customHeight="1">
      <c r="A180" s="16"/>
      <c r="B180" s="16"/>
      <c r="C180" s="16"/>
      <c r="D180" s="16"/>
      <c r="E180" s="16"/>
      <c r="F180" s="16"/>
      <c r="G180" s="16"/>
      <c r="H180" s="16"/>
      <c r="I180" s="16"/>
      <c r="J180" s="16"/>
      <c r="K180" s="16"/>
      <c r="L180" s="16"/>
      <c r="M180" s="735"/>
      <c r="N180" s="696"/>
      <c r="O180" s="696"/>
      <c r="P180" s="696"/>
      <c r="Q180" s="696"/>
      <c r="R180" s="696"/>
      <c r="S180" s="696"/>
      <c r="T180" s="696"/>
      <c r="U180" s="16"/>
      <c r="V180" s="16"/>
      <c r="W180" s="16"/>
      <c r="X180" s="16"/>
      <c r="Y180" s="16"/>
      <c r="Z180" s="16"/>
      <c r="AA180" s="16"/>
      <c r="AB180" s="16"/>
      <c r="AC180" s="16"/>
      <c r="AD180" s="16"/>
    </row>
    <row r="181" spans="1:30" ht="15.75" customHeight="1">
      <c r="A181" s="16"/>
      <c r="B181" s="16"/>
      <c r="C181" s="16"/>
      <c r="D181" s="16"/>
      <c r="E181" s="16"/>
      <c r="F181" s="16"/>
      <c r="G181" s="16"/>
      <c r="H181" s="16"/>
      <c r="I181" s="16"/>
      <c r="J181" s="16"/>
      <c r="K181" s="16"/>
      <c r="L181" s="16"/>
      <c r="M181" s="735"/>
      <c r="N181" s="696"/>
      <c r="O181" s="696"/>
      <c r="P181" s="696"/>
      <c r="Q181" s="696"/>
      <c r="R181" s="696"/>
      <c r="S181" s="696"/>
      <c r="T181" s="696"/>
      <c r="U181" s="16"/>
      <c r="V181" s="16"/>
      <c r="W181" s="16"/>
      <c r="X181" s="16"/>
      <c r="Y181" s="16"/>
      <c r="Z181" s="16"/>
      <c r="AA181" s="16"/>
      <c r="AB181" s="16"/>
      <c r="AC181" s="16"/>
      <c r="AD181" s="16"/>
    </row>
    <row r="182" spans="1:30" ht="15.75" customHeight="1">
      <c r="A182" s="16"/>
      <c r="B182" s="16"/>
      <c r="C182" s="16"/>
      <c r="D182" s="16"/>
      <c r="E182" s="16"/>
      <c r="F182" s="16"/>
      <c r="G182" s="16"/>
      <c r="H182" s="16"/>
      <c r="I182" s="16"/>
      <c r="J182" s="16"/>
      <c r="K182" s="16"/>
      <c r="L182" s="16"/>
      <c r="M182" s="735"/>
      <c r="N182" s="696"/>
      <c r="O182" s="696"/>
      <c r="P182" s="696"/>
      <c r="Q182" s="696"/>
      <c r="R182" s="696"/>
      <c r="S182" s="696"/>
      <c r="T182" s="696"/>
      <c r="U182" s="16"/>
      <c r="V182" s="16"/>
      <c r="W182" s="16"/>
      <c r="X182" s="16"/>
      <c r="Y182" s="16"/>
      <c r="Z182" s="16"/>
      <c r="AA182" s="16"/>
      <c r="AB182" s="16"/>
      <c r="AC182" s="16"/>
      <c r="AD182" s="16"/>
    </row>
    <row r="183" spans="1:30" ht="15.75" customHeight="1">
      <c r="A183" s="16"/>
      <c r="B183" s="16"/>
      <c r="C183" s="16"/>
      <c r="D183" s="16"/>
      <c r="E183" s="16"/>
      <c r="F183" s="16"/>
      <c r="G183" s="16"/>
      <c r="H183" s="16"/>
      <c r="I183" s="16"/>
      <c r="J183" s="16"/>
      <c r="K183" s="16"/>
      <c r="L183" s="16"/>
      <c r="M183" s="735"/>
      <c r="N183" s="696"/>
      <c r="O183" s="696"/>
      <c r="P183" s="696"/>
      <c r="Q183" s="696"/>
      <c r="R183" s="696"/>
      <c r="S183" s="696"/>
      <c r="T183" s="696"/>
      <c r="U183" s="16"/>
      <c r="V183" s="16"/>
      <c r="W183" s="16"/>
      <c r="X183" s="16"/>
      <c r="Y183" s="16"/>
      <c r="Z183" s="16"/>
      <c r="AA183" s="16"/>
      <c r="AB183" s="16"/>
      <c r="AC183" s="16"/>
      <c r="AD183" s="16"/>
    </row>
    <row r="184" spans="1:30" ht="15.75" customHeight="1">
      <c r="A184" s="16"/>
      <c r="B184" s="16"/>
      <c r="C184" s="16"/>
      <c r="D184" s="16"/>
      <c r="E184" s="16"/>
      <c r="F184" s="16"/>
      <c r="G184" s="16"/>
      <c r="H184" s="16"/>
      <c r="I184" s="16"/>
      <c r="J184" s="16"/>
      <c r="K184" s="16"/>
      <c r="L184" s="16"/>
      <c r="M184" s="735"/>
      <c r="N184" s="696"/>
      <c r="O184" s="696"/>
      <c r="P184" s="696"/>
      <c r="Q184" s="696"/>
      <c r="R184" s="696"/>
      <c r="S184" s="696"/>
      <c r="T184" s="696"/>
      <c r="U184" s="16"/>
      <c r="V184" s="16"/>
      <c r="W184" s="16"/>
      <c r="X184" s="16"/>
      <c r="Y184" s="16"/>
      <c r="Z184" s="16"/>
      <c r="AA184" s="16"/>
      <c r="AB184" s="16"/>
      <c r="AC184" s="16"/>
      <c r="AD184" s="16"/>
    </row>
    <row r="185" spans="1:30" ht="15.75" customHeight="1">
      <c r="A185" s="16"/>
      <c r="B185" s="16"/>
      <c r="C185" s="16"/>
      <c r="D185" s="16"/>
      <c r="E185" s="16"/>
      <c r="F185" s="16"/>
      <c r="G185" s="16"/>
      <c r="H185" s="16"/>
      <c r="I185" s="16"/>
      <c r="J185" s="16"/>
      <c r="K185" s="16"/>
      <c r="L185" s="16"/>
      <c r="M185" s="735"/>
      <c r="N185" s="696"/>
      <c r="O185" s="696"/>
      <c r="P185" s="696"/>
      <c r="Q185" s="696"/>
      <c r="R185" s="696"/>
      <c r="S185" s="696"/>
      <c r="T185" s="696"/>
      <c r="U185" s="16"/>
      <c r="V185" s="16"/>
      <c r="W185" s="16"/>
      <c r="X185" s="16"/>
      <c r="Y185" s="16"/>
      <c r="Z185" s="16"/>
      <c r="AA185" s="16"/>
      <c r="AB185" s="16"/>
      <c r="AC185" s="16"/>
      <c r="AD185" s="16"/>
    </row>
    <row r="186" spans="1:30" ht="15.75" customHeight="1">
      <c r="A186" s="16"/>
      <c r="B186" s="16"/>
      <c r="C186" s="16"/>
      <c r="D186" s="16"/>
      <c r="E186" s="16"/>
      <c r="F186" s="16"/>
      <c r="G186" s="16"/>
      <c r="H186" s="16"/>
      <c r="I186" s="16"/>
      <c r="J186" s="16"/>
      <c r="K186" s="16"/>
      <c r="L186" s="16"/>
      <c r="M186" s="735"/>
      <c r="N186" s="696"/>
      <c r="O186" s="696"/>
      <c r="P186" s="696"/>
      <c r="Q186" s="696"/>
      <c r="R186" s="696"/>
      <c r="S186" s="696"/>
      <c r="T186" s="696"/>
      <c r="U186" s="16"/>
      <c r="V186" s="16"/>
      <c r="W186" s="16"/>
      <c r="X186" s="16"/>
      <c r="Y186" s="16"/>
      <c r="Z186" s="16"/>
      <c r="AA186" s="16"/>
      <c r="AB186" s="16"/>
      <c r="AC186" s="16"/>
      <c r="AD186" s="16"/>
    </row>
    <row r="187" spans="1:30" ht="15.75" customHeight="1">
      <c r="A187" s="16"/>
      <c r="B187" s="16"/>
      <c r="C187" s="16"/>
      <c r="D187" s="16"/>
      <c r="E187" s="16"/>
      <c r="F187" s="16"/>
      <c r="G187" s="16"/>
      <c r="H187" s="16"/>
      <c r="I187" s="16"/>
      <c r="J187" s="16"/>
      <c r="K187" s="16"/>
      <c r="L187" s="16"/>
      <c r="M187" s="735"/>
      <c r="N187" s="696"/>
      <c r="O187" s="696"/>
      <c r="P187" s="696"/>
      <c r="Q187" s="696"/>
      <c r="R187" s="696"/>
      <c r="S187" s="696"/>
      <c r="T187" s="696"/>
      <c r="U187" s="16"/>
      <c r="V187" s="16"/>
      <c r="W187" s="16"/>
      <c r="X187" s="16"/>
      <c r="Y187" s="16"/>
      <c r="Z187" s="16"/>
      <c r="AA187" s="16"/>
      <c r="AB187" s="16"/>
      <c r="AC187" s="16"/>
      <c r="AD187" s="16"/>
    </row>
    <row r="188" spans="1:30" ht="15.75" customHeight="1">
      <c r="A188" s="16"/>
      <c r="B188" s="16"/>
      <c r="C188" s="16"/>
      <c r="D188" s="16"/>
      <c r="E188" s="16"/>
      <c r="F188" s="16"/>
      <c r="G188" s="16"/>
      <c r="H188" s="16"/>
      <c r="I188" s="16"/>
      <c r="J188" s="16"/>
      <c r="K188" s="16"/>
      <c r="L188" s="16"/>
      <c r="M188" s="735"/>
      <c r="N188" s="696"/>
      <c r="O188" s="696"/>
      <c r="P188" s="696"/>
      <c r="Q188" s="696"/>
      <c r="R188" s="696"/>
      <c r="S188" s="696"/>
      <c r="T188" s="696"/>
      <c r="U188" s="16"/>
      <c r="V188" s="16"/>
      <c r="W188" s="16"/>
      <c r="X188" s="16"/>
      <c r="Y188" s="16"/>
      <c r="Z188" s="16"/>
      <c r="AA188" s="16"/>
      <c r="AB188" s="16"/>
      <c r="AC188" s="16"/>
      <c r="AD188" s="16"/>
    </row>
    <row r="189" spans="1:30" ht="15.75" customHeight="1">
      <c r="A189" s="16"/>
      <c r="B189" s="16"/>
      <c r="C189" s="16"/>
      <c r="D189" s="16"/>
      <c r="E189" s="16"/>
      <c r="F189" s="16"/>
      <c r="G189" s="16"/>
      <c r="H189" s="16"/>
      <c r="I189" s="16"/>
      <c r="J189" s="16"/>
      <c r="K189" s="16"/>
      <c r="L189" s="16"/>
      <c r="M189" s="735"/>
      <c r="N189" s="696"/>
      <c r="O189" s="696"/>
      <c r="P189" s="696"/>
      <c r="Q189" s="696"/>
      <c r="R189" s="696"/>
      <c r="S189" s="696"/>
      <c r="T189" s="696"/>
      <c r="U189" s="16"/>
      <c r="V189" s="16"/>
      <c r="W189" s="16"/>
      <c r="X189" s="16"/>
      <c r="Y189" s="16"/>
      <c r="Z189" s="16"/>
      <c r="AA189" s="16"/>
      <c r="AB189" s="16"/>
      <c r="AC189" s="16"/>
      <c r="AD189" s="16"/>
    </row>
    <row r="190" spans="1:30" ht="15.75" customHeight="1">
      <c r="A190" s="16"/>
      <c r="B190" s="16"/>
      <c r="C190" s="16"/>
      <c r="D190" s="16"/>
      <c r="E190" s="16"/>
      <c r="F190" s="16"/>
      <c r="G190" s="16"/>
      <c r="H190" s="16"/>
      <c r="I190" s="16"/>
      <c r="J190" s="16"/>
      <c r="K190" s="16"/>
      <c r="L190" s="16"/>
      <c r="M190" s="735"/>
      <c r="N190" s="696"/>
      <c r="O190" s="696"/>
      <c r="P190" s="696"/>
      <c r="Q190" s="696"/>
      <c r="R190" s="696"/>
      <c r="S190" s="696"/>
      <c r="T190" s="696"/>
      <c r="U190" s="16"/>
      <c r="V190" s="16"/>
      <c r="W190" s="16"/>
      <c r="X190" s="16"/>
      <c r="Y190" s="16"/>
      <c r="Z190" s="16"/>
      <c r="AA190" s="16"/>
      <c r="AB190" s="16"/>
      <c r="AC190" s="16"/>
      <c r="AD190" s="16"/>
    </row>
    <row r="191" spans="1:30" ht="15.75" customHeight="1">
      <c r="A191" s="16"/>
      <c r="B191" s="16"/>
      <c r="C191" s="16"/>
      <c r="D191" s="16"/>
      <c r="E191" s="16"/>
      <c r="F191" s="16"/>
      <c r="G191" s="16"/>
      <c r="H191" s="16"/>
      <c r="I191" s="16"/>
      <c r="J191" s="16"/>
      <c r="K191" s="16"/>
      <c r="L191" s="16"/>
      <c r="M191" s="735"/>
      <c r="N191" s="696"/>
      <c r="O191" s="696"/>
      <c r="P191" s="696"/>
      <c r="Q191" s="696"/>
      <c r="R191" s="696"/>
      <c r="S191" s="696"/>
      <c r="T191" s="696"/>
      <c r="U191" s="16"/>
      <c r="V191" s="16"/>
      <c r="W191" s="16"/>
      <c r="X191" s="16"/>
      <c r="Y191" s="16"/>
      <c r="Z191" s="16"/>
      <c r="AA191" s="16"/>
      <c r="AB191" s="16"/>
      <c r="AC191" s="16"/>
      <c r="AD191" s="16"/>
    </row>
    <row r="192" spans="1:30" ht="15.75" customHeight="1">
      <c r="A192" s="16"/>
      <c r="B192" s="16"/>
      <c r="C192" s="16"/>
      <c r="D192" s="16"/>
      <c r="E192" s="16"/>
      <c r="F192" s="16"/>
      <c r="G192" s="16"/>
      <c r="H192" s="16"/>
      <c r="I192" s="16"/>
      <c r="J192" s="16"/>
      <c r="K192" s="16"/>
      <c r="L192" s="16"/>
      <c r="M192" s="735"/>
      <c r="N192" s="696"/>
      <c r="O192" s="696"/>
      <c r="P192" s="696"/>
      <c r="Q192" s="696"/>
      <c r="R192" s="696"/>
      <c r="S192" s="696"/>
      <c r="T192" s="696"/>
      <c r="U192" s="16"/>
      <c r="V192" s="16"/>
      <c r="W192" s="16"/>
      <c r="X192" s="16"/>
      <c r="Y192" s="16"/>
      <c r="Z192" s="16"/>
      <c r="AA192" s="16"/>
      <c r="AB192" s="16"/>
      <c r="AC192" s="16"/>
      <c r="AD192" s="16"/>
    </row>
    <row r="193" spans="1:30" ht="15.75" customHeight="1">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c r="AA193" s="16"/>
      <c r="AB193" s="16"/>
      <c r="AC193" s="16"/>
      <c r="AD193" s="16"/>
    </row>
    <row r="194" spans="1:30" ht="15.75" customHeight="1">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c r="AA194" s="16"/>
      <c r="AB194" s="16"/>
      <c r="AC194" s="16"/>
      <c r="AD194" s="16"/>
    </row>
    <row r="195" spans="1:30" ht="15.75" customHeight="1">
      <c r="A195" s="16"/>
      <c r="B195" s="735"/>
      <c r="C195" s="696"/>
      <c r="D195" s="16"/>
      <c r="E195" s="16"/>
      <c r="F195" s="16"/>
      <c r="G195" s="16"/>
      <c r="H195" s="16"/>
      <c r="I195" s="16"/>
      <c r="J195" s="16"/>
      <c r="K195" s="16"/>
      <c r="L195" s="16"/>
      <c r="M195" s="735"/>
      <c r="N195" s="696"/>
      <c r="O195" s="696"/>
      <c r="P195" s="735"/>
      <c r="Q195" s="696"/>
      <c r="R195" s="696"/>
      <c r="S195" s="696"/>
      <c r="T195" s="696"/>
      <c r="U195" s="16"/>
      <c r="V195" s="16"/>
      <c r="W195" s="16"/>
      <c r="X195" s="16"/>
      <c r="Y195" s="16"/>
      <c r="Z195" s="16"/>
      <c r="AA195" s="16"/>
      <c r="AB195" s="16"/>
      <c r="AC195" s="16"/>
      <c r="AD195" s="16"/>
    </row>
    <row r="196" spans="1:30" ht="15.75" customHeight="1">
      <c r="A196" s="16"/>
      <c r="B196" s="735"/>
      <c r="C196" s="696"/>
      <c r="D196" s="16"/>
      <c r="E196" s="16"/>
      <c r="F196" s="16"/>
      <c r="G196" s="16"/>
      <c r="H196" s="16"/>
      <c r="I196" s="16"/>
      <c r="J196" s="16"/>
      <c r="K196" s="16"/>
      <c r="L196" s="16"/>
      <c r="M196" s="735"/>
      <c r="N196" s="696"/>
      <c r="O196" s="696"/>
      <c r="P196" s="735"/>
      <c r="Q196" s="696"/>
      <c r="R196" s="696"/>
      <c r="S196" s="696"/>
      <c r="T196" s="696"/>
      <c r="U196" s="16"/>
      <c r="V196" s="16"/>
      <c r="W196" s="16"/>
      <c r="X196" s="16"/>
      <c r="Y196" s="16"/>
      <c r="Z196" s="16"/>
      <c r="AA196" s="16"/>
      <c r="AB196" s="16"/>
      <c r="AC196" s="16"/>
      <c r="AD196" s="16"/>
    </row>
    <row r="197" spans="1:30" ht="15.75" customHeight="1">
      <c r="A197" s="16"/>
      <c r="B197" s="735"/>
      <c r="C197" s="696"/>
      <c r="D197" s="16"/>
      <c r="E197" s="16"/>
      <c r="F197" s="16"/>
      <c r="G197" s="16"/>
      <c r="H197" s="16"/>
      <c r="I197" s="16"/>
      <c r="J197" s="16"/>
      <c r="K197" s="16"/>
      <c r="L197" s="16"/>
      <c r="M197" s="735"/>
      <c r="N197" s="696"/>
      <c r="O197" s="696"/>
      <c r="P197" s="696"/>
      <c r="Q197" s="696"/>
      <c r="R197" s="696"/>
      <c r="S197" s="696"/>
      <c r="T197" s="696"/>
      <c r="U197" s="16"/>
      <c r="V197" s="16"/>
      <c r="W197" s="16"/>
      <c r="X197" s="16"/>
      <c r="Y197" s="16"/>
      <c r="Z197" s="16"/>
      <c r="AA197" s="16"/>
      <c r="AB197" s="16"/>
      <c r="AC197" s="16"/>
      <c r="AD197" s="16"/>
    </row>
    <row r="198" spans="1:30" ht="15.75" customHeight="1">
      <c r="A198" s="16"/>
      <c r="B198" s="735"/>
      <c r="C198" s="696"/>
      <c r="D198" s="16"/>
      <c r="E198" s="16"/>
      <c r="F198" s="16"/>
      <c r="G198" s="16"/>
      <c r="H198" s="16"/>
      <c r="I198" s="16"/>
      <c r="J198" s="16"/>
      <c r="K198" s="16"/>
      <c r="L198" s="16"/>
      <c r="M198" s="735"/>
      <c r="N198" s="696"/>
      <c r="O198" s="696"/>
      <c r="P198" s="696"/>
      <c r="Q198" s="696"/>
      <c r="R198" s="696"/>
      <c r="S198" s="696"/>
      <c r="T198" s="696"/>
      <c r="U198" s="16"/>
      <c r="V198" s="16"/>
      <c r="W198" s="16"/>
      <c r="X198" s="16"/>
      <c r="Y198" s="16"/>
      <c r="Z198" s="16"/>
      <c r="AA198" s="16"/>
      <c r="AB198" s="16"/>
      <c r="AC198" s="16"/>
      <c r="AD198" s="16"/>
    </row>
    <row r="199" spans="1:30" ht="15.75" customHeight="1">
      <c r="A199" s="16"/>
      <c r="B199" s="735"/>
      <c r="C199" s="696"/>
      <c r="D199" s="16"/>
      <c r="E199" s="16"/>
      <c r="F199" s="16"/>
      <c r="G199" s="16"/>
      <c r="H199" s="16"/>
      <c r="I199" s="16"/>
      <c r="J199" s="16"/>
      <c r="K199" s="16"/>
      <c r="L199" s="16"/>
      <c r="M199" s="735"/>
      <c r="N199" s="696"/>
      <c r="O199" s="696"/>
      <c r="P199" s="696"/>
      <c r="Q199" s="696"/>
      <c r="R199" s="696"/>
      <c r="S199" s="696"/>
      <c r="T199" s="696"/>
      <c r="U199" s="16"/>
      <c r="V199" s="16"/>
      <c r="W199" s="16"/>
      <c r="X199" s="16"/>
      <c r="Y199" s="16"/>
      <c r="Z199" s="16"/>
      <c r="AA199" s="16"/>
      <c r="AB199" s="16"/>
      <c r="AC199" s="16"/>
      <c r="AD199" s="16"/>
    </row>
    <row r="200" spans="1:30" ht="15.75" customHeight="1">
      <c r="A200" s="16"/>
      <c r="B200" s="735"/>
      <c r="C200" s="696"/>
      <c r="D200" s="16"/>
      <c r="E200" s="16"/>
      <c r="F200" s="16"/>
      <c r="G200" s="16"/>
      <c r="H200" s="16"/>
      <c r="I200" s="16"/>
      <c r="J200" s="16"/>
      <c r="K200" s="16"/>
      <c r="L200" s="16"/>
      <c r="M200" s="735"/>
      <c r="N200" s="696"/>
      <c r="O200" s="696"/>
      <c r="P200" s="696"/>
      <c r="Q200" s="696"/>
      <c r="R200" s="696"/>
      <c r="S200" s="696"/>
      <c r="T200" s="696"/>
      <c r="U200" s="16"/>
      <c r="V200" s="16"/>
      <c r="W200" s="16"/>
      <c r="X200" s="16"/>
      <c r="Y200" s="16"/>
      <c r="Z200" s="16"/>
      <c r="AA200" s="16"/>
      <c r="AB200" s="16"/>
      <c r="AC200" s="16"/>
      <c r="AD200" s="16"/>
    </row>
    <row r="201" spans="1:30" ht="15.75" customHeight="1">
      <c r="A201" s="16"/>
      <c r="B201" s="735"/>
      <c r="C201" s="696"/>
      <c r="D201" s="16"/>
      <c r="E201" s="16"/>
      <c r="F201" s="16"/>
      <c r="G201" s="16"/>
      <c r="H201" s="16"/>
      <c r="I201" s="16"/>
      <c r="J201" s="16"/>
      <c r="K201" s="16"/>
      <c r="L201" s="16"/>
      <c r="M201" s="735"/>
      <c r="N201" s="696"/>
      <c r="O201" s="696"/>
      <c r="P201" s="696"/>
      <c r="Q201" s="696"/>
      <c r="R201" s="696"/>
      <c r="S201" s="696"/>
      <c r="T201" s="696"/>
      <c r="U201" s="16"/>
      <c r="V201" s="16"/>
      <c r="W201" s="16"/>
      <c r="X201" s="16"/>
      <c r="Y201" s="16"/>
      <c r="Z201" s="16"/>
      <c r="AA201" s="16"/>
      <c r="AB201" s="16"/>
      <c r="AC201" s="16"/>
      <c r="AD201" s="16"/>
    </row>
    <row r="202" spans="1:30" ht="15.75" customHeight="1">
      <c r="A202" s="16"/>
      <c r="B202" s="735"/>
      <c r="C202" s="696"/>
      <c r="D202" s="16"/>
      <c r="E202" s="16"/>
      <c r="F202" s="16"/>
      <c r="G202" s="16"/>
      <c r="H202" s="16"/>
      <c r="I202" s="16"/>
      <c r="J202" s="16"/>
      <c r="K202" s="16"/>
      <c r="L202" s="16"/>
      <c r="M202" s="735"/>
      <c r="N202" s="696"/>
      <c r="O202" s="696"/>
      <c r="P202" s="696"/>
      <c r="Q202" s="696"/>
      <c r="R202" s="696"/>
      <c r="S202" s="696"/>
      <c r="T202" s="696"/>
      <c r="U202" s="16"/>
      <c r="V202" s="16"/>
      <c r="W202" s="16"/>
      <c r="X202" s="16"/>
      <c r="Y202" s="16"/>
      <c r="Z202" s="16"/>
      <c r="AA202" s="16"/>
      <c r="AB202" s="16"/>
      <c r="AC202" s="16"/>
      <c r="AD202" s="16"/>
    </row>
    <row r="203" spans="1:30" ht="15.75" customHeight="1">
      <c r="A203" s="16"/>
      <c r="B203" s="735"/>
      <c r="C203" s="696"/>
      <c r="D203" s="16"/>
      <c r="E203" s="16"/>
      <c r="F203" s="16"/>
      <c r="G203" s="16"/>
      <c r="H203" s="16"/>
      <c r="I203" s="16"/>
      <c r="J203" s="16"/>
      <c r="K203" s="16"/>
      <c r="L203" s="16"/>
      <c r="M203" s="735"/>
      <c r="N203" s="696"/>
      <c r="O203" s="696"/>
      <c r="P203" s="696"/>
      <c r="Q203" s="696"/>
      <c r="R203" s="696"/>
      <c r="S203" s="696"/>
      <c r="T203" s="696"/>
      <c r="U203" s="16"/>
      <c r="V203" s="16"/>
      <c r="W203" s="16"/>
      <c r="X203" s="16"/>
      <c r="Y203" s="16"/>
      <c r="Z203" s="16"/>
      <c r="AA203" s="16"/>
      <c r="AB203" s="16"/>
      <c r="AC203" s="16"/>
      <c r="AD203" s="16"/>
    </row>
    <row r="204" spans="1:30" ht="15.75" customHeight="1">
      <c r="A204" s="16"/>
      <c r="B204" s="735"/>
      <c r="C204" s="696"/>
      <c r="D204" s="16"/>
      <c r="E204" s="16"/>
      <c r="F204" s="16"/>
      <c r="G204" s="16"/>
      <c r="H204" s="16"/>
      <c r="I204" s="16"/>
      <c r="J204" s="16"/>
      <c r="K204" s="16"/>
      <c r="L204" s="16"/>
      <c r="M204" s="735"/>
      <c r="N204" s="696"/>
      <c r="O204" s="696"/>
      <c r="P204" s="696"/>
      <c r="Q204" s="696"/>
      <c r="R204" s="696"/>
      <c r="S204" s="696"/>
      <c r="T204" s="696"/>
      <c r="U204" s="16"/>
      <c r="V204" s="16"/>
      <c r="W204" s="16"/>
      <c r="X204" s="16"/>
      <c r="Y204" s="16"/>
      <c r="Z204" s="16"/>
      <c r="AA204" s="16"/>
      <c r="AB204" s="16"/>
      <c r="AC204" s="16"/>
      <c r="AD204" s="16"/>
    </row>
    <row r="205" spans="1:30" ht="15.75" customHeight="1">
      <c r="A205" s="16"/>
      <c r="B205" s="735"/>
      <c r="C205" s="696"/>
      <c r="D205" s="16"/>
      <c r="E205" s="16"/>
      <c r="F205" s="16"/>
      <c r="G205" s="16"/>
      <c r="H205" s="16"/>
      <c r="I205" s="16"/>
      <c r="J205" s="16"/>
      <c r="K205" s="16"/>
      <c r="L205" s="16"/>
      <c r="M205" s="735"/>
      <c r="N205" s="696"/>
      <c r="O205" s="696"/>
      <c r="P205" s="696"/>
      <c r="Q205" s="696"/>
      <c r="R205" s="696"/>
      <c r="S205" s="696"/>
      <c r="T205" s="696"/>
      <c r="U205" s="16"/>
      <c r="V205" s="16"/>
      <c r="W205" s="16"/>
      <c r="X205" s="16"/>
      <c r="Y205" s="16"/>
      <c r="Z205" s="16"/>
      <c r="AA205" s="16"/>
      <c r="AB205" s="16"/>
      <c r="AC205" s="16"/>
      <c r="AD205" s="16"/>
    </row>
    <row r="206" spans="1:30" ht="15.75" customHeight="1">
      <c r="A206" s="16"/>
      <c r="B206" s="735"/>
      <c r="C206" s="696"/>
      <c r="D206" s="16"/>
      <c r="E206" s="16"/>
      <c r="F206" s="16"/>
      <c r="G206" s="16"/>
      <c r="H206" s="16"/>
      <c r="I206" s="16"/>
      <c r="J206" s="16"/>
      <c r="K206" s="16"/>
      <c r="L206" s="16"/>
      <c r="M206" s="735"/>
      <c r="N206" s="696"/>
      <c r="O206" s="696"/>
      <c r="P206" s="696"/>
      <c r="Q206" s="696"/>
      <c r="R206" s="696"/>
      <c r="S206" s="696"/>
      <c r="T206" s="696"/>
      <c r="U206" s="16"/>
      <c r="V206" s="16"/>
      <c r="W206" s="16"/>
      <c r="X206" s="16"/>
      <c r="Y206" s="16"/>
      <c r="Z206" s="16"/>
      <c r="AA206" s="16"/>
      <c r="AB206" s="16"/>
      <c r="AC206" s="16"/>
      <c r="AD206" s="16"/>
    </row>
    <row r="207" spans="1:30" ht="15.75" customHeight="1">
      <c r="A207" s="16"/>
      <c r="B207" s="735"/>
      <c r="C207" s="696"/>
      <c r="D207" s="16"/>
      <c r="E207" s="16"/>
      <c r="F207" s="16"/>
      <c r="G207" s="16"/>
      <c r="H207" s="16"/>
      <c r="I207" s="16"/>
      <c r="J207" s="16"/>
      <c r="K207" s="16"/>
      <c r="L207" s="16"/>
      <c r="M207" s="735"/>
      <c r="N207" s="696"/>
      <c r="O207" s="696"/>
      <c r="P207" s="696"/>
      <c r="Q207" s="696"/>
      <c r="R207" s="696"/>
      <c r="S207" s="696"/>
      <c r="T207" s="696"/>
      <c r="U207" s="16"/>
      <c r="V207" s="16"/>
      <c r="W207" s="16"/>
      <c r="X207" s="16"/>
      <c r="Y207" s="16"/>
      <c r="Z207" s="16"/>
      <c r="AA207" s="16"/>
      <c r="AB207" s="16"/>
      <c r="AC207" s="16"/>
      <c r="AD207" s="16"/>
    </row>
    <row r="208" spans="1:30" ht="15.75" customHeight="1">
      <c r="A208" s="16"/>
      <c r="B208" s="735"/>
      <c r="C208" s="696"/>
      <c r="D208" s="16"/>
      <c r="E208" s="16"/>
      <c r="F208" s="16"/>
      <c r="G208" s="16"/>
      <c r="H208" s="16"/>
      <c r="I208" s="16"/>
      <c r="J208" s="16"/>
      <c r="K208" s="16"/>
      <c r="L208" s="16"/>
      <c r="M208" s="735"/>
      <c r="N208" s="696"/>
      <c r="O208" s="696"/>
      <c r="P208" s="696"/>
      <c r="Q208" s="696"/>
      <c r="R208" s="696"/>
      <c r="S208" s="696"/>
      <c r="T208" s="696"/>
      <c r="U208" s="16"/>
      <c r="V208" s="16"/>
      <c r="W208" s="16"/>
      <c r="X208" s="16"/>
      <c r="Y208" s="16"/>
      <c r="Z208" s="16"/>
      <c r="AA208" s="16"/>
      <c r="AB208" s="16"/>
      <c r="AC208" s="16"/>
      <c r="AD208" s="16"/>
    </row>
    <row r="209" spans="1:30" ht="15.75" customHeight="1">
      <c r="A209" s="16"/>
      <c r="B209" s="735"/>
      <c r="C209" s="696"/>
      <c r="D209" s="16"/>
      <c r="E209" s="16"/>
      <c r="F209" s="16"/>
      <c r="G209" s="16"/>
      <c r="H209" s="16"/>
      <c r="I209" s="16"/>
      <c r="J209" s="16"/>
      <c r="K209" s="16"/>
      <c r="L209" s="16"/>
      <c r="M209" s="735"/>
      <c r="N209" s="696"/>
      <c r="O209" s="696"/>
      <c r="P209" s="696"/>
      <c r="Q209" s="696"/>
      <c r="R209" s="696"/>
      <c r="S209" s="696"/>
      <c r="T209" s="696"/>
      <c r="U209" s="16"/>
      <c r="V209" s="16"/>
      <c r="W209" s="16"/>
      <c r="X209" s="16"/>
      <c r="Y209" s="16"/>
      <c r="Z209" s="16"/>
      <c r="AA209" s="16"/>
      <c r="AB209" s="16"/>
      <c r="AC209" s="16"/>
      <c r="AD209" s="16"/>
    </row>
    <row r="210" spans="1:30" ht="15.75" customHeight="1">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c r="AD210" s="16"/>
    </row>
    <row r="211" spans="1:30" ht="15.75" customHeight="1">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row>
    <row r="212" spans="1:30" ht="15.75" customHeight="1">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c r="AD212" s="16"/>
    </row>
    <row r="213" spans="1:30" ht="15.75" customHeight="1">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c r="AD213" s="16"/>
    </row>
    <row r="214" spans="1:30" ht="15.75" customHeight="1">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row>
    <row r="215" spans="1:30" ht="15.75" customHeight="1">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c r="AD215" s="16"/>
    </row>
    <row r="216" spans="1:30" ht="15.75" customHeight="1">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c r="AD216" s="16"/>
    </row>
    <row r="217" spans="1:30" ht="15.75" customHeight="1">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c r="AD217" s="16"/>
    </row>
    <row r="218" spans="1:30" ht="15.75" customHeight="1">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c r="AD218" s="16"/>
    </row>
    <row r="219" spans="1:30" ht="15.75" customHeight="1">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c r="AD219" s="16"/>
    </row>
    <row r="220" spans="1:30" ht="15.75" customHeight="1">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c r="AD220" s="16"/>
    </row>
    <row r="221" spans="1:30" ht="15.75" customHeight="1">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row>
    <row r="222" spans="1:30" ht="15.75" customHeight="1">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row>
    <row r="223" spans="1:30" ht="15.75" customHeight="1">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c r="AD223" s="16"/>
    </row>
    <row r="224" spans="1:30" ht="15.75" customHeight="1">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c r="AD224" s="16"/>
    </row>
    <row r="225" spans="1:30" ht="15.75" customHeight="1">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16"/>
    </row>
    <row r="226" spans="1:30" ht="15.75" customHeight="1">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row>
    <row r="227" spans="1:30" ht="15.75" customHeight="1">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16"/>
    </row>
    <row r="228" spans="1:30" ht="15.75" customHeight="1">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c r="AD228" s="16"/>
    </row>
    <row r="229" spans="1:30" ht="15.75" customHeight="1">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c r="AD229" s="16"/>
    </row>
    <row r="230" spans="1:30" ht="15.75" customHeight="1">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row>
    <row r="231" spans="1:30" ht="15.75" customHeight="1">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c r="AD231" s="16"/>
    </row>
    <row r="232" spans="1:30" ht="15.75" customHeight="1">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c r="AD232" s="16"/>
    </row>
    <row r="233" spans="1:30" ht="15.75" customHeight="1">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c r="AD233" s="16"/>
    </row>
    <row r="234" spans="1:30" ht="15.75" customHeight="1">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c r="AD234" s="16"/>
    </row>
    <row r="235" spans="1:30" ht="15.75" customHeight="1">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row>
    <row r="236" spans="1:30" ht="15.75" customHeight="1">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c r="AD236" s="16"/>
    </row>
    <row r="237" spans="1:30" ht="15.75" customHeight="1">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c r="AD237" s="16"/>
    </row>
    <row r="238" spans="1:30" ht="15.75" customHeight="1">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c r="AD238" s="16"/>
    </row>
    <row r="239" spans="1:30" ht="15.75" customHeight="1">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c r="AD239" s="16"/>
    </row>
    <row r="240" spans="1:30" ht="15.75" customHeight="1">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c r="AD240" s="16"/>
    </row>
    <row r="241" spans="1:30" ht="15.75" customHeight="1">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c r="AD241" s="16"/>
    </row>
    <row r="242" spans="1:30" ht="15.75" customHeight="1">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c r="AD242" s="16"/>
    </row>
    <row r="243" spans="1:30" ht="15.75" customHeight="1">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c r="AD243" s="16"/>
    </row>
    <row r="244" spans="1:30" ht="15.75" customHeight="1">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16"/>
    </row>
    <row r="245" spans="1:30" ht="15.75" customHeight="1">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c r="AD245" s="16"/>
    </row>
    <row r="246" spans="1:30" ht="15.75" customHeight="1">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row>
    <row r="247" spans="1:30" ht="15.75" customHeight="1">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c r="AD247" s="16"/>
    </row>
    <row r="248" spans="1:30" ht="15.75" customHeight="1">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row>
    <row r="249" spans="1:30" ht="15.75" customHeight="1">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row>
    <row r="250" spans="1:30" ht="15.75" customHeight="1">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c r="AD250" s="16"/>
    </row>
    <row r="251" spans="1:30" ht="15.75" customHeight="1">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row>
    <row r="252" spans="1:30" ht="15.75" customHeight="1">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16"/>
    </row>
    <row r="253" spans="1:30" ht="15.75" customHeight="1">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c r="AD253" s="16"/>
    </row>
    <row r="254" spans="1:30" ht="15.75" customHeight="1">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row>
    <row r="255" spans="1:30" ht="15.75" customHeight="1">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c r="AD255" s="16"/>
    </row>
    <row r="256" spans="1:30" ht="15.75" customHeight="1">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row>
    <row r="257" spans="1:30" ht="15.75" customHeight="1">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c r="AD257" s="16"/>
    </row>
    <row r="258" spans="1:30" ht="15.75" customHeight="1">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c r="AD258" s="16"/>
    </row>
    <row r="259" spans="1:30" ht="15.75" customHeight="1">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row>
    <row r="260" spans="1:30" ht="15.75" customHeight="1">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row>
    <row r="261" spans="1:30" ht="15.75" customHeight="1">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c r="AD261" s="16"/>
    </row>
    <row r="262" spans="1:30" ht="15.75" customHeight="1">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row>
    <row r="263" spans="1:30" ht="15.75" customHeight="1">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row>
    <row r="264" spans="1:30" ht="15.75" customHeight="1">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c r="AD264" s="16"/>
    </row>
    <row r="265" spans="1:30" ht="15.75" customHeight="1">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row>
    <row r="266" spans="1:30" ht="15.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row>
    <row r="267" spans="1:30" ht="15.75" customHeight="1">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row>
    <row r="268" spans="1:30" ht="15.75" customHeight="1">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c r="AD268" s="16"/>
    </row>
    <row r="269" spans="1:30" ht="15.75" customHeight="1">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row>
    <row r="270" spans="1:30" ht="15.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row>
    <row r="271" spans="1:30" ht="15.75" customHeight="1">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c r="AD271" s="16"/>
    </row>
    <row r="272" spans="1:30" ht="15.75" customHeight="1">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c r="AD272" s="16"/>
    </row>
    <row r="273" spans="1:30" ht="15.75" customHeight="1">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c r="AD273" s="16"/>
    </row>
    <row r="274" spans="1:30" ht="15.75" customHeight="1">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c r="AD274" s="16"/>
    </row>
    <row r="275" spans="1:30" ht="15.75" customHeight="1">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c r="AD275" s="16"/>
    </row>
    <row r="276" spans="1:30" ht="15.75" customHeight="1">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row>
    <row r="277" spans="1:30" ht="15.75" customHeight="1">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16"/>
    </row>
    <row r="278" spans="1:30" ht="15.75" customHeight="1">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row>
    <row r="279" spans="1:30" ht="15.75" customHeight="1">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16"/>
    </row>
    <row r="280" spans="1:30" ht="15.75" customHeight="1">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c r="AD280" s="16"/>
    </row>
    <row r="281" spans="1:30" ht="15.75" customHeight="1">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c r="AD281" s="16"/>
    </row>
    <row r="282" spans="1:30" ht="15.75" customHeight="1">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c r="AD282" s="16"/>
    </row>
    <row r="283" spans="1:30" ht="15.75" customHeight="1">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c r="AD283" s="16"/>
    </row>
    <row r="284" spans="1:30" ht="15.75" customHeight="1">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c r="AD284" s="16"/>
    </row>
    <row r="285" spans="1:30" ht="15.75" customHeight="1">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c r="AD285" s="16"/>
    </row>
    <row r="286" spans="1:30" ht="15.75" customHeight="1">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row>
    <row r="287" spans="1:30" ht="15.75" customHeight="1">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row>
    <row r="288" spans="1:30" ht="15.75" customHeight="1">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row>
    <row r="289" spans="1:30" ht="15.75" customHeight="1">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row>
    <row r="290" spans="1:30" ht="15.75" customHeight="1">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row>
    <row r="291" spans="1:30" ht="15.75" customHeight="1">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c r="AD291" s="16"/>
    </row>
    <row r="292" spans="1:30" ht="15.75" customHeight="1">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row>
    <row r="293" spans="1:30" ht="15.75" customHeight="1">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row>
    <row r="294" spans="1:30" ht="15.75" customHeight="1">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row>
    <row r="295" spans="1:30" ht="15.75" customHeight="1">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row>
    <row r="296" spans="1:30" ht="15.75" customHeight="1">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row>
    <row r="297" spans="1:30" ht="15.75" customHeight="1">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row>
    <row r="298" spans="1:30" ht="15.75" customHeight="1">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row>
    <row r="299" spans="1:30" ht="15.75" customHeight="1">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row>
    <row r="300" spans="1:30" ht="15.75" customHeight="1">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row>
    <row r="301" spans="1:30" ht="15.75" customHeight="1">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c r="AD301" s="16"/>
    </row>
    <row r="302" spans="1:30" ht="15.75" customHeight="1">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c r="AD302" s="16"/>
    </row>
    <row r="303" spans="1:30" ht="15.75" customHeight="1">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row>
    <row r="304" spans="1:30" ht="15.75" customHeight="1">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c r="AD304" s="16"/>
    </row>
    <row r="305" spans="1:30" ht="15.75" customHeight="1">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c r="AD305" s="16"/>
    </row>
    <row r="306" spans="1:30" ht="15.75" customHeight="1">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c r="AA306" s="16"/>
      <c r="AB306" s="16"/>
      <c r="AC306" s="16"/>
      <c r="AD306" s="16"/>
    </row>
    <row r="307" spans="1:30" ht="15.75" customHeight="1">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c r="AA307" s="16"/>
      <c r="AB307" s="16"/>
      <c r="AC307" s="16"/>
      <c r="AD307" s="16"/>
    </row>
    <row r="308" spans="1:30" ht="15.75" customHeight="1">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c r="AA308" s="16"/>
      <c r="AB308" s="16"/>
      <c r="AC308" s="16"/>
      <c r="AD308" s="16"/>
    </row>
    <row r="309" spans="1:30" ht="15.75" customHeight="1">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c r="AA309" s="16"/>
      <c r="AB309" s="16"/>
      <c r="AC309" s="16"/>
      <c r="AD309" s="16"/>
    </row>
    <row r="310" spans="1:30" ht="15.75" customHeight="1">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c r="AA310" s="16"/>
      <c r="AB310" s="16"/>
      <c r="AC310" s="16"/>
      <c r="AD310" s="16"/>
    </row>
    <row r="311" spans="1:30" ht="15.75" customHeight="1">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c r="AA311" s="16"/>
      <c r="AB311" s="16"/>
      <c r="AC311" s="16"/>
      <c r="AD311" s="16"/>
    </row>
    <row r="312" spans="1:30" ht="15.75" customHeight="1">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c r="AA312" s="16"/>
      <c r="AB312" s="16"/>
      <c r="AC312" s="16"/>
      <c r="AD312" s="16"/>
    </row>
    <row r="313" spans="1:30" ht="15.75" customHeight="1">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c r="AA313" s="16"/>
      <c r="AB313" s="16"/>
      <c r="AC313" s="16"/>
      <c r="AD313" s="16"/>
    </row>
    <row r="314" spans="1:30" ht="15.75" customHeight="1">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c r="AA314" s="16"/>
      <c r="AB314" s="16"/>
      <c r="AC314" s="16"/>
      <c r="AD314" s="16"/>
    </row>
    <row r="315" spans="1:30" ht="15.75" customHeight="1">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c r="AA315" s="16"/>
      <c r="AB315" s="16"/>
      <c r="AC315" s="16"/>
      <c r="AD315" s="16"/>
    </row>
    <row r="316" spans="1:30" ht="15.75" customHeight="1">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c r="AA316" s="16"/>
      <c r="AB316" s="16"/>
      <c r="AC316" s="16"/>
      <c r="AD316" s="16"/>
    </row>
    <row r="317" spans="1:30" ht="15.75" customHeight="1">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c r="AA317" s="16"/>
      <c r="AB317" s="16"/>
      <c r="AC317" s="16"/>
      <c r="AD317" s="16"/>
    </row>
    <row r="318" spans="1:30" ht="15.75" customHeight="1">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c r="AA318" s="16"/>
      <c r="AB318" s="16"/>
      <c r="AC318" s="16"/>
      <c r="AD318" s="16"/>
    </row>
    <row r="319" spans="1:30" ht="15.75" customHeight="1">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c r="AA319" s="16"/>
      <c r="AB319" s="16"/>
      <c r="AC319" s="16"/>
      <c r="AD319" s="16"/>
    </row>
    <row r="320" spans="1:30" ht="15.75" customHeight="1">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c r="AA320" s="16"/>
      <c r="AB320" s="16"/>
      <c r="AC320" s="16"/>
      <c r="AD320" s="16"/>
    </row>
    <row r="321" spans="1:30" ht="15.75" customHeight="1">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c r="AA321" s="16"/>
      <c r="AB321" s="16"/>
      <c r="AC321" s="16"/>
      <c r="AD321" s="16"/>
    </row>
    <row r="322" spans="1:30" ht="15.75" customHeight="1">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c r="AA322" s="16"/>
      <c r="AB322" s="16"/>
      <c r="AC322" s="16"/>
      <c r="AD322" s="16"/>
    </row>
    <row r="323" spans="1:30" ht="15.75" customHeight="1">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c r="AA323" s="16"/>
      <c r="AB323" s="16"/>
      <c r="AC323" s="16"/>
      <c r="AD323" s="16"/>
    </row>
    <row r="324" spans="1:30" ht="15.75" customHeight="1">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c r="AA324" s="16"/>
      <c r="AB324" s="16"/>
      <c r="AC324" s="16"/>
      <c r="AD324" s="16"/>
    </row>
    <row r="325" spans="1:30" ht="15.75" customHeight="1">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c r="AA325" s="16"/>
      <c r="AB325" s="16"/>
      <c r="AC325" s="16"/>
      <c r="AD325" s="16"/>
    </row>
    <row r="326" spans="1:30" ht="15.75" customHeight="1">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c r="AA326" s="16"/>
      <c r="AB326" s="16"/>
      <c r="AC326" s="16"/>
      <c r="AD326" s="16"/>
    </row>
    <row r="327" spans="1:30" ht="15.75" customHeight="1">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c r="AA327" s="16"/>
      <c r="AB327" s="16"/>
      <c r="AC327" s="16"/>
      <c r="AD327" s="16"/>
    </row>
    <row r="328" spans="1:30" ht="15.75" customHeight="1">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c r="AA328" s="16"/>
      <c r="AB328" s="16"/>
      <c r="AC328" s="16"/>
      <c r="AD328" s="16"/>
    </row>
    <row r="329" spans="1:30" ht="15.75" customHeight="1">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c r="AA329" s="16"/>
      <c r="AB329" s="16"/>
      <c r="AC329" s="16"/>
      <c r="AD329" s="16"/>
    </row>
    <row r="330" spans="1:30" ht="15.75" customHeight="1">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c r="AA330" s="16"/>
      <c r="AB330" s="16"/>
      <c r="AC330" s="16"/>
      <c r="AD330" s="16"/>
    </row>
    <row r="331" spans="1:30" ht="15.75" customHeight="1">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c r="AA331" s="16"/>
      <c r="AB331" s="16"/>
      <c r="AC331" s="16"/>
      <c r="AD331" s="16"/>
    </row>
    <row r="332" spans="1:30" ht="15.75" customHeight="1">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c r="AA332" s="16"/>
      <c r="AB332" s="16"/>
      <c r="AC332" s="16"/>
      <c r="AD332" s="16"/>
    </row>
    <row r="333" spans="1:30" ht="15.75" customHeight="1">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c r="AA333" s="16"/>
      <c r="AB333" s="16"/>
      <c r="AC333" s="16"/>
      <c r="AD333" s="16"/>
    </row>
    <row r="334" spans="1:30" ht="15.75" customHeight="1">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c r="AA334" s="16"/>
      <c r="AB334" s="16"/>
      <c r="AC334" s="16"/>
      <c r="AD334" s="16"/>
    </row>
    <row r="335" spans="1:30" ht="15.75" customHeight="1">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c r="AA335" s="16"/>
      <c r="AB335" s="16"/>
      <c r="AC335" s="16"/>
      <c r="AD335" s="16"/>
    </row>
    <row r="336" spans="1:30" ht="15.75" customHeight="1">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c r="AA336" s="16"/>
      <c r="AB336" s="16"/>
      <c r="AC336" s="16"/>
      <c r="AD336" s="16"/>
    </row>
    <row r="337" spans="1:30" ht="15.75" customHeight="1">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c r="AA337" s="16"/>
      <c r="AB337" s="16"/>
      <c r="AC337" s="16"/>
      <c r="AD337" s="16"/>
    </row>
    <row r="338" spans="1:30" ht="15.75" customHeight="1">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c r="AA338" s="16"/>
      <c r="AB338" s="16"/>
      <c r="AC338" s="16"/>
      <c r="AD338" s="16"/>
    </row>
    <row r="339" spans="1:30" ht="15.75" customHeight="1">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c r="AA339" s="16"/>
      <c r="AB339" s="16"/>
      <c r="AC339" s="16"/>
      <c r="AD339" s="16"/>
    </row>
    <row r="340" spans="1:30" ht="15.75" customHeight="1">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c r="AA340" s="16"/>
      <c r="AB340" s="16"/>
      <c r="AC340" s="16"/>
      <c r="AD340" s="16"/>
    </row>
    <row r="341" spans="1:30" ht="15.75" customHeight="1">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c r="AA341" s="16"/>
      <c r="AB341" s="16"/>
      <c r="AC341" s="16"/>
      <c r="AD341" s="16"/>
    </row>
    <row r="342" spans="1:30" ht="15.75" customHeight="1">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c r="AA342" s="16"/>
      <c r="AB342" s="16"/>
      <c r="AC342" s="16"/>
      <c r="AD342" s="16"/>
    </row>
    <row r="343" spans="1:30" ht="15.75" customHeight="1">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c r="AA343" s="16"/>
      <c r="AB343" s="16"/>
      <c r="AC343" s="16"/>
      <c r="AD343" s="16"/>
    </row>
    <row r="344" spans="1:30" ht="15.75" customHeight="1">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c r="AA344" s="16"/>
      <c r="AB344" s="16"/>
      <c r="AC344" s="16"/>
      <c r="AD344" s="16"/>
    </row>
    <row r="345" spans="1:30" ht="15.75" customHeight="1">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c r="AA345" s="16"/>
      <c r="AB345" s="16"/>
      <c r="AC345" s="16"/>
      <c r="AD345" s="16"/>
    </row>
    <row r="346" spans="1:30" ht="15.75" customHeight="1"/>
    <row r="347" spans="1:30" ht="15.75" customHeight="1"/>
    <row r="348" spans="1:30" ht="15.75" customHeight="1"/>
    <row r="349" spans="1:30" ht="15.75" customHeight="1"/>
    <row r="350" spans="1:30" ht="15.75" customHeight="1"/>
    <row r="351" spans="1:30" ht="15.75" customHeight="1"/>
    <row r="352" spans="1:30"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sheetData>
  <mergeCells count="108">
    <mergeCell ref="K79:M95"/>
    <mergeCell ref="K100:O116"/>
    <mergeCell ref="H121:I145"/>
    <mergeCell ref="J121:K145"/>
    <mergeCell ref="N18:P18"/>
    <mergeCell ref="N19:P19"/>
    <mergeCell ref="M198:O198"/>
    <mergeCell ref="B199:C199"/>
    <mergeCell ref="M199:O199"/>
    <mergeCell ref="M186:O186"/>
    <mergeCell ref="M187:O187"/>
    <mergeCell ref="M188:O188"/>
    <mergeCell ref="M189:O189"/>
    <mergeCell ref="M190:O190"/>
    <mergeCell ref="M191:O191"/>
    <mergeCell ref="M178:O178"/>
    <mergeCell ref="P178:T178"/>
    <mergeCell ref="M179:O179"/>
    <mergeCell ref="P179:T192"/>
    <mergeCell ref="M180:O180"/>
    <mergeCell ref="M181:O181"/>
    <mergeCell ref="M182:O182"/>
    <mergeCell ref="M183:O183"/>
    <mergeCell ref="M184:O184"/>
    <mergeCell ref="B200:C200"/>
    <mergeCell ref="M200:O200"/>
    <mergeCell ref="B201:C201"/>
    <mergeCell ref="M201:O201"/>
    <mergeCell ref="N20:P20"/>
    <mergeCell ref="N21:P21"/>
    <mergeCell ref="N22:P22"/>
    <mergeCell ref="B195:C195"/>
    <mergeCell ref="M195:O195"/>
    <mergeCell ref="P195:T195"/>
    <mergeCell ref="B196:C196"/>
    <mergeCell ref="M196:O196"/>
    <mergeCell ref="P196:T209"/>
    <mergeCell ref="B197:C197"/>
    <mergeCell ref="M197:O197"/>
    <mergeCell ref="B198:C198"/>
    <mergeCell ref="B208:C208"/>
    <mergeCell ref="M208:O208"/>
    <mergeCell ref="B209:C209"/>
    <mergeCell ref="M209:O209"/>
    <mergeCell ref="H38:J47"/>
    <mergeCell ref="B205:C205"/>
    <mergeCell ref="M205:O205"/>
    <mergeCell ref="B206:C206"/>
    <mergeCell ref="M206:O206"/>
    <mergeCell ref="B207:C207"/>
    <mergeCell ref="M207:O207"/>
    <mergeCell ref="B202:C202"/>
    <mergeCell ref="M202:O202"/>
    <mergeCell ref="B203:C203"/>
    <mergeCell ref="M203:O203"/>
    <mergeCell ref="B204:C204"/>
    <mergeCell ref="M204:O204"/>
    <mergeCell ref="M185:O185"/>
    <mergeCell ref="M192:O192"/>
    <mergeCell ref="M170:O170"/>
    <mergeCell ref="M171:O171"/>
    <mergeCell ref="M172:O172"/>
    <mergeCell ref="M173:O173"/>
    <mergeCell ref="M174:O174"/>
    <mergeCell ref="M175:O175"/>
    <mergeCell ref="P161:R161"/>
    <mergeCell ref="M163:O163"/>
    <mergeCell ref="P163:T163"/>
    <mergeCell ref="M164:O164"/>
    <mergeCell ref="P164:T175"/>
    <mergeCell ref="M165:O165"/>
    <mergeCell ref="M166:O166"/>
    <mergeCell ref="M167:O167"/>
    <mergeCell ref="M168:O168"/>
    <mergeCell ref="M169:O169"/>
    <mergeCell ref="AG29:AH29"/>
    <mergeCell ref="AI29:AJ29"/>
    <mergeCell ref="AG30:AH40"/>
    <mergeCell ref="AI30:AJ40"/>
    <mergeCell ref="P155:R155"/>
    <mergeCell ref="P156:R156"/>
    <mergeCell ref="P157:R157"/>
    <mergeCell ref="P158:R158"/>
    <mergeCell ref="P159:R159"/>
    <mergeCell ref="P160:R160"/>
    <mergeCell ref="A1:C1"/>
    <mergeCell ref="E1:H1"/>
    <mergeCell ref="D7:I7"/>
    <mergeCell ref="D8:I8"/>
    <mergeCell ref="A28:F28"/>
    <mergeCell ref="A29:F29"/>
    <mergeCell ref="P100:Q116"/>
    <mergeCell ref="H120:I120"/>
    <mergeCell ref="J120:K120"/>
    <mergeCell ref="I50:K50"/>
    <mergeCell ref="K99:O99"/>
    <mergeCell ref="P99:Q99"/>
    <mergeCell ref="A30:F30"/>
    <mergeCell ref="A31:F31"/>
    <mergeCell ref="A32:F32"/>
    <mergeCell ref="A34:F34"/>
    <mergeCell ref="H37:J37"/>
    <mergeCell ref="N14:O14"/>
    <mergeCell ref="N15:P15"/>
    <mergeCell ref="N16:P16"/>
    <mergeCell ref="N17:P17"/>
    <mergeCell ref="I51:K75"/>
    <mergeCell ref="K78:M78"/>
  </mergeCells>
  <phoneticPr fontId="31" type="noConversion"/>
  <conditionalFormatting sqref="I79:I94">
    <cfRule type="containsText" dxfId="657" priority="1" operator="containsText" text="5">
      <formula>NOT(ISERROR(SEARCH(("5"),(I79))))</formula>
    </cfRule>
    <cfRule type="containsText" dxfId="656" priority="2" operator="containsText" text="42">
      <formula>NOT(ISERROR(SEARCH(("42"),(I79))))</formula>
    </cfRule>
    <cfRule type="containsText" dxfId="655" priority="3" operator="containsText" text="Please fill in">
      <formula>NOT(ISERROR(SEARCH(("Please fill in"),(I79))))</formula>
    </cfRule>
  </conditionalFormatting>
  <conditionalFormatting sqref="I96">
    <cfRule type="containsText" dxfId="654" priority="4" operator="containsText" text="5">
      <formula>NOT(ISERROR(SEARCH(("5"),(I96))))</formula>
    </cfRule>
    <cfRule type="containsText" dxfId="653" priority="5" operator="containsText" text="42">
      <formula>NOT(ISERROR(SEARCH(("42"),(I96))))</formula>
    </cfRule>
    <cfRule type="containsText" dxfId="652" priority="6" operator="containsText" text="Please fill in">
      <formula>NOT(ISERROR(SEARCH(("Please fill in"),(I96))))</formula>
    </cfRule>
  </conditionalFormatting>
  <dataValidations count="5">
    <dataValidation type="list" allowBlank="1" showErrorMessage="1" sqref="H96" xr:uid="{D19BD997-9441-40AB-903E-900CE33C6291}">
      <formula1>'DRV Euros'!TypesOfTrainers</formula1>
    </dataValidation>
    <dataValidation type="list" allowBlank="1" showErrorMessage="1" sqref="B9" xr:uid="{ECF894F8-B94C-4F95-8853-71720001F926}">
      <formula1>"yes,no,partial"</formula1>
    </dataValidation>
    <dataValidation type="list" allowBlank="1" sqref="G51:G76" xr:uid="{9D87EE50-5F34-409E-BD5C-AE05C0B9D1D3}">
      <formula1>"yes,no"</formula1>
    </dataValidation>
    <dataValidation type="list" allowBlank="1" showErrorMessage="1" sqref="D51:D76 H79:H95" xr:uid="{E297A8CF-EF1A-4452-8934-A7F58CCCCD38}">
      <formula1>'https://universiteittwente.sharepoint.com/sites/SportsCoordinatorsSUT/Gedeelde documenten/General/(WIP) FAM Sheets - Regulations 2025-28 - Version April 2025.xlsx'!TypesOfTrainers</formula1>
    </dataValidation>
    <dataValidation type="list" allowBlank="1" showErrorMessage="1" sqref="B100:B102" xr:uid="{D010C7FD-55DD-4634-BA42-0C502C7B95D6}">
      <formula1>'https://universiteittwente.sharepoint.com/sites/SportsCoordinatorsSUT/Gedeelde documenten/General/(WIP) FAM Sheets - Regulations 2025-28 - Version April 2025.xlsx'!LocationNames</formula1>
    </dataValidation>
  </dataValidations>
  <pageMargins left="0.7" right="0.7" top="0.75" bottom="0.75" header="0" footer="0"/>
  <pageSetup paperSize="9" orientation="portrait"/>
  <drawing r:id="rId1"/>
  <legacyDrawing r:id="rId2"/>
  <tableParts count="6">
    <tablePart r:id="rId3"/>
    <tablePart r:id="rId4"/>
    <tablePart r:id="rId5"/>
    <tablePart r:id="rId6"/>
    <tablePart r:id="rId7"/>
    <tablePart r:id="rId8"/>
  </tableParts>
  <extLst>
    <ext xmlns:x14="http://schemas.microsoft.com/office/spreadsheetml/2009/9/main" uri="{CCE6A557-97BC-4b89-ADB6-D9C93CAAB3DF}">
      <x14:dataValidations xmlns:xm="http://schemas.microsoft.com/office/excel/2006/main" count="4">
        <x14:dataValidation type="list" allowBlank="1" showInputMessage="1" showErrorMessage="1" xr:uid="{56BEBF99-E30F-4114-847E-EABF8B3990F7}">
          <x14:formula1>
            <xm:f>Constants!$C$55:$C$56</xm:f>
          </x14:formula1>
          <xm:sqref>B12</xm:sqref>
        </x14:dataValidation>
        <x14:dataValidation type="list" allowBlank="1" showErrorMessage="1" xr:uid="{9C3D49B6-1A80-4AE7-A096-5A4817297ABF}">
          <x14:formula1>
            <xm:f>Constants!$H$6:$H$13</xm:f>
          </x14:formula1>
          <xm:sqref>B79:B95</xm:sqref>
        </x14:dataValidation>
        <x14:dataValidation type="list" allowBlank="1" showErrorMessage="1" xr:uid="{CB0C0701-AE23-4627-BFF5-55B33E277089}">
          <x14:formula1>
            <xm:f>Constants!$A$2:$AD$2</xm:f>
          </x14:formula1>
          <xm:sqref>B103:B116</xm:sqref>
        </x14:dataValidation>
        <x14:dataValidation type="list" allowBlank="1" showInputMessage="1" showErrorMessage="1" xr:uid="{1FD42465-CF39-4FDC-B384-133E9CD79D10}">
          <x14:formula1>
            <xm:f>Constants!$M$6:$M$7</xm:f>
          </x14:formula1>
          <xm:sqref>B146:B147</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8B3F6-62CD-4D7A-8A78-FDD8DC7FB64E}">
  <dimension ref="A1:BG1017"/>
  <sheetViews>
    <sheetView topLeftCell="Y15" workbookViewId="0">
      <selection activeCell="AF30" sqref="AF30"/>
    </sheetView>
  </sheetViews>
  <sheetFormatPr defaultColWidth="12.625" defaultRowHeight="15" customHeight="1"/>
  <cols>
    <col min="1" max="1" width="36.625" customWidth="1"/>
    <col min="2" max="2" width="28.125" customWidth="1"/>
    <col min="3" max="3" width="21" customWidth="1"/>
    <col min="4" max="4" width="17.5" customWidth="1"/>
    <col min="5" max="5" width="16.125" customWidth="1"/>
    <col min="6" max="6" width="21.5" customWidth="1"/>
    <col min="7" max="7" width="22.625" customWidth="1"/>
    <col min="8" max="8" width="18.625" customWidth="1"/>
    <col min="9" max="9" width="19.625" customWidth="1"/>
    <col min="10" max="10" width="18.875" customWidth="1"/>
    <col min="11" max="11" width="21.625" customWidth="1"/>
    <col min="12" max="12" width="17.375" customWidth="1"/>
    <col min="13" max="13" width="15.125" customWidth="1"/>
    <col min="14" max="14" width="15.625" customWidth="1"/>
    <col min="15" max="15" width="28.5" customWidth="1"/>
    <col min="16" max="16" width="13.125" customWidth="1"/>
    <col min="17" max="17" width="21.875" customWidth="1"/>
    <col min="18" max="18" width="27" customWidth="1"/>
    <col min="19" max="19" width="20.5" customWidth="1"/>
    <col min="20" max="22" width="7.625" customWidth="1"/>
    <col min="23" max="23" width="31.875" customWidth="1"/>
    <col min="24" max="24" width="7.625" customWidth="1"/>
    <col min="25" max="25" width="8.375" customWidth="1"/>
    <col min="26" max="26" width="21.625" customWidth="1"/>
    <col min="27" max="27" width="12" customWidth="1"/>
    <col min="28" max="28" width="16.5" customWidth="1"/>
    <col min="29" max="29" width="6" customWidth="1"/>
    <col min="30" max="30" width="13.625" customWidth="1"/>
  </cols>
  <sheetData>
    <row r="1" spans="1:59" ht="171" customHeight="1">
      <c r="A1" s="703"/>
      <c r="B1" s="704"/>
      <c r="C1" s="705"/>
      <c r="D1" s="16"/>
      <c r="E1" s="572" t="s">
        <v>885</v>
      </c>
      <c r="F1" s="704"/>
      <c r="G1" s="704"/>
      <c r="H1" s="705"/>
      <c r="I1" s="16"/>
      <c r="J1" s="16"/>
      <c r="K1" s="16"/>
      <c r="L1" s="16"/>
      <c r="M1" s="16"/>
      <c r="N1" s="16"/>
      <c r="O1" s="16"/>
      <c r="P1" s="16"/>
      <c r="Q1" s="16"/>
      <c r="R1" s="16"/>
      <c r="S1" s="16"/>
      <c r="T1" s="16"/>
      <c r="U1" s="16"/>
      <c r="V1" s="16"/>
      <c r="W1" s="16"/>
      <c r="X1" s="16"/>
      <c r="Y1" s="16"/>
      <c r="Z1" s="16"/>
      <c r="AA1" s="16"/>
      <c r="AB1" s="16"/>
      <c r="AC1" s="16"/>
      <c r="AD1" s="16"/>
    </row>
    <row r="2" spans="1:59">
      <c r="A2" s="58" t="s">
        <v>404</v>
      </c>
      <c r="B2" s="152" t="s">
        <v>716</v>
      </c>
      <c r="C2" s="59"/>
      <c r="D2" s="16"/>
      <c r="E2" s="60" t="s">
        <v>406</v>
      </c>
      <c r="F2" s="153"/>
      <c r="G2" s="154"/>
      <c r="H2" s="61"/>
      <c r="I2" s="16"/>
      <c r="J2" s="16"/>
      <c r="K2" s="16"/>
      <c r="L2" s="16"/>
      <c r="M2" s="16"/>
      <c r="N2" s="16"/>
      <c r="O2" s="16"/>
      <c r="P2" s="16"/>
      <c r="Q2" s="16"/>
      <c r="R2" s="16"/>
      <c r="S2" s="16"/>
      <c r="T2" s="16"/>
      <c r="U2" s="16"/>
      <c r="V2" s="16"/>
      <c r="W2" s="16"/>
      <c r="X2" s="16"/>
      <c r="Y2" s="16"/>
      <c r="Z2" s="15"/>
      <c r="AA2" s="15"/>
      <c r="AB2" s="15"/>
      <c r="AC2" s="15"/>
      <c r="AD2" s="16"/>
      <c r="AE2" s="16"/>
      <c r="AF2" s="16"/>
      <c r="AG2" s="16"/>
      <c r="AH2" s="16"/>
      <c r="AI2" s="17"/>
      <c r="AJ2" s="17"/>
      <c r="AK2" s="17"/>
      <c r="AL2" s="17"/>
      <c r="AM2" s="17"/>
      <c r="AN2" s="17"/>
      <c r="AO2" s="17"/>
      <c r="AP2" s="17"/>
      <c r="AQ2" s="17"/>
      <c r="AR2" s="18"/>
      <c r="AS2" s="17"/>
      <c r="AT2" s="17"/>
      <c r="AU2" s="16"/>
      <c r="AV2" s="16"/>
      <c r="AW2" s="16"/>
      <c r="AX2" s="16"/>
      <c r="AY2" s="16"/>
      <c r="AZ2" s="16"/>
      <c r="BA2" s="16"/>
    </row>
    <row r="3" spans="1:59">
      <c r="A3" s="62" t="s">
        <v>408</v>
      </c>
      <c r="B3" s="155">
        <v>5</v>
      </c>
      <c r="C3" s="156"/>
      <c r="D3" s="16"/>
      <c r="E3" s="63" t="s">
        <v>409</v>
      </c>
      <c r="F3" s="157"/>
      <c r="G3" s="158"/>
      <c r="H3" s="159"/>
      <c r="I3" s="16"/>
      <c r="J3" s="16"/>
      <c r="K3" s="16"/>
      <c r="L3" s="16"/>
      <c r="M3" s="16"/>
      <c r="N3" s="16"/>
      <c r="O3" s="16"/>
      <c r="P3" s="16"/>
      <c r="Q3" s="16"/>
      <c r="R3" s="16"/>
      <c r="S3" s="16"/>
      <c r="T3" s="16"/>
      <c r="U3" s="16"/>
      <c r="V3" s="16"/>
      <c r="W3" s="16"/>
      <c r="X3" s="16"/>
      <c r="Y3" s="16"/>
      <c r="Z3" s="16"/>
      <c r="AA3" s="16"/>
      <c r="AB3" s="16"/>
      <c r="AC3" s="16"/>
      <c r="AD3" s="16"/>
    </row>
    <row r="4" spans="1:59">
      <c r="A4" s="160" t="s">
        <v>410</v>
      </c>
      <c r="B4" s="161">
        <v>45812</v>
      </c>
      <c r="C4" s="162"/>
      <c r="D4" s="16"/>
      <c r="E4" s="163"/>
      <c r="F4" s="164"/>
      <c r="G4" s="165"/>
      <c r="H4" s="166"/>
      <c r="I4" s="16"/>
      <c r="J4" s="16"/>
      <c r="K4" s="16"/>
      <c r="L4" s="16"/>
      <c r="M4" s="16"/>
      <c r="N4" s="16"/>
      <c r="O4" s="16"/>
      <c r="P4" s="16"/>
      <c r="Q4" s="16"/>
      <c r="R4" s="16"/>
      <c r="S4" s="16"/>
      <c r="T4" s="16"/>
      <c r="U4" s="16"/>
      <c r="V4" s="16"/>
      <c r="W4" s="16"/>
      <c r="X4" s="16"/>
      <c r="Y4" s="16"/>
      <c r="Z4" s="16"/>
      <c r="AA4" s="16"/>
      <c r="AB4" s="16"/>
      <c r="AC4" s="16"/>
      <c r="AD4" s="16"/>
    </row>
    <row r="5" spans="1:59">
      <c r="A5" s="167" t="s">
        <v>411</v>
      </c>
      <c r="B5" s="168"/>
      <c r="C5" s="167"/>
      <c r="D5" s="16"/>
      <c r="E5" s="169" t="s">
        <v>412</v>
      </c>
      <c r="F5" s="169"/>
      <c r="G5" s="158"/>
      <c r="H5" s="169"/>
      <c r="I5" s="16"/>
      <c r="J5" s="16"/>
      <c r="K5" s="16"/>
      <c r="L5" s="16"/>
      <c r="M5" s="16"/>
      <c r="N5" s="16"/>
      <c r="O5" s="16"/>
      <c r="P5" s="16"/>
      <c r="Q5" s="16"/>
      <c r="R5" s="16"/>
      <c r="S5" s="16"/>
      <c r="T5" s="16"/>
      <c r="U5" s="16"/>
      <c r="V5" s="16"/>
      <c r="W5" s="16"/>
      <c r="X5" s="16"/>
      <c r="Y5" s="16"/>
      <c r="Z5" s="16"/>
      <c r="AA5" s="16"/>
      <c r="AB5" s="16"/>
      <c r="AC5" s="16"/>
      <c r="AD5" s="16"/>
    </row>
    <row r="6" spans="1:59">
      <c r="A6" s="15"/>
      <c r="B6" s="64"/>
      <c r="C6" s="16"/>
      <c r="D6" s="16"/>
      <c r="E6" s="16"/>
      <c r="F6" s="16"/>
      <c r="G6" s="16"/>
      <c r="H6" s="16"/>
      <c r="I6" s="16"/>
      <c r="J6" s="64"/>
      <c r="K6" s="16"/>
      <c r="L6" s="16"/>
      <c r="M6" s="16"/>
      <c r="N6" s="16"/>
      <c r="O6" s="16"/>
      <c r="P6" s="16"/>
      <c r="Q6" s="16"/>
      <c r="R6" s="16"/>
      <c r="S6" s="16"/>
      <c r="T6" s="16"/>
      <c r="U6" s="16"/>
      <c r="V6" s="16"/>
      <c r="W6" s="16"/>
      <c r="X6" s="16"/>
      <c r="Y6" s="16"/>
      <c r="Z6" s="16"/>
      <c r="AA6" s="16"/>
      <c r="AB6" s="16"/>
      <c r="AC6" s="16"/>
      <c r="AD6" s="16"/>
    </row>
    <row r="7" spans="1:59">
      <c r="A7" s="170" t="s">
        <v>413</v>
      </c>
      <c r="B7" s="59">
        <v>64</v>
      </c>
      <c r="C7" s="16"/>
      <c r="D7" s="573" t="s">
        <v>414</v>
      </c>
      <c r="E7" s="701"/>
      <c r="F7" s="701"/>
      <c r="G7" s="701"/>
      <c r="H7" s="701"/>
      <c r="I7" s="701"/>
      <c r="J7" s="16"/>
      <c r="K7" s="16"/>
      <c r="L7" s="16"/>
      <c r="M7" s="16"/>
      <c r="N7" s="16"/>
      <c r="O7" s="16"/>
      <c r="P7" s="16"/>
      <c r="Q7" s="16"/>
      <c r="R7" s="16"/>
      <c r="S7" s="16"/>
      <c r="T7" s="16"/>
      <c r="U7" s="16"/>
      <c r="V7" s="16"/>
      <c r="W7" s="16"/>
      <c r="X7" s="16"/>
      <c r="Y7" s="16"/>
      <c r="Z7" s="16"/>
      <c r="AA7" s="16"/>
      <c r="AB7" s="16"/>
      <c r="AC7" s="16"/>
      <c r="AD7" s="16"/>
    </row>
    <row r="8" spans="1:59" ht="14.25" customHeight="1">
      <c r="A8" s="171" t="s">
        <v>415</v>
      </c>
      <c r="B8" s="172">
        <f>M21-M17</f>
        <v>0</v>
      </c>
      <c r="C8" s="16" t="s">
        <v>416</v>
      </c>
      <c r="D8" s="574" t="s">
        <v>417</v>
      </c>
      <c r="E8" s="704"/>
      <c r="F8" s="704"/>
      <c r="G8" s="704"/>
      <c r="H8" s="704"/>
      <c r="I8" s="704"/>
      <c r="J8" s="16"/>
      <c r="K8" s="16"/>
      <c r="L8" s="16"/>
      <c r="M8" s="16"/>
      <c r="N8" s="16"/>
      <c r="O8" s="16"/>
      <c r="P8" s="16"/>
      <c r="Q8" s="16"/>
      <c r="R8" s="16"/>
      <c r="S8" s="16"/>
      <c r="T8" s="16"/>
      <c r="U8" s="16"/>
      <c r="V8" s="16"/>
      <c r="W8" s="16"/>
      <c r="X8" s="16"/>
      <c r="Y8" s="16"/>
      <c r="Z8" s="16"/>
      <c r="AA8" s="16"/>
      <c r="AB8" s="16"/>
      <c r="AC8" s="16"/>
    </row>
    <row r="9" spans="1:59">
      <c r="A9" s="65" t="s">
        <v>418</v>
      </c>
      <c r="B9" s="173" t="s">
        <v>419</v>
      </c>
      <c r="C9" s="16"/>
      <c r="D9" s="16"/>
      <c r="E9" s="17"/>
      <c r="F9" s="17"/>
      <c r="G9" s="17"/>
      <c r="H9" s="17"/>
      <c r="I9" s="17"/>
      <c r="J9" s="17"/>
      <c r="K9" s="17"/>
      <c r="L9" s="17"/>
      <c r="M9" s="17"/>
      <c r="N9" s="17"/>
      <c r="O9" s="17"/>
      <c r="P9" s="17"/>
      <c r="Q9" s="16"/>
      <c r="R9" s="17"/>
      <c r="S9" s="17"/>
      <c r="T9" s="17"/>
      <c r="U9" s="17"/>
      <c r="V9" s="17"/>
      <c r="W9" s="17"/>
      <c r="X9" s="17"/>
      <c r="Y9" s="17"/>
      <c r="Z9" s="17"/>
      <c r="AA9" s="17"/>
      <c r="AB9" s="17"/>
      <c r="AC9" s="17"/>
      <c r="AD9" s="18" t="s">
        <v>242</v>
      </c>
    </row>
    <row r="10" spans="1:59">
      <c r="A10" s="174" t="s">
        <v>420</v>
      </c>
      <c r="B10" s="66">
        <f>COUNTA(A38:A42)</f>
        <v>4</v>
      </c>
      <c r="C10" s="16"/>
      <c r="D10" s="16"/>
      <c r="E10" s="17"/>
      <c r="F10" s="17"/>
      <c r="G10" s="17"/>
      <c r="H10" s="17"/>
      <c r="I10" s="17"/>
      <c r="J10" s="17"/>
      <c r="K10" s="17"/>
      <c r="L10" s="17"/>
      <c r="M10" s="17"/>
      <c r="N10" s="17"/>
      <c r="O10" s="17"/>
      <c r="P10" s="17"/>
      <c r="Q10" s="16"/>
      <c r="R10" s="17"/>
      <c r="S10" s="17"/>
      <c r="T10" s="17"/>
      <c r="U10" s="17"/>
      <c r="V10" s="17"/>
      <c r="W10" s="17"/>
      <c r="X10" s="17"/>
      <c r="Y10" s="17"/>
      <c r="Z10" s="17"/>
      <c r="AA10" s="17"/>
      <c r="AB10" s="17"/>
      <c r="AC10" s="17"/>
      <c r="AD10" s="18"/>
    </row>
    <row r="11" spans="1:59">
      <c r="A11" s="171" t="s">
        <v>421</v>
      </c>
      <c r="B11" s="238">
        <f>SUM(B38:B42)</f>
        <v>28</v>
      </c>
      <c r="C11" s="16"/>
      <c r="D11" s="16"/>
      <c r="E11" s="17"/>
      <c r="F11" s="17"/>
      <c r="G11" s="17"/>
      <c r="H11" s="17"/>
      <c r="I11" s="17"/>
      <c r="J11" s="17"/>
      <c r="K11" s="17"/>
      <c r="L11" s="17"/>
      <c r="M11" s="17"/>
      <c r="N11" s="17"/>
      <c r="O11" s="17"/>
      <c r="P11" s="17"/>
      <c r="Q11" s="16"/>
      <c r="R11" s="17"/>
      <c r="S11" s="17"/>
      <c r="T11" s="17"/>
      <c r="U11" s="17"/>
      <c r="V11" s="17"/>
      <c r="W11" s="17"/>
      <c r="X11" s="17"/>
      <c r="Y11" s="17"/>
      <c r="Z11" s="17"/>
      <c r="AA11" s="17"/>
      <c r="AB11" s="17"/>
      <c r="AC11" s="17"/>
      <c r="AD11" s="18"/>
    </row>
    <row r="12" spans="1:59">
      <c r="A12" s="239" t="s">
        <v>422</v>
      </c>
      <c r="B12" s="240" t="s">
        <v>319</v>
      </c>
      <c r="C12" s="16"/>
      <c r="D12" s="16"/>
      <c r="E12" s="17"/>
      <c r="F12" s="17"/>
      <c r="G12" s="17"/>
      <c r="H12" s="17"/>
      <c r="I12" s="17"/>
      <c r="J12" s="17"/>
      <c r="K12" s="17"/>
      <c r="L12" s="17"/>
      <c r="M12" s="17"/>
      <c r="N12" s="17"/>
      <c r="O12" s="17"/>
      <c r="P12" s="17"/>
      <c r="Q12" s="16"/>
      <c r="R12" s="17"/>
      <c r="S12" s="17"/>
      <c r="T12" s="17"/>
      <c r="U12" s="17"/>
      <c r="V12" s="17"/>
      <c r="W12" s="17"/>
      <c r="X12" s="17"/>
      <c r="Y12" s="17"/>
      <c r="Z12" s="17"/>
      <c r="AA12" s="17"/>
      <c r="AB12" s="17"/>
      <c r="AC12" s="17"/>
      <c r="AD12" s="18"/>
    </row>
    <row r="13" spans="1:59">
      <c r="A13" s="16"/>
      <c r="B13" s="16"/>
      <c r="C13" s="16"/>
      <c r="D13" s="16"/>
      <c r="E13" s="17"/>
      <c r="F13" s="17"/>
      <c r="G13" s="17"/>
      <c r="H13" s="17"/>
      <c r="I13" s="17"/>
      <c r="J13" s="17"/>
      <c r="K13" s="17"/>
      <c r="L13" s="17"/>
      <c r="M13" s="17"/>
      <c r="N13" s="17"/>
      <c r="O13" s="17"/>
      <c r="P13" s="17"/>
      <c r="Q13" s="16"/>
      <c r="R13" s="17"/>
      <c r="S13" s="17"/>
      <c r="T13" s="17"/>
      <c r="U13" s="17"/>
      <c r="V13" s="17"/>
      <c r="W13" s="17"/>
      <c r="X13" s="17"/>
      <c r="Y13" s="17"/>
      <c r="Z13" s="17"/>
      <c r="AA13" s="17"/>
      <c r="AB13" s="17"/>
      <c r="AC13" s="17"/>
      <c r="AD13" s="17" t="str" cm="1">
        <f t="array" ref="AD13:BF14">Constants!A2:AC3</f>
        <v>SC1</v>
      </c>
      <c r="AE13" s="17" t="str">
        <v>SC1 - Half</v>
      </c>
      <c r="AF13" s="17" t="str">
        <v>SC2</v>
      </c>
      <c r="AG13" s="17" t="str">
        <v>SC2 - Half</v>
      </c>
      <c r="AH13" s="17" t="str">
        <v>SC3</v>
      </c>
      <c r="AI13" s="17" t="str">
        <v>SC4</v>
      </c>
      <c r="AJ13" s="17" t="str">
        <v>SC5</v>
      </c>
      <c r="AK13" s="17" t="str">
        <v>SC6</v>
      </c>
      <c r="AL13" s="17" t="str">
        <v>Dojo</v>
      </c>
      <c r="AM13" s="17" t="str">
        <v>Boulder Wall</v>
      </c>
      <c r="AN13" s="17" t="str">
        <v>Climbing Wall</v>
      </c>
      <c r="AO13" s="17" t="str">
        <v>Artificial Hockey field</v>
      </c>
      <c r="AP13" s="17" t="str">
        <v>Artificial Hockey field - Half</v>
      </c>
      <c r="AQ13" s="17" t="str">
        <v>Artificial Soccer field</v>
      </c>
      <c r="AR13" s="17" t="str">
        <v>Artificial Soccer field - Half</v>
      </c>
      <c r="AS13" s="17" t="str">
        <v>Basketball</v>
      </c>
      <c r="AT13" s="17" t="str">
        <v>Bastille field</v>
      </c>
      <c r="AU13" s="17" t="str">
        <v>Beach fields</v>
      </c>
      <c r="AV13" s="17" t="str">
        <v>Shooting range</v>
      </c>
      <c r="AW13" s="17" t="str">
        <v>Multi/Lacrosse field</v>
      </c>
      <c r="AX13" s="17" t="str">
        <v>Multi/Lacrosse field - Half</v>
      </c>
      <c r="AY13" s="17" t="str">
        <v>Bootcamp field</v>
      </c>
      <c r="AZ13" s="17" t="str">
        <v>Multi/Baseball field</v>
      </c>
      <c r="BA13" s="17" t="str">
        <v>Tennis court</v>
      </c>
      <c r="BB13" s="17" t="str">
        <v>Utrack</v>
      </c>
      <c r="BC13" s="22" t="str">
        <v>Verreveld</v>
      </c>
      <c r="BD13" s="22" t="str">
        <v>Wsc</v>
      </c>
      <c r="BE13" s="22" t="str">
        <v>Indoor pool</v>
      </c>
      <c r="BF13" s="22" t="str">
        <v>Outdoor pool</v>
      </c>
      <c r="BG13" s="22"/>
    </row>
    <row r="14" spans="1:59">
      <c r="A14" s="175" t="s">
        <v>423</v>
      </c>
      <c r="B14" s="16"/>
      <c r="C14" s="16"/>
      <c r="D14" s="16"/>
      <c r="E14" s="16"/>
      <c r="F14" s="16"/>
      <c r="G14" s="175" t="s">
        <v>424</v>
      </c>
      <c r="I14" s="17"/>
      <c r="J14" s="17"/>
      <c r="K14" s="176" t="s">
        <v>425</v>
      </c>
      <c r="L14" s="17"/>
      <c r="M14" s="176" t="s">
        <v>426</v>
      </c>
      <c r="N14" s="17"/>
      <c r="O14" s="17"/>
      <c r="P14" s="17"/>
      <c r="Q14" s="17"/>
      <c r="R14" s="17"/>
      <c r="S14" s="16"/>
      <c r="T14" s="17"/>
      <c r="U14" s="17"/>
      <c r="V14" s="17"/>
      <c r="W14" s="17"/>
      <c r="X14" s="17"/>
      <c r="Y14" s="17"/>
      <c r="Z14" s="17"/>
      <c r="AA14" s="17"/>
      <c r="AB14" s="17"/>
      <c r="AC14" s="17"/>
      <c r="AD14" s="19">
        <v>67.5</v>
      </c>
      <c r="AE14" s="19">
        <v>35</v>
      </c>
      <c r="AF14" s="19">
        <v>67.5</v>
      </c>
      <c r="AG14" s="19">
        <v>35</v>
      </c>
      <c r="AH14" s="19">
        <v>40</v>
      </c>
      <c r="AI14" s="19">
        <v>40</v>
      </c>
      <c r="AJ14" s="19">
        <v>35</v>
      </c>
      <c r="AK14" s="19">
        <v>35</v>
      </c>
      <c r="AL14" s="19">
        <v>40</v>
      </c>
      <c r="AM14" s="19">
        <v>27.5</v>
      </c>
      <c r="AN14" s="19">
        <v>45</v>
      </c>
      <c r="AO14" s="19">
        <v>75</v>
      </c>
      <c r="AP14" s="19">
        <v>40</v>
      </c>
      <c r="AQ14" s="19">
        <v>75</v>
      </c>
      <c r="AR14" s="19">
        <v>40</v>
      </c>
      <c r="AS14" s="19">
        <v>30</v>
      </c>
      <c r="AT14" s="19">
        <v>50</v>
      </c>
      <c r="AU14" s="19">
        <v>75</v>
      </c>
      <c r="AV14" s="19">
        <v>40</v>
      </c>
      <c r="AW14" s="19">
        <v>75</v>
      </c>
      <c r="AX14" s="19">
        <v>40</v>
      </c>
      <c r="AY14" s="19">
        <v>50</v>
      </c>
      <c r="AZ14" s="19">
        <v>65</v>
      </c>
      <c r="BA14" s="19">
        <v>35</v>
      </c>
      <c r="BB14" s="19">
        <v>45</v>
      </c>
      <c r="BC14" s="19">
        <v>50</v>
      </c>
      <c r="BD14" s="19">
        <v>0</v>
      </c>
      <c r="BE14" s="19">
        <v>65</v>
      </c>
      <c r="BF14" s="20">
        <v>70</v>
      </c>
      <c r="BG14" s="20"/>
    </row>
    <row r="15" spans="1:59">
      <c r="A15" s="67"/>
      <c r="B15" s="68" t="str">
        <f>Constants!H6</f>
        <v>Performance training</v>
      </c>
      <c r="C15" s="68" t="str">
        <f>Constants!H7</f>
        <v>Performance coaching</v>
      </c>
      <c r="D15" s="68" t="str">
        <f>Constants!H8</f>
        <v>Dangerous</v>
      </c>
      <c r="E15" s="69" t="str">
        <f>Constants!H9</f>
        <v>Recreational</v>
      </c>
      <c r="F15" s="69" t="s">
        <v>290</v>
      </c>
      <c r="G15" s="70"/>
      <c r="H15" s="71" t="s">
        <v>427</v>
      </c>
      <c r="I15" s="72" t="s">
        <v>272</v>
      </c>
      <c r="J15" s="70" t="s">
        <v>5</v>
      </c>
      <c r="K15" s="72" t="s">
        <v>428</v>
      </c>
      <c r="L15" s="70" t="s">
        <v>429</v>
      </c>
      <c r="M15" s="73" cm="1">
        <f t="array" ref="M15">(SUM(IF($D$46:$D$50="PT",($F$46:$F$50)/1.5+IF($G$46:$G$50="yes",1)))+SUM(IF($D$46:$D$50="Extern",($F$46:$F$50)/1.5+IF($G$46:$G$50="yes",1)))+SUM(IF($D$46:$D$50="PT-ZZP",($F$46:$F$50)/1.5+IF($G$46:$G$50="yes",1))))*Constants!B10</f>
        <v>0</v>
      </c>
      <c r="N15" s="17"/>
      <c r="O15" s="17"/>
      <c r="P15" s="17"/>
      <c r="Q15" s="17"/>
      <c r="R15" s="16"/>
      <c r="S15" s="17"/>
      <c r="T15" s="17"/>
      <c r="U15" s="17"/>
      <c r="V15" s="17"/>
      <c r="W15" s="17"/>
      <c r="X15" s="17"/>
      <c r="Y15" s="17"/>
      <c r="Z15" s="17"/>
      <c r="AA15" s="17"/>
      <c r="AB15" s="17"/>
      <c r="AC15" s="17"/>
      <c r="AD15" s="16">
        <f t="shared" ref="AD15:BF15" si="0">SUMIF($B$71:$B$88,AD13,$F$71:$F$88)</f>
        <v>0</v>
      </c>
      <c r="AE15" s="16">
        <f t="shared" si="0"/>
        <v>0</v>
      </c>
      <c r="AF15" s="16">
        <f t="shared" si="0"/>
        <v>0</v>
      </c>
      <c r="AG15" s="16">
        <f t="shared" si="0"/>
        <v>0</v>
      </c>
      <c r="AH15" s="16">
        <f t="shared" si="0"/>
        <v>0</v>
      </c>
      <c r="AI15" s="16">
        <f t="shared" si="0"/>
        <v>0</v>
      </c>
      <c r="AJ15" s="16">
        <f t="shared" si="0"/>
        <v>0</v>
      </c>
      <c r="AK15" s="16">
        <f t="shared" si="0"/>
        <v>0</v>
      </c>
      <c r="AL15" s="16">
        <f t="shared" si="0"/>
        <v>0</v>
      </c>
      <c r="AM15" s="16">
        <f t="shared" si="0"/>
        <v>0</v>
      </c>
      <c r="AN15" s="16">
        <f t="shared" si="0"/>
        <v>0</v>
      </c>
      <c r="AO15" s="16">
        <f t="shared" si="0"/>
        <v>0</v>
      </c>
      <c r="AP15" s="16">
        <f t="shared" si="0"/>
        <v>0</v>
      </c>
      <c r="AQ15" s="16">
        <f t="shared" si="0"/>
        <v>0</v>
      </c>
      <c r="AR15" s="16">
        <f t="shared" si="0"/>
        <v>0</v>
      </c>
      <c r="AS15" s="16">
        <f t="shared" si="0"/>
        <v>0</v>
      </c>
      <c r="AT15" s="16">
        <f t="shared" si="0"/>
        <v>0</v>
      </c>
      <c r="AU15" s="16">
        <f t="shared" si="0"/>
        <v>0</v>
      </c>
      <c r="AV15" s="16">
        <f t="shared" si="0"/>
        <v>0</v>
      </c>
      <c r="AW15" s="16">
        <f t="shared" si="0"/>
        <v>0</v>
      </c>
      <c r="AX15" s="16">
        <f t="shared" si="0"/>
        <v>0</v>
      </c>
      <c r="AY15" s="16">
        <f t="shared" si="0"/>
        <v>0</v>
      </c>
      <c r="AZ15" s="16">
        <f t="shared" si="0"/>
        <v>0</v>
      </c>
      <c r="BA15" s="16">
        <f t="shared" si="0"/>
        <v>0</v>
      </c>
      <c r="BB15" s="16">
        <f t="shared" si="0"/>
        <v>0</v>
      </c>
      <c r="BC15" s="16">
        <f t="shared" si="0"/>
        <v>0</v>
      </c>
      <c r="BD15" s="16">
        <f t="shared" si="0"/>
        <v>40</v>
      </c>
      <c r="BE15" s="16">
        <f t="shared" si="0"/>
        <v>0</v>
      </c>
      <c r="BF15" s="16">
        <f t="shared" si="0"/>
        <v>0</v>
      </c>
    </row>
    <row r="16" spans="1:59">
      <c r="A16" s="74" t="str">
        <f>Constants!E6</f>
        <v>PT</v>
      </c>
      <c r="B16" s="16">
        <f>SUMIFS('DZ Euros'!$F$55:$F$67,'DZ Euros'!$B$55:$B$67, B$15,'DZ Euros'!$H$55:$H$67,$A16)*(1+Constants!$B$7)</f>
        <v>0</v>
      </c>
      <c r="C16" s="16">
        <f>SUMIFS('DZ Euros'!$F$55:$F$67,'DZ Euros'!$B$55:$B$67, C$15,'DZ Euros'!$H$55:$H$67,$A16)</f>
        <v>0</v>
      </c>
      <c r="D16" s="16">
        <f>SUMIFS('DZ Euros'!$F$55:$F$67,'DZ Euros'!$B$55:$B$67, D$15,'DZ Euros'!$H$55:$H$67,$A16)*(1+Constants!$B$7)</f>
        <v>0</v>
      </c>
      <c r="E16" s="16">
        <f>SUMIFS('DZ Euros'!$F$55:$F$67,'DZ Euros'!$B$55:$B$67, E$15,'DZ Euros'!$H$55:$H$67,$A16)*(1+Constants!$B$7)</f>
        <v>0</v>
      </c>
      <c r="F16" s="16">
        <f>SUMIFS('DZ Euros'!$F$55:$F$67,'DZ Euros'!$B$55:$B$67, F$15,'DZ Euros'!$H$55:$H$67,$A16)*(1+Constants!$B$7)</f>
        <v>0</v>
      </c>
      <c r="G16" s="74" t="s">
        <v>430</v>
      </c>
      <c r="H16" s="16">
        <f>SUMIF('DZ Euros'!$B$73:$B$89,"&lt;&gt;External",'DZ Euros'!$F$73:$F$89)</f>
        <v>40</v>
      </c>
      <c r="I16" s="75">
        <f>SUMIF('DZ Euros'!$B$73:$B$89,"External",'DZ Euros'!$F$73:$F$89)</f>
        <v>2</v>
      </c>
      <c r="J16" s="234">
        <f>SUM($F$92:$F$119)</f>
        <v>19911</v>
      </c>
      <c r="K16" s="76">
        <f>IF(OR(ISBLANK(B7),ISBLANK(B9)), "ERROR",MAX(MIN(J16,B7*Constants!B15)-Constants!B14*B7,0)*IF(B9="yes",Constants!B16,IF(B9="no",Constants!B17,0)))</f>
        <v>6400</v>
      </c>
      <c r="L16" s="77" t="s">
        <v>360</v>
      </c>
      <c r="M16" s="76">
        <f>E16*Constants!B6+E17*Constants!B8+E22+E21</f>
        <v>0</v>
      </c>
      <c r="N16" s="17"/>
      <c r="O16" s="17"/>
      <c r="P16" s="17"/>
      <c r="Q16" s="17"/>
      <c r="R16" s="16"/>
      <c r="S16" s="17"/>
      <c r="T16" s="17"/>
      <c r="U16" s="17"/>
      <c r="V16" s="17"/>
      <c r="W16" s="17"/>
      <c r="X16" s="17"/>
      <c r="Y16" s="17"/>
      <c r="Z16" s="17"/>
      <c r="AA16" s="17"/>
      <c r="AB16" s="17"/>
      <c r="AC16" s="17"/>
      <c r="AD16" s="19">
        <f t="shared" ref="AD16:BF16" si="1">AD14*AD15</f>
        <v>0</v>
      </c>
      <c r="AE16" s="19">
        <f t="shared" si="1"/>
        <v>0</v>
      </c>
      <c r="AF16" s="19">
        <f t="shared" si="1"/>
        <v>0</v>
      </c>
      <c r="AG16" s="19">
        <f t="shared" si="1"/>
        <v>0</v>
      </c>
      <c r="AH16" s="19">
        <f t="shared" si="1"/>
        <v>0</v>
      </c>
      <c r="AI16" s="19">
        <f t="shared" si="1"/>
        <v>0</v>
      </c>
      <c r="AJ16" s="19">
        <f t="shared" si="1"/>
        <v>0</v>
      </c>
      <c r="AK16" s="19">
        <f t="shared" si="1"/>
        <v>0</v>
      </c>
      <c r="AL16" s="19">
        <f t="shared" si="1"/>
        <v>0</v>
      </c>
      <c r="AM16" s="19">
        <f t="shared" si="1"/>
        <v>0</v>
      </c>
      <c r="AN16" s="19">
        <f t="shared" si="1"/>
        <v>0</v>
      </c>
      <c r="AO16" s="19">
        <f t="shared" si="1"/>
        <v>0</v>
      </c>
      <c r="AP16" s="19">
        <f t="shared" si="1"/>
        <v>0</v>
      </c>
      <c r="AQ16" s="19">
        <f t="shared" si="1"/>
        <v>0</v>
      </c>
      <c r="AR16" s="19">
        <f t="shared" si="1"/>
        <v>0</v>
      </c>
      <c r="AS16" s="19">
        <f t="shared" si="1"/>
        <v>0</v>
      </c>
      <c r="AT16" s="19">
        <f t="shared" si="1"/>
        <v>0</v>
      </c>
      <c r="AU16" s="19">
        <f t="shared" si="1"/>
        <v>0</v>
      </c>
      <c r="AV16" s="19">
        <f t="shared" si="1"/>
        <v>0</v>
      </c>
      <c r="AW16" s="19">
        <f t="shared" si="1"/>
        <v>0</v>
      </c>
      <c r="AX16" s="19">
        <f t="shared" si="1"/>
        <v>0</v>
      </c>
      <c r="AY16" s="19">
        <f t="shared" si="1"/>
        <v>0</v>
      </c>
      <c r="AZ16" s="19">
        <f t="shared" si="1"/>
        <v>0</v>
      </c>
      <c r="BA16" s="19">
        <f t="shared" si="1"/>
        <v>0</v>
      </c>
      <c r="BB16" s="19">
        <f t="shared" si="1"/>
        <v>0</v>
      </c>
      <c r="BC16" s="19">
        <f t="shared" si="1"/>
        <v>0</v>
      </c>
      <c r="BD16" s="19">
        <f t="shared" si="1"/>
        <v>0</v>
      </c>
      <c r="BE16" s="19">
        <f t="shared" si="1"/>
        <v>0</v>
      </c>
      <c r="BF16" s="19">
        <f t="shared" si="1"/>
        <v>0</v>
      </c>
    </row>
    <row r="17" spans="1:36">
      <c r="A17" s="74" t="str">
        <f>Constants!E7</f>
        <v>PT-V</v>
      </c>
      <c r="B17" s="16">
        <f>SUMIFS('DZ Euros'!$F$55:$F$67,'DZ Euros'!$B$55:$B$67, B$15,'DZ Euros'!$H$55:$H$67,$A17)*(1+Constants!$B$9)</f>
        <v>0</v>
      </c>
      <c r="C17" s="16">
        <f>SUMIFS('DZ Euros'!$F$55:$F$67,'DZ Euros'!$B$55:$B$67, C$15,'DZ Euros'!$H$55:$H$67,$A17)</f>
        <v>0</v>
      </c>
      <c r="D17" s="16">
        <f>SUMIFS('DZ Euros'!$F$55:$F$67,'DZ Euros'!$B$55:$B$67, D$15,'DZ Euros'!$H$55:$H$67,$A17)*(1+Constants!$B$9)</f>
        <v>0</v>
      </c>
      <c r="E17" s="16">
        <f>SUMIFS('DZ Euros'!$F$55:$F$67,'DZ Euros'!$B$55:$B$67, E$15,'DZ Euros'!$H$55:$H$67,$A17)*(1+Constants!$B$9)</f>
        <v>0</v>
      </c>
      <c r="F17" s="16">
        <f>SUMIFS('DZ Euros'!$F$55:$F$67,'DZ Euros'!$B$55:$B$67, F$15,'DZ Euros'!$H$55:$H$67,$A17)</f>
        <v>0</v>
      </c>
      <c r="G17" s="74" t="s">
        <v>38</v>
      </c>
      <c r="H17" s="78">
        <f>SUM(AD16:BZ16)</f>
        <v>0</v>
      </c>
      <c r="I17" s="76" cm="1">
        <f t="array" ref="I17">SUM(IF($B$71:$B$87="External",$F$71:$F$87*$H$71:$H$87,0))</f>
        <v>3873.5</v>
      </c>
      <c r="J17" s="79"/>
      <c r="K17" s="80"/>
      <c r="L17" s="77" t="s">
        <v>63</v>
      </c>
      <c r="M17" s="76">
        <f>J16-K16</f>
        <v>13511</v>
      </c>
      <c r="N17" s="17"/>
      <c r="O17" s="17"/>
      <c r="P17" s="17"/>
      <c r="Q17" s="17"/>
      <c r="R17" s="16"/>
      <c r="S17" s="17"/>
      <c r="T17" s="17"/>
      <c r="U17" s="17"/>
      <c r="V17" s="17"/>
      <c r="W17" s="17"/>
      <c r="X17" s="17"/>
      <c r="Y17" s="17"/>
      <c r="Z17" s="17"/>
      <c r="AA17" s="17"/>
      <c r="AB17" s="17"/>
      <c r="AC17" s="17"/>
      <c r="AD17" s="17"/>
      <c r="AE17" s="17"/>
    </row>
    <row r="18" spans="1:36">
      <c r="A18" s="74" t="str">
        <f>Constants!E8</f>
        <v>PT-ZZP</v>
      </c>
      <c r="B18" s="16">
        <f>SUMIFS('DZ Euros'!$F$55:$F$67,'DZ Euros'!$B$55:$B$67, B$15,'DZ Euros'!$H$55:$H$67,$A18)*(1+Constants!$B$7)</f>
        <v>0</v>
      </c>
      <c r="C18" s="16">
        <f>SUMIFS('DZ Euros'!$F$55:$F$67,'DZ Euros'!$B$55:$B$67, C$15,'DZ Euros'!$H$55:$H$67,$A18)</f>
        <v>0</v>
      </c>
      <c r="D18" s="16">
        <f>SUMIFS('DZ Euros'!$F$55:$F$67,'DZ Euros'!$B$55:$B$67, D$15,'DZ Euros'!$H$55:$H$67,$A18)*(1+Constants!$B$7)</f>
        <v>0</v>
      </c>
      <c r="E18" s="16">
        <f>SUMIFS('DZ Euros'!$F$55:$F$67,'DZ Euros'!$B$55:$B$67, E$15,'DZ Euros'!$H$55:$H$67,$A18)*(1+Constants!$B$7)</f>
        <v>0</v>
      </c>
      <c r="F18" s="16">
        <f>SUMIFS('DZ Euros'!$F$55:$F$67,'DZ Euros'!$B$55:$B$67, F$15,'DZ Euros'!$H$55:$H$67,$A18)*(1+Constants!$B$7)</f>
        <v>0</v>
      </c>
      <c r="G18" s="74"/>
      <c r="H18" s="78"/>
      <c r="I18" s="76"/>
      <c r="J18" s="79"/>
      <c r="K18" s="80"/>
      <c r="L18" s="77" t="s">
        <v>60</v>
      </c>
      <c r="M18" s="76" t="str">
        <f>IF(I17-Constants!I17*$B$7&gt;0,$I$17-Constants!I17*$B$7,"-")</f>
        <v>-</v>
      </c>
      <c r="N18" s="17"/>
      <c r="O18" s="17"/>
      <c r="P18" s="17"/>
      <c r="Q18" s="17"/>
      <c r="R18" s="16"/>
      <c r="S18" s="17"/>
      <c r="T18" s="17"/>
      <c r="U18" s="17"/>
      <c r="V18" s="17"/>
      <c r="W18" s="17"/>
      <c r="X18" s="17"/>
      <c r="Y18" s="17"/>
      <c r="Z18" s="17"/>
      <c r="AA18" s="17"/>
      <c r="AB18" s="17"/>
      <c r="AC18" s="17"/>
      <c r="AD18" s="17"/>
      <c r="AE18" s="17"/>
    </row>
    <row r="19" spans="1:36">
      <c r="A19" s="74" t="str">
        <f>Constants!E9</f>
        <v>RT</v>
      </c>
      <c r="B19" s="16">
        <f>SUMIFS('DZ Euros'!$F$55:$F$67,'DZ Euros'!$B$55:$B$67, B$15,'DZ Euros'!$H$55:$H$67,$A19)</f>
        <v>0</v>
      </c>
      <c r="C19" s="16">
        <f>SUMIFS('DZ Euros'!$F$55:$F$67,'DZ Euros'!$B$55:$B$67, C$15,'DZ Euros'!$H$55:$H$67,$A19)</f>
        <v>0</v>
      </c>
      <c r="D19" s="16">
        <f>SUMIFS('DZ Euros'!$F$55:$F$67,'DZ Euros'!$B$55:$B$67, D$15,'DZ Euros'!$H$55:$H$67,$A19)</f>
        <v>0</v>
      </c>
      <c r="E19" s="16">
        <f>SUMIFS('DZ Euros'!$F$55:$F$67,'DZ Euros'!$B$55:$B$67, E$15,'DZ Euros'!$H$55:$H$67,$A19)</f>
        <v>393</v>
      </c>
      <c r="F19" s="16">
        <f>SUMIFS('DZ Euros'!$F$55:$F$67,'DZ Euros'!$B$55:$B$67, F$15,'DZ Euros'!$H$55:$H$67,$A19)</f>
        <v>0</v>
      </c>
      <c r="G19" s="74" t="s">
        <v>396</v>
      </c>
      <c r="H19" s="78"/>
      <c r="I19" s="76">
        <f>IF(B7*Constants!I17&lt;I17,B7*Constants!I17,I17)</f>
        <v>3873.5</v>
      </c>
      <c r="J19" s="79"/>
      <c r="K19" s="80"/>
      <c r="L19" s="77" t="s">
        <v>431</v>
      </c>
      <c r="M19" s="255"/>
      <c r="N19" s="17"/>
      <c r="O19" s="17"/>
      <c r="P19" s="17"/>
      <c r="Q19" s="17"/>
      <c r="R19" s="16"/>
      <c r="S19" s="17"/>
      <c r="T19" s="17"/>
      <c r="U19" s="17"/>
      <c r="V19" s="17"/>
      <c r="W19" s="17"/>
      <c r="X19" s="17"/>
      <c r="Y19" s="17"/>
      <c r="Z19" s="17"/>
      <c r="AA19" s="17"/>
      <c r="AB19" s="17"/>
      <c r="AC19" s="17"/>
      <c r="AD19" s="17"/>
      <c r="AE19" s="17"/>
    </row>
    <row r="20" spans="1:36">
      <c r="A20" s="74" t="str">
        <f>Constants!E10</f>
        <v>Extern</v>
      </c>
      <c r="B20" s="16">
        <f>SUMIFS('DZ Euros'!$F$55:$F$67,'DZ Euros'!$B$55:$B$67, B$15,'DZ Euros'!$H$55:$H$67,$A20)</f>
        <v>0</v>
      </c>
      <c r="C20" s="16">
        <f>SUMIFS('DZ Euros'!$F$55:$F$67,'DZ Euros'!$B$55:$B$67, C$15,'DZ Euros'!$H$55:$H$67,$A20)</f>
        <v>0</v>
      </c>
      <c r="D20" s="16">
        <f>SUMIFS('DZ Euros'!$F$55:$F$67,'DZ Euros'!$B$55:$B$67, D$15,'DZ Euros'!$H$55:$H$67,$A20)</f>
        <v>0</v>
      </c>
      <c r="E20" s="16">
        <f>SUMIFS('DZ Euros'!$F$55:$F$67,'DZ Euros'!$B$55:$B$67, E$15,'DZ Euros'!$H$55:$H$67,$A20)</f>
        <v>0</v>
      </c>
      <c r="F20" s="16">
        <f>SUMIFS('DZ Euros'!$F$55:$F$67,'DZ Euros'!$B$55:$B$67, F$15,'DZ Euros'!$H$55:$H$67,$A20)</f>
        <v>0</v>
      </c>
      <c r="G20" s="81"/>
      <c r="H20" s="16"/>
      <c r="I20" s="75"/>
      <c r="J20" s="79"/>
      <c r="K20" s="82"/>
      <c r="L20" s="83"/>
      <c r="M20" s="84"/>
      <c r="N20" s="17"/>
      <c r="O20" s="17"/>
      <c r="P20" s="17"/>
      <c r="Q20" s="17"/>
      <c r="R20" s="16"/>
      <c r="S20" s="17"/>
      <c r="T20" s="17"/>
      <c r="U20" s="17"/>
      <c r="V20" s="17"/>
      <c r="W20" s="17"/>
      <c r="X20" s="17"/>
      <c r="Y20" s="17"/>
      <c r="Z20" s="17"/>
      <c r="AA20" s="17"/>
      <c r="AB20" s="17"/>
      <c r="AC20" s="17"/>
      <c r="AD20" s="17"/>
      <c r="AE20" s="17"/>
    </row>
    <row r="21" spans="1:36">
      <c r="A21" s="74" t="str">
        <f>CONCATENATE(A18," Costs")</f>
        <v>PT-ZZP Costs</v>
      </c>
      <c r="B21" s="78">
        <f t="array" ref="B21">SUM(IF('DZ Euros'!$B$55:$B$67=B$15,IF('DZ Euros'!$H$55:$H$67="PT-ZZP",'DZ Euros'!$F$55:$F$67*'DZ Euros'!$I$55:$I$67*(1+Constants!$B$7),0),0))</f>
        <v>0</v>
      </c>
      <c r="C21" s="78">
        <f t="array" ref="C21">SUM(IF('DZ Euros'!$B$55:$B$67=C$15,IF('DZ Euros'!$H$55:$H$67="PT-ZZP",'DZ Euros'!$F$55:$F$67*'DZ Euros'!$I$55:$I$67,0),0))</f>
        <v>0</v>
      </c>
      <c r="D21" s="78">
        <f t="array" ref="D21">SUM(IF('DZ Euros'!$B$55:$B$67=D$15,IF('DZ Euros'!$H$55:$H$67="PT-ZZP",'DZ Euros'!$F$55:$F$67*'DZ Euros'!$I$55:$I$67*(1+Constants!$B$7),0),0))</f>
        <v>0</v>
      </c>
      <c r="E21" s="78">
        <f t="array" ref="E21">SUM(IF('DZ Euros'!$B$55:$B$67=E$15,IF('DZ Euros'!$H$55:$H$67="PT-ZZP",'DZ Euros'!$F$55:$F$67*'DZ Euros'!$I$55:$I$67*(1+Constants!$B$7),0),0))</f>
        <v>0</v>
      </c>
      <c r="F21" s="78">
        <f t="array" ref="F21">SUM(IF('DZ Euros'!$B$55:$B$67=F$15,IF('DZ Euros'!$H$55:$H$67="PT-ZZP",'DZ Euros'!$F$55:$F$67*'DZ Euros'!$I$55:$I$67*(1+Constants!$B$7),0),0))</f>
        <v>0</v>
      </c>
      <c r="G21" s="81"/>
      <c r="H21" s="16"/>
      <c r="I21" s="75"/>
      <c r="J21" s="79"/>
      <c r="K21" s="82"/>
      <c r="L21" s="77" t="s">
        <v>5</v>
      </c>
      <c r="M21" s="76">
        <f>SUM(M15:M20)</f>
        <v>13511</v>
      </c>
      <c r="N21" s="17"/>
      <c r="O21" s="17"/>
      <c r="P21" s="17"/>
      <c r="Q21" s="17"/>
      <c r="R21" s="16"/>
      <c r="S21" s="17"/>
      <c r="T21" s="17"/>
      <c r="U21" s="17"/>
      <c r="V21" s="17"/>
      <c r="W21" s="17"/>
      <c r="X21" s="17"/>
      <c r="Y21" s="17"/>
      <c r="Z21" s="17"/>
      <c r="AA21" s="17"/>
      <c r="AB21" s="17"/>
      <c r="AC21" s="17"/>
      <c r="AD21" s="17"/>
      <c r="AE21" s="17"/>
    </row>
    <row r="22" spans="1:36" ht="15.75" customHeight="1">
      <c r="A22" s="74" t="str">
        <f>CONCATENATE(A20," Costs")</f>
        <v>Extern Costs</v>
      </c>
      <c r="B22" s="78">
        <f t="array" ref="B22">SUM(IF('DZ Euros'!$B$55:$B$67=B$15,IF('DZ Euros'!$H$55:$H$67="Extern",'DZ Euros'!$F$55:$F$67*'DZ Euros'!$I$55:$I$67,0),0))</f>
        <v>0</v>
      </c>
      <c r="C22" s="78">
        <f t="array" ref="C22">SUM(IF('DZ Euros'!$B$55:$B$67=C$15,IF('DZ Euros'!$H$55:$H$67="Extern",'DZ Euros'!$F$55:$F$67*'DZ Euros'!$I$55:$I$67,0),0))</f>
        <v>0</v>
      </c>
      <c r="D22" s="78">
        <f t="array" ref="D22">SUM(IF('DZ Euros'!$B$55:$B$67=D$15,IF('DZ Euros'!$H$55:$H$67="Extern",'DZ Euros'!$F$55:$F$67*'DZ Euros'!$I$55:$I$67,0),0))</f>
        <v>0</v>
      </c>
      <c r="E22" s="78">
        <f t="array" ref="E22">SUM(IF('DZ Euros'!$B$55:$B$67=E$15,IF('DZ Euros'!$H$55:$H$67="Extern",'DZ Euros'!$F$55:$F$67*'DZ Euros'!$I$55:$I$67,0),0))</f>
        <v>0</v>
      </c>
      <c r="F22" s="76">
        <f t="array" ref="F22">SUM(IF('DZ Euros'!$B$55:$B$67=F$15,IF('DZ Euros'!$H$55:$H$67="Extern",'DZ Euros'!$F$55:$F$67*'DZ Euros'!$I$55:$I$67,0),0))</f>
        <v>0</v>
      </c>
      <c r="G22" s="85"/>
      <c r="H22" s="177"/>
      <c r="I22" s="86"/>
      <c r="J22" s="87"/>
      <c r="K22" s="88"/>
      <c r="L22" s="87"/>
      <c r="M22" s="88"/>
      <c r="N22" s="17"/>
      <c r="O22" s="17"/>
      <c r="P22" s="17"/>
      <c r="Q22" s="17"/>
      <c r="R22" s="16"/>
      <c r="S22" s="17"/>
      <c r="T22" s="17"/>
      <c r="U22" s="17"/>
      <c r="V22" s="17"/>
      <c r="W22" s="17"/>
      <c r="X22" s="17"/>
      <c r="Y22" s="17"/>
      <c r="Z22" s="17"/>
      <c r="AA22" s="17"/>
      <c r="AB22" s="17"/>
      <c r="AC22" s="17"/>
      <c r="AD22" s="17"/>
      <c r="AE22" s="17"/>
    </row>
    <row r="23" spans="1:36" ht="15" customHeight="1">
      <c r="A23" s="74" t="s">
        <v>432</v>
      </c>
      <c r="B23" s="78"/>
      <c r="C23" s="78"/>
      <c r="D23" s="78"/>
      <c r="E23" s="78"/>
      <c r="F23" s="76">
        <f t="array" ref="F23">SUMIFS('DZ Euros'!$F$55:$F$67,'DZ Euros'!$B$55:$B$67,"Mentorship",'DZ Euros'!$H$55:$H$67,"PT-V")*Constants!B8+SUMIFS('DZ Euros'!$F$55:$F$67,'DZ Euros'!$B$55:$B$67,"Mentorship",'DZ Euros'!$H$55:$H$67,"PT")*Constants!B6+SUMPRODUCT(IF('DZ Euros'!$B$55:$B$67="Mentorship",IF('DZ Euros'!$H$55:$H$67="PT-ZZP",'DZ Euros'!$F$55:$F$67*'DZ Euros'!$I$55:$I$67,0)))</f>
        <v>0</v>
      </c>
    </row>
    <row r="24" spans="1:36" ht="15" customHeight="1">
      <c r="A24" s="89" t="s">
        <v>433</v>
      </c>
      <c r="B24" s="178"/>
      <c r="C24" s="178"/>
      <c r="D24" s="178"/>
      <c r="E24" s="178">
        <f>SUMIF('DZ Euros'!$B$55:$B$67,"External Trainer Course",'DZ Euros'!$I$55:$I$67)</f>
        <v>0</v>
      </c>
      <c r="F24" s="90"/>
    </row>
    <row r="25" spans="1:36" ht="15.75" customHeight="1">
      <c r="A25" s="16"/>
      <c r="B25" s="16"/>
      <c r="C25" s="16"/>
      <c r="D25" s="16"/>
      <c r="E25" s="17"/>
      <c r="F25" s="17"/>
      <c r="G25" s="17"/>
      <c r="H25" s="17"/>
      <c r="I25" s="17"/>
      <c r="J25" s="17"/>
      <c r="K25" s="17"/>
      <c r="L25" s="17"/>
      <c r="M25" s="17"/>
      <c r="N25" s="17"/>
      <c r="O25" s="17"/>
      <c r="P25" s="17"/>
      <c r="Q25" s="16"/>
      <c r="R25" s="17"/>
      <c r="S25" s="17"/>
      <c r="T25" s="17"/>
      <c r="U25" s="17"/>
      <c r="V25" s="17"/>
      <c r="W25" s="17"/>
      <c r="X25" s="17"/>
      <c r="Y25" s="17"/>
      <c r="Z25" s="17"/>
      <c r="AA25" s="17"/>
      <c r="AB25" s="17"/>
      <c r="AC25" s="17"/>
      <c r="AD25" s="17"/>
    </row>
    <row r="26" spans="1:36" ht="15.75" customHeight="1">
      <c r="A26" s="16"/>
      <c r="B26" s="16"/>
      <c r="C26" s="16"/>
      <c r="D26" s="16"/>
      <c r="E26" s="17"/>
      <c r="F26" s="17"/>
      <c r="G26" s="17"/>
      <c r="H26" s="17"/>
      <c r="I26" s="17"/>
      <c r="J26" s="17"/>
      <c r="K26" s="17"/>
      <c r="L26" s="17"/>
      <c r="M26" s="17"/>
      <c r="N26" s="17"/>
      <c r="O26" s="17"/>
      <c r="P26" s="17"/>
      <c r="Q26" s="16"/>
      <c r="R26" s="17"/>
      <c r="S26" s="17"/>
      <c r="T26" s="17"/>
      <c r="U26" s="17"/>
      <c r="V26" s="17"/>
      <c r="W26" s="17"/>
      <c r="X26" s="17"/>
      <c r="Y26" s="17"/>
      <c r="Z26" s="17"/>
      <c r="AA26" s="17"/>
      <c r="AB26" s="17"/>
      <c r="AC26" s="17"/>
      <c r="AD26" s="17"/>
    </row>
    <row r="27" spans="1:36" ht="15.75" customHeight="1" thickBot="1">
      <c r="A27" s="91" t="s">
        <v>434</v>
      </c>
      <c r="B27" s="17"/>
      <c r="C27" s="17"/>
      <c r="D27" s="17"/>
      <c r="E27" s="17"/>
      <c r="F27" s="17"/>
      <c r="G27" s="92"/>
      <c r="H27" s="19"/>
      <c r="I27" s="17"/>
      <c r="J27" s="17"/>
      <c r="K27" s="17"/>
      <c r="L27" s="17"/>
      <c r="M27" s="17"/>
      <c r="N27" s="17"/>
      <c r="O27" s="17"/>
      <c r="P27" s="17"/>
      <c r="Q27" s="16"/>
      <c r="R27" s="17"/>
      <c r="S27" s="17"/>
      <c r="T27" s="17"/>
      <c r="U27" s="17"/>
      <c r="V27" s="17"/>
      <c r="W27" s="17"/>
      <c r="X27" s="17"/>
      <c r="Y27" s="17"/>
      <c r="Z27" s="17"/>
      <c r="AA27" s="17"/>
      <c r="AB27" s="17"/>
      <c r="AC27" s="17"/>
      <c r="AD27" s="17"/>
    </row>
    <row r="28" spans="1:36" ht="15.75" customHeight="1" thickTop="1" thickBot="1">
      <c r="A28" s="706" t="s">
        <v>435</v>
      </c>
      <c r="B28" s="707"/>
      <c r="C28" s="707"/>
      <c r="D28" s="707"/>
      <c r="E28" s="707"/>
      <c r="F28" s="708"/>
      <c r="G28" s="15"/>
      <c r="H28" s="17"/>
      <c r="I28" s="17"/>
      <c r="J28" s="17"/>
      <c r="K28" s="17"/>
      <c r="L28" s="17"/>
      <c r="M28" s="17"/>
      <c r="N28" s="17"/>
      <c r="O28" s="17"/>
      <c r="P28" s="17"/>
      <c r="Q28" s="16"/>
      <c r="R28" s="17"/>
      <c r="S28" s="17"/>
      <c r="T28" s="17"/>
      <c r="U28" s="17"/>
      <c r="V28" s="17"/>
      <c r="W28" s="17"/>
      <c r="X28" s="17"/>
      <c r="Y28" s="17"/>
      <c r="Z28" s="17"/>
      <c r="AA28" s="17"/>
      <c r="AB28" s="17"/>
      <c r="AC28" s="17"/>
      <c r="AD28" s="242" t="s">
        <v>436</v>
      </c>
      <c r="AE28" s="16"/>
      <c r="AF28" s="128"/>
      <c r="AG28" s="51"/>
      <c r="AH28" s="51"/>
      <c r="AI28" s="51"/>
      <c r="AJ28" s="51"/>
    </row>
    <row r="29" spans="1:36" ht="15.75" customHeight="1" thickBot="1">
      <c r="A29" s="709" t="s">
        <v>437</v>
      </c>
      <c r="B29" s="696"/>
      <c r="C29" s="696"/>
      <c r="D29" s="696"/>
      <c r="E29" s="696"/>
      <c r="F29" s="710"/>
      <c r="G29" s="17"/>
      <c r="H29" s="17"/>
      <c r="I29" s="17"/>
      <c r="J29" s="17"/>
      <c r="K29" s="17"/>
      <c r="L29" s="17"/>
      <c r="M29" s="17"/>
      <c r="N29" s="17"/>
      <c r="O29" s="17"/>
      <c r="P29" s="17"/>
      <c r="Q29" s="16"/>
      <c r="R29" s="17"/>
      <c r="S29" s="17"/>
      <c r="T29" s="17"/>
      <c r="U29" s="17"/>
      <c r="V29" s="17"/>
      <c r="W29" s="17"/>
      <c r="X29" s="17"/>
      <c r="Y29" s="17"/>
      <c r="Z29" s="17"/>
      <c r="AA29" s="17"/>
      <c r="AB29" s="17"/>
      <c r="AC29" s="17"/>
      <c r="AD29" s="243" t="s">
        <v>438</v>
      </c>
      <c r="AE29" s="243" t="s">
        <v>439</v>
      </c>
      <c r="AF29" s="243" t="s">
        <v>440</v>
      </c>
      <c r="AG29" s="711" t="s">
        <v>441</v>
      </c>
      <c r="AH29" s="712"/>
      <c r="AI29" s="711" t="s">
        <v>434</v>
      </c>
      <c r="AJ29" s="712"/>
    </row>
    <row r="30" spans="1:36" ht="15.75" customHeight="1" thickBot="1">
      <c r="A30" s="709" t="s">
        <v>442</v>
      </c>
      <c r="B30" s="696"/>
      <c r="C30" s="696"/>
      <c r="D30" s="696"/>
      <c r="E30" s="696"/>
      <c r="F30" s="710"/>
      <c r="G30" s="17"/>
      <c r="H30" s="17"/>
      <c r="I30" s="17"/>
      <c r="J30" s="17"/>
      <c r="K30" s="17"/>
      <c r="L30" s="17"/>
      <c r="M30" s="17"/>
      <c r="N30" s="17"/>
      <c r="O30" s="17"/>
      <c r="P30" s="17"/>
      <c r="Q30" s="16"/>
      <c r="R30" s="17"/>
      <c r="S30" s="17"/>
      <c r="T30" s="17"/>
      <c r="U30" s="17"/>
      <c r="V30" s="17"/>
      <c r="W30" s="17"/>
      <c r="X30" s="17"/>
      <c r="Y30" s="17"/>
      <c r="Z30" s="17"/>
      <c r="AA30" s="17"/>
      <c r="AB30" s="17"/>
      <c r="AC30" s="17"/>
      <c r="AD30" s="244" t="str">
        <f>IF($B$12="individual",Constants!F55,Constants!L55)</f>
        <v>member count</v>
      </c>
      <c r="AE30" s="244">
        <f>B7</f>
        <v>64</v>
      </c>
      <c r="AF30" s="269">
        <f>IF(AE30&gt;=301,5,IF(AE30&gt;=176,4,IF(AE30&gt;=101,3,IF(AE30&gt;=51,2,1))))</f>
        <v>2</v>
      </c>
      <c r="AG30" s="560" t="s">
        <v>886</v>
      </c>
      <c r="AH30" s="560"/>
      <c r="AI30" s="560" t="s">
        <v>443</v>
      </c>
      <c r="AJ30" s="560"/>
    </row>
    <row r="31" spans="1:36" ht="15" customHeight="1" thickBot="1">
      <c r="A31" s="709" t="s">
        <v>444</v>
      </c>
      <c r="B31" s="696"/>
      <c r="C31" s="696"/>
      <c r="D31" s="696"/>
      <c r="E31" s="696"/>
      <c r="F31" s="710"/>
      <c r="G31" s="17"/>
      <c r="H31" s="17"/>
      <c r="I31" s="17"/>
      <c r="J31" s="17"/>
      <c r="K31" s="17"/>
      <c r="L31" s="17"/>
      <c r="M31" s="17"/>
      <c r="N31" s="17"/>
      <c r="O31" s="17"/>
      <c r="P31" s="17"/>
      <c r="Q31" s="16"/>
      <c r="R31" s="17"/>
      <c r="S31" s="17"/>
      <c r="T31" s="17"/>
      <c r="U31" s="17"/>
      <c r="V31" s="17"/>
      <c r="W31" s="17"/>
      <c r="X31" s="17"/>
      <c r="Y31" s="17"/>
      <c r="Z31" s="17"/>
      <c r="AA31" s="17"/>
      <c r="AB31" s="17"/>
      <c r="AC31" s="17"/>
      <c r="AD31" s="244" t="str">
        <f>IF($B$12="individual",Constants!F56,Constants!L56)</f>
        <v>number of trainings per week</v>
      </c>
      <c r="AE31" s="244" cm="1">
        <f t="array" ref="AE31">SUMPRODUCT(C55:C67*D55:D67)/42</f>
        <v>1.5</v>
      </c>
      <c r="AF31" s="270">
        <f>IF(AE31&gt;=4,3,IF(AE31&gt;=3,2,IF(AE31&gt;=2,1,0)))</f>
        <v>0</v>
      </c>
      <c r="AG31" s="560"/>
      <c r="AH31" s="560"/>
      <c r="AI31" s="560"/>
      <c r="AJ31" s="560"/>
    </row>
    <row r="32" spans="1:36" ht="15.75" customHeight="1" thickBot="1">
      <c r="A32" s="709" t="s">
        <v>445</v>
      </c>
      <c r="B32" s="696"/>
      <c r="C32" s="696"/>
      <c r="D32" s="696"/>
      <c r="E32" s="696"/>
      <c r="F32" s="710"/>
      <c r="G32" s="17"/>
      <c r="H32" s="16"/>
      <c r="I32" s="16"/>
      <c r="J32" s="16"/>
      <c r="K32" s="17"/>
      <c r="L32" s="17"/>
      <c r="M32" s="17"/>
      <c r="N32" s="17"/>
      <c r="O32" s="17"/>
      <c r="P32" s="17"/>
      <c r="Q32" s="16"/>
      <c r="R32" s="17"/>
      <c r="S32" s="17"/>
      <c r="T32" s="17"/>
      <c r="U32" s="17"/>
      <c r="V32" s="17"/>
      <c r="W32" s="17"/>
      <c r="X32" s="17"/>
      <c r="Y32" s="17"/>
      <c r="Z32" s="17"/>
      <c r="AA32" s="17"/>
      <c r="AB32" s="17"/>
      <c r="AC32" s="17"/>
      <c r="AD32" s="244" t="str">
        <f>IF($B$12="individual",Constants!F57,Constants!L57)</f>
        <v>number of trainings weeks per year</v>
      </c>
      <c r="AE32" s="252">
        <f>MAX(C55:C67)</f>
        <v>21</v>
      </c>
      <c r="AF32" s="250">
        <f>IF(AE32&gt;=40,3,IF(AE32&gt;=35,2,1))</f>
        <v>1</v>
      </c>
      <c r="AG32" s="560"/>
      <c r="AH32" s="560"/>
      <c r="AI32" s="560"/>
      <c r="AJ32" s="560"/>
    </row>
    <row r="33" spans="1:58" ht="15.75" customHeight="1" thickBot="1">
      <c r="A33" s="93" t="s">
        <v>446</v>
      </c>
      <c r="F33" s="94"/>
      <c r="G33" s="17"/>
      <c r="H33" s="16"/>
      <c r="I33" s="16"/>
      <c r="J33" s="16"/>
      <c r="K33" s="17"/>
      <c r="L33" s="17"/>
      <c r="M33" s="17"/>
      <c r="N33" s="17"/>
      <c r="O33" s="17"/>
      <c r="P33" s="17"/>
      <c r="Q33" s="16"/>
      <c r="R33" s="17"/>
      <c r="S33" s="17"/>
      <c r="T33" s="17"/>
      <c r="U33" s="17"/>
      <c r="V33" s="17"/>
      <c r="W33" s="17"/>
      <c r="X33" s="17"/>
      <c r="Y33" s="17"/>
      <c r="Z33" s="17"/>
      <c r="AA33" s="17"/>
      <c r="AB33" s="17"/>
      <c r="AC33" s="17"/>
      <c r="AD33" s="244" t="str">
        <f>IF($B$12="individual",Constants!F58,Constants!L58)</f>
        <v>number of training hours by RT / PT-V</v>
      </c>
      <c r="AE33" s="251">
        <f>(SUMIF(H55:H67,"RT",F55:F67)+SUMIF(H55:H67,"PT-V",F55:F67))/SUM(F55:F67)</f>
        <v>1</v>
      </c>
      <c r="AF33" s="270">
        <f>IF(AE33&gt;0.9,3,IF(AE33&gt;0.6,2,IF(AE33&gt;0.3,1,0)))</f>
        <v>3</v>
      </c>
      <c r="AG33" s="560"/>
      <c r="AH33" s="560"/>
      <c r="AI33" s="560"/>
      <c r="AJ33" s="560"/>
    </row>
    <row r="34" spans="1:58" ht="15.75" customHeight="1" thickBot="1">
      <c r="A34" s="713" t="s">
        <v>447</v>
      </c>
      <c r="B34" s="714"/>
      <c r="C34" s="714"/>
      <c r="D34" s="714"/>
      <c r="E34" s="714"/>
      <c r="F34" s="715"/>
      <c r="G34" s="17"/>
      <c r="H34" s="16"/>
      <c r="I34" s="16"/>
      <c r="J34" s="16"/>
      <c r="K34" s="17"/>
      <c r="L34" s="17"/>
      <c r="M34" s="17"/>
      <c r="N34" s="17"/>
      <c r="O34" s="17"/>
      <c r="P34" s="17"/>
      <c r="Q34" s="16"/>
      <c r="R34" s="17"/>
      <c r="S34" s="17"/>
      <c r="T34" s="17"/>
      <c r="U34" s="17"/>
      <c r="V34" s="17"/>
      <c r="W34" s="17"/>
      <c r="X34" s="17"/>
      <c r="Y34" s="17"/>
      <c r="Z34" s="17"/>
      <c r="AA34" s="17"/>
      <c r="AB34" s="17"/>
      <c r="AC34" s="17"/>
      <c r="AD34" s="244" t="str">
        <f>IF($B$12="individual",Constants!F59,Constants!L59)</f>
        <v>number of training groups / teams</v>
      </c>
      <c r="AE34" s="244">
        <f>B10</f>
        <v>4</v>
      </c>
      <c r="AF34" s="271">
        <f>IF(AE34&gt;9,3,IF(AE34&gt;4,2,IF(AE34&gt;2,1,0)))</f>
        <v>1</v>
      </c>
      <c r="AG34" s="560"/>
      <c r="AH34" s="560"/>
      <c r="AI34" s="560"/>
      <c r="AJ34" s="560"/>
    </row>
    <row r="35" spans="1:58" ht="15.75" customHeight="1" thickTop="1" thickBot="1">
      <c r="A35" s="16"/>
      <c r="G35" s="17"/>
      <c r="H35" s="16"/>
      <c r="I35" s="16"/>
      <c r="J35" s="16"/>
      <c r="K35" s="17"/>
      <c r="L35" s="17"/>
      <c r="M35" s="17"/>
      <c r="N35" s="17"/>
      <c r="O35" s="17"/>
      <c r="P35" s="17"/>
      <c r="Q35" s="16"/>
      <c r="R35" s="17"/>
      <c r="S35" s="17"/>
      <c r="T35" s="17"/>
      <c r="U35" s="17"/>
      <c r="V35" s="17"/>
      <c r="W35" s="17"/>
      <c r="X35" s="17"/>
      <c r="Y35" s="17"/>
      <c r="Z35" s="17"/>
      <c r="AA35" s="17"/>
      <c r="AB35" s="17"/>
      <c r="AC35" s="17"/>
      <c r="AD35" s="244" t="str">
        <f>IF($B$12="individual",Constants!F60,Constants!L60)</f>
        <v>number of competitions organised</v>
      </c>
      <c r="AE35" s="249">
        <v>0</v>
      </c>
      <c r="AF35" s="271">
        <f>IF(AE35&gt;=4,5,IF(AE35&gt;=2,3,IF(AE35&gt;=1,1,0)))</f>
        <v>0</v>
      </c>
      <c r="AG35" s="560"/>
      <c r="AH35" s="560"/>
      <c r="AI35" s="560"/>
      <c r="AJ35" s="560"/>
    </row>
    <row r="36" spans="1:58" ht="15.75" customHeight="1" thickBot="1">
      <c r="A36" s="179" t="s">
        <v>448</v>
      </c>
      <c r="B36" s="16"/>
      <c r="C36" s="16"/>
      <c r="D36" s="16"/>
      <c r="E36" s="16"/>
      <c r="F36" s="16"/>
      <c r="G36" s="16"/>
      <c r="H36" s="16"/>
      <c r="I36" s="16"/>
      <c r="J36" s="16"/>
      <c r="K36" s="16"/>
      <c r="L36" s="16"/>
      <c r="M36" s="16"/>
      <c r="N36" s="16"/>
      <c r="O36" s="16"/>
      <c r="P36" s="16"/>
      <c r="Q36" s="16"/>
      <c r="R36" s="16"/>
      <c r="S36" s="16"/>
      <c r="T36" s="16"/>
      <c r="U36" s="16"/>
      <c r="V36" s="16"/>
      <c r="W36" s="16"/>
      <c r="X36" s="16"/>
      <c r="Y36" s="16"/>
      <c r="Z36" s="16"/>
      <c r="AA36" s="16"/>
      <c r="AB36" s="18"/>
      <c r="AC36" s="16"/>
      <c r="AD36" s="244" t="str">
        <f>IF($B$12="individual",Constants!F61,Constants!L61)</f>
        <v>number of social activities</v>
      </c>
      <c r="AE36" s="249">
        <v>54</v>
      </c>
      <c r="AF36" s="271">
        <f>IF(AE36&gt;=20,2,IF(AE36&gt;=10,1,0))</f>
        <v>2</v>
      </c>
      <c r="AG36" s="560"/>
      <c r="AH36" s="560"/>
      <c r="AI36" s="560"/>
      <c r="AJ36" s="560"/>
    </row>
    <row r="37" spans="1:58" ht="15" customHeight="1" thickTop="1" thickBot="1">
      <c r="A37" s="258" t="s">
        <v>449</v>
      </c>
      <c r="B37" s="259" t="s">
        <v>450</v>
      </c>
      <c r="C37" s="258" t="s">
        <v>451</v>
      </c>
      <c r="D37" s="258" t="s">
        <v>452</v>
      </c>
      <c r="E37" s="258" t="s">
        <v>453</v>
      </c>
      <c r="F37" s="258" t="s">
        <v>454</v>
      </c>
      <c r="G37" s="259" t="s">
        <v>455</v>
      </c>
      <c r="H37" s="561" t="s">
        <v>456</v>
      </c>
      <c r="I37" s="716"/>
      <c r="J37" s="717"/>
      <c r="K37" s="98"/>
      <c r="L37" s="98"/>
      <c r="M37" s="98"/>
      <c r="N37" s="98"/>
      <c r="O37" s="98"/>
      <c r="P37" s="98"/>
      <c r="Q37" s="98"/>
      <c r="R37" s="98"/>
      <c r="S37" s="98"/>
      <c r="T37" s="98"/>
      <c r="U37" s="96"/>
      <c r="V37" s="96"/>
      <c r="W37" s="96"/>
      <c r="X37" s="96"/>
      <c r="Y37" s="99"/>
      <c r="Z37" s="96"/>
      <c r="AA37" s="96"/>
      <c r="AB37" s="100"/>
      <c r="AC37" s="100"/>
      <c r="AD37" s="244" t="str">
        <f>IF($B$12="individual",Constants!F62,Constants!L62)</f>
        <v>number of bar days</v>
      </c>
      <c r="AE37" s="249">
        <v>0</v>
      </c>
      <c r="AF37" s="271">
        <f>IF(AE37&gt;=15,2,IF(AE37&gt;=8,1,0))</f>
        <v>0</v>
      </c>
      <c r="AG37" s="560"/>
      <c r="AH37" s="560"/>
      <c r="AI37" s="560"/>
      <c r="AJ37" s="560"/>
      <c r="AK37" s="100"/>
      <c r="AL37" s="100"/>
      <c r="AM37" s="100"/>
      <c r="AN37" s="100"/>
      <c r="AO37" s="100"/>
      <c r="AP37" s="100"/>
      <c r="AQ37" s="100"/>
      <c r="AR37" s="100"/>
      <c r="AS37" s="100"/>
      <c r="AT37" s="100"/>
      <c r="AU37" s="100"/>
      <c r="AV37" s="100"/>
      <c r="AW37" s="100"/>
      <c r="AX37" s="100"/>
      <c r="AY37" s="100"/>
      <c r="AZ37" s="100"/>
      <c r="BA37" s="100"/>
      <c r="BB37" s="100"/>
      <c r="BC37" s="100"/>
      <c r="BD37" s="100"/>
      <c r="BE37" s="100"/>
      <c r="BF37" s="100"/>
    </row>
    <row r="38" spans="1:58" ht="14.25" customHeight="1" thickTop="1" thickBot="1">
      <c r="A38" s="405" t="s">
        <v>887</v>
      </c>
      <c r="B38" s="191">
        <v>8</v>
      </c>
      <c r="C38" s="192"/>
      <c r="D38" s="396"/>
      <c r="E38" s="191" t="s">
        <v>55</v>
      </c>
      <c r="F38" s="261"/>
      <c r="G38" s="406" t="s">
        <v>888</v>
      </c>
      <c r="H38" s="618" t="s">
        <v>889</v>
      </c>
      <c r="I38" s="741"/>
      <c r="J38" s="742"/>
      <c r="K38" s="16"/>
      <c r="L38" s="16"/>
      <c r="M38" s="16"/>
      <c r="N38" s="16"/>
      <c r="O38" s="16"/>
      <c r="P38" s="16"/>
      <c r="Q38" s="16"/>
      <c r="R38" s="16"/>
      <c r="S38" s="16"/>
      <c r="T38" s="16"/>
      <c r="U38" s="16"/>
      <c r="V38" s="16"/>
      <c r="W38" s="16"/>
      <c r="X38" s="16"/>
      <c r="Y38" s="17"/>
      <c r="Z38" s="16"/>
      <c r="AA38" s="16"/>
      <c r="AD38" s="244" t="str">
        <f>IF($B$12="individual",Constants!F63,Constants!L63)</f>
        <v>own bar / extra location</v>
      </c>
      <c r="AE38" s="249">
        <v>10</v>
      </c>
      <c r="AF38" s="271">
        <f>IF(AE38&gt;=15,2,IF(AE38&gt;=8,1,0))</f>
        <v>1</v>
      </c>
      <c r="AG38" s="560"/>
      <c r="AH38" s="560"/>
      <c r="AI38" s="560"/>
      <c r="AJ38" s="560"/>
    </row>
    <row r="39" spans="1:58" ht="14.25" customHeight="1" thickBot="1">
      <c r="A39" s="405" t="s">
        <v>890</v>
      </c>
      <c r="B39" s="191">
        <v>8</v>
      </c>
      <c r="C39" s="192"/>
      <c r="D39" s="191"/>
      <c r="E39" s="193" t="s">
        <v>55</v>
      </c>
      <c r="F39" s="261"/>
      <c r="G39" s="325"/>
      <c r="H39" s="743"/>
      <c r="I39" s="744"/>
      <c r="J39" s="745"/>
      <c r="K39" s="16"/>
      <c r="L39" s="16"/>
      <c r="M39" s="16"/>
      <c r="N39" s="16"/>
      <c r="O39" s="16"/>
      <c r="P39" s="16"/>
      <c r="Q39" s="16"/>
      <c r="R39" s="16"/>
      <c r="S39" s="16"/>
      <c r="T39" s="16"/>
      <c r="U39" s="16"/>
      <c r="V39" s="16"/>
      <c r="W39" s="16"/>
      <c r="X39" s="16"/>
      <c r="Y39" s="17"/>
      <c r="Z39" s="16"/>
      <c r="AA39" s="16"/>
      <c r="AD39" s="244" t="str">
        <f>IF($B$12="individual",Constants!F65,Constants!L64)</f>
        <v>number of facilities used</v>
      </c>
      <c r="AE39" s="249">
        <v>5</v>
      </c>
      <c r="AF39" s="273">
        <f>IF(B12="individual", IF(AE39&gt;10, 5, IF(AE39&gt;6, 3, IF(AE39&gt;2, 1, 0))), IF(AE39&gt;3, 3, IF(AE39&gt;1, 2, 1)))</f>
        <v>3</v>
      </c>
      <c r="AG39" s="560"/>
      <c r="AH39" s="560"/>
      <c r="AI39" s="560"/>
      <c r="AJ39" s="560"/>
    </row>
    <row r="40" spans="1:58" ht="15.75" customHeight="1" thickBot="1">
      <c r="A40" s="405" t="s">
        <v>891</v>
      </c>
      <c r="B40" s="191">
        <v>3</v>
      </c>
      <c r="C40" s="191"/>
      <c r="D40" s="396"/>
      <c r="E40" s="193" t="s">
        <v>55</v>
      </c>
      <c r="F40" s="261"/>
      <c r="G40" s="406" t="s">
        <v>892</v>
      </c>
      <c r="H40" s="743"/>
      <c r="I40" s="744"/>
      <c r="J40" s="745"/>
      <c r="K40" s="16"/>
      <c r="L40" s="16"/>
      <c r="M40" s="16"/>
      <c r="N40" s="16"/>
      <c r="O40" s="16"/>
      <c r="P40" s="16"/>
      <c r="Q40" s="16"/>
      <c r="R40" s="16"/>
      <c r="S40" s="16"/>
      <c r="T40" s="16"/>
      <c r="U40" s="16"/>
      <c r="V40" s="16"/>
      <c r="W40" s="16"/>
      <c r="X40" s="16"/>
      <c r="Y40" s="16"/>
      <c r="Z40" s="16"/>
      <c r="AA40" s="16"/>
      <c r="AD40" s="231" t="str">
        <f>IF($B$12="individual",Constants!F64,Constants!L65)</f>
        <v>ratio of competing teams / training teams</v>
      </c>
      <c r="AE40" s="231">
        <v>0.25</v>
      </c>
      <c r="AF40" s="272">
        <f>IF(B12="group", IF(AE40&gt;0.15, 5, IF(AE40&gt;0.1, 3, IF(AE40&gt;0.05, 1, 0))), " ")</f>
        <v>5</v>
      </c>
      <c r="AG40" s="560"/>
      <c r="AH40" s="560"/>
      <c r="AI40" s="560"/>
      <c r="AJ40" s="560"/>
    </row>
    <row r="41" spans="1:58" ht="15.75" customHeight="1" thickBot="1">
      <c r="A41" s="407" t="s">
        <v>893</v>
      </c>
      <c r="B41" s="191">
        <v>9</v>
      </c>
      <c r="C41" s="192"/>
      <c r="D41" s="396">
        <v>1</v>
      </c>
      <c r="E41" s="193" t="s">
        <v>55</v>
      </c>
      <c r="F41" s="261"/>
      <c r="G41" s="406" t="s">
        <v>894</v>
      </c>
      <c r="H41" s="743"/>
      <c r="I41" s="744"/>
      <c r="J41" s="745"/>
      <c r="K41" s="16"/>
      <c r="L41" s="16"/>
      <c r="M41" s="16"/>
      <c r="N41" s="16"/>
      <c r="O41" s="16"/>
      <c r="P41" s="16"/>
      <c r="Q41" s="16"/>
      <c r="R41" s="16"/>
      <c r="S41" s="16"/>
      <c r="T41" s="16"/>
      <c r="U41" s="16"/>
      <c r="V41" s="16"/>
      <c r="W41" s="16"/>
      <c r="X41" s="16"/>
      <c r="Y41" s="16"/>
      <c r="Z41" s="16"/>
      <c r="AA41" s="16"/>
      <c r="AD41" s="16"/>
      <c r="AE41" s="275" t="s">
        <v>461</v>
      </c>
      <c r="AF41" s="277">
        <f>SUM(AF30:AF40)</f>
        <v>18</v>
      </c>
      <c r="AG41" s="247"/>
      <c r="AH41" s="245"/>
      <c r="AI41" s="246"/>
      <c r="AJ41" s="247"/>
    </row>
    <row r="42" spans="1:58" ht="15.75" customHeight="1" thickBot="1">
      <c r="A42" s="231"/>
      <c r="B42" s="326"/>
      <c r="C42" s="245"/>
      <c r="D42" s="232"/>
      <c r="E42" s="261"/>
      <c r="F42" s="261"/>
      <c r="G42" s="231"/>
      <c r="H42" s="746"/>
      <c r="I42" s="747"/>
      <c r="J42" s="748"/>
      <c r="K42" s="16"/>
      <c r="L42" s="16"/>
      <c r="M42" s="16"/>
      <c r="N42" s="16"/>
      <c r="O42" s="16"/>
      <c r="P42" s="16"/>
      <c r="Q42" s="16"/>
      <c r="R42" s="16"/>
      <c r="S42" s="16"/>
      <c r="T42" s="16"/>
      <c r="U42" s="16"/>
      <c r="V42" s="16"/>
      <c r="W42" s="16"/>
      <c r="X42" s="16"/>
      <c r="Y42" s="16"/>
      <c r="Z42" s="16"/>
      <c r="AA42" s="16"/>
    </row>
    <row r="43" spans="1:58" ht="15.75" customHeight="1" thickTop="1">
      <c r="A43" s="18"/>
      <c r="B43" s="18"/>
      <c r="C43" s="18"/>
      <c r="D43" s="18"/>
      <c r="E43" s="18"/>
      <c r="F43" s="18"/>
      <c r="G43" s="17"/>
      <c r="H43" s="17"/>
      <c r="I43" s="17"/>
      <c r="J43" s="17"/>
      <c r="K43" s="17"/>
      <c r="L43" s="17"/>
      <c r="M43" s="17"/>
      <c r="N43" s="17"/>
      <c r="O43" s="17"/>
      <c r="P43" s="17"/>
      <c r="Q43" s="16"/>
      <c r="R43" s="17"/>
      <c r="S43" s="17"/>
      <c r="T43" s="17"/>
      <c r="U43" s="17"/>
      <c r="V43" s="17"/>
      <c r="W43" s="17"/>
      <c r="X43" s="17"/>
      <c r="Y43" s="17"/>
      <c r="Z43" s="17"/>
      <c r="AA43" s="17"/>
      <c r="AB43" s="17"/>
      <c r="AC43" s="17"/>
      <c r="AD43" s="17"/>
    </row>
    <row r="44" spans="1:58" ht="15.75" customHeight="1">
      <c r="A44" s="179" t="s">
        <v>462</v>
      </c>
      <c r="B44" s="169"/>
      <c r="C44" s="16"/>
      <c r="D44" s="16"/>
      <c r="E44" s="16"/>
      <c r="F44" s="16"/>
      <c r="G44" s="16"/>
      <c r="H44" s="16"/>
      <c r="I44" s="16"/>
      <c r="J44" s="16"/>
      <c r="K44" s="16"/>
      <c r="L44" s="16"/>
      <c r="M44" s="16"/>
      <c r="N44" s="16"/>
      <c r="O44" s="16"/>
      <c r="P44" s="16"/>
      <c r="Q44" s="16"/>
      <c r="R44" s="16"/>
      <c r="S44" s="16"/>
      <c r="T44" s="16"/>
      <c r="U44" s="16"/>
      <c r="V44" s="16"/>
      <c r="W44" s="16"/>
      <c r="X44" s="16"/>
      <c r="Y44" s="16"/>
      <c r="Z44" s="16"/>
      <c r="AA44" s="16"/>
      <c r="AB44" s="18"/>
      <c r="AC44" s="16"/>
      <c r="AD44" s="16"/>
    </row>
    <row r="45" spans="1:58" ht="15" customHeight="1" thickTop="1" thickBot="1">
      <c r="A45" s="258" t="s">
        <v>449</v>
      </c>
      <c r="B45" s="259" t="s">
        <v>450</v>
      </c>
      <c r="C45" s="258" t="s">
        <v>463</v>
      </c>
      <c r="D45" s="258" t="s">
        <v>464</v>
      </c>
      <c r="E45" s="258" t="s">
        <v>465</v>
      </c>
      <c r="F45" s="258" t="s">
        <v>466</v>
      </c>
      <c r="G45" s="258" t="s">
        <v>467</v>
      </c>
      <c r="H45" s="259" t="s">
        <v>455</v>
      </c>
      <c r="I45" s="561" t="s">
        <v>456</v>
      </c>
      <c r="J45" s="716"/>
      <c r="K45" s="717"/>
      <c r="L45" s="98"/>
      <c r="M45" s="98"/>
      <c r="N45" s="98"/>
      <c r="O45" s="98"/>
      <c r="P45" s="98"/>
      <c r="Q45" s="98"/>
      <c r="R45" s="98"/>
      <c r="S45" s="98"/>
      <c r="T45" s="98"/>
      <c r="U45" s="98"/>
      <c r="V45" s="96"/>
      <c r="W45" s="96"/>
      <c r="X45" s="96"/>
      <c r="Y45" s="96"/>
      <c r="Z45" s="99"/>
      <c r="AA45" s="96"/>
      <c r="AB45" s="96"/>
      <c r="AC45" s="100"/>
      <c r="AD45" s="100"/>
      <c r="AE45" s="100"/>
      <c r="AF45" s="100"/>
      <c r="AG45" s="100"/>
      <c r="AH45" s="100"/>
      <c r="AI45" s="100"/>
      <c r="AJ45" s="100"/>
      <c r="AK45" s="100"/>
      <c r="AL45" s="100"/>
      <c r="AM45" s="100"/>
      <c r="AN45" s="100"/>
      <c r="AO45" s="100"/>
      <c r="AP45" s="100"/>
      <c r="AQ45" s="100"/>
      <c r="AR45" s="100"/>
      <c r="AS45" s="100"/>
      <c r="AT45" s="100"/>
      <c r="AU45" s="100"/>
      <c r="AV45" s="100"/>
      <c r="AW45" s="100"/>
      <c r="AX45" s="100"/>
      <c r="AY45" s="100"/>
      <c r="AZ45" s="100"/>
      <c r="BA45" s="100"/>
      <c r="BB45" s="100"/>
      <c r="BC45" s="100"/>
      <c r="BD45" s="100"/>
      <c r="BE45" s="100"/>
      <c r="BF45" s="100"/>
    </row>
    <row r="46" spans="1:58" ht="14.25" customHeight="1" thickTop="1">
      <c r="A46" s="312"/>
      <c r="B46" s="323"/>
      <c r="C46" s="312"/>
      <c r="D46" s="312"/>
      <c r="E46" s="327"/>
      <c r="F46" s="327"/>
      <c r="G46" s="323"/>
      <c r="H46" s="323"/>
      <c r="I46" s="618"/>
      <c r="J46" s="741"/>
      <c r="K46" s="742"/>
      <c r="L46" s="16"/>
      <c r="M46" s="16"/>
      <c r="N46" s="16"/>
      <c r="O46" s="16"/>
      <c r="P46" s="16"/>
      <c r="Q46" s="16"/>
      <c r="R46" s="16"/>
      <c r="S46" s="16"/>
      <c r="T46" s="16"/>
      <c r="U46" s="16"/>
      <c r="V46" s="16"/>
      <c r="W46" s="16"/>
      <c r="X46" s="16"/>
      <c r="Y46" s="16"/>
      <c r="Z46" s="17"/>
      <c r="AA46" s="16"/>
      <c r="AB46" s="16"/>
    </row>
    <row r="47" spans="1:58" ht="14.25" customHeight="1">
      <c r="A47" s="312"/>
      <c r="B47" s="323"/>
      <c r="C47" s="312"/>
      <c r="D47" s="312"/>
      <c r="E47" s="328"/>
      <c r="F47" s="327"/>
      <c r="G47" s="323"/>
      <c r="H47" s="323"/>
      <c r="I47" s="743"/>
      <c r="J47" s="744"/>
      <c r="K47" s="745"/>
      <c r="L47" s="16"/>
      <c r="M47" s="16"/>
      <c r="N47" s="16"/>
      <c r="O47" s="16"/>
      <c r="P47" s="16"/>
      <c r="Q47" s="16"/>
      <c r="R47" s="16"/>
      <c r="S47" s="16"/>
      <c r="T47" s="16"/>
      <c r="U47" s="16"/>
      <c r="V47" s="16"/>
      <c r="W47" s="16"/>
      <c r="X47" s="16"/>
      <c r="Y47" s="16"/>
      <c r="Z47" s="17"/>
      <c r="AA47" s="16"/>
      <c r="AB47" s="16"/>
    </row>
    <row r="48" spans="1:58" ht="15.75" customHeight="1">
      <c r="A48" s="323"/>
      <c r="B48" s="323"/>
      <c r="C48" s="323"/>
      <c r="D48" s="312"/>
      <c r="E48" s="328"/>
      <c r="F48" s="327"/>
      <c r="G48" s="329"/>
      <c r="H48" s="323"/>
      <c r="I48" s="743"/>
      <c r="J48" s="744"/>
      <c r="K48" s="745"/>
      <c r="L48" s="16"/>
      <c r="M48" s="16"/>
      <c r="N48" s="16"/>
      <c r="O48" s="16"/>
      <c r="P48" s="16"/>
      <c r="Q48" s="16"/>
      <c r="R48" s="16"/>
      <c r="S48" s="16"/>
      <c r="T48" s="16"/>
      <c r="U48" s="16"/>
      <c r="V48" s="16"/>
      <c r="W48" s="16"/>
      <c r="X48" s="16"/>
      <c r="Y48" s="16"/>
      <c r="Z48" s="16"/>
      <c r="AA48" s="16"/>
      <c r="AB48" s="16"/>
    </row>
    <row r="49" spans="1:30" ht="15.75" customHeight="1">
      <c r="A49" s="231"/>
      <c r="B49" s="232"/>
      <c r="C49" s="231"/>
      <c r="D49" s="269"/>
      <c r="E49" s="245"/>
      <c r="F49" s="261"/>
      <c r="G49" s="263"/>
      <c r="H49" s="231"/>
      <c r="I49" s="743"/>
      <c r="J49" s="744"/>
      <c r="K49" s="745"/>
      <c r="L49" s="16"/>
      <c r="M49" s="16"/>
      <c r="N49" s="16"/>
      <c r="O49" s="16"/>
      <c r="P49" s="16"/>
      <c r="Q49" s="16"/>
      <c r="R49" s="16"/>
      <c r="S49" s="16"/>
      <c r="T49" s="16"/>
      <c r="U49" s="16"/>
      <c r="V49" s="16"/>
      <c r="W49" s="16"/>
      <c r="X49" s="16"/>
      <c r="Y49" s="16"/>
      <c r="Z49" s="16"/>
      <c r="AA49" s="16"/>
      <c r="AB49" s="16"/>
    </row>
    <row r="50" spans="1:30" ht="15.75" customHeight="1" thickBot="1">
      <c r="A50" s="231"/>
      <c r="B50" s="326"/>
      <c r="C50" s="245"/>
      <c r="D50" s="245"/>
      <c r="E50" s="261"/>
      <c r="F50" s="261"/>
      <c r="G50" s="263"/>
      <c r="H50" s="231"/>
      <c r="I50" s="746"/>
      <c r="J50" s="747"/>
      <c r="K50" s="748"/>
      <c r="L50" s="16"/>
      <c r="M50" s="16"/>
      <c r="N50" s="16"/>
      <c r="O50" s="16"/>
      <c r="P50" s="16"/>
      <c r="Q50" s="16"/>
      <c r="R50" s="16"/>
      <c r="S50" s="16"/>
      <c r="T50" s="16"/>
      <c r="U50" s="16"/>
      <c r="V50" s="16"/>
      <c r="W50" s="16"/>
      <c r="X50" s="16"/>
      <c r="Y50" s="16"/>
      <c r="Z50" s="16"/>
      <c r="AA50" s="16"/>
      <c r="AB50" s="16"/>
    </row>
    <row r="51" spans="1:30" ht="15.75" customHeight="1" thickTop="1">
      <c r="A51" s="15"/>
      <c r="B51" s="16"/>
      <c r="C51" s="16"/>
      <c r="D51" s="16"/>
      <c r="E51" s="16"/>
      <c r="F51" s="16"/>
      <c r="G51" s="16"/>
      <c r="H51" s="16"/>
      <c r="I51" s="16"/>
      <c r="J51" s="16"/>
      <c r="K51" s="16"/>
      <c r="L51" s="16"/>
      <c r="M51" s="16"/>
      <c r="N51" s="16"/>
      <c r="O51" s="16"/>
      <c r="P51" s="16"/>
      <c r="Q51" s="16"/>
      <c r="R51" s="16"/>
      <c r="S51" s="16"/>
      <c r="T51" s="16"/>
      <c r="U51" s="16"/>
      <c r="V51" s="16"/>
      <c r="W51" s="16"/>
      <c r="X51" s="16"/>
      <c r="Y51" s="16"/>
      <c r="Z51" s="16"/>
      <c r="AA51" s="16"/>
      <c r="AB51" s="16"/>
      <c r="AC51" s="16"/>
      <c r="AD51" s="16"/>
    </row>
    <row r="52" spans="1:30" ht="15.75" customHeight="1">
      <c r="A52" s="15"/>
      <c r="B52" s="16"/>
      <c r="C52" s="16"/>
      <c r="D52" s="16"/>
      <c r="E52" s="16"/>
      <c r="F52" s="16"/>
      <c r="G52" s="16"/>
      <c r="H52" s="16"/>
      <c r="I52" s="16"/>
      <c r="J52" s="16"/>
      <c r="K52" s="16"/>
      <c r="L52" s="16"/>
      <c r="M52" s="16"/>
      <c r="N52" s="16"/>
      <c r="O52" s="16"/>
      <c r="P52" s="16"/>
      <c r="Q52" s="16"/>
      <c r="W52" s="16"/>
      <c r="X52" s="16"/>
      <c r="Y52" s="16"/>
      <c r="Z52" s="16"/>
      <c r="AA52" s="16"/>
      <c r="AB52" s="16"/>
      <c r="AC52" s="16"/>
      <c r="AD52" s="16"/>
    </row>
    <row r="53" spans="1:30" ht="15.75" customHeight="1" thickBot="1">
      <c r="A53" s="186" t="s">
        <v>475</v>
      </c>
      <c r="B53" s="231"/>
      <c r="C53" s="231"/>
      <c r="D53" s="231"/>
      <c r="E53" s="231"/>
      <c r="F53" s="231"/>
      <c r="G53" s="231"/>
      <c r="H53" s="231"/>
      <c r="I53" s="231"/>
      <c r="J53" s="231"/>
      <c r="K53" s="16"/>
      <c r="L53" s="16"/>
      <c r="M53" s="16"/>
      <c r="N53" s="16"/>
      <c r="O53" s="16"/>
      <c r="P53" s="16"/>
      <c r="Q53" s="16"/>
      <c r="W53" s="16"/>
      <c r="X53" s="16"/>
      <c r="Y53" s="16"/>
      <c r="Z53" s="16"/>
      <c r="AA53" s="16"/>
      <c r="AB53" s="16"/>
      <c r="AC53" s="16"/>
      <c r="AD53" s="16"/>
    </row>
    <row r="54" spans="1:30" ht="15.75" customHeight="1" thickTop="1" thickBot="1">
      <c r="A54" s="230" t="s">
        <v>476</v>
      </c>
      <c r="B54" s="230" t="s">
        <v>477</v>
      </c>
      <c r="C54" s="230" t="s">
        <v>478</v>
      </c>
      <c r="D54" s="230" t="s">
        <v>479</v>
      </c>
      <c r="E54" s="230" t="s">
        <v>480</v>
      </c>
      <c r="F54" s="230" t="s">
        <v>481</v>
      </c>
      <c r="G54" s="230" t="s">
        <v>482</v>
      </c>
      <c r="H54" s="230" t="s">
        <v>453</v>
      </c>
      <c r="I54" s="230" t="s">
        <v>483</v>
      </c>
      <c r="J54" s="230" t="s">
        <v>484</v>
      </c>
      <c r="K54" s="721" t="s">
        <v>485</v>
      </c>
      <c r="L54" s="716"/>
      <c r="M54" s="722"/>
      <c r="N54" s="15"/>
      <c r="O54" s="16"/>
      <c r="P54" s="16"/>
      <c r="Q54" s="16"/>
      <c r="W54" s="16"/>
      <c r="X54" s="16"/>
      <c r="Y54" s="16"/>
      <c r="Z54" s="16"/>
      <c r="AA54" s="16"/>
      <c r="AB54" s="16"/>
    </row>
    <row r="55" spans="1:30" ht="15" customHeight="1" thickTop="1">
      <c r="A55" s="319" t="s">
        <v>895</v>
      </c>
      <c r="B55" s="319" t="s">
        <v>287</v>
      </c>
      <c r="C55" s="261">
        <v>21</v>
      </c>
      <c r="D55" s="261">
        <v>1</v>
      </c>
      <c r="E55" s="261">
        <v>1.5</v>
      </c>
      <c r="F55" s="261">
        <f>Table_416893[[#This Row],['# Weeks]]*Table_416893[[#This Row],[Total hours/week]]</f>
        <v>31.5</v>
      </c>
      <c r="G55" s="384" t="s">
        <v>570</v>
      </c>
      <c r="H55" s="319" t="s">
        <v>55</v>
      </c>
      <c r="I55" s="339" t="s">
        <v>328</v>
      </c>
      <c r="J55" s="231" t="s">
        <v>896</v>
      </c>
      <c r="K55" s="564"/>
      <c r="L55" s="741"/>
      <c r="M55" s="742"/>
      <c r="N55" s="16"/>
      <c r="O55" s="16"/>
      <c r="P55" s="16"/>
      <c r="Q55" s="16"/>
      <c r="W55" s="16"/>
      <c r="X55" s="16"/>
      <c r="Y55" s="16"/>
      <c r="Z55" s="16"/>
      <c r="AA55" s="16"/>
      <c r="AB55" s="16"/>
    </row>
    <row r="56" spans="1:30" ht="15.75" customHeight="1">
      <c r="A56" s="231" t="s">
        <v>897</v>
      </c>
      <c r="B56" s="319" t="s">
        <v>287</v>
      </c>
      <c r="C56" s="261">
        <v>21</v>
      </c>
      <c r="D56" s="261">
        <v>1</v>
      </c>
      <c r="E56" s="261">
        <v>1.5</v>
      </c>
      <c r="F56" s="261">
        <f>Table_416893[[#This Row],['# Weeks]]*Table_416893[[#This Row],[Total hours/week]]</f>
        <v>31.5</v>
      </c>
      <c r="G56" s="384" t="s">
        <v>570</v>
      </c>
      <c r="H56" s="319" t="s">
        <v>55</v>
      </c>
      <c r="I56" s="339" t="str">
        <f t="shared" ref="I56" si="2">IF(H56 = "PT-V","n/a",IF(H56 = "PT","n/a",IF(H56 = "RT","n/a",IF(OR(H56 = "Extern",H56 = "PT-ZZP"), "Please fill in", 0))))</f>
        <v>n/a</v>
      </c>
      <c r="J56" s="231"/>
      <c r="K56" s="749"/>
      <c r="L56" s="744"/>
      <c r="M56" s="745"/>
      <c r="N56" s="16"/>
      <c r="O56" s="16"/>
      <c r="P56" s="16"/>
      <c r="Q56" s="16"/>
      <c r="W56" s="16"/>
      <c r="X56" s="16"/>
      <c r="Y56" s="16"/>
      <c r="Z56" s="16"/>
      <c r="AA56" s="16"/>
      <c r="AB56" s="16"/>
    </row>
    <row r="57" spans="1:30" ht="14.25" customHeight="1">
      <c r="A57" s="231" t="s">
        <v>898</v>
      </c>
      <c r="B57" s="319" t="s">
        <v>287</v>
      </c>
      <c r="C57" s="231">
        <v>21</v>
      </c>
      <c r="D57" s="231">
        <v>1</v>
      </c>
      <c r="E57" s="231"/>
      <c r="F57" s="231">
        <v>330</v>
      </c>
      <c r="G57" s="248" t="s">
        <v>570</v>
      </c>
      <c r="H57" s="319" t="s">
        <v>55</v>
      </c>
      <c r="I57" s="331"/>
      <c r="J57" s="231" t="s">
        <v>899</v>
      </c>
      <c r="K57" s="749"/>
      <c r="L57" s="744"/>
      <c r="M57" s="745"/>
      <c r="N57" s="16"/>
      <c r="O57" s="16"/>
      <c r="P57" s="16"/>
      <c r="Q57" s="16"/>
      <c r="W57" s="16"/>
      <c r="X57" s="16"/>
      <c r="Y57" s="16"/>
      <c r="Z57" s="16"/>
      <c r="AA57" s="16"/>
      <c r="AB57" s="16"/>
    </row>
    <row r="58" spans="1:30" ht="15.75" customHeight="1">
      <c r="A58" s="319"/>
      <c r="B58" s="319"/>
      <c r="C58" s="231"/>
      <c r="D58" s="231"/>
      <c r="E58" s="231"/>
      <c r="F58" s="231"/>
      <c r="G58" s="231"/>
      <c r="H58" s="319"/>
      <c r="I58" s="331"/>
      <c r="J58" s="231"/>
      <c r="K58" s="749"/>
      <c r="L58" s="744"/>
      <c r="M58" s="745"/>
      <c r="N58" s="16"/>
      <c r="O58" s="16"/>
      <c r="P58" s="16"/>
      <c r="Q58" s="16"/>
      <c r="W58" s="16"/>
      <c r="X58" s="16"/>
      <c r="Y58" s="16"/>
      <c r="Z58" s="16"/>
      <c r="AA58" s="16"/>
      <c r="AB58" s="16"/>
    </row>
    <row r="59" spans="1:30" ht="15.75" customHeight="1">
      <c r="A59" s="319"/>
      <c r="B59" s="319"/>
      <c r="C59" s="231"/>
      <c r="D59" s="231"/>
      <c r="E59" s="231"/>
      <c r="F59" s="231"/>
      <c r="G59" s="231"/>
      <c r="H59" s="319"/>
      <c r="I59" s="331"/>
      <c r="J59" s="231"/>
      <c r="K59" s="749"/>
      <c r="L59" s="744"/>
      <c r="M59" s="745"/>
      <c r="N59" s="16"/>
      <c r="O59" s="16"/>
      <c r="P59" s="16"/>
      <c r="Q59" s="16"/>
      <c r="W59" s="16"/>
      <c r="X59" s="16"/>
      <c r="Y59" s="16"/>
      <c r="Z59" s="16"/>
      <c r="AA59" s="16"/>
      <c r="AB59" s="16"/>
    </row>
    <row r="60" spans="1:30" ht="15.75" customHeight="1">
      <c r="A60" s="319"/>
      <c r="B60" s="319"/>
      <c r="C60" s="231"/>
      <c r="D60" s="231"/>
      <c r="E60" s="231"/>
      <c r="F60" s="231"/>
      <c r="G60" s="319"/>
      <c r="H60" s="319"/>
      <c r="I60" s="331"/>
      <c r="J60" s="231"/>
      <c r="K60" s="749"/>
      <c r="L60" s="744"/>
      <c r="M60" s="745"/>
      <c r="N60" s="16"/>
      <c r="O60" s="16"/>
      <c r="P60" s="16"/>
      <c r="Q60" s="16"/>
      <c r="W60" s="16"/>
      <c r="X60" s="16"/>
      <c r="Y60" s="16"/>
      <c r="Z60" s="16"/>
      <c r="AA60" s="16"/>
      <c r="AB60" s="16"/>
    </row>
    <row r="61" spans="1:30" ht="15.75" customHeight="1">
      <c r="A61" s="319"/>
      <c r="B61" s="319"/>
      <c r="C61" s="231"/>
      <c r="D61" s="231"/>
      <c r="E61" s="231"/>
      <c r="F61" s="231"/>
      <c r="G61" s="319"/>
      <c r="H61" s="319"/>
      <c r="I61" s="331"/>
      <c r="J61" s="231"/>
      <c r="K61" s="749"/>
      <c r="L61" s="744"/>
      <c r="M61" s="745"/>
      <c r="N61" s="16"/>
      <c r="O61" s="16"/>
      <c r="P61" s="16"/>
      <c r="Q61" s="16"/>
      <c r="W61" s="16"/>
      <c r="X61" s="16"/>
      <c r="Y61" s="16"/>
      <c r="Z61" s="16"/>
      <c r="AA61" s="16"/>
      <c r="AB61" s="16"/>
    </row>
    <row r="62" spans="1:30" ht="15.75" customHeight="1">
      <c r="A62" s="319"/>
      <c r="B62" s="319"/>
      <c r="C62" s="261"/>
      <c r="D62" s="261"/>
      <c r="E62" s="261"/>
      <c r="F62" s="262"/>
      <c r="G62" s="319"/>
      <c r="H62" s="319"/>
      <c r="I62" s="331"/>
      <c r="J62" s="231"/>
      <c r="K62" s="749"/>
      <c r="L62" s="744"/>
      <c r="M62" s="745"/>
      <c r="N62" s="16"/>
      <c r="O62" s="16"/>
      <c r="P62" s="16"/>
      <c r="Q62" s="16"/>
      <c r="W62" s="16"/>
      <c r="X62" s="16"/>
      <c r="Y62" s="16"/>
      <c r="Z62" s="16"/>
      <c r="AA62" s="16"/>
      <c r="AB62" s="16"/>
    </row>
    <row r="63" spans="1:30" ht="15.75" customHeight="1">
      <c r="A63" s="319"/>
      <c r="B63" s="319"/>
      <c r="C63" s="261"/>
      <c r="D63" s="261"/>
      <c r="E63" s="261"/>
      <c r="F63" s="262"/>
      <c r="G63" s="319"/>
      <c r="H63" s="319"/>
      <c r="I63" s="331"/>
      <c r="J63" s="231"/>
      <c r="K63" s="749"/>
      <c r="L63" s="744"/>
      <c r="M63" s="745"/>
      <c r="N63" s="16"/>
      <c r="O63" s="16"/>
      <c r="P63" s="16"/>
      <c r="Q63" s="16"/>
      <c r="W63" s="16"/>
      <c r="X63" s="16"/>
      <c r="Y63" s="16"/>
      <c r="Z63" s="16"/>
      <c r="AA63" s="16"/>
      <c r="AB63" s="16"/>
    </row>
    <row r="64" spans="1:30" ht="15.75" customHeight="1">
      <c r="A64" s="231"/>
      <c r="B64" s="319"/>
      <c r="C64" s="232"/>
      <c r="D64" s="232"/>
      <c r="E64" s="261"/>
      <c r="F64" s="262"/>
      <c r="G64" s="231"/>
      <c r="H64" s="319"/>
      <c r="I64" s="331"/>
      <c r="J64" s="231"/>
      <c r="K64" s="749"/>
      <c r="L64" s="744"/>
      <c r="M64" s="745"/>
      <c r="N64" s="16"/>
      <c r="O64" s="16"/>
      <c r="P64" s="16"/>
      <c r="Q64" s="16"/>
      <c r="W64" s="16"/>
      <c r="X64" s="16"/>
      <c r="Y64" s="16"/>
      <c r="Z64" s="16"/>
      <c r="AA64" s="16"/>
      <c r="AB64" s="16"/>
    </row>
    <row r="65" spans="1:30" ht="15.75" customHeight="1">
      <c r="A65" s="231"/>
      <c r="B65" s="319"/>
      <c r="C65" s="232"/>
      <c r="D65" s="232"/>
      <c r="E65" s="261"/>
      <c r="F65" s="262"/>
      <c r="G65" s="231"/>
      <c r="H65" s="319"/>
      <c r="I65" s="331"/>
      <c r="J65" s="231"/>
      <c r="K65" s="749"/>
      <c r="L65" s="744"/>
      <c r="M65" s="745"/>
      <c r="N65" s="16"/>
      <c r="O65" s="16"/>
      <c r="P65" s="16"/>
      <c r="Q65" s="16"/>
      <c r="W65" s="16"/>
      <c r="X65" s="16"/>
      <c r="Y65" s="16"/>
      <c r="Z65" s="16"/>
      <c r="AA65" s="16"/>
      <c r="AB65" s="16"/>
    </row>
    <row r="66" spans="1:30" ht="15.75" customHeight="1">
      <c r="A66" s="231"/>
      <c r="B66" s="319"/>
      <c r="C66" s="232"/>
      <c r="D66" s="232"/>
      <c r="E66" s="261"/>
      <c r="F66" s="262"/>
      <c r="G66" s="231"/>
      <c r="H66" s="319"/>
      <c r="I66" s="331"/>
      <c r="J66" s="231"/>
      <c r="K66" s="749"/>
      <c r="L66" s="744"/>
      <c r="M66" s="745"/>
      <c r="N66" s="16"/>
      <c r="O66" s="16"/>
      <c r="P66" s="16"/>
      <c r="Q66" s="16"/>
      <c r="W66" s="16"/>
      <c r="X66" s="16"/>
      <c r="Y66" s="16"/>
      <c r="Z66" s="16"/>
      <c r="AA66" s="16"/>
      <c r="AB66" s="16"/>
    </row>
    <row r="67" spans="1:30" ht="15.75" customHeight="1" thickBot="1">
      <c r="A67" s="231"/>
      <c r="B67" s="319"/>
      <c r="C67" s="245"/>
      <c r="D67" s="232"/>
      <c r="E67" s="261"/>
      <c r="F67" s="262"/>
      <c r="G67" s="263"/>
      <c r="H67" s="263"/>
      <c r="I67" s="264"/>
      <c r="J67" s="231"/>
      <c r="K67" s="746"/>
      <c r="L67" s="747"/>
      <c r="M67" s="748"/>
      <c r="N67" s="16"/>
      <c r="O67" s="16"/>
      <c r="P67" s="16"/>
      <c r="Q67" s="16"/>
      <c r="W67" s="16"/>
      <c r="X67" s="16"/>
      <c r="Y67" s="16"/>
      <c r="Z67" s="16"/>
      <c r="AA67" s="16"/>
      <c r="AB67" s="16"/>
    </row>
    <row r="68" spans="1:30" ht="15.75" customHeight="1" thickTop="1">
      <c r="A68" s="16"/>
      <c r="B68" s="16"/>
      <c r="C68" s="16"/>
      <c r="D68" s="16"/>
      <c r="E68" s="16"/>
      <c r="F68" s="16"/>
      <c r="G68" s="16"/>
      <c r="H68" s="16"/>
      <c r="I68" s="16"/>
      <c r="J68" s="16"/>
      <c r="K68" s="16"/>
      <c r="L68" s="16"/>
      <c r="M68" s="16"/>
      <c r="N68" s="16"/>
      <c r="O68" s="16"/>
      <c r="P68" s="16"/>
      <c r="Q68" s="16"/>
      <c r="W68" s="16"/>
      <c r="X68" s="16"/>
      <c r="Y68" s="16"/>
      <c r="Z68" s="16"/>
      <c r="AA68" s="16"/>
      <c r="AB68" s="16"/>
      <c r="AC68" s="16"/>
      <c r="AD68" s="16"/>
    </row>
    <row r="69" spans="1:30" ht="15.75" customHeight="1" thickBot="1">
      <c r="A69" s="186" t="s">
        <v>499</v>
      </c>
      <c r="B69" s="231"/>
      <c r="C69" s="231"/>
      <c r="D69" s="231"/>
      <c r="E69" s="231"/>
      <c r="F69" s="231"/>
      <c r="G69" s="231"/>
      <c r="H69" s="231"/>
      <c r="I69" s="231"/>
      <c r="J69" s="231"/>
      <c r="K69" s="123"/>
      <c r="L69" s="123"/>
      <c r="M69" s="16"/>
      <c r="N69" s="16"/>
      <c r="O69" s="16"/>
      <c r="P69" s="16"/>
      <c r="Q69" s="16"/>
      <c r="W69" s="16"/>
      <c r="X69" s="16"/>
      <c r="Y69" s="16"/>
      <c r="Z69" s="16"/>
      <c r="AA69" s="16"/>
      <c r="AB69" s="16"/>
      <c r="AC69" s="16"/>
      <c r="AD69" s="16"/>
    </row>
    <row r="70" spans="1:30" ht="15.75" customHeight="1" thickTop="1" thickBot="1">
      <c r="A70" s="230" t="s">
        <v>476</v>
      </c>
      <c r="B70" s="230" t="s">
        <v>500</v>
      </c>
      <c r="C70" s="230" t="s">
        <v>501</v>
      </c>
      <c r="D70" s="230" t="s">
        <v>502</v>
      </c>
      <c r="E70" s="230" t="s">
        <v>503</v>
      </c>
      <c r="F70" s="230" t="s">
        <v>504</v>
      </c>
      <c r="G70" s="230" t="s">
        <v>505</v>
      </c>
      <c r="H70" s="230" t="s">
        <v>506</v>
      </c>
      <c r="I70" s="230" t="s">
        <v>507</v>
      </c>
      <c r="J70" s="230" t="s">
        <v>508</v>
      </c>
      <c r="K70" s="561" t="s">
        <v>441</v>
      </c>
      <c r="L70" s="561"/>
      <c r="M70" s="561"/>
      <c r="N70" s="561"/>
      <c r="O70" s="570"/>
      <c r="P70" s="758" t="s">
        <v>434</v>
      </c>
      <c r="Q70" s="759"/>
      <c r="R70" s="16"/>
      <c r="S70" s="16"/>
      <c r="V70" s="16"/>
      <c r="W70" s="16"/>
      <c r="X70" s="16"/>
      <c r="Y70" s="16"/>
      <c r="Z70" s="16"/>
      <c r="AA70" s="16"/>
    </row>
    <row r="71" spans="1:30" ht="15.75" customHeight="1" thickTop="1">
      <c r="A71" s="319" t="s">
        <v>900</v>
      </c>
      <c r="B71" s="231" t="s">
        <v>272</v>
      </c>
      <c r="C71" s="232">
        <v>1</v>
      </c>
      <c r="D71" s="261">
        <v>1</v>
      </c>
      <c r="E71" s="245">
        <v>1</v>
      </c>
      <c r="F71" s="326">
        <f>'DZ Euros'!$D71*'DZ Euros'!$E71</f>
        <v>1</v>
      </c>
      <c r="G71" s="245">
        <v>1</v>
      </c>
      <c r="H71" s="332">
        <v>1875.5</v>
      </c>
      <c r="I71" s="333">
        <f t="shared" ref="I71:I87" si="3">IF($H71="-","-",IF($H71="Specify location tariff","-",$H71*$F71))</f>
        <v>1875.5</v>
      </c>
      <c r="J71" s="247" t="s">
        <v>901</v>
      </c>
      <c r="K71" s="610"/>
      <c r="L71" s="611"/>
      <c r="M71" s="611"/>
      <c r="N71" s="611"/>
      <c r="O71" s="612"/>
      <c r="P71" s="628" t="s">
        <v>511</v>
      </c>
      <c r="Q71" s="628"/>
      <c r="R71" s="16"/>
      <c r="S71" s="16"/>
      <c r="V71" s="16"/>
      <c r="W71" s="16"/>
      <c r="X71" s="16"/>
      <c r="Y71" s="16"/>
      <c r="Z71" s="16"/>
      <c r="AA71" s="16"/>
    </row>
    <row r="72" spans="1:30" ht="15.75" customHeight="1">
      <c r="A72" s="231" t="s">
        <v>902</v>
      </c>
      <c r="B72" s="231" t="s">
        <v>272</v>
      </c>
      <c r="C72" s="232">
        <v>1</v>
      </c>
      <c r="D72" s="261">
        <v>1</v>
      </c>
      <c r="E72" s="245">
        <v>1</v>
      </c>
      <c r="F72" s="326">
        <f>'DZ Euros'!$D72*'DZ Euros'!$E72</f>
        <v>1</v>
      </c>
      <c r="G72" s="245">
        <v>1</v>
      </c>
      <c r="H72" s="332">
        <v>765</v>
      </c>
      <c r="I72" s="333">
        <f t="shared" si="3"/>
        <v>765</v>
      </c>
      <c r="J72" s="247"/>
      <c r="K72" s="613"/>
      <c r="L72" s="562"/>
      <c r="M72" s="562"/>
      <c r="N72" s="562"/>
      <c r="O72" s="614"/>
      <c r="P72" s="575"/>
      <c r="Q72" s="575"/>
      <c r="R72" s="16"/>
      <c r="S72" s="16"/>
      <c r="V72" s="16"/>
      <c r="W72" s="16"/>
      <c r="X72" s="16"/>
      <c r="Y72" s="16"/>
      <c r="Z72" s="16"/>
      <c r="AA72" s="16"/>
    </row>
    <row r="73" spans="1:30" ht="15.75" customHeight="1">
      <c r="A73" s="231" t="s">
        <v>903</v>
      </c>
      <c r="B73" s="231" t="s">
        <v>272</v>
      </c>
      <c r="C73" s="232">
        <v>1</v>
      </c>
      <c r="D73" s="261">
        <v>1</v>
      </c>
      <c r="E73" s="245">
        <v>1</v>
      </c>
      <c r="F73" s="326">
        <f>'DZ Euros'!$D73*'DZ Euros'!$E73</f>
        <v>1</v>
      </c>
      <c r="G73" s="245">
        <v>1</v>
      </c>
      <c r="H73" s="332">
        <v>765</v>
      </c>
      <c r="I73" s="333">
        <f t="shared" si="3"/>
        <v>765</v>
      </c>
      <c r="J73" s="247"/>
      <c r="K73" s="613"/>
      <c r="L73" s="562"/>
      <c r="M73" s="562"/>
      <c r="N73" s="562"/>
      <c r="O73" s="614"/>
      <c r="P73" s="575"/>
      <c r="Q73" s="575"/>
      <c r="R73" s="16"/>
      <c r="S73" s="16"/>
      <c r="V73" s="16"/>
      <c r="W73" s="16"/>
      <c r="X73" s="16"/>
      <c r="Y73" s="16"/>
      <c r="Z73" s="16"/>
      <c r="AA73" s="16"/>
    </row>
    <row r="74" spans="1:30" ht="15.75" customHeight="1">
      <c r="A74" s="319" t="s">
        <v>904</v>
      </c>
      <c r="B74" s="231" t="s">
        <v>269</v>
      </c>
      <c r="C74" s="232">
        <v>1</v>
      </c>
      <c r="D74" s="261">
        <v>1</v>
      </c>
      <c r="E74" s="245">
        <v>40</v>
      </c>
      <c r="F74" s="326">
        <f>'DZ Euros'!$D74*'DZ Euros'!$E74</f>
        <v>40</v>
      </c>
      <c r="G74" s="245">
        <v>1</v>
      </c>
      <c r="H74" s="332">
        <f>IF($B74= "","-",IF($B74= "External","Specify location tariff", INDEX(Constants!$3:$3,MATCH($B74,Constants!$2:$2,0))))</f>
        <v>0</v>
      </c>
      <c r="I74" s="333">
        <f t="shared" si="3"/>
        <v>0</v>
      </c>
      <c r="J74" s="247"/>
      <c r="K74" s="613"/>
      <c r="L74" s="562"/>
      <c r="M74" s="562"/>
      <c r="N74" s="562"/>
      <c r="O74" s="614"/>
      <c r="P74" s="575"/>
      <c r="Q74" s="575"/>
      <c r="R74" s="16"/>
      <c r="S74" s="16"/>
      <c r="V74" s="16"/>
      <c r="W74" s="16"/>
      <c r="X74" s="16"/>
      <c r="Y74" s="16"/>
      <c r="Z74" s="16"/>
      <c r="AA74" s="16"/>
    </row>
    <row r="75" spans="1:30" ht="15.75" customHeight="1">
      <c r="A75" s="231" t="s">
        <v>905</v>
      </c>
      <c r="B75" s="231" t="s">
        <v>272</v>
      </c>
      <c r="C75" s="232">
        <v>1</v>
      </c>
      <c r="D75" s="261">
        <v>1</v>
      </c>
      <c r="E75" s="245">
        <v>1</v>
      </c>
      <c r="F75" s="326">
        <f>'DZ Euros'!$D75*'DZ Euros'!$E75</f>
        <v>1</v>
      </c>
      <c r="G75" s="245">
        <v>1</v>
      </c>
      <c r="H75" s="332">
        <v>468</v>
      </c>
      <c r="I75" s="333">
        <f t="shared" si="3"/>
        <v>468</v>
      </c>
      <c r="J75" s="247" t="s">
        <v>906</v>
      </c>
      <c r="K75" s="613"/>
      <c r="L75" s="562"/>
      <c r="M75" s="562"/>
      <c r="N75" s="562"/>
      <c r="O75" s="614"/>
      <c r="P75" s="575"/>
      <c r="Q75" s="575"/>
      <c r="R75" s="16"/>
      <c r="S75" s="16"/>
      <c r="V75" s="16"/>
      <c r="W75" s="16"/>
      <c r="X75" s="16"/>
      <c r="Y75" s="16"/>
      <c r="Z75" s="16"/>
      <c r="AA75" s="16"/>
    </row>
    <row r="76" spans="1:30" ht="15.75" customHeight="1">
      <c r="A76" s="231"/>
      <c r="B76" s="231"/>
      <c r="C76" s="232"/>
      <c r="D76" s="261"/>
      <c r="E76" s="245"/>
      <c r="F76" s="326">
        <f>'DZ Euros'!$D76*'DZ Euros'!$E76</f>
        <v>0</v>
      </c>
      <c r="G76" s="245"/>
      <c r="H76" s="332" t="str">
        <f>IF($B76= "","-",IF($B76= "External","Specify location tariff", INDEX(Constants!$3:$3,MATCH($B76,Constants!$2:$2,0))))</f>
        <v>-</v>
      </c>
      <c r="I76" s="333" t="str">
        <f t="shared" si="3"/>
        <v>-</v>
      </c>
      <c r="J76" s="247"/>
      <c r="K76" s="613"/>
      <c r="L76" s="562"/>
      <c r="M76" s="562"/>
      <c r="N76" s="562"/>
      <c r="O76" s="614"/>
      <c r="P76" s="575"/>
      <c r="Q76" s="575"/>
      <c r="R76" s="16"/>
      <c r="S76" s="16"/>
      <c r="V76" s="16"/>
      <c r="W76" s="16"/>
      <c r="X76" s="16"/>
      <c r="Y76" s="16"/>
      <c r="Z76" s="16"/>
      <c r="AA76" s="16"/>
    </row>
    <row r="77" spans="1:30" ht="15.75" customHeight="1">
      <c r="A77" s="231"/>
      <c r="B77" s="231"/>
      <c r="C77" s="232"/>
      <c r="D77" s="261"/>
      <c r="E77" s="245"/>
      <c r="F77" s="326">
        <f>'DZ Euros'!$D77*'DZ Euros'!$E77</f>
        <v>0</v>
      </c>
      <c r="G77" s="245"/>
      <c r="H77" s="332" t="str">
        <f>IF($B77= "","-",IF($B77= "External","Specify location tariff", INDEX(Constants!$3:$3,MATCH($B77,Constants!$2:$2,0))))</f>
        <v>-</v>
      </c>
      <c r="I77" s="333" t="str">
        <f t="shared" si="3"/>
        <v>-</v>
      </c>
      <c r="J77" s="247"/>
      <c r="K77" s="613"/>
      <c r="L77" s="562"/>
      <c r="M77" s="562"/>
      <c r="N77" s="562"/>
      <c r="O77" s="614"/>
      <c r="P77" s="575"/>
      <c r="Q77" s="575"/>
      <c r="R77" s="16"/>
      <c r="S77" s="16"/>
      <c r="V77" s="16"/>
      <c r="W77" s="16"/>
      <c r="X77" s="16"/>
      <c r="Y77" s="16"/>
      <c r="Z77" s="16"/>
      <c r="AA77" s="16"/>
    </row>
    <row r="78" spans="1:30" ht="15.75" customHeight="1">
      <c r="A78" s="231"/>
      <c r="B78" s="231"/>
      <c r="C78" s="232"/>
      <c r="D78" s="261"/>
      <c r="E78" s="245"/>
      <c r="F78" s="326">
        <f>'DZ Euros'!$D78*'DZ Euros'!$E78</f>
        <v>0</v>
      </c>
      <c r="G78" s="245"/>
      <c r="H78" s="332" t="str">
        <f>IF($B78= "","-",IF($B78= "External","Specify location tariff", INDEX(Constants!$3:$3,MATCH($B78,Constants!$2:$2,0))))</f>
        <v>-</v>
      </c>
      <c r="I78" s="333" t="str">
        <f t="shared" si="3"/>
        <v>-</v>
      </c>
      <c r="J78" s="247"/>
      <c r="K78" s="613"/>
      <c r="L78" s="562"/>
      <c r="M78" s="562"/>
      <c r="N78" s="562"/>
      <c r="O78" s="614"/>
      <c r="P78" s="575"/>
      <c r="Q78" s="575"/>
      <c r="R78" s="16"/>
      <c r="S78" s="16"/>
      <c r="V78" s="16"/>
      <c r="W78" s="16"/>
      <c r="X78" s="16"/>
      <c r="Y78" s="16"/>
      <c r="Z78" s="16"/>
      <c r="AA78" s="16"/>
    </row>
    <row r="79" spans="1:30" ht="15.75" customHeight="1">
      <c r="A79" s="231"/>
      <c r="B79" s="231"/>
      <c r="C79" s="232"/>
      <c r="D79" s="261"/>
      <c r="E79" s="245"/>
      <c r="F79" s="326">
        <f>'DZ Euros'!$D79*'DZ Euros'!$E79</f>
        <v>0</v>
      </c>
      <c r="G79" s="245"/>
      <c r="H79" s="332" t="str">
        <f>IF($B79= "","-",IF($B79= "External","Specify location tariff", INDEX(Constants!$3:$3,MATCH($B79,Constants!$2:$2,0))))</f>
        <v>-</v>
      </c>
      <c r="I79" s="333" t="str">
        <f t="shared" si="3"/>
        <v>-</v>
      </c>
      <c r="J79" s="247"/>
      <c r="K79" s="613"/>
      <c r="L79" s="562"/>
      <c r="M79" s="562"/>
      <c r="N79" s="562"/>
      <c r="O79" s="614"/>
      <c r="P79" s="575"/>
      <c r="Q79" s="575"/>
      <c r="R79" s="16"/>
      <c r="S79" s="16"/>
      <c r="V79" s="16"/>
      <c r="W79" s="16"/>
      <c r="X79" s="16"/>
      <c r="Y79" s="16"/>
      <c r="Z79" s="16"/>
      <c r="AA79" s="16"/>
    </row>
    <row r="80" spans="1:30" ht="15.75" customHeight="1">
      <c r="A80" s="231"/>
      <c r="B80" s="231"/>
      <c r="C80" s="232"/>
      <c r="D80" s="261"/>
      <c r="E80" s="245"/>
      <c r="F80" s="326">
        <f>'DZ Euros'!$D80*'DZ Euros'!$E80</f>
        <v>0</v>
      </c>
      <c r="G80" s="245"/>
      <c r="H80" s="332" t="str">
        <f>IF($B80= "","-",IF($B80= "External","Specify location tariff", INDEX(Constants!$3:$3,MATCH($B80,Constants!$2:$2,0))))</f>
        <v>-</v>
      </c>
      <c r="I80" s="333" t="str">
        <f t="shared" si="3"/>
        <v>-</v>
      </c>
      <c r="J80" s="247"/>
      <c r="K80" s="613"/>
      <c r="L80" s="562"/>
      <c r="M80" s="562"/>
      <c r="N80" s="562"/>
      <c r="O80" s="614"/>
      <c r="P80" s="575"/>
      <c r="Q80" s="575"/>
      <c r="R80" s="16"/>
      <c r="S80" s="16"/>
      <c r="V80" s="16"/>
      <c r="W80" s="16"/>
      <c r="X80" s="16"/>
      <c r="Y80" s="16"/>
      <c r="Z80" s="16"/>
      <c r="AA80" s="16"/>
    </row>
    <row r="81" spans="1:30" ht="15.75" customHeight="1">
      <c r="A81" s="231"/>
      <c r="B81" s="231"/>
      <c r="C81" s="232"/>
      <c r="D81" s="261"/>
      <c r="E81" s="245"/>
      <c r="F81" s="326">
        <f>'DZ Euros'!$D81*'DZ Euros'!$E81</f>
        <v>0</v>
      </c>
      <c r="G81" s="245"/>
      <c r="H81" s="332" t="str">
        <f>IF($B81= "","-",IF($B81= "External","Specify location tariff", INDEX(Constants!$3:$3,MATCH($B81,Constants!$2:$2,0))))</f>
        <v>-</v>
      </c>
      <c r="I81" s="333" t="str">
        <f t="shared" si="3"/>
        <v>-</v>
      </c>
      <c r="J81" s="247"/>
      <c r="K81" s="613"/>
      <c r="L81" s="562"/>
      <c r="M81" s="562"/>
      <c r="N81" s="562"/>
      <c r="O81" s="614"/>
      <c r="P81" s="575"/>
      <c r="Q81" s="575"/>
      <c r="R81" s="16"/>
      <c r="S81" s="16"/>
      <c r="V81" s="16"/>
      <c r="W81" s="16"/>
      <c r="X81" s="16"/>
      <c r="Y81" s="16"/>
      <c r="Z81" s="16"/>
      <c r="AA81" s="16"/>
    </row>
    <row r="82" spans="1:30" ht="15.75" customHeight="1">
      <c r="A82" s="231"/>
      <c r="B82" s="231"/>
      <c r="C82" s="232"/>
      <c r="D82" s="261"/>
      <c r="E82" s="245"/>
      <c r="F82" s="326">
        <f>'DZ Euros'!$D82*'DZ Euros'!$E82</f>
        <v>0</v>
      </c>
      <c r="G82" s="245"/>
      <c r="H82" s="332" t="str">
        <f>IF($B82= "","-",IF($B82= "External","Specify location tariff", INDEX(Constants!$3:$3,MATCH($B82,Constants!$2:$2,0))))</f>
        <v>-</v>
      </c>
      <c r="I82" s="333" t="str">
        <f t="shared" si="3"/>
        <v>-</v>
      </c>
      <c r="J82" s="247"/>
      <c r="K82" s="613"/>
      <c r="L82" s="562"/>
      <c r="M82" s="562"/>
      <c r="N82" s="562"/>
      <c r="O82" s="614"/>
      <c r="P82" s="575"/>
      <c r="Q82" s="575"/>
      <c r="R82" s="16"/>
      <c r="S82" s="16"/>
      <c r="V82" s="16"/>
      <c r="W82" s="16"/>
      <c r="X82" s="16"/>
      <c r="Y82" s="16"/>
      <c r="Z82" s="16"/>
      <c r="AA82" s="16"/>
    </row>
    <row r="83" spans="1:30" ht="15.75" customHeight="1">
      <c r="A83" s="231"/>
      <c r="B83" s="231"/>
      <c r="C83" s="232"/>
      <c r="D83" s="261"/>
      <c r="E83" s="245"/>
      <c r="F83" s="326">
        <f>'DZ Euros'!$D83*'DZ Euros'!$E83</f>
        <v>0</v>
      </c>
      <c r="G83" s="245"/>
      <c r="H83" s="332" t="str">
        <f>IF($B83= "","-",IF($B83= "External","Specify location tariff", INDEX(Constants!$3:$3,MATCH($B83,Constants!$2:$2,0))))</f>
        <v>-</v>
      </c>
      <c r="I83" s="333" t="str">
        <f t="shared" si="3"/>
        <v>-</v>
      </c>
      <c r="J83" s="247"/>
      <c r="K83" s="613"/>
      <c r="L83" s="562"/>
      <c r="M83" s="562"/>
      <c r="N83" s="562"/>
      <c r="O83" s="614"/>
      <c r="P83" s="575"/>
      <c r="Q83" s="575"/>
      <c r="R83" s="16"/>
      <c r="S83" s="16"/>
      <c r="V83" s="16"/>
      <c r="W83" s="16"/>
      <c r="X83" s="16"/>
      <c r="Y83" s="16"/>
      <c r="Z83" s="16"/>
      <c r="AA83" s="16"/>
    </row>
    <row r="84" spans="1:30" ht="15.75" customHeight="1">
      <c r="A84" s="231"/>
      <c r="B84" s="231"/>
      <c r="C84" s="232"/>
      <c r="D84" s="261"/>
      <c r="E84" s="245"/>
      <c r="F84" s="326">
        <f>'DZ Euros'!$D84*'DZ Euros'!$E84</f>
        <v>0</v>
      </c>
      <c r="G84" s="245"/>
      <c r="H84" s="332" t="str">
        <f>IF($B84= "","-",IF($B84= "External","Specify location tariff", INDEX(Constants!$3:$3,MATCH($B84,Constants!$2:$2,0))))</f>
        <v>-</v>
      </c>
      <c r="I84" s="333" t="str">
        <f t="shared" si="3"/>
        <v>-</v>
      </c>
      <c r="J84" s="247"/>
      <c r="K84" s="613"/>
      <c r="L84" s="562"/>
      <c r="M84" s="562"/>
      <c r="N84" s="562"/>
      <c r="O84" s="614"/>
      <c r="P84" s="575"/>
      <c r="Q84" s="575"/>
      <c r="R84" s="16"/>
      <c r="S84" s="16"/>
      <c r="V84" s="16"/>
      <c r="W84" s="16"/>
      <c r="X84" s="16"/>
      <c r="Y84" s="16"/>
      <c r="Z84" s="16"/>
      <c r="AA84" s="16"/>
    </row>
    <row r="85" spans="1:30" ht="15.75" customHeight="1">
      <c r="A85" s="231"/>
      <c r="B85" s="231"/>
      <c r="C85" s="232"/>
      <c r="D85" s="261"/>
      <c r="E85" s="245"/>
      <c r="F85" s="326">
        <f>'DZ Euros'!$D85*'DZ Euros'!$E85</f>
        <v>0</v>
      </c>
      <c r="G85" s="245"/>
      <c r="H85" s="332" t="str">
        <f>IF($B85= "","-",IF($B85= "External","Specify location tariff", INDEX(Constants!$3:$3,MATCH($B85,Constants!$2:$2,0))))</f>
        <v>-</v>
      </c>
      <c r="I85" s="333" t="str">
        <f t="shared" si="3"/>
        <v>-</v>
      </c>
      <c r="J85" s="247"/>
      <c r="K85" s="613"/>
      <c r="L85" s="562"/>
      <c r="M85" s="562"/>
      <c r="N85" s="562"/>
      <c r="O85" s="614"/>
      <c r="P85" s="575"/>
      <c r="Q85" s="575"/>
      <c r="R85" s="16"/>
      <c r="S85" s="16"/>
      <c r="V85" s="16"/>
      <c r="W85" s="16"/>
      <c r="X85" s="16"/>
      <c r="Y85" s="16"/>
      <c r="Z85" s="16"/>
      <c r="AA85" s="16"/>
    </row>
    <row r="86" spans="1:30" ht="15.75" customHeight="1">
      <c r="A86" s="231"/>
      <c r="B86" s="231"/>
      <c r="C86" s="232"/>
      <c r="D86" s="261"/>
      <c r="E86" s="245"/>
      <c r="F86" s="326">
        <f>'DZ Euros'!$D86*'DZ Euros'!$E86</f>
        <v>0</v>
      </c>
      <c r="G86" s="245"/>
      <c r="H86" s="332" t="str">
        <f>IF($B86= "","-",IF($B86= "External","Specify location tariff", INDEX(Constants!$3:$3,MATCH($B86,Constants!$2:$2,0))))</f>
        <v>-</v>
      </c>
      <c r="I86" s="333" t="str">
        <f t="shared" si="3"/>
        <v>-</v>
      </c>
      <c r="J86" s="247"/>
      <c r="K86" s="613"/>
      <c r="L86" s="562"/>
      <c r="M86" s="562"/>
      <c r="N86" s="562"/>
      <c r="O86" s="614"/>
      <c r="P86" s="575"/>
      <c r="Q86" s="575"/>
      <c r="R86" s="16"/>
      <c r="S86" s="16"/>
      <c r="V86" s="16"/>
      <c r="W86" s="16"/>
      <c r="X86" s="16"/>
      <c r="Y86" s="16"/>
      <c r="Z86" s="16"/>
      <c r="AA86" s="16"/>
    </row>
    <row r="87" spans="1:30" ht="15.75" customHeight="1" thickBot="1">
      <c r="A87" s="231"/>
      <c r="B87" s="231"/>
      <c r="C87" s="232"/>
      <c r="D87" s="261"/>
      <c r="E87" s="245"/>
      <c r="F87" s="326">
        <f>'DZ Euros'!$D87*'DZ Euros'!$E87</f>
        <v>0</v>
      </c>
      <c r="G87" s="245"/>
      <c r="H87" s="332" t="str">
        <f>IF($B87= "","-",IF($B87= "External","Specify location tariff", INDEX(Constants!$3:$3,MATCH($B87,Constants!$2:$2,0))))</f>
        <v>-</v>
      </c>
      <c r="I87" s="333" t="str">
        <f t="shared" si="3"/>
        <v>-</v>
      </c>
      <c r="J87" s="247"/>
      <c r="K87" s="615"/>
      <c r="L87" s="616"/>
      <c r="M87" s="616"/>
      <c r="N87" s="616"/>
      <c r="O87" s="617"/>
      <c r="P87" s="575"/>
      <c r="Q87" s="575"/>
      <c r="R87" s="16"/>
      <c r="S87" s="16"/>
      <c r="V87" s="16"/>
      <c r="W87" s="16"/>
      <c r="X87" s="16"/>
      <c r="Y87" s="16"/>
      <c r="Z87" s="16"/>
      <c r="AA87" s="16"/>
    </row>
    <row r="88" spans="1:30" ht="15.75" customHeight="1" thickTop="1">
      <c r="A88" s="15"/>
      <c r="B88" s="16"/>
      <c r="C88" s="16"/>
      <c r="D88" s="16"/>
      <c r="E88" s="16"/>
      <c r="F88" s="16"/>
      <c r="G88" s="16"/>
      <c r="H88" s="16"/>
      <c r="I88" s="16"/>
      <c r="J88" s="16"/>
      <c r="K88" s="16"/>
      <c r="L88" s="16"/>
      <c r="M88" s="16"/>
      <c r="N88" s="16"/>
      <c r="O88" s="16"/>
      <c r="P88" s="16"/>
      <c r="Q88" s="16"/>
      <c r="R88" s="16"/>
      <c r="S88" s="16"/>
      <c r="T88" s="16"/>
      <c r="U88" s="16"/>
      <c r="V88" s="16"/>
      <c r="W88" s="16"/>
      <c r="X88" s="16"/>
      <c r="Y88" s="16"/>
      <c r="Z88" s="16"/>
      <c r="AA88" s="16"/>
      <c r="AB88" s="16"/>
      <c r="AC88" s="16"/>
      <c r="AD88" s="16"/>
    </row>
    <row r="89" spans="1:30" ht="15.75" customHeight="1">
      <c r="A89" s="15"/>
      <c r="B89" s="16"/>
      <c r="C89" s="16"/>
      <c r="D89" s="16"/>
      <c r="E89" s="16"/>
      <c r="F89" s="16"/>
      <c r="G89" s="16"/>
      <c r="H89" s="16"/>
      <c r="I89" s="16"/>
      <c r="J89" s="16"/>
      <c r="K89" s="16"/>
      <c r="L89" s="16"/>
      <c r="M89" s="16"/>
      <c r="N89" s="16"/>
      <c r="O89" s="16"/>
      <c r="P89" s="16"/>
      <c r="Q89" s="16"/>
      <c r="R89" s="16"/>
      <c r="S89" s="16"/>
      <c r="T89" s="16"/>
      <c r="U89" s="16"/>
      <c r="V89" s="16"/>
      <c r="W89" s="16"/>
      <c r="X89" s="16"/>
      <c r="Y89" s="16"/>
      <c r="Z89" s="16"/>
      <c r="AA89" s="16"/>
      <c r="AB89" s="16"/>
      <c r="AC89" s="16"/>
      <c r="AD89" s="16"/>
    </row>
    <row r="90" spans="1:30" ht="15.75" customHeight="1" thickBot="1">
      <c r="A90" s="186" t="s">
        <v>519</v>
      </c>
      <c r="B90" s="16"/>
      <c r="C90" s="128"/>
      <c r="D90" s="51"/>
      <c r="E90" s="51"/>
      <c r="F90" s="51"/>
      <c r="G90" s="51"/>
      <c r="H90" s="51"/>
      <c r="I90" s="51"/>
      <c r="J90" s="51"/>
      <c r="K90" s="51"/>
      <c r="L90" s="232"/>
      <c r="M90" s="231"/>
      <c r="N90" s="16"/>
      <c r="O90" s="16"/>
      <c r="P90" s="16"/>
      <c r="Q90" s="16"/>
      <c r="R90" s="16"/>
      <c r="S90" s="16"/>
      <c r="T90" s="16"/>
      <c r="U90" s="16"/>
      <c r="V90" s="16"/>
      <c r="W90" s="16"/>
      <c r="X90" s="16"/>
      <c r="Y90" s="16"/>
      <c r="Z90" s="16"/>
      <c r="AA90" s="16"/>
      <c r="AB90" s="16"/>
      <c r="AC90" s="16"/>
      <c r="AD90" s="16"/>
    </row>
    <row r="91" spans="1:30" ht="15" customHeight="1" thickTop="1" thickBot="1">
      <c r="A91" s="230" t="s">
        <v>438</v>
      </c>
      <c r="B91" s="230" t="s">
        <v>439</v>
      </c>
      <c r="C91" s="230" t="s">
        <v>520</v>
      </c>
      <c r="D91" s="230" t="s">
        <v>521</v>
      </c>
      <c r="E91" s="230" t="s">
        <v>522</v>
      </c>
      <c r="F91" s="230" t="s">
        <v>523</v>
      </c>
      <c r="G91" s="230" t="s">
        <v>508</v>
      </c>
      <c r="H91" s="721" t="s">
        <v>441</v>
      </c>
      <c r="I91" s="728"/>
      <c r="J91" s="729" t="s">
        <v>434</v>
      </c>
      <c r="K91" s="730"/>
      <c r="L91" s="16"/>
      <c r="M91" s="16"/>
      <c r="N91" s="16"/>
      <c r="O91" s="16"/>
      <c r="P91" s="117"/>
      <c r="Q91" s="15"/>
      <c r="R91" s="16"/>
      <c r="S91" s="130"/>
      <c r="T91" s="16"/>
      <c r="U91" s="16"/>
      <c r="V91" s="16"/>
      <c r="W91" s="241"/>
      <c r="X91" s="16"/>
      <c r="Y91" s="16"/>
      <c r="Z91" s="16"/>
      <c r="AA91" s="16"/>
      <c r="AB91" s="16"/>
    </row>
    <row r="92" spans="1:30" ht="15" customHeight="1" thickTop="1">
      <c r="A92" s="244" t="s">
        <v>907</v>
      </c>
      <c r="B92" s="244" t="s">
        <v>687</v>
      </c>
      <c r="C92" s="339">
        <v>28219.96</v>
      </c>
      <c r="D92" s="250">
        <v>20</v>
      </c>
      <c r="E92" s="338">
        <v>1</v>
      </c>
      <c r="F92" s="339">
        <v>3113</v>
      </c>
      <c r="G92" s="247" t="s">
        <v>908</v>
      </c>
      <c r="H92" s="606"/>
      <c r="I92" s="595"/>
      <c r="J92" s="576" t="s">
        <v>526</v>
      </c>
      <c r="K92" s="577"/>
      <c r="L92" s="16"/>
      <c r="M92" s="16"/>
      <c r="N92" s="16"/>
      <c r="O92" s="16"/>
      <c r="P92" s="117"/>
      <c r="Q92" s="15"/>
      <c r="R92" s="16"/>
      <c r="S92" s="130"/>
      <c r="T92" s="16"/>
      <c r="U92" s="16"/>
      <c r="V92" s="16"/>
      <c r="W92" s="241"/>
      <c r="X92" s="16"/>
      <c r="Y92" s="16"/>
      <c r="Z92" s="16"/>
      <c r="AA92" s="16"/>
      <c r="AB92" s="16"/>
    </row>
    <row r="93" spans="1:30" ht="15" customHeight="1">
      <c r="A93" s="244" t="s">
        <v>909</v>
      </c>
      <c r="B93" s="244" t="s">
        <v>687</v>
      </c>
      <c r="C93" s="339">
        <v>16869.53</v>
      </c>
      <c r="D93" s="250">
        <v>10</v>
      </c>
      <c r="E93" s="338">
        <v>1</v>
      </c>
      <c r="F93" s="339">
        <v>2257</v>
      </c>
      <c r="G93" s="247"/>
      <c r="H93" s="589"/>
      <c r="I93" s="597"/>
      <c r="J93" s="578"/>
      <c r="K93" s="579"/>
      <c r="L93" s="16"/>
      <c r="M93" s="16"/>
      <c r="N93" s="16"/>
      <c r="O93" s="16"/>
      <c r="P93" s="117"/>
      <c r="Q93" s="15"/>
      <c r="R93" s="16"/>
      <c r="S93" s="130"/>
      <c r="T93" s="16"/>
      <c r="U93" s="16"/>
      <c r="V93" s="16"/>
      <c r="W93" s="241"/>
      <c r="X93" s="16"/>
      <c r="Y93" s="16"/>
      <c r="Z93" s="16"/>
      <c r="AA93" s="16"/>
      <c r="AB93" s="16"/>
    </row>
    <row r="94" spans="1:30" ht="15" customHeight="1">
      <c r="A94" s="244" t="s">
        <v>910</v>
      </c>
      <c r="B94" s="244" t="s">
        <v>687</v>
      </c>
      <c r="C94" s="339">
        <v>60472.5</v>
      </c>
      <c r="D94" s="250">
        <v>20</v>
      </c>
      <c r="E94" s="338">
        <v>1</v>
      </c>
      <c r="F94" s="339">
        <v>6235</v>
      </c>
      <c r="G94" s="247"/>
      <c r="H94" s="589"/>
      <c r="I94" s="597"/>
      <c r="J94" s="578"/>
      <c r="K94" s="579"/>
      <c r="L94" s="16"/>
      <c r="M94" s="16"/>
      <c r="N94" s="16"/>
      <c r="O94" s="16"/>
      <c r="P94" s="117"/>
      <c r="Q94" s="15"/>
      <c r="R94" s="16"/>
      <c r="S94" s="130"/>
      <c r="T94" s="16"/>
      <c r="U94" s="16"/>
      <c r="V94" s="16"/>
      <c r="W94" s="241"/>
      <c r="X94" s="16"/>
      <c r="Y94" s="16"/>
      <c r="Z94" s="16"/>
      <c r="AA94" s="16"/>
      <c r="AB94" s="16"/>
    </row>
    <row r="95" spans="1:30" ht="15" customHeight="1">
      <c r="A95" s="244" t="s">
        <v>911</v>
      </c>
      <c r="B95" s="244" t="s">
        <v>687</v>
      </c>
      <c r="C95" s="339">
        <v>3684.47</v>
      </c>
      <c r="D95" s="250">
        <v>10</v>
      </c>
      <c r="E95" s="338">
        <v>1</v>
      </c>
      <c r="F95" s="339">
        <v>643</v>
      </c>
      <c r="G95" s="247"/>
      <c r="H95" s="589"/>
      <c r="I95" s="597"/>
      <c r="J95" s="578"/>
      <c r="K95" s="579"/>
      <c r="L95" s="16"/>
      <c r="M95" s="16"/>
      <c r="N95" s="16"/>
      <c r="O95" s="16"/>
      <c r="P95" s="117"/>
      <c r="Q95" s="15"/>
      <c r="R95" s="16"/>
      <c r="S95" s="130"/>
      <c r="T95" s="16"/>
      <c r="U95" s="16"/>
      <c r="V95" s="16"/>
      <c r="W95" s="241"/>
      <c r="X95" s="16"/>
      <c r="Y95" s="16"/>
      <c r="Z95" s="16"/>
      <c r="AA95" s="16"/>
      <c r="AB95" s="16"/>
    </row>
    <row r="96" spans="1:30" ht="15" customHeight="1">
      <c r="A96" s="244" t="s">
        <v>912</v>
      </c>
      <c r="B96" s="244" t="s">
        <v>687</v>
      </c>
      <c r="C96" s="339">
        <v>18171</v>
      </c>
      <c r="D96" s="250">
        <v>10</v>
      </c>
      <c r="E96" s="338">
        <v>1</v>
      </c>
      <c r="F96" s="339">
        <v>2953</v>
      </c>
      <c r="G96" s="247"/>
      <c r="H96" s="589"/>
      <c r="I96" s="597"/>
      <c r="J96" s="578"/>
      <c r="K96" s="579"/>
      <c r="L96" s="16"/>
      <c r="M96" s="16"/>
      <c r="N96" s="16"/>
      <c r="O96" s="16"/>
      <c r="P96" s="117"/>
      <c r="Q96" s="15"/>
      <c r="R96" s="16"/>
      <c r="S96" s="130"/>
      <c r="T96" s="16"/>
      <c r="U96" s="16"/>
      <c r="V96" s="16"/>
      <c r="W96" s="241"/>
      <c r="X96" s="16"/>
      <c r="Y96" s="16"/>
      <c r="Z96" s="16"/>
      <c r="AA96" s="16"/>
      <c r="AB96" s="16"/>
    </row>
    <row r="97" spans="1:28" ht="15" customHeight="1">
      <c r="A97" s="244" t="s">
        <v>913</v>
      </c>
      <c r="B97" s="244" t="s">
        <v>687</v>
      </c>
      <c r="C97" s="339">
        <v>2800</v>
      </c>
      <c r="D97" s="250">
        <v>0</v>
      </c>
      <c r="E97" s="338">
        <v>1</v>
      </c>
      <c r="F97" s="339">
        <v>0</v>
      </c>
      <c r="G97" s="247"/>
      <c r="H97" s="589"/>
      <c r="I97" s="597"/>
      <c r="J97" s="578"/>
      <c r="K97" s="579"/>
      <c r="L97" s="16"/>
      <c r="M97" s="16"/>
      <c r="N97" s="16"/>
      <c r="O97" s="16"/>
      <c r="P97" s="117"/>
      <c r="Q97" s="15"/>
      <c r="R97" s="16"/>
      <c r="S97" s="130"/>
      <c r="T97" s="16"/>
      <c r="U97" s="16"/>
      <c r="V97" s="16"/>
      <c r="W97" s="241"/>
      <c r="X97" s="16"/>
      <c r="Y97" s="16"/>
      <c r="Z97" s="16"/>
      <c r="AA97" s="16"/>
      <c r="AB97" s="16"/>
    </row>
    <row r="98" spans="1:28" ht="15" customHeight="1">
      <c r="A98" s="244" t="s">
        <v>914</v>
      </c>
      <c r="B98" s="244" t="s">
        <v>687</v>
      </c>
      <c r="C98" s="339">
        <v>4200</v>
      </c>
      <c r="D98" s="250">
        <v>20</v>
      </c>
      <c r="E98" s="338">
        <v>1</v>
      </c>
      <c r="F98" s="339">
        <v>210</v>
      </c>
      <c r="G98" s="247"/>
      <c r="H98" s="589"/>
      <c r="I98" s="597"/>
      <c r="J98" s="578"/>
      <c r="K98" s="579"/>
      <c r="L98" s="16"/>
      <c r="M98" s="16"/>
      <c r="N98" s="16"/>
      <c r="O98" s="16"/>
      <c r="P98" s="117"/>
      <c r="Q98" s="15"/>
      <c r="R98" s="16"/>
      <c r="S98" s="130"/>
      <c r="T98" s="16"/>
      <c r="U98" s="16"/>
      <c r="V98" s="16"/>
      <c r="W98" s="241"/>
      <c r="X98" s="16"/>
      <c r="Y98" s="16"/>
      <c r="Z98" s="16"/>
      <c r="AA98" s="16"/>
      <c r="AB98" s="16"/>
    </row>
    <row r="99" spans="1:28" ht="15" customHeight="1">
      <c r="A99" s="244" t="s">
        <v>907</v>
      </c>
      <c r="B99" s="244" t="s">
        <v>699</v>
      </c>
      <c r="C99" s="339">
        <v>800</v>
      </c>
      <c r="D99" s="408"/>
      <c r="E99" s="337"/>
      <c r="F99" s="339">
        <v>800</v>
      </c>
      <c r="G99" s="247"/>
      <c r="H99" s="589"/>
      <c r="I99" s="597"/>
      <c r="J99" s="578"/>
      <c r="K99" s="579"/>
      <c r="L99" s="16"/>
      <c r="M99" s="16"/>
      <c r="N99" s="16"/>
      <c r="O99" s="16"/>
      <c r="P99" s="117"/>
      <c r="Q99" s="15"/>
      <c r="R99" s="16"/>
      <c r="S99" s="130"/>
      <c r="T99" s="16"/>
      <c r="U99" s="16"/>
      <c r="V99" s="16"/>
      <c r="W99" s="241"/>
      <c r="X99" s="16"/>
      <c r="Y99" s="16"/>
      <c r="Z99" s="16"/>
      <c r="AA99" s="16"/>
      <c r="AB99" s="16"/>
    </row>
    <row r="100" spans="1:28" ht="15" customHeight="1">
      <c r="A100" s="244" t="s">
        <v>909</v>
      </c>
      <c r="B100" s="244" t="s">
        <v>699</v>
      </c>
      <c r="C100" s="339">
        <v>800</v>
      </c>
      <c r="D100" s="408"/>
      <c r="E100" s="337"/>
      <c r="F100" s="339">
        <v>800</v>
      </c>
      <c r="G100" s="247"/>
      <c r="H100" s="589"/>
      <c r="I100" s="597"/>
      <c r="J100" s="578"/>
      <c r="K100" s="579"/>
      <c r="L100" s="16"/>
      <c r="M100" s="16"/>
      <c r="N100" s="16"/>
      <c r="O100" s="16"/>
      <c r="P100" s="117"/>
      <c r="Q100" s="15"/>
      <c r="R100" s="16"/>
      <c r="S100" s="130"/>
      <c r="T100" s="16"/>
      <c r="U100" s="16"/>
      <c r="V100" s="16"/>
      <c r="W100" s="241"/>
      <c r="X100" s="16"/>
      <c r="Y100" s="16"/>
      <c r="Z100" s="16"/>
      <c r="AA100" s="16"/>
      <c r="AB100" s="16"/>
    </row>
    <row r="101" spans="1:28" ht="15" customHeight="1">
      <c r="A101" s="244" t="s">
        <v>910</v>
      </c>
      <c r="B101" s="244" t="s">
        <v>699</v>
      </c>
      <c r="C101" s="339">
        <v>4000</v>
      </c>
      <c r="D101" s="408"/>
      <c r="E101" s="337"/>
      <c r="F101" s="339">
        <v>2000</v>
      </c>
      <c r="G101" s="247"/>
      <c r="H101" s="589"/>
      <c r="I101" s="597"/>
      <c r="J101" s="578"/>
      <c r="K101" s="579"/>
      <c r="L101" s="16"/>
      <c r="M101" s="16"/>
      <c r="N101" s="16"/>
      <c r="O101" s="16"/>
      <c r="P101" s="117"/>
      <c r="Q101" s="15"/>
      <c r="R101" s="16"/>
      <c r="S101" s="130"/>
      <c r="T101" s="16"/>
      <c r="U101" s="16"/>
      <c r="V101" s="16"/>
      <c r="W101" s="241"/>
      <c r="X101" s="16"/>
      <c r="Y101" s="16"/>
      <c r="Z101" s="16"/>
      <c r="AA101" s="16"/>
      <c r="AB101" s="16"/>
    </row>
    <row r="102" spans="1:28" ht="15" customHeight="1">
      <c r="A102" s="244" t="s">
        <v>911</v>
      </c>
      <c r="B102" s="244" t="s">
        <v>699</v>
      </c>
      <c r="C102" s="339">
        <v>200</v>
      </c>
      <c r="D102" s="408"/>
      <c r="E102" s="337"/>
      <c r="F102" s="339">
        <v>200</v>
      </c>
      <c r="G102" s="247"/>
      <c r="H102" s="589"/>
      <c r="I102" s="597"/>
      <c r="J102" s="578"/>
      <c r="K102" s="579"/>
      <c r="L102" s="16"/>
      <c r="M102" s="16"/>
      <c r="N102" s="16"/>
      <c r="O102" s="16"/>
      <c r="P102" s="117"/>
      <c r="Q102" s="15"/>
      <c r="R102" s="16"/>
      <c r="S102" s="130"/>
      <c r="T102" s="16"/>
      <c r="U102" s="16"/>
      <c r="V102" s="16"/>
      <c r="W102" s="241"/>
      <c r="X102" s="16"/>
      <c r="Y102" s="16"/>
      <c r="Z102" s="16"/>
      <c r="AA102" s="16"/>
      <c r="AB102" s="16"/>
    </row>
    <row r="103" spans="1:28" ht="15" customHeight="1">
      <c r="A103" s="244" t="s">
        <v>912</v>
      </c>
      <c r="B103" s="244" t="s">
        <v>699</v>
      </c>
      <c r="C103" s="339">
        <v>400</v>
      </c>
      <c r="D103" s="408"/>
      <c r="E103" s="337"/>
      <c r="F103" s="339">
        <v>400</v>
      </c>
      <c r="G103" s="247"/>
      <c r="H103" s="589"/>
      <c r="I103" s="597"/>
      <c r="J103" s="578"/>
      <c r="K103" s="579"/>
      <c r="L103" s="16"/>
      <c r="M103" s="16"/>
      <c r="N103" s="16"/>
      <c r="O103" s="16"/>
      <c r="P103" s="117"/>
      <c r="Q103" s="15"/>
      <c r="R103" s="16"/>
      <c r="S103" s="130"/>
      <c r="T103" s="16"/>
      <c r="U103" s="16"/>
      <c r="V103" s="16"/>
      <c r="W103" s="241"/>
      <c r="X103" s="16"/>
      <c r="Y103" s="16"/>
      <c r="Z103" s="16"/>
      <c r="AA103" s="16"/>
      <c r="AB103" s="16"/>
    </row>
    <row r="104" spans="1:28" ht="15" customHeight="1">
      <c r="A104" s="244" t="s">
        <v>913</v>
      </c>
      <c r="B104" s="244" t="s">
        <v>699</v>
      </c>
      <c r="C104" s="339">
        <v>100</v>
      </c>
      <c r="D104" s="408"/>
      <c r="E104" s="337"/>
      <c r="F104" s="339">
        <v>100</v>
      </c>
      <c r="G104" s="247"/>
      <c r="H104" s="589"/>
      <c r="I104" s="597"/>
      <c r="J104" s="578"/>
      <c r="K104" s="579"/>
      <c r="L104" s="16"/>
      <c r="M104" s="16"/>
      <c r="N104" s="16"/>
      <c r="O104" s="16"/>
      <c r="P104" s="117"/>
      <c r="Q104" s="15"/>
      <c r="R104" s="16"/>
      <c r="S104" s="130"/>
      <c r="T104" s="16"/>
      <c r="U104" s="16"/>
      <c r="V104" s="16"/>
      <c r="W104" s="241"/>
      <c r="X104" s="16"/>
      <c r="Y104" s="16"/>
      <c r="Z104" s="16"/>
      <c r="AA104" s="16"/>
      <c r="AB104" s="16"/>
    </row>
    <row r="105" spans="1:28" ht="15" customHeight="1">
      <c r="A105" s="244" t="s">
        <v>914</v>
      </c>
      <c r="B105" s="244" t="s">
        <v>699</v>
      </c>
      <c r="C105" s="339">
        <v>200</v>
      </c>
      <c r="D105" s="408"/>
      <c r="E105" s="337"/>
      <c r="F105" s="339">
        <v>200</v>
      </c>
      <c r="G105" s="247"/>
      <c r="H105" s="589"/>
      <c r="I105" s="597"/>
      <c r="J105" s="578"/>
      <c r="K105" s="579"/>
      <c r="L105" s="16"/>
      <c r="M105" s="16"/>
      <c r="N105" s="16"/>
      <c r="O105" s="16"/>
      <c r="P105" s="117"/>
      <c r="Q105" s="15"/>
      <c r="R105" s="16"/>
      <c r="S105" s="130"/>
      <c r="T105" s="16"/>
      <c r="U105" s="16"/>
      <c r="V105" s="16"/>
      <c r="W105" s="241"/>
      <c r="X105" s="16"/>
      <c r="Y105" s="16"/>
      <c r="Z105" s="16"/>
      <c r="AA105" s="16"/>
      <c r="AB105" s="16"/>
    </row>
    <row r="106" spans="1:28" ht="14.25" customHeight="1">
      <c r="A106" s="231"/>
      <c r="B106" s="248"/>
      <c r="C106" s="246">
        <v>0</v>
      </c>
      <c r="D106" s="247"/>
      <c r="E106" s="245"/>
      <c r="F106" s="246">
        <f>IF(Table_617095[[#This Row],[Item]]="",0,Table_617095[[#This Row],[Amount]]*Table_617095[[#This Row],[Purchase / Running costs]]/Table_617095[[#This Row],[Depreciation period]])</f>
        <v>0</v>
      </c>
      <c r="G106" s="247"/>
      <c r="H106" s="589"/>
      <c r="I106" s="597"/>
      <c r="J106" s="578"/>
      <c r="K106" s="579"/>
      <c r="L106" s="16"/>
      <c r="M106" s="16"/>
      <c r="N106" s="16"/>
      <c r="O106" s="16"/>
      <c r="P106" s="16"/>
      <c r="Q106" s="133"/>
      <c r="R106" s="16"/>
      <c r="S106" s="16"/>
      <c r="T106" s="16"/>
      <c r="U106" s="16"/>
      <c r="V106" s="16"/>
      <c r="W106" s="16"/>
      <c r="X106" s="16"/>
      <c r="Y106" s="16"/>
      <c r="Z106" s="16"/>
      <c r="AA106" s="16"/>
      <c r="AB106" s="16"/>
    </row>
    <row r="107" spans="1:28" ht="15.75" customHeight="1">
      <c r="A107" s="231"/>
      <c r="B107" s="248"/>
      <c r="C107" s="246">
        <v>0</v>
      </c>
      <c r="D107" s="247"/>
      <c r="E107" s="245"/>
      <c r="F107" s="246">
        <f>IF(Table_617095[[#This Row],[Item]]="",0,Table_617095[[#This Row],[Amount]]*Table_617095[[#This Row],[Purchase / Running costs]]/Table_617095[[#This Row],[Depreciation period]])</f>
        <v>0</v>
      </c>
      <c r="G107" s="247"/>
      <c r="H107" s="589"/>
      <c r="I107" s="597"/>
      <c r="J107" s="578"/>
      <c r="K107" s="579"/>
      <c r="L107" s="16"/>
      <c r="M107" s="16"/>
      <c r="N107" s="16"/>
      <c r="O107" s="16"/>
      <c r="P107" s="16"/>
      <c r="Q107" s="16"/>
      <c r="R107" s="16"/>
      <c r="S107" s="16"/>
      <c r="T107" s="16"/>
      <c r="U107" s="16"/>
      <c r="V107" s="16"/>
      <c r="W107" s="16"/>
      <c r="X107" s="16"/>
      <c r="Y107" s="16"/>
      <c r="Z107" s="16"/>
      <c r="AA107" s="16"/>
      <c r="AB107" s="16"/>
    </row>
    <row r="108" spans="1:28" ht="15.75" customHeight="1">
      <c r="A108" s="231"/>
      <c r="B108" s="248"/>
      <c r="C108" s="246">
        <v>0</v>
      </c>
      <c r="D108" s="247"/>
      <c r="E108" s="245"/>
      <c r="F108" s="246">
        <f>IF(Table_617095[[#This Row],[Item]]="",0,Table_617095[[#This Row],[Amount]]*Table_617095[[#This Row],[Purchase / Running costs]]/Table_617095[[#This Row],[Depreciation period]])</f>
        <v>0</v>
      </c>
      <c r="G108" s="247"/>
      <c r="H108" s="589"/>
      <c r="I108" s="597"/>
      <c r="J108" s="578"/>
      <c r="K108" s="579"/>
      <c r="L108" s="16"/>
      <c r="M108" s="16"/>
      <c r="N108" s="16"/>
      <c r="O108" s="16"/>
      <c r="P108" s="16"/>
      <c r="Q108" s="16"/>
      <c r="R108" s="16"/>
      <c r="S108" s="16"/>
      <c r="T108" s="16"/>
      <c r="U108" s="16"/>
      <c r="V108" s="16"/>
      <c r="W108" s="16"/>
      <c r="X108" s="16"/>
      <c r="Y108" s="16"/>
      <c r="Z108" s="16"/>
      <c r="AA108" s="16"/>
      <c r="AB108" s="16"/>
    </row>
    <row r="109" spans="1:28" ht="15.75" customHeight="1">
      <c r="A109" s="231"/>
      <c r="B109" s="248"/>
      <c r="C109" s="246">
        <v>0</v>
      </c>
      <c r="D109" s="247"/>
      <c r="E109" s="245"/>
      <c r="F109" s="246">
        <f>IF(Table_617095[[#This Row],[Item]]="",0,Table_617095[[#This Row],[Amount]]*Table_617095[[#This Row],[Purchase / Running costs]]/Table_617095[[#This Row],[Depreciation period]])</f>
        <v>0</v>
      </c>
      <c r="G109" s="247"/>
      <c r="H109" s="589"/>
      <c r="I109" s="597"/>
      <c r="J109" s="578"/>
      <c r="K109" s="579"/>
      <c r="L109" s="16"/>
      <c r="M109" s="16"/>
      <c r="N109" s="16"/>
      <c r="O109" s="16"/>
      <c r="P109" s="16"/>
      <c r="Q109" s="16"/>
      <c r="R109" s="16"/>
      <c r="S109" s="16"/>
      <c r="T109" s="16"/>
      <c r="U109" s="16"/>
      <c r="V109" s="16"/>
      <c r="W109" s="16"/>
      <c r="X109" s="16"/>
      <c r="Y109" s="16"/>
      <c r="Z109" s="16"/>
      <c r="AA109" s="16"/>
      <c r="AB109" s="16"/>
    </row>
    <row r="110" spans="1:28" ht="15.75" customHeight="1">
      <c r="A110" s="231"/>
      <c r="B110" s="248"/>
      <c r="C110" s="246">
        <v>0</v>
      </c>
      <c r="D110" s="247"/>
      <c r="E110" s="245"/>
      <c r="F110" s="246">
        <f>IF(Table_617095[[#This Row],[Item]]="",0,Table_617095[[#This Row],[Amount]]*Table_617095[[#This Row],[Purchase / Running costs]]/Table_617095[[#This Row],[Depreciation period]])</f>
        <v>0</v>
      </c>
      <c r="G110" s="247"/>
      <c r="H110" s="589"/>
      <c r="I110" s="597"/>
      <c r="J110" s="578"/>
      <c r="K110" s="579"/>
      <c r="L110" s="16"/>
      <c r="M110" s="16"/>
      <c r="N110" s="16"/>
      <c r="O110" s="16"/>
      <c r="P110" s="16"/>
      <c r="Q110" s="16"/>
      <c r="R110" s="16"/>
      <c r="S110" s="16"/>
      <c r="T110" s="16"/>
      <c r="U110" s="16"/>
      <c r="V110" s="16"/>
      <c r="W110" s="16"/>
      <c r="X110" s="16"/>
      <c r="Y110" s="16"/>
      <c r="Z110" s="16"/>
      <c r="AA110" s="16"/>
      <c r="AB110" s="16"/>
    </row>
    <row r="111" spans="1:28" ht="15.75" customHeight="1">
      <c r="A111" s="231"/>
      <c r="B111" s="248"/>
      <c r="C111" s="246">
        <v>0</v>
      </c>
      <c r="D111" s="247"/>
      <c r="E111" s="245"/>
      <c r="F111" s="246">
        <f>IF(Table_617095[[#This Row],[Item]]="",0,Table_617095[[#This Row],[Amount]]*Table_617095[[#This Row],[Purchase / Running costs]]/Table_617095[[#This Row],[Depreciation period]])</f>
        <v>0</v>
      </c>
      <c r="G111" s="247"/>
      <c r="H111" s="589"/>
      <c r="I111" s="597"/>
      <c r="J111" s="578"/>
      <c r="K111" s="579"/>
      <c r="L111" s="16"/>
      <c r="M111" s="16"/>
      <c r="N111" s="16"/>
      <c r="O111" s="16"/>
      <c r="P111" s="16"/>
      <c r="Q111" s="16"/>
      <c r="R111" s="16"/>
      <c r="S111" s="16"/>
      <c r="T111" s="16"/>
      <c r="U111" s="16"/>
      <c r="V111" s="16"/>
      <c r="W111" s="16"/>
      <c r="X111" s="16"/>
      <c r="Y111" s="16"/>
      <c r="Z111" s="16"/>
      <c r="AA111" s="16"/>
      <c r="AB111" s="16"/>
    </row>
    <row r="112" spans="1:28" ht="15.75" customHeight="1">
      <c r="A112" s="231"/>
      <c r="B112" s="244"/>
      <c r="C112" s="246">
        <v>0</v>
      </c>
      <c r="D112" s="247"/>
      <c r="E112" s="245"/>
      <c r="F112" s="246">
        <f>IF(Table_617095[[#This Row],[Item]]="",0,Table_617095[[#This Row],[Amount]]*Table_617095[[#This Row],[Purchase / Running costs]]/Table_617095[[#This Row],[Depreciation period]])</f>
        <v>0</v>
      </c>
      <c r="G112" s="247"/>
      <c r="H112" s="589"/>
      <c r="I112" s="597"/>
      <c r="J112" s="578"/>
      <c r="K112" s="579"/>
      <c r="L112" s="16"/>
      <c r="M112" s="16"/>
      <c r="N112" s="16"/>
      <c r="O112" s="16"/>
      <c r="P112" s="16"/>
      <c r="Q112" s="16"/>
      <c r="R112" s="16"/>
      <c r="S112" s="16"/>
      <c r="T112" s="16"/>
      <c r="U112" s="16"/>
      <c r="V112" s="16"/>
      <c r="W112" s="16"/>
      <c r="X112" s="16"/>
      <c r="Y112" s="16"/>
      <c r="Z112" s="16"/>
      <c r="AA112" s="16"/>
      <c r="AB112" s="16"/>
    </row>
    <row r="113" spans="1:30" ht="15.75" customHeight="1">
      <c r="A113" s="231"/>
      <c r="B113" s="244"/>
      <c r="C113" s="246">
        <v>0</v>
      </c>
      <c r="D113" s="247"/>
      <c r="E113" s="245"/>
      <c r="F113" s="246">
        <f>IF(Table_617095[[#This Row],[Item]]="",0,Table_617095[[#This Row],[Amount]]*Table_617095[[#This Row],[Purchase / Running costs]]/Table_617095[[#This Row],[Depreciation period]])</f>
        <v>0</v>
      </c>
      <c r="G113" s="247"/>
      <c r="H113" s="589"/>
      <c r="I113" s="597"/>
      <c r="J113" s="578"/>
      <c r="K113" s="579"/>
      <c r="L113" s="16"/>
      <c r="M113" s="16"/>
      <c r="N113" s="16"/>
      <c r="O113" s="16"/>
      <c r="P113" s="16"/>
      <c r="Q113" s="16"/>
      <c r="R113" s="16"/>
      <c r="S113" s="16"/>
      <c r="T113" s="16"/>
      <c r="U113" s="16"/>
      <c r="V113" s="16"/>
      <c r="W113" s="16"/>
      <c r="X113" s="16"/>
      <c r="Y113" s="16"/>
      <c r="Z113" s="16"/>
      <c r="AA113" s="16"/>
      <c r="AB113" s="16"/>
    </row>
    <row r="114" spans="1:30" ht="15.75" customHeight="1">
      <c r="A114" s="231"/>
      <c r="B114" s="244"/>
      <c r="C114" s="246">
        <v>0</v>
      </c>
      <c r="D114" s="247"/>
      <c r="E114" s="245"/>
      <c r="F114" s="246">
        <f>IF(Table_617095[[#This Row],[Item]]="",0,Table_617095[[#This Row],[Amount]]*Table_617095[[#This Row],[Purchase / Running costs]]/Table_617095[[#This Row],[Depreciation period]])</f>
        <v>0</v>
      </c>
      <c r="G114" s="247"/>
      <c r="H114" s="589"/>
      <c r="I114" s="597"/>
      <c r="J114" s="578"/>
      <c r="K114" s="579"/>
      <c r="L114" s="16"/>
      <c r="M114" s="16"/>
      <c r="N114" s="16"/>
      <c r="O114" s="16"/>
      <c r="P114" s="16"/>
      <c r="Q114" s="16"/>
      <c r="R114" s="16"/>
      <c r="S114" s="16"/>
      <c r="T114" s="16"/>
      <c r="U114" s="16"/>
      <c r="V114" s="16"/>
      <c r="W114" s="16"/>
      <c r="X114" s="16"/>
      <c r="Y114" s="16"/>
      <c r="Z114" s="16"/>
      <c r="AA114" s="16"/>
      <c r="AB114" s="16"/>
    </row>
    <row r="115" spans="1:30" ht="15.75" customHeight="1">
      <c r="A115" s="231"/>
      <c r="B115" s="244"/>
      <c r="C115" s="246">
        <v>0</v>
      </c>
      <c r="D115" s="247"/>
      <c r="E115" s="245"/>
      <c r="F115" s="246">
        <f>IF(Table_617095[[#This Row],[Item]]="",0,Table_617095[[#This Row],[Amount]]*Table_617095[[#This Row],[Purchase / Running costs]]/Table_617095[[#This Row],[Depreciation period]])</f>
        <v>0</v>
      </c>
      <c r="G115" s="247"/>
      <c r="H115" s="589"/>
      <c r="I115" s="597"/>
      <c r="J115" s="578"/>
      <c r="K115" s="579"/>
      <c r="L115" s="16"/>
      <c r="M115" s="16"/>
      <c r="N115" s="16"/>
      <c r="O115" s="16"/>
      <c r="P115" s="16"/>
      <c r="Q115" s="16"/>
      <c r="R115" s="16"/>
      <c r="S115" s="16"/>
      <c r="T115" s="16"/>
      <c r="U115" s="16"/>
      <c r="V115" s="16"/>
      <c r="W115" s="16"/>
      <c r="X115" s="16"/>
      <c r="Y115" s="16"/>
      <c r="Z115" s="16"/>
      <c r="AA115" s="16"/>
      <c r="AB115" s="16"/>
    </row>
    <row r="116" spans="1:30" ht="15.75" customHeight="1">
      <c r="A116" s="231"/>
      <c r="B116" s="244"/>
      <c r="C116" s="246">
        <v>0</v>
      </c>
      <c r="D116" s="247"/>
      <c r="E116" s="245"/>
      <c r="F116" s="246">
        <f>IF(Table_617095[[#This Row],[Item]]="",0,Table_617095[[#This Row],[Amount]]*Table_617095[[#This Row],[Purchase / Running costs]]/Table_617095[[#This Row],[Depreciation period]])</f>
        <v>0</v>
      </c>
      <c r="G116" s="247"/>
      <c r="H116" s="589"/>
      <c r="I116" s="597"/>
      <c r="J116" s="578"/>
      <c r="K116" s="579"/>
      <c r="L116" s="16"/>
      <c r="M116" s="16"/>
      <c r="N116" s="16"/>
      <c r="O116" s="16"/>
      <c r="P116" s="16"/>
      <c r="Q116" s="16"/>
      <c r="R116" s="16"/>
      <c r="S116" s="16"/>
      <c r="T116" s="16"/>
      <c r="U116" s="16"/>
      <c r="V116" s="16"/>
      <c r="W116" s="16"/>
      <c r="X116" s="16"/>
      <c r="Y116" s="16"/>
      <c r="Z116" s="16"/>
      <c r="AA116" s="16"/>
      <c r="AB116" s="16"/>
    </row>
    <row r="117" spans="1:30" ht="15.75" customHeight="1">
      <c r="A117" s="231"/>
      <c r="B117" s="244"/>
      <c r="C117" s="246">
        <v>0</v>
      </c>
      <c r="D117" s="247"/>
      <c r="E117" s="245"/>
      <c r="F117" s="246">
        <f>IF(Table_617095[[#This Row],[Item]]="",0,Table_617095[[#This Row],[Amount]]*Table_617095[[#This Row],[Purchase / Running costs]]/Table_617095[[#This Row],[Depreciation period]])</f>
        <v>0</v>
      </c>
      <c r="G117" s="247"/>
      <c r="H117" s="589"/>
      <c r="I117" s="597"/>
      <c r="J117" s="578"/>
      <c r="K117" s="579"/>
      <c r="L117" s="16"/>
      <c r="M117" s="16"/>
      <c r="N117" s="16"/>
      <c r="O117" s="16"/>
      <c r="P117" s="16"/>
      <c r="Q117" s="16"/>
      <c r="R117" s="16"/>
      <c r="S117" s="16"/>
      <c r="T117" s="16"/>
      <c r="U117" s="16"/>
      <c r="V117" s="16"/>
      <c r="W117" s="16"/>
      <c r="X117" s="16"/>
      <c r="Y117" s="16"/>
      <c r="Z117" s="16"/>
      <c r="AA117" s="16"/>
      <c r="AB117" s="16"/>
    </row>
    <row r="118" spans="1:30" ht="15.75" customHeight="1">
      <c r="A118" s="231"/>
      <c r="B118" s="244"/>
      <c r="C118" s="246">
        <v>0</v>
      </c>
      <c r="D118" s="247"/>
      <c r="E118" s="245"/>
      <c r="F118" s="246">
        <f>IF(Table_617095[[#This Row],[Item]]="",0,Table_617095[[#This Row],[Amount]]*Table_617095[[#This Row],[Purchase / Running costs]]/Table_617095[[#This Row],[Depreciation period]])</f>
        <v>0</v>
      </c>
      <c r="G118" s="247"/>
      <c r="H118" s="589"/>
      <c r="I118" s="597"/>
      <c r="J118" s="578"/>
      <c r="K118" s="579"/>
      <c r="L118" s="16"/>
      <c r="M118" s="16"/>
      <c r="N118" s="16"/>
      <c r="O118" s="16"/>
      <c r="P118" s="16"/>
      <c r="Q118" s="16"/>
      <c r="R118" s="16"/>
      <c r="S118" s="16"/>
      <c r="T118" s="16"/>
      <c r="U118" s="16"/>
      <c r="V118" s="16"/>
      <c r="W118" s="16"/>
      <c r="X118" s="16"/>
      <c r="Y118" s="16"/>
      <c r="Z118" s="16"/>
      <c r="AA118" s="16"/>
      <c r="AB118" s="16"/>
    </row>
    <row r="119" spans="1:30" ht="15.75" customHeight="1" thickBot="1">
      <c r="A119" s="231"/>
      <c r="B119" s="244"/>
      <c r="C119" s="246">
        <v>0</v>
      </c>
      <c r="D119" s="247"/>
      <c r="E119" s="245"/>
      <c r="F119" s="246">
        <f>IF(Table_617095[[#This Row],[Item]]="",0,Table_617095[[#This Row],[Amount]]*Table_617095[[#This Row],[Purchase / Running costs]]/Table_617095[[#This Row],[Depreciation period]])</f>
        <v>0</v>
      </c>
      <c r="G119" s="247"/>
      <c r="H119" s="607"/>
      <c r="I119" s="599"/>
      <c r="J119" s="580"/>
      <c r="K119" s="581"/>
      <c r="L119" s="16"/>
      <c r="M119" s="16"/>
      <c r="N119" s="16"/>
      <c r="O119" s="16"/>
      <c r="P119" s="16"/>
      <c r="Q119" s="16"/>
      <c r="R119" s="16"/>
      <c r="S119" s="16"/>
      <c r="T119" s="16"/>
      <c r="U119" s="16"/>
      <c r="V119" s="16"/>
      <c r="W119" s="16"/>
      <c r="X119" s="16"/>
      <c r="Y119" s="16"/>
      <c r="Z119" s="16"/>
      <c r="AA119" s="16"/>
      <c r="AB119" s="16"/>
    </row>
    <row r="120" spans="1:30" ht="15.75" customHeight="1" thickTop="1">
      <c r="A120" s="15"/>
      <c r="B120" s="131"/>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c r="AA120" s="16"/>
      <c r="AB120" s="16"/>
      <c r="AC120" s="16"/>
      <c r="AD120" s="16"/>
    </row>
    <row r="121" spans="1:30" ht="15.75" customHeight="1">
      <c r="A121" s="15"/>
      <c r="B121" s="131"/>
      <c r="C121" s="16"/>
      <c r="D121" s="16"/>
      <c r="E121" s="16"/>
      <c r="F121" s="16"/>
      <c r="G121" s="16"/>
      <c r="I121" s="16"/>
      <c r="J121" s="16"/>
      <c r="K121" s="16"/>
      <c r="L121" s="16"/>
      <c r="M121" s="16"/>
      <c r="N121" s="16"/>
      <c r="O121" s="16"/>
      <c r="P121" s="16"/>
      <c r="Q121" s="16"/>
      <c r="R121" s="16"/>
      <c r="S121" s="16"/>
      <c r="T121" s="16"/>
      <c r="U121" s="16"/>
      <c r="V121" s="16"/>
      <c r="W121" s="16"/>
      <c r="X121" s="16"/>
      <c r="Y121" s="16"/>
      <c r="Z121" s="16"/>
      <c r="AA121" s="16"/>
      <c r="AB121" s="16"/>
      <c r="AC121" s="16"/>
      <c r="AD121" s="16"/>
    </row>
    <row r="122" spans="1:30" ht="15.75" customHeight="1">
      <c r="H122" s="51"/>
      <c r="I122" s="51"/>
      <c r="J122" s="51"/>
      <c r="K122" s="51"/>
      <c r="L122" s="16"/>
      <c r="M122" s="16"/>
      <c r="N122" s="16"/>
      <c r="O122" s="16"/>
      <c r="P122" s="16"/>
      <c r="Q122" s="16"/>
      <c r="R122" s="16"/>
      <c r="S122" s="16"/>
      <c r="T122" s="16"/>
      <c r="U122" s="16"/>
      <c r="V122" s="16"/>
      <c r="W122" s="16"/>
      <c r="X122" s="16"/>
      <c r="Y122" s="16"/>
      <c r="Z122" s="16"/>
      <c r="AA122" s="16"/>
      <c r="AB122" s="16"/>
      <c r="AC122" s="16"/>
      <c r="AD122" s="16"/>
    </row>
    <row r="123" spans="1:30" ht="15.75" customHeight="1">
      <c r="L123" s="16"/>
      <c r="M123" s="16"/>
      <c r="N123" s="16"/>
      <c r="O123" s="16"/>
      <c r="P123" s="16"/>
      <c r="Q123" s="16"/>
      <c r="R123" s="16"/>
      <c r="S123" s="16"/>
      <c r="T123" s="16"/>
      <c r="U123" s="16"/>
      <c r="V123" s="16"/>
      <c r="W123" s="16"/>
      <c r="X123" s="16"/>
      <c r="Y123" s="16"/>
      <c r="Z123" s="16"/>
      <c r="AA123" s="16"/>
      <c r="AB123" s="16"/>
      <c r="AC123" s="16"/>
      <c r="AD123" s="16"/>
    </row>
    <row r="124" spans="1:30" ht="15.75" customHeight="1">
      <c r="L124" s="16"/>
      <c r="M124" s="16"/>
      <c r="N124" s="16"/>
      <c r="O124" s="16"/>
      <c r="P124" s="16"/>
      <c r="Q124" s="16"/>
      <c r="R124" s="16"/>
      <c r="S124" s="16"/>
      <c r="T124" s="16"/>
      <c r="U124" s="16"/>
      <c r="V124" s="16"/>
      <c r="W124" s="16"/>
      <c r="X124" s="16"/>
      <c r="Y124" s="16"/>
      <c r="Z124" s="16"/>
      <c r="AA124" s="16"/>
      <c r="AB124" s="16"/>
      <c r="AC124" s="16"/>
      <c r="AD124" s="16"/>
    </row>
    <row r="125" spans="1:30" ht="15.75" customHeight="1">
      <c r="L125" s="16"/>
      <c r="M125" s="16"/>
      <c r="N125" s="16"/>
      <c r="O125" s="16"/>
      <c r="P125" s="16"/>
      <c r="Q125" s="16"/>
      <c r="R125" s="16"/>
      <c r="S125" s="16"/>
      <c r="T125" s="16"/>
      <c r="U125" s="16"/>
      <c r="V125" s="16"/>
      <c r="W125" s="16"/>
      <c r="X125" s="16"/>
      <c r="Y125" s="16"/>
      <c r="Z125" s="16"/>
      <c r="AA125" s="16"/>
      <c r="AB125" s="16"/>
      <c r="AC125" s="16"/>
      <c r="AD125" s="16"/>
    </row>
    <row r="126" spans="1:30" ht="15.75" customHeight="1">
      <c r="L126" s="16"/>
      <c r="M126" s="16"/>
      <c r="N126" s="16"/>
      <c r="O126" s="16"/>
      <c r="P126" s="16"/>
      <c r="Q126" s="16"/>
      <c r="R126" s="16"/>
      <c r="S126" s="16"/>
      <c r="T126" s="16"/>
      <c r="U126" s="16"/>
      <c r="V126" s="16"/>
      <c r="W126" s="16"/>
      <c r="X126" s="16"/>
      <c r="Y126" s="16"/>
      <c r="Z126" s="16"/>
      <c r="AA126" s="16"/>
      <c r="AB126" s="16"/>
      <c r="AC126" s="16"/>
      <c r="AD126" s="16"/>
    </row>
    <row r="127" spans="1:30" ht="15.75" customHeight="1">
      <c r="L127" s="16"/>
      <c r="M127" s="16"/>
      <c r="N127" s="16"/>
      <c r="O127" s="16"/>
      <c r="P127" s="16"/>
      <c r="Q127" s="16"/>
      <c r="R127" s="16"/>
      <c r="S127" s="16"/>
      <c r="T127" s="16"/>
      <c r="U127" s="16"/>
      <c r="V127" s="16"/>
      <c r="W127" s="16"/>
      <c r="X127" s="16"/>
      <c r="Y127" s="16"/>
      <c r="Z127" s="16"/>
      <c r="AA127" s="16"/>
      <c r="AB127" s="16"/>
      <c r="AC127" s="16"/>
      <c r="AD127" s="16"/>
    </row>
    <row r="128" spans="1:30" ht="15.75" customHeight="1">
      <c r="L128" s="16"/>
      <c r="M128" s="16"/>
      <c r="N128" s="16"/>
      <c r="O128" s="16"/>
      <c r="P128" s="16"/>
      <c r="Q128" s="16"/>
      <c r="R128" s="16"/>
      <c r="S128" s="16"/>
      <c r="T128" s="16"/>
      <c r="U128" s="16"/>
      <c r="V128" s="16"/>
      <c r="W128" s="16"/>
      <c r="X128" s="16"/>
      <c r="Y128" s="16"/>
      <c r="Z128" s="16"/>
      <c r="AA128" s="16"/>
      <c r="AB128" s="16"/>
      <c r="AC128" s="16"/>
      <c r="AD128" s="16"/>
    </row>
    <row r="129" spans="1:30" ht="15.75" customHeight="1">
      <c r="L129" s="16"/>
      <c r="M129" s="16"/>
      <c r="N129" s="16"/>
      <c r="O129" s="16"/>
      <c r="P129" s="735"/>
      <c r="Q129" s="696"/>
      <c r="R129" s="696"/>
      <c r="S129" s="16"/>
      <c r="T129" s="16"/>
      <c r="U129" s="16"/>
      <c r="V129" s="16"/>
      <c r="W129" s="16"/>
      <c r="X129" s="16"/>
      <c r="Y129" s="16"/>
      <c r="Z129" s="16"/>
      <c r="AA129" s="16"/>
      <c r="AB129" s="16"/>
      <c r="AC129" s="16"/>
      <c r="AD129" s="16"/>
    </row>
    <row r="130" spans="1:30" ht="15.75" customHeight="1">
      <c r="L130" s="16"/>
      <c r="M130" s="16"/>
      <c r="N130" s="16"/>
      <c r="O130" s="16"/>
      <c r="P130" s="735"/>
      <c r="Q130" s="696"/>
      <c r="R130" s="696"/>
      <c r="S130" s="16"/>
      <c r="T130" s="16"/>
      <c r="U130" s="16"/>
      <c r="V130" s="16"/>
      <c r="W130" s="16"/>
      <c r="X130" s="16"/>
      <c r="Y130" s="16"/>
      <c r="Z130" s="16"/>
      <c r="AA130" s="16"/>
      <c r="AB130" s="16"/>
      <c r="AC130" s="16"/>
      <c r="AD130" s="16"/>
    </row>
    <row r="131" spans="1:30" ht="15.75" customHeight="1">
      <c r="L131" s="16"/>
      <c r="M131" s="16"/>
      <c r="N131" s="16"/>
      <c r="O131" s="16"/>
      <c r="P131" s="735"/>
      <c r="Q131" s="696"/>
      <c r="R131" s="696"/>
      <c r="S131" s="16"/>
      <c r="T131" s="16"/>
      <c r="U131" s="16"/>
      <c r="V131" s="16"/>
      <c r="W131" s="16"/>
      <c r="X131" s="16"/>
      <c r="Y131" s="16"/>
      <c r="Z131" s="16"/>
      <c r="AA131" s="16"/>
      <c r="AB131" s="16"/>
      <c r="AC131" s="16"/>
      <c r="AD131" s="16"/>
    </row>
    <row r="132" spans="1:30" ht="15.75" customHeight="1">
      <c r="L132" s="16"/>
      <c r="M132" s="16"/>
      <c r="N132" s="16"/>
      <c r="O132" s="16"/>
      <c r="P132" s="735"/>
      <c r="Q132" s="696"/>
      <c r="R132" s="696"/>
      <c r="S132" s="16"/>
      <c r="T132" s="16"/>
      <c r="U132" s="16"/>
      <c r="V132" s="16"/>
      <c r="W132" s="16"/>
      <c r="X132" s="16"/>
      <c r="Y132" s="16"/>
      <c r="Z132" s="16"/>
      <c r="AA132" s="16"/>
      <c r="AB132" s="16"/>
      <c r="AC132" s="16"/>
      <c r="AD132" s="16"/>
    </row>
    <row r="133" spans="1:30" ht="15.75" customHeight="1">
      <c r="L133" s="16"/>
      <c r="M133" s="16"/>
      <c r="N133" s="16"/>
      <c r="O133" s="16"/>
      <c r="P133" s="735"/>
      <c r="Q133" s="696"/>
      <c r="R133" s="696"/>
      <c r="S133" s="16"/>
      <c r="T133" s="16"/>
      <c r="U133" s="16"/>
      <c r="V133" s="16"/>
      <c r="W133" s="16"/>
      <c r="X133" s="16"/>
      <c r="Y133" s="16"/>
      <c r="Z133" s="16"/>
      <c r="AA133" s="16"/>
      <c r="AB133" s="16"/>
      <c r="AC133" s="16"/>
      <c r="AD133" s="16"/>
    </row>
    <row r="134" spans="1:30" ht="15.75" customHeight="1">
      <c r="L134" s="16"/>
      <c r="M134" s="16"/>
      <c r="N134" s="16"/>
      <c r="O134" s="16"/>
      <c r="P134" s="735"/>
      <c r="Q134" s="696"/>
      <c r="R134" s="696"/>
      <c r="S134" s="16"/>
      <c r="T134" s="16"/>
      <c r="U134" s="16"/>
      <c r="V134" s="16"/>
      <c r="W134" s="16"/>
      <c r="X134" s="16"/>
      <c r="Y134" s="16"/>
      <c r="Z134" s="16"/>
      <c r="AA134" s="16"/>
      <c r="AB134" s="16"/>
      <c r="AC134" s="16"/>
      <c r="AD134" s="16"/>
    </row>
    <row r="135" spans="1:30" ht="15.75" customHeight="1">
      <c r="H135" s="248"/>
      <c r="I135" s="248"/>
      <c r="J135" s="228"/>
      <c r="K135" s="228"/>
      <c r="L135" s="16"/>
      <c r="M135" s="16"/>
      <c r="N135" s="16"/>
      <c r="O135" s="16"/>
      <c r="P135" s="735"/>
      <c r="Q135" s="696"/>
      <c r="R135" s="696"/>
      <c r="S135" s="16"/>
      <c r="T135" s="16"/>
      <c r="U135" s="16"/>
      <c r="V135" s="16"/>
      <c r="W135" s="16"/>
      <c r="X135" s="16"/>
      <c r="Y135" s="16"/>
      <c r="Z135" s="16"/>
      <c r="AA135" s="16"/>
      <c r="AB135" s="16"/>
      <c r="AC135" s="16"/>
      <c r="AD135" s="16"/>
    </row>
    <row r="136" spans="1:30" ht="15.75" customHeight="1">
      <c r="A136" s="231"/>
      <c r="B136" s="231"/>
      <c r="C136" s="246"/>
      <c r="D136" s="247"/>
      <c r="E136" s="245"/>
      <c r="F136" s="246"/>
      <c r="G136" s="247"/>
      <c r="H136" s="248"/>
      <c r="I136" s="248"/>
      <c r="J136" s="228"/>
      <c r="K136" s="228"/>
      <c r="L136" s="16"/>
      <c r="M136" s="16"/>
      <c r="N136" s="16"/>
      <c r="O136" s="16"/>
      <c r="P136" s="16"/>
      <c r="Q136" s="16"/>
      <c r="R136" s="16"/>
      <c r="S136" s="16"/>
      <c r="T136" s="16"/>
      <c r="U136" s="16"/>
      <c r="V136" s="16"/>
      <c r="W136" s="16"/>
      <c r="X136" s="16"/>
      <c r="Y136" s="16"/>
      <c r="Z136" s="16"/>
      <c r="AA136" s="16"/>
      <c r="AB136" s="16"/>
      <c r="AC136" s="16"/>
      <c r="AD136" s="16"/>
    </row>
    <row r="137" spans="1:30" ht="15.75" customHeight="1">
      <c r="A137" s="231"/>
      <c r="B137" s="16"/>
      <c r="C137" s="246"/>
      <c r="D137" s="247"/>
      <c r="E137" s="245"/>
      <c r="F137" s="246"/>
      <c r="G137" s="247"/>
      <c r="H137" s="228"/>
      <c r="I137" s="228"/>
      <c r="J137" s="228"/>
      <c r="K137" s="228"/>
      <c r="L137" s="16"/>
      <c r="M137" s="735"/>
      <c r="N137" s="696"/>
      <c r="O137" s="696"/>
      <c r="P137" s="735"/>
      <c r="Q137" s="696"/>
      <c r="R137" s="696"/>
      <c r="S137" s="696"/>
      <c r="T137" s="696"/>
      <c r="U137" s="16"/>
      <c r="V137" s="16"/>
      <c r="W137" s="16"/>
      <c r="X137" s="16"/>
      <c r="Y137" s="16"/>
      <c r="Z137" s="16"/>
      <c r="AA137" s="16"/>
      <c r="AB137" s="16"/>
      <c r="AC137" s="16"/>
      <c r="AD137" s="16"/>
    </row>
    <row r="138" spans="1:30" ht="15.75" customHeight="1">
      <c r="A138" s="16"/>
      <c r="B138" s="16"/>
      <c r="C138" s="16"/>
      <c r="D138" s="16"/>
      <c r="E138" s="16"/>
      <c r="F138" s="16"/>
      <c r="G138" s="16"/>
      <c r="H138" s="16"/>
      <c r="I138" s="16"/>
      <c r="J138" s="16"/>
      <c r="K138" s="16"/>
      <c r="L138" s="16"/>
      <c r="M138" s="735"/>
      <c r="N138" s="696"/>
      <c r="O138" s="696"/>
      <c r="P138" s="735"/>
      <c r="Q138" s="696"/>
      <c r="R138" s="696"/>
      <c r="S138" s="696"/>
      <c r="T138" s="696"/>
      <c r="U138" s="16"/>
      <c r="V138" s="16"/>
      <c r="W138" s="16"/>
      <c r="X138" s="16"/>
      <c r="Y138" s="16"/>
      <c r="Z138" s="16"/>
      <c r="AA138" s="16"/>
      <c r="AB138" s="16"/>
      <c r="AC138" s="16"/>
      <c r="AD138" s="16"/>
    </row>
    <row r="139" spans="1:30" ht="15.75" customHeight="1">
      <c r="A139" s="16"/>
      <c r="B139" s="16"/>
      <c r="C139" s="16"/>
      <c r="D139" s="16"/>
      <c r="E139" s="16"/>
      <c r="F139" s="16"/>
      <c r="G139" s="16"/>
      <c r="H139" s="16"/>
      <c r="I139" s="16"/>
      <c r="J139" s="16"/>
      <c r="K139" s="16"/>
      <c r="L139" s="16"/>
      <c r="M139" s="735"/>
      <c r="N139" s="696"/>
      <c r="O139" s="696"/>
      <c r="P139" s="696"/>
      <c r="Q139" s="696"/>
      <c r="R139" s="696"/>
      <c r="S139" s="696"/>
      <c r="T139" s="696"/>
      <c r="U139" s="16"/>
      <c r="V139" s="16"/>
      <c r="W139" s="16"/>
      <c r="X139" s="16"/>
      <c r="Y139" s="16"/>
      <c r="Z139" s="16"/>
      <c r="AA139" s="16"/>
      <c r="AB139" s="16"/>
      <c r="AC139" s="16"/>
      <c r="AD139" s="16"/>
    </row>
    <row r="140" spans="1:30" ht="15.75" customHeight="1">
      <c r="A140" s="16"/>
      <c r="B140" s="16"/>
      <c r="C140" s="16"/>
      <c r="D140" s="16"/>
      <c r="E140" s="16"/>
      <c r="F140" s="16"/>
      <c r="G140" s="16"/>
      <c r="H140" s="16"/>
      <c r="I140" s="16"/>
      <c r="J140" s="16"/>
      <c r="K140" s="16"/>
      <c r="L140" s="16"/>
      <c r="M140" s="735"/>
      <c r="N140" s="696"/>
      <c r="O140" s="696"/>
      <c r="P140" s="696"/>
      <c r="Q140" s="696"/>
      <c r="R140" s="696"/>
      <c r="S140" s="696"/>
      <c r="T140" s="696"/>
      <c r="U140" s="16"/>
      <c r="V140" s="16"/>
      <c r="W140" s="16"/>
      <c r="X140" s="16"/>
      <c r="Y140" s="16"/>
      <c r="Z140" s="16"/>
      <c r="AA140" s="16"/>
      <c r="AB140" s="16"/>
      <c r="AC140" s="16"/>
      <c r="AD140" s="16"/>
    </row>
    <row r="141" spans="1:30" ht="15.75" customHeight="1">
      <c r="A141" s="16"/>
      <c r="B141" s="16"/>
      <c r="C141" s="16"/>
      <c r="D141" s="16"/>
      <c r="E141" s="16"/>
      <c r="F141" s="16"/>
      <c r="G141" s="16"/>
      <c r="H141" s="16"/>
      <c r="I141" s="16"/>
      <c r="J141" s="16"/>
      <c r="K141" s="16"/>
      <c r="L141" s="16"/>
      <c r="M141" s="735"/>
      <c r="N141" s="696"/>
      <c r="O141" s="696"/>
      <c r="P141" s="696"/>
      <c r="Q141" s="696"/>
      <c r="R141" s="696"/>
      <c r="S141" s="696"/>
      <c r="T141" s="696"/>
      <c r="U141" s="16"/>
      <c r="V141" s="16"/>
      <c r="W141" s="16"/>
      <c r="X141" s="16"/>
      <c r="Y141" s="16"/>
      <c r="Z141" s="16"/>
      <c r="AA141" s="16"/>
      <c r="AB141" s="16"/>
      <c r="AC141" s="16"/>
      <c r="AD141" s="16"/>
    </row>
    <row r="142" spans="1:30" ht="15.75" customHeight="1">
      <c r="A142" s="16"/>
      <c r="B142" s="16"/>
      <c r="C142" s="16"/>
      <c r="D142" s="16"/>
      <c r="E142" s="16"/>
      <c r="F142" s="16"/>
      <c r="G142" s="16"/>
      <c r="H142" s="16"/>
      <c r="I142" s="16"/>
      <c r="J142" s="16"/>
      <c r="K142" s="16"/>
      <c r="L142" s="16"/>
      <c r="M142" s="735"/>
      <c r="N142" s="696"/>
      <c r="O142" s="696"/>
      <c r="P142" s="696"/>
      <c r="Q142" s="696"/>
      <c r="R142" s="696"/>
      <c r="S142" s="696"/>
      <c r="T142" s="696"/>
      <c r="U142" s="16"/>
      <c r="V142" s="16"/>
      <c r="W142" s="16"/>
      <c r="X142" s="16"/>
      <c r="Y142" s="16"/>
      <c r="Z142" s="16"/>
      <c r="AA142" s="16"/>
      <c r="AB142" s="16"/>
      <c r="AC142" s="16"/>
      <c r="AD142" s="16"/>
    </row>
    <row r="143" spans="1:30" ht="15.75" customHeight="1">
      <c r="A143" s="16"/>
      <c r="B143" s="16"/>
      <c r="C143" s="16"/>
      <c r="D143" s="16"/>
      <c r="E143" s="16"/>
      <c r="F143" s="16"/>
      <c r="G143" s="16"/>
      <c r="H143" s="16"/>
      <c r="I143" s="16"/>
      <c r="J143" s="16"/>
      <c r="K143" s="16"/>
      <c r="L143" s="16"/>
      <c r="M143" s="735"/>
      <c r="N143" s="696"/>
      <c r="O143" s="696"/>
      <c r="P143" s="696"/>
      <c r="Q143" s="696"/>
      <c r="R143" s="696"/>
      <c r="S143" s="696"/>
      <c r="T143" s="696"/>
      <c r="U143" s="16"/>
      <c r="V143" s="16"/>
      <c r="W143" s="16"/>
      <c r="X143" s="16"/>
      <c r="Y143" s="16"/>
      <c r="Z143" s="16"/>
      <c r="AA143" s="16"/>
      <c r="AB143" s="16"/>
      <c r="AC143" s="16"/>
      <c r="AD143" s="16"/>
    </row>
    <row r="144" spans="1:30" ht="15.75" customHeight="1">
      <c r="A144" s="16"/>
      <c r="B144" s="16"/>
      <c r="C144" s="16"/>
      <c r="D144" s="16"/>
      <c r="E144" s="16"/>
      <c r="F144" s="16"/>
      <c r="G144" s="16"/>
      <c r="H144" s="16"/>
      <c r="I144" s="16"/>
      <c r="J144" s="16"/>
      <c r="K144" s="16"/>
      <c r="L144" s="16"/>
      <c r="M144" s="735"/>
      <c r="N144" s="696"/>
      <c r="O144" s="696"/>
      <c r="P144" s="696"/>
      <c r="Q144" s="696"/>
      <c r="R144" s="696"/>
      <c r="S144" s="696"/>
      <c r="T144" s="696"/>
      <c r="U144" s="16"/>
      <c r="V144" s="16"/>
      <c r="W144" s="16"/>
      <c r="X144" s="16"/>
      <c r="Y144" s="16"/>
      <c r="Z144" s="16"/>
      <c r="AA144" s="16"/>
      <c r="AB144" s="16"/>
      <c r="AC144" s="16"/>
      <c r="AD144" s="16"/>
    </row>
    <row r="145" spans="1:30" ht="15.75" customHeight="1">
      <c r="A145" s="16"/>
      <c r="B145" s="16"/>
      <c r="C145" s="16"/>
      <c r="D145" s="16"/>
      <c r="E145" s="16"/>
      <c r="F145" s="16"/>
      <c r="G145" s="16"/>
      <c r="H145" s="16"/>
      <c r="I145" s="16"/>
      <c r="J145" s="16"/>
      <c r="K145" s="16"/>
      <c r="L145" s="16"/>
      <c r="M145" s="735"/>
      <c r="N145" s="696"/>
      <c r="O145" s="696"/>
      <c r="P145" s="696"/>
      <c r="Q145" s="696"/>
      <c r="R145" s="696"/>
      <c r="S145" s="696"/>
      <c r="T145" s="696"/>
      <c r="U145" s="16"/>
      <c r="V145" s="16"/>
      <c r="W145" s="16"/>
      <c r="X145" s="16"/>
      <c r="Y145" s="16"/>
      <c r="Z145" s="16"/>
      <c r="AA145" s="16"/>
      <c r="AB145" s="16"/>
      <c r="AC145" s="16"/>
      <c r="AD145" s="16"/>
    </row>
    <row r="146" spans="1:30" ht="15.75" customHeight="1">
      <c r="A146" s="16"/>
      <c r="B146" s="16"/>
      <c r="C146" s="16"/>
      <c r="D146" s="16"/>
      <c r="E146" s="16"/>
      <c r="F146" s="16"/>
      <c r="G146" s="16"/>
      <c r="H146" s="16"/>
      <c r="I146" s="16"/>
      <c r="J146" s="16"/>
      <c r="K146" s="16"/>
      <c r="L146" s="16"/>
      <c r="M146" s="735"/>
      <c r="N146" s="696"/>
      <c r="O146" s="696"/>
      <c r="P146" s="696"/>
      <c r="Q146" s="696"/>
      <c r="R146" s="696"/>
      <c r="S146" s="696"/>
      <c r="T146" s="696"/>
      <c r="U146" s="16"/>
      <c r="V146" s="16"/>
      <c r="W146" s="16"/>
      <c r="X146" s="16"/>
      <c r="Y146" s="16"/>
      <c r="Z146" s="16"/>
      <c r="AA146" s="16"/>
      <c r="AB146" s="16"/>
      <c r="AC146" s="16"/>
      <c r="AD146" s="16"/>
    </row>
    <row r="147" spans="1:30" ht="15.75" customHeight="1">
      <c r="A147" s="16"/>
      <c r="B147" s="16"/>
      <c r="C147" s="16"/>
      <c r="D147" s="16"/>
      <c r="E147" s="16"/>
      <c r="F147" s="16"/>
      <c r="G147" s="16"/>
      <c r="H147" s="16"/>
      <c r="I147" s="16"/>
      <c r="J147" s="16"/>
      <c r="K147" s="16"/>
      <c r="L147" s="16"/>
      <c r="M147" s="735"/>
      <c r="N147" s="696"/>
      <c r="O147" s="696"/>
      <c r="P147" s="696"/>
      <c r="Q147" s="696"/>
      <c r="R147" s="696"/>
      <c r="S147" s="696"/>
      <c r="T147" s="696"/>
      <c r="U147" s="16"/>
      <c r="V147" s="16"/>
      <c r="W147" s="16"/>
      <c r="X147" s="16"/>
      <c r="Y147" s="16"/>
      <c r="Z147" s="16"/>
      <c r="AA147" s="16"/>
      <c r="AB147" s="16"/>
      <c r="AC147" s="16"/>
      <c r="AD147" s="16"/>
    </row>
    <row r="148" spans="1:30" ht="15.75" customHeight="1">
      <c r="A148" s="16"/>
      <c r="B148" s="16"/>
      <c r="C148" s="16"/>
      <c r="D148" s="16"/>
      <c r="E148" s="16"/>
      <c r="F148" s="16"/>
      <c r="G148" s="16"/>
      <c r="H148" s="16"/>
      <c r="I148" s="16"/>
      <c r="J148" s="16"/>
      <c r="K148" s="16"/>
      <c r="L148" s="16"/>
      <c r="M148" s="735"/>
      <c r="N148" s="696"/>
      <c r="O148" s="696"/>
      <c r="P148" s="696"/>
      <c r="Q148" s="696"/>
      <c r="R148" s="696"/>
      <c r="S148" s="696"/>
      <c r="T148" s="696"/>
      <c r="U148" s="16"/>
      <c r="V148" s="16"/>
      <c r="W148" s="16"/>
      <c r="X148" s="16"/>
      <c r="Y148" s="16"/>
      <c r="Z148" s="16"/>
      <c r="AA148" s="16"/>
      <c r="AB148" s="16"/>
      <c r="AC148" s="16"/>
      <c r="AD148" s="16"/>
    </row>
    <row r="149" spans="1:30" ht="15.75" customHeight="1">
      <c r="A149" s="16"/>
      <c r="B149" s="16"/>
      <c r="C149" s="16"/>
      <c r="D149" s="16"/>
      <c r="E149" s="16"/>
      <c r="F149" s="16"/>
      <c r="G149" s="16"/>
      <c r="H149" s="16"/>
      <c r="I149" s="16"/>
      <c r="J149" s="16"/>
      <c r="K149" s="16"/>
      <c r="L149" s="16"/>
      <c r="M149" s="735"/>
      <c r="N149" s="696"/>
      <c r="O149" s="696"/>
      <c r="P149" s="696"/>
      <c r="Q149" s="696"/>
      <c r="R149" s="696"/>
      <c r="S149" s="696"/>
      <c r="T149" s="696"/>
      <c r="U149" s="16"/>
      <c r="V149" s="16"/>
      <c r="W149" s="16"/>
      <c r="X149" s="16"/>
      <c r="Y149" s="16"/>
      <c r="Z149" s="16"/>
      <c r="AA149" s="16"/>
      <c r="AB149" s="16"/>
      <c r="AC149" s="16"/>
      <c r="AD149" s="16"/>
    </row>
    <row r="150" spans="1:30" ht="15.75" customHeight="1">
      <c r="A150" s="1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c r="AA150" s="16"/>
      <c r="AB150" s="16"/>
      <c r="AC150" s="16"/>
      <c r="AD150" s="16"/>
    </row>
    <row r="151" spans="1:30" ht="15.75" customHeight="1">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c r="AA151" s="16"/>
      <c r="AB151" s="16"/>
      <c r="AC151" s="16"/>
      <c r="AD151" s="16"/>
    </row>
    <row r="152" spans="1:30" ht="15.75" customHeight="1">
      <c r="A152" s="16"/>
      <c r="B152" s="16"/>
      <c r="C152" s="16"/>
      <c r="D152" s="16"/>
      <c r="E152" s="16"/>
      <c r="F152" s="16"/>
      <c r="G152" s="16"/>
      <c r="H152" s="16"/>
      <c r="I152" s="16"/>
      <c r="J152" s="16"/>
      <c r="K152" s="16"/>
      <c r="L152" s="16"/>
      <c r="M152" s="735"/>
      <c r="N152" s="696"/>
      <c r="O152" s="696"/>
      <c r="P152" s="735"/>
      <c r="Q152" s="696"/>
      <c r="R152" s="696"/>
      <c r="S152" s="696"/>
      <c r="T152" s="696"/>
      <c r="U152" s="16"/>
      <c r="V152" s="16"/>
      <c r="W152" s="16"/>
      <c r="X152" s="16"/>
      <c r="Y152" s="16"/>
      <c r="Z152" s="16"/>
      <c r="AA152" s="16"/>
      <c r="AB152" s="16"/>
      <c r="AC152" s="16"/>
      <c r="AD152" s="16"/>
    </row>
    <row r="153" spans="1:30" ht="15.75" customHeight="1">
      <c r="A153" s="16"/>
      <c r="B153" s="16"/>
      <c r="C153" s="16"/>
      <c r="D153" s="16"/>
      <c r="E153" s="16"/>
      <c r="F153" s="16"/>
      <c r="G153" s="16"/>
      <c r="H153" s="16"/>
      <c r="I153" s="16"/>
      <c r="J153" s="16"/>
      <c r="K153" s="16"/>
      <c r="L153" s="16"/>
      <c r="M153" s="735"/>
      <c r="N153" s="696"/>
      <c r="O153" s="696"/>
      <c r="P153" s="735"/>
      <c r="Q153" s="696"/>
      <c r="R153" s="696"/>
      <c r="S153" s="696"/>
      <c r="T153" s="696"/>
      <c r="U153" s="16"/>
      <c r="V153" s="16"/>
      <c r="W153" s="16"/>
      <c r="X153" s="16"/>
      <c r="Y153" s="16"/>
      <c r="Z153" s="16"/>
      <c r="AA153" s="16"/>
      <c r="AB153" s="16"/>
      <c r="AC153" s="16"/>
      <c r="AD153" s="16"/>
    </row>
    <row r="154" spans="1:30" ht="15.75" customHeight="1">
      <c r="A154" s="16"/>
      <c r="B154" s="16"/>
      <c r="C154" s="16"/>
      <c r="D154" s="16"/>
      <c r="E154" s="16"/>
      <c r="F154" s="16"/>
      <c r="G154" s="16"/>
      <c r="H154" s="16"/>
      <c r="I154" s="16"/>
      <c r="J154" s="16"/>
      <c r="K154" s="16"/>
      <c r="L154" s="16"/>
      <c r="M154" s="735"/>
      <c r="N154" s="696"/>
      <c r="O154" s="696"/>
      <c r="P154" s="696"/>
      <c r="Q154" s="696"/>
      <c r="R154" s="696"/>
      <c r="S154" s="696"/>
      <c r="T154" s="696"/>
      <c r="U154" s="16"/>
      <c r="V154" s="16"/>
      <c r="W154" s="16"/>
      <c r="X154" s="16"/>
      <c r="Y154" s="16"/>
      <c r="Z154" s="16"/>
      <c r="AA154" s="16"/>
      <c r="AB154" s="16"/>
      <c r="AC154" s="16"/>
      <c r="AD154" s="16"/>
    </row>
    <row r="155" spans="1:30" ht="15.75" customHeight="1">
      <c r="A155" s="16"/>
      <c r="B155" s="16"/>
      <c r="C155" s="16"/>
      <c r="D155" s="16"/>
      <c r="E155" s="16"/>
      <c r="F155" s="16"/>
      <c r="G155" s="16"/>
      <c r="H155" s="16"/>
      <c r="I155" s="16"/>
      <c r="J155" s="16"/>
      <c r="K155" s="16"/>
      <c r="L155" s="16"/>
      <c r="M155" s="735"/>
      <c r="N155" s="696"/>
      <c r="O155" s="696"/>
      <c r="P155" s="696"/>
      <c r="Q155" s="696"/>
      <c r="R155" s="696"/>
      <c r="S155" s="696"/>
      <c r="T155" s="696"/>
      <c r="U155" s="16"/>
      <c r="V155" s="16"/>
      <c r="W155" s="16"/>
      <c r="X155" s="16"/>
      <c r="Y155" s="16"/>
      <c r="Z155" s="16"/>
      <c r="AA155" s="16"/>
      <c r="AB155" s="16"/>
      <c r="AC155" s="16"/>
      <c r="AD155" s="16"/>
    </row>
    <row r="156" spans="1:30" ht="15.75" customHeight="1">
      <c r="A156" s="16"/>
      <c r="B156" s="16"/>
      <c r="C156" s="16"/>
      <c r="D156" s="16"/>
      <c r="E156" s="16"/>
      <c r="F156" s="16"/>
      <c r="G156" s="16"/>
      <c r="H156" s="16"/>
      <c r="I156" s="16"/>
      <c r="J156" s="16"/>
      <c r="K156" s="16"/>
      <c r="L156" s="16"/>
      <c r="M156" s="735"/>
      <c r="N156" s="696"/>
      <c r="O156" s="696"/>
      <c r="P156" s="696"/>
      <c r="Q156" s="696"/>
      <c r="R156" s="696"/>
      <c r="S156" s="696"/>
      <c r="T156" s="696"/>
      <c r="U156" s="16"/>
      <c r="V156" s="16"/>
      <c r="W156" s="16"/>
      <c r="X156" s="16"/>
      <c r="Y156" s="16"/>
      <c r="Z156" s="16"/>
      <c r="AA156" s="16"/>
      <c r="AB156" s="16"/>
      <c r="AC156" s="16"/>
      <c r="AD156" s="16"/>
    </row>
    <row r="157" spans="1:30" ht="15.75" customHeight="1">
      <c r="A157" s="16"/>
      <c r="B157" s="16"/>
      <c r="C157" s="16"/>
      <c r="D157" s="16"/>
      <c r="E157" s="16"/>
      <c r="F157" s="16"/>
      <c r="G157" s="16"/>
      <c r="H157" s="16"/>
      <c r="I157" s="16"/>
      <c r="J157" s="16"/>
      <c r="K157" s="16"/>
      <c r="L157" s="16"/>
      <c r="M157" s="735"/>
      <c r="N157" s="696"/>
      <c r="O157" s="696"/>
      <c r="P157" s="696"/>
      <c r="Q157" s="696"/>
      <c r="R157" s="696"/>
      <c r="S157" s="696"/>
      <c r="T157" s="696"/>
      <c r="U157" s="16"/>
      <c r="V157" s="16"/>
      <c r="W157" s="16"/>
      <c r="X157" s="16"/>
      <c r="Y157" s="16"/>
      <c r="Z157" s="16"/>
      <c r="AA157" s="16"/>
      <c r="AB157" s="16"/>
      <c r="AC157" s="16"/>
      <c r="AD157" s="16"/>
    </row>
    <row r="158" spans="1:30" ht="15.75" customHeight="1">
      <c r="A158" s="16"/>
      <c r="B158" s="16"/>
      <c r="C158" s="16"/>
      <c r="D158" s="16"/>
      <c r="E158" s="16"/>
      <c r="F158" s="16"/>
      <c r="G158" s="16"/>
      <c r="H158" s="16"/>
      <c r="I158" s="16"/>
      <c r="J158" s="16"/>
      <c r="K158" s="16"/>
      <c r="L158" s="16"/>
      <c r="M158" s="735"/>
      <c r="N158" s="696"/>
      <c r="O158" s="696"/>
      <c r="P158" s="696"/>
      <c r="Q158" s="696"/>
      <c r="R158" s="696"/>
      <c r="S158" s="696"/>
      <c r="T158" s="696"/>
      <c r="U158" s="16"/>
      <c r="V158" s="16"/>
      <c r="W158" s="16"/>
      <c r="X158" s="16"/>
      <c r="Y158" s="16"/>
      <c r="Z158" s="16"/>
      <c r="AA158" s="16"/>
      <c r="AB158" s="16"/>
      <c r="AC158" s="16"/>
      <c r="AD158" s="16"/>
    </row>
    <row r="159" spans="1:30" ht="15.75" customHeight="1">
      <c r="A159" s="16"/>
      <c r="B159" s="16"/>
      <c r="C159" s="16"/>
      <c r="D159" s="16"/>
      <c r="E159" s="16"/>
      <c r="F159" s="16"/>
      <c r="G159" s="16"/>
      <c r="H159" s="16"/>
      <c r="I159" s="16"/>
      <c r="J159" s="16"/>
      <c r="K159" s="16"/>
      <c r="L159" s="16"/>
      <c r="M159" s="735"/>
      <c r="N159" s="696"/>
      <c r="O159" s="696"/>
      <c r="P159" s="696"/>
      <c r="Q159" s="696"/>
      <c r="R159" s="696"/>
      <c r="S159" s="696"/>
      <c r="T159" s="696"/>
      <c r="U159" s="16"/>
      <c r="V159" s="16"/>
      <c r="W159" s="16"/>
      <c r="X159" s="16"/>
      <c r="Y159" s="16"/>
      <c r="Z159" s="16"/>
      <c r="AA159" s="16"/>
      <c r="AB159" s="16"/>
      <c r="AC159" s="16"/>
      <c r="AD159" s="16"/>
    </row>
    <row r="160" spans="1:30" ht="15.75" customHeight="1">
      <c r="A160" s="16"/>
      <c r="B160" s="16"/>
      <c r="C160" s="16"/>
      <c r="D160" s="16"/>
      <c r="E160" s="16"/>
      <c r="F160" s="16"/>
      <c r="G160" s="16"/>
      <c r="H160" s="16"/>
      <c r="I160" s="16"/>
      <c r="J160" s="16"/>
      <c r="K160" s="16"/>
      <c r="L160" s="16"/>
      <c r="M160" s="735"/>
      <c r="N160" s="696"/>
      <c r="O160" s="696"/>
      <c r="P160" s="696"/>
      <c r="Q160" s="696"/>
      <c r="R160" s="696"/>
      <c r="S160" s="696"/>
      <c r="T160" s="696"/>
      <c r="U160" s="16"/>
      <c r="V160" s="16"/>
      <c r="W160" s="16"/>
      <c r="X160" s="16"/>
      <c r="Y160" s="16"/>
      <c r="Z160" s="16"/>
      <c r="AA160" s="16"/>
      <c r="AB160" s="16"/>
      <c r="AC160" s="16"/>
      <c r="AD160" s="16"/>
    </row>
    <row r="161" spans="1:30" ht="15.75" customHeight="1">
      <c r="A161" s="16"/>
      <c r="B161" s="16"/>
      <c r="C161" s="16"/>
      <c r="D161" s="16"/>
      <c r="E161" s="16"/>
      <c r="F161" s="16"/>
      <c r="G161" s="16"/>
      <c r="H161" s="16"/>
      <c r="I161" s="16"/>
      <c r="J161" s="16"/>
      <c r="K161" s="16"/>
      <c r="L161" s="16"/>
      <c r="M161" s="735"/>
      <c r="N161" s="696"/>
      <c r="O161" s="696"/>
      <c r="P161" s="696"/>
      <c r="Q161" s="696"/>
      <c r="R161" s="696"/>
      <c r="S161" s="696"/>
      <c r="T161" s="696"/>
      <c r="U161" s="16"/>
      <c r="V161" s="16"/>
      <c r="W161" s="16"/>
      <c r="X161" s="16"/>
      <c r="Y161" s="16"/>
      <c r="Z161" s="16"/>
      <c r="AA161" s="16"/>
      <c r="AB161" s="16"/>
      <c r="AC161" s="16"/>
      <c r="AD161" s="16"/>
    </row>
    <row r="162" spans="1:30" ht="15.75" customHeight="1">
      <c r="A162" s="16"/>
      <c r="B162" s="16"/>
      <c r="C162" s="16"/>
      <c r="D162" s="16"/>
      <c r="E162" s="16"/>
      <c r="F162" s="16"/>
      <c r="G162" s="16"/>
      <c r="H162" s="16"/>
      <c r="I162" s="16"/>
      <c r="J162" s="16"/>
      <c r="K162" s="16"/>
      <c r="L162" s="16"/>
      <c r="M162" s="735"/>
      <c r="N162" s="696"/>
      <c r="O162" s="696"/>
      <c r="P162" s="696"/>
      <c r="Q162" s="696"/>
      <c r="R162" s="696"/>
      <c r="S162" s="696"/>
      <c r="T162" s="696"/>
      <c r="U162" s="16"/>
      <c r="V162" s="16"/>
      <c r="W162" s="16"/>
      <c r="X162" s="16"/>
      <c r="Y162" s="16"/>
      <c r="Z162" s="16"/>
      <c r="AA162" s="16"/>
      <c r="AB162" s="16"/>
      <c r="AC162" s="16"/>
      <c r="AD162" s="16"/>
    </row>
    <row r="163" spans="1:30" ht="15.75" customHeight="1">
      <c r="A163" s="16"/>
      <c r="B163" s="16"/>
      <c r="C163" s="16"/>
      <c r="D163" s="16"/>
      <c r="E163" s="16"/>
      <c r="F163" s="16"/>
      <c r="G163" s="16"/>
      <c r="H163" s="16"/>
      <c r="I163" s="16"/>
      <c r="J163" s="16"/>
      <c r="K163" s="16"/>
      <c r="L163" s="16"/>
      <c r="M163" s="735"/>
      <c r="N163" s="696"/>
      <c r="O163" s="696"/>
      <c r="P163" s="696"/>
      <c r="Q163" s="696"/>
      <c r="R163" s="696"/>
      <c r="S163" s="696"/>
      <c r="T163" s="696"/>
      <c r="U163" s="16"/>
      <c r="V163" s="16"/>
      <c r="W163" s="16"/>
      <c r="X163" s="16"/>
      <c r="Y163" s="16"/>
      <c r="Z163" s="16"/>
      <c r="AA163" s="16"/>
      <c r="AB163" s="16"/>
      <c r="AC163" s="16"/>
      <c r="AD163" s="16"/>
    </row>
    <row r="164" spans="1:30" ht="15.75" customHeight="1">
      <c r="A164" s="16"/>
      <c r="B164" s="16"/>
      <c r="C164" s="16"/>
      <c r="D164" s="16"/>
      <c r="E164" s="16"/>
      <c r="F164" s="16"/>
      <c r="G164" s="16"/>
      <c r="H164" s="16"/>
      <c r="I164" s="16"/>
      <c r="J164" s="16"/>
      <c r="K164" s="16"/>
      <c r="L164" s="16"/>
      <c r="M164" s="735"/>
      <c r="N164" s="696"/>
      <c r="O164" s="696"/>
      <c r="P164" s="696"/>
      <c r="Q164" s="696"/>
      <c r="R164" s="696"/>
      <c r="S164" s="696"/>
      <c r="T164" s="696"/>
      <c r="U164" s="16"/>
      <c r="V164" s="16"/>
      <c r="W164" s="16"/>
      <c r="X164" s="16"/>
      <c r="Y164" s="16"/>
      <c r="Z164" s="16"/>
      <c r="AA164" s="16"/>
      <c r="AB164" s="16"/>
      <c r="AC164" s="16"/>
      <c r="AD164" s="16"/>
    </row>
    <row r="165" spans="1:30" ht="15.75" customHeight="1">
      <c r="A165" s="16"/>
      <c r="B165" s="16"/>
      <c r="C165" s="16"/>
      <c r="D165" s="16"/>
      <c r="E165" s="16"/>
      <c r="F165" s="16"/>
      <c r="G165" s="16"/>
      <c r="H165" s="16"/>
      <c r="I165" s="16"/>
      <c r="J165" s="16"/>
      <c r="K165" s="16"/>
      <c r="L165" s="16"/>
      <c r="M165" s="735"/>
      <c r="N165" s="696"/>
      <c r="O165" s="696"/>
      <c r="P165" s="696"/>
      <c r="Q165" s="696"/>
      <c r="R165" s="696"/>
      <c r="S165" s="696"/>
      <c r="T165" s="696"/>
      <c r="U165" s="16"/>
      <c r="V165" s="16"/>
      <c r="W165" s="16"/>
      <c r="X165" s="16"/>
      <c r="Y165" s="16"/>
      <c r="Z165" s="16"/>
      <c r="AA165" s="16"/>
      <c r="AB165" s="16"/>
      <c r="AC165" s="16"/>
      <c r="AD165" s="16"/>
    </row>
    <row r="166" spans="1:30" ht="15.75" customHeight="1">
      <c r="A166" s="16"/>
      <c r="B166" s="16"/>
      <c r="C166" s="16"/>
      <c r="D166" s="16"/>
      <c r="E166" s="16"/>
      <c r="F166" s="16"/>
      <c r="G166" s="16"/>
      <c r="H166" s="16"/>
      <c r="I166" s="16"/>
      <c r="J166" s="16"/>
      <c r="K166" s="16"/>
      <c r="L166" s="16"/>
      <c r="M166" s="735"/>
      <c r="N166" s="696"/>
      <c r="O166" s="696"/>
      <c r="P166" s="696"/>
      <c r="Q166" s="696"/>
      <c r="R166" s="696"/>
      <c r="S166" s="696"/>
      <c r="T166" s="696"/>
      <c r="U166" s="16"/>
      <c r="V166" s="16"/>
      <c r="W166" s="16"/>
      <c r="X166" s="16"/>
      <c r="Y166" s="16"/>
      <c r="Z166" s="16"/>
      <c r="AA166" s="16"/>
      <c r="AB166" s="16"/>
      <c r="AC166" s="16"/>
      <c r="AD166" s="16"/>
    </row>
    <row r="167" spans="1:30" ht="15.75" customHeight="1">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c r="AA167" s="16"/>
      <c r="AB167" s="16"/>
      <c r="AC167" s="16"/>
      <c r="AD167" s="16"/>
    </row>
    <row r="168" spans="1:30" ht="15.75" customHeight="1">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c r="AA168" s="16"/>
      <c r="AB168" s="16"/>
      <c r="AC168" s="16"/>
      <c r="AD168" s="16"/>
    </row>
    <row r="169" spans="1:30" ht="15.75" customHeight="1">
      <c r="A169" s="16"/>
      <c r="B169" s="735"/>
      <c r="C169" s="696"/>
      <c r="D169" s="16"/>
      <c r="E169" s="16"/>
      <c r="F169" s="16"/>
      <c r="G169" s="16"/>
      <c r="H169" s="16"/>
      <c r="I169" s="16"/>
      <c r="J169" s="16"/>
      <c r="K169" s="16"/>
      <c r="L169" s="16"/>
      <c r="M169" s="735"/>
      <c r="N169" s="696"/>
      <c r="O169" s="696"/>
      <c r="P169" s="735"/>
      <c r="Q169" s="696"/>
      <c r="R169" s="696"/>
      <c r="S169" s="696"/>
      <c r="T169" s="696"/>
      <c r="U169" s="16"/>
      <c r="V169" s="16"/>
      <c r="W169" s="16"/>
      <c r="X169" s="16"/>
      <c r="Y169" s="16"/>
      <c r="Z169" s="16"/>
      <c r="AA169" s="16"/>
      <c r="AB169" s="16"/>
      <c r="AC169" s="16"/>
      <c r="AD169" s="16"/>
    </row>
    <row r="170" spans="1:30" ht="15.75" customHeight="1">
      <c r="A170" s="16"/>
      <c r="B170" s="735"/>
      <c r="C170" s="696"/>
      <c r="D170" s="16"/>
      <c r="E170" s="16"/>
      <c r="F170" s="16"/>
      <c r="G170" s="16"/>
      <c r="H170" s="16"/>
      <c r="I170" s="16"/>
      <c r="J170" s="16"/>
      <c r="K170" s="16"/>
      <c r="L170" s="16"/>
      <c r="M170" s="735"/>
      <c r="N170" s="696"/>
      <c r="O170" s="696"/>
      <c r="P170" s="735"/>
      <c r="Q170" s="696"/>
      <c r="R170" s="696"/>
      <c r="S170" s="696"/>
      <c r="T170" s="696"/>
      <c r="U170" s="16"/>
      <c r="V170" s="16"/>
      <c r="W170" s="16"/>
      <c r="X170" s="16"/>
      <c r="Y170" s="16"/>
      <c r="Z170" s="16"/>
      <c r="AA170" s="16"/>
      <c r="AB170" s="16"/>
      <c r="AC170" s="16"/>
      <c r="AD170" s="16"/>
    </row>
    <row r="171" spans="1:30" ht="15.75" customHeight="1">
      <c r="A171" s="16"/>
      <c r="B171" s="735"/>
      <c r="C171" s="696"/>
      <c r="D171" s="16"/>
      <c r="E171" s="16"/>
      <c r="F171" s="16"/>
      <c r="G171" s="16"/>
      <c r="H171" s="16"/>
      <c r="I171" s="16"/>
      <c r="J171" s="16"/>
      <c r="K171" s="16"/>
      <c r="L171" s="16"/>
      <c r="M171" s="735"/>
      <c r="N171" s="696"/>
      <c r="O171" s="696"/>
      <c r="P171" s="696"/>
      <c r="Q171" s="696"/>
      <c r="R171" s="696"/>
      <c r="S171" s="696"/>
      <c r="T171" s="696"/>
      <c r="U171" s="16"/>
      <c r="V171" s="16"/>
      <c r="W171" s="16"/>
      <c r="X171" s="16"/>
      <c r="Y171" s="16"/>
      <c r="Z171" s="16"/>
      <c r="AA171" s="16"/>
      <c r="AB171" s="16"/>
      <c r="AC171" s="16"/>
      <c r="AD171" s="16"/>
    </row>
    <row r="172" spans="1:30" ht="15.75" customHeight="1">
      <c r="A172" s="16"/>
      <c r="B172" s="735"/>
      <c r="C172" s="696"/>
      <c r="D172" s="16"/>
      <c r="E172" s="16"/>
      <c r="F172" s="16"/>
      <c r="G172" s="16"/>
      <c r="H172" s="16"/>
      <c r="I172" s="16"/>
      <c r="J172" s="16"/>
      <c r="K172" s="16"/>
      <c r="L172" s="16"/>
      <c r="M172" s="735"/>
      <c r="N172" s="696"/>
      <c r="O172" s="696"/>
      <c r="P172" s="696"/>
      <c r="Q172" s="696"/>
      <c r="R172" s="696"/>
      <c r="S172" s="696"/>
      <c r="T172" s="696"/>
      <c r="U172" s="16"/>
      <c r="V172" s="16"/>
      <c r="W172" s="16"/>
      <c r="X172" s="16"/>
      <c r="Y172" s="16"/>
      <c r="Z172" s="16"/>
      <c r="AA172" s="16"/>
      <c r="AB172" s="16"/>
      <c r="AC172" s="16"/>
      <c r="AD172" s="16"/>
    </row>
    <row r="173" spans="1:30" ht="15.75" customHeight="1">
      <c r="A173" s="16"/>
      <c r="B173" s="735"/>
      <c r="C173" s="696"/>
      <c r="D173" s="16"/>
      <c r="E173" s="16"/>
      <c r="F173" s="16"/>
      <c r="G173" s="16"/>
      <c r="H173" s="16"/>
      <c r="I173" s="16"/>
      <c r="J173" s="16"/>
      <c r="K173" s="16"/>
      <c r="L173" s="16"/>
      <c r="M173" s="735"/>
      <c r="N173" s="696"/>
      <c r="O173" s="696"/>
      <c r="P173" s="696"/>
      <c r="Q173" s="696"/>
      <c r="R173" s="696"/>
      <c r="S173" s="696"/>
      <c r="T173" s="696"/>
      <c r="U173" s="16"/>
      <c r="V173" s="16"/>
      <c r="W173" s="16"/>
      <c r="X173" s="16"/>
      <c r="Y173" s="16"/>
      <c r="Z173" s="16"/>
      <c r="AA173" s="16"/>
      <c r="AB173" s="16"/>
      <c r="AC173" s="16"/>
      <c r="AD173" s="16"/>
    </row>
    <row r="174" spans="1:30" ht="15.75" customHeight="1">
      <c r="A174" s="16"/>
      <c r="B174" s="735"/>
      <c r="C174" s="696"/>
      <c r="D174" s="16"/>
      <c r="E174" s="16"/>
      <c r="F174" s="16"/>
      <c r="G174" s="16"/>
      <c r="H174" s="16"/>
      <c r="I174" s="16"/>
      <c r="J174" s="16"/>
      <c r="K174" s="16"/>
      <c r="L174" s="16"/>
      <c r="M174" s="735"/>
      <c r="N174" s="696"/>
      <c r="O174" s="696"/>
      <c r="P174" s="696"/>
      <c r="Q174" s="696"/>
      <c r="R174" s="696"/>
      <c r="S174" s="696"/>
      <c r="T174" s="696"/>
      <c r="U174" s="16"/>
      <c r="V174" s="16"/>
      <c r="W174" s="16"/>
      <c r="X174" s="16"/>
      <c r="Y174" s="16"/>
      <c r="Z174" s="16"/>
      <c r="AA174" s="16"/>
      <c r="AB174" s="16"/>
      <c r="AC174" s="16"/>
      <c r="AD174" s="16"/>
    </row>
    <row r="175" spans="1:30" ht="15.75" customHeight="1">
      <c r="A175" s="16"/>
      <c r="B175" s="735"/>
      <c r="C175" s="696"/>
      <c r="D175" s="16"/>
      <c r="E175" s="16"/>
      <c r="F175" s="16"/>
      <c r="G175" s="16"/>
      <c r="H175" s="16"/>
      <c r="I175" s="16"/>
      <c r="J175" s="16"/>
      <c r="K175" s="16"/>
      <c r="L175" s="16"/>
      <c r="M175" s="735"/>
      <c r="N175" s="696"/>
      <c r="O175" s="696"/>
      <c r="P175" s="696"/>
      <c r="Q175" s="696"/>
      <c r="R175" s="696"/>
      <c r="S175" s="696"/>
      <c r="T175" s="696"/>
      <c r="U175" s="16"/>
      <c r="V175" s="16"/>
      <c r="W175" s="16"/>
      <c r="X175" s="16"/>
      <c r="Y175" s="16"/>
      <c r="Z175" s="16"/>
      <c r="AA175" s="16"/>
      <c r="AB175" s="16"/>
      <c r="AC175" s="16"/>
      <c r="AD175" s="16"/>
    </row>
    <row r="176" spans="1:30" ht="15.75" customHeight="1">
      <c r="A176" s="16"/>
      <c r="B176" s="735"/>
      <c r="C176" s="696"/>
      <c r="D176" s="16"/>
      <c r="E176" s="16"/>
      <c r="F176" s="16"/>
      <c r="G176" s="16"/>
      <c r="H176" s="16"/>
      <c r="I176" s="16"/>
      <c r="J176" s="16"/>
      <c r="K176" s="16"/>
      <c r="L176" s="16"/>
      <c r="M176" s="735"/>
      <c r="N176" s="696"/>
      <c r="O176" s="696"/>
      <c r="P176" s="696"/>
      <c r="Q176" s="696"/>
      <c r="R176" s="696"/>
      <c r="S176" s="696"/>
      <c r="T176" s="696"/>
      <c r="U176" s="16"/>
      <c r="V176" s="16"/>
      <c r="W176" s="16"/>
      <c r="X176" s="16"/>
      <c r="Y176" s="16"/>
      <c r="Z176" s="16"/>
      <c r="AA176" s="16"/>
      <c r="AB176" s="16"/>
      <c r="AC176" s="16"/>
      <c r="AD176" s="16"/>
    </row>
    <row r="177" spans="1:30" ht="15.75" customHeight="1">
      <c r="A177" s="16"/>
      <c r="B177" s="735"/>
      <c r="C177" s="696"/>
      <c r="D177" s="16"/>
      <c r="E177" s="16"/>
      <c r="F177" s="16"/>
      <c r="G177" s="16"/>
      <c r="H177" s="16"/>
      <c r="I177" s="16"/>
      <c r="J177" s="16"/>
      <c r="K177" s="16"/>
      <c r="L177" s="16"/>
      <c r="M177" s="735"/>
      <c r="N177" s="696"/>
      <c r="O177" s="696"/>
      <c r="P177" s="696"/>
      <c r="Q177" s="696"/>
      <c r="R177" s="696"/>
      <c r="S177" s="696"/>
      <c r="T177" s="696"/>
      <c r="U177" s="16"/>
      <c r="V177" s="16"/>
      <c r="W177" s="16"/>
      <c r="X177" s="16"/>
      <c r="Y177" s="16"/>
      <c r="Z177" s="16"/>
      <c r="AA177" s="16"/>
      <c r="AB177" s="16"/>
      <c r="AC177" s="16"/>
      <c r="AD177" s="16"/>
    </row>
    <row r="178" spans="1:30" ht="15.75" customHeight="1">
      <c r="A178" s="16"/>
      <c r="B178" s="735"/>
      <c r="C178" s="696"/>
      <c r="D178" s="16"/>
      <c r="E178" s="16"/>
      <c r="F178" s="16"/>
      <c r="G178" s="16"/>
      <c r="H178" s="16"/>
      <c r="I178" s="16"/>
      <c r="J178" s="16"/>
      <c r="K178" s="16"/>
      <c r="L178" s="16"/>
      <c r="M178" s="735"/>
      <c r="N178" s="696"/>
      <c r="O178" s="696"/>
      <c r="P178" s="696"/>
      <c r="Q178" s="696"/>
      <c r="R178" s="696"/>
      <c r="S178" s="696"/>
      <c r="T178" s="696"/>
      <c r="U178" s="16"/>
      <c r="V178" s="16"/>
      <c r="W178" s="16"/>
      <c r="X178" s="16"/>
      <c r="Y178" s="16"/>
      <c r="Z178" s="16"/>
      <c r="AA178" s="16"/>
      <c r="AB178" s="16"/>
      <c r="AC178" s="16"/>
      <c r="AD178" s="16"/>
    </row>
    <row r="179" spans="1:30" ht="15.75" customHeight="1">
      <c r="A179" s="16"/>
      <c r="B179" s="735"/>
      <c r="C179" s="696"/>
      <c r="D179" s="16"/>
      <c r="E179" s="16"/>
      <c r="F179" s="16"/>
      <c r="G179" s="16"/>
      <c r="H179" s="16"/>
      <c r="I179" s="16"/>
      <c r="J179" s="16"/>
      <c r="K179" s="16"/>
      <c r="L179" s="16"/>
      <c r="M179" s="735"/>
      <c r="N179" s="696"/>
      <c r="O179" s="696"/>
      <c r="P179" s="696"/>
      <c r="Q179" s="696"/>
      <c r="R179" s="696"/>
      <c r="S179" s="696"/>
      <c r="T179" s="696"/>
      <c r="U179" s="16"/>
      <c r="V179" s="16"/>
      <c r="W179" s="16"/>
      <c r="X179" s="16"/>
      <c r="Y179" s="16"/>
      <c r="Z179" s="16"/>
      <c r="AA179" s="16"/>
      <c r="AB179" s="16"/>
      <c r="AC179" s="16"/>
      <c r="AD179" s="16"/>
    </row>
    <row r="180" spans="1:30" ht="15.75" customHeight="1">
      <c r="A180" s="16"/>
      <c r="B180" s="735"/>
      <c r="C180" s="696"/>
      <c r="D180" s="16"/>
      <c r="E180" s="16"/>
      <c r="F180" s="16"/>
      <c r="G180" s="16"/>
      <c r="H180" s="16"/>
      <c r="I180" s="16"/>
      <c r="J180" s="16"/>
      <c r="K180" s="16"/>
      <c r="L180" s="16"/>
      <c r="M180" s="735"/>
      <c r="N180" s="696"/>
      <c r="O180" s="696"/>
      <c r="P180" s="696"/>
      <c r="Q180" s="696"/>
      <c r="R180" s="696"/>
      <c r="S180" s="696"/>
      <c r="T180" s="696"/>
      <c r="U180" s="16"/>
      <c r="V180" s="16"/>
      <c r="W180" s="16"/>
      <c r="X180" s="16"/>
      <c r="Y180" s="16"/>
      <c r="Z180" s="16"/>
      <c r="AA180" s="16"/>
      <c r="AB180" s="16"/>
      <c r="AC180" s="16"/>
      <c r="AD180" s="16"/>
    </row>
    <row r="181" spans="1:30" ht="15.75" customHeight="1">
      <c r="A181" s="16"/>
      <c r="B181" s="735"/>
      <c r="C181" s="696"/>
      <c r="D181" s="16"/>
      <c r="E181" s="16"/>
      <c r="F181" s="16"/>
      <c r="G181" s="16"/>
      <c r="H181" s="16"/>
      <c r="I181" s="16"/>
      <c r="J181" s="16"/>
      <c r="K181" s="16"/>
      <c r="L181" s="16"/>
      <c r="M181" s="735"/>
      <c r="N181" s="696"/>
      <c r="O181" s="696"/>
      <c r="P181" s="696"/>
      <c r="Q181" s="696"/>
      <c r="R181" s="696"/>
      <c r="S181" s="696"/>
      <c r="T181" s="696"/>
      <c r="U181" s="16"/>
      <c r="V181" s="16"/>
      <c r="W181" s="16"/>
      <c r="X181" s="16"/>
      <c r="Y181" s="16"/>
      <c r="Z181" s="16"/>
      <c r="AA181" s="16"/>
      <c r="AB181" s="16"/>
      <c r="AC181" s="16"/>
      <c r="AD181" s="16"/>
    </row>
    <row r="182" spans="1:30" ht="15.75" customHeight="1">
      <c r="A182" s="16"/>
      <c r="B182" s="735"/>
      <c r="C182" s="696"/>
      <c r="D182" s="16"/>
      <c r="E182" s="16"/>
      <c r="F182" s="16"/>
      <c r="G182" s="16"/>
      <c r="H182" s="16"/>
      <c r="I182" s="16"/>
      <c r="J182" s="16"/>
      <c r="K182" s="16"/>
      <c r="L182" s="16"/>
      <c r="M182" s="735"/>
      <c r="N182" s="696"/>
      <c r="O182" s="696"/>
      <c r="P182" s="696"/>
      <c r="Q182" s="696"/>
      <c r="R182" s="696"/>
      <c r="S182" s="696"/>
      <c r="T182" s="696"/>
      <c r="U182" s="16"/>
      <c r="V182" s="16"/>
      <c r="W182" s="16"/>
      <c r="X182" s="16"/>
      <c r="Y182" s="16"/>
      <c r="Z182" s="16"/>
      <c r="AA182" s="16"/>
      <c r="AB182" s="16"/>
      <c r="AC182" s="16"/>
      <c r="AD182" s="16"/>
    </row>
    <row r="183" spans="1:30" ht="15.75" customHeight="1">
      <c r="A183" s="16"/>
      <c r="B183" s="735"/>
      <c r="C183" s="696"/>
      <c r="D183" s="16"/>
      <c r="E183" s="16"/>
      <c r="F183" s="16"/>
      <c r="G183" s="16"/>
      <c r="H183" s="16"/>
      <c r="I183" s="16"/>
      <c r="J183" s="16"/>
      <c r="K183" s="16"/>
      <c r="L183" s="16"/>
      <c r="M183" s="735"/>
      <c r="N183" s="696"/>
      <c r="O183" s="696"/>
      <c r="P183" s="696"/>
      <c r="Q183" s="696"/>
      <c r="R183" s="696"/>
      <c r="S183" s="696"/>
      <c r="T183" s="696"/>
      <c r="U183" s="16"/>
      <c r="V183" s="16"/>
      <c r="W183" s="16"/>
      <c r="X183" s="16"/>
      <c r="Y183" s="16"/>
      <c r="Z183" s="16"/>
      <c r="AA183" s="16"/>
      <c r="AB183" s="16"/>
      <c r="AC183" s="16"/>
      <c r="AD183" s="16"/>
    </row>
    <row r="184" spans="1:30" ht="15.75" customHeight="1">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c r="AD184" s="16"/>
    </row>
    <row r="185" spans="1:30" ht="15.75" customHeight="1">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c r="AD185" s="16"/>
    </row>
    <row r="186" spans="1:30" ht="15.75" customHeight="1">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c r="AD186" s="16"/>
    </row>
    <row r="187" spans="1:30" ht="15.75" customHeight="1">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16"/>
      <c r="AB187" s="16"/>
      <c r="AC187" s="16"/>
      <c r="AD187" s="16"/>
    </row>
    <row r="188" spans="1:30" ht="15.75" customHeight="1">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c r="AD188" s="16"/>
    </row>
    <row r="189" spans="1:30" ht="15.75" customHeight="1">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c r="AD189" s="16"/>
    </row>
    <row r="190" spans="1:30" ht="15.75" customHeight="1">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c r="AD190" s="16"/>
    </row>
    <row r="191" spans="1:30" ht="15.75" customHeight="1">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c r="AD191" s="16"/>
    </row>
    <row r="192" spans="1:30" ht="15.75" customHeight="1">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c r="AD192" s="16"/>
    </row>
    <row r="193" spans="1:30" ht="15.75" customHeight="1">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c r="AA193" s="16"/>
      <c r="AB193" s="16"/>
      <c r="AC193" s="16"/>
      <c r="AD193" s="16"/>
    </row>
    <row r="194" spans="1:30" ht="15.75" customHeight="1">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c r="AA194" s="16"/>
      <c r="AB194" s="16"/>
      <c r="AC194" s="16"/>
      <c r="AD194" s="16"/>
    </row>
    <row r="195" spans="1:30" ht="15.75" customHeight="1">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c r="AA195" s="16"/>
      <c r="AB195" s="16"/>
      <c r="AC195" s="16"/>
      <c r="AD195" s="16"/>
    </row>
    <row r="196" spans="1:30" ht="15.75" customHeight="1">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c r="AA196" s="16"/>
      <c r="AB196" s="16"/>
      <c r="AC196" s="16"/>
      <c r="AD196" s="16"/>
    </row>
    <row r="197" spans="1:30" ht="15.75" customHeight="1">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c r="AD197" s="16"/>
    </row>
    <row r="198" spans="1:30" ht="15.75" customHeight="1">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c r="AD198" s="16"/>
    </row>
    <row r="199" spans="1:30" ht="15.75" customHeight="1">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c r="AA199" s="16"/>
      <c r="AB199" s="16"/>
      <c r="AC199" s="16"/>
      <c r="AD199" s="16"/>
    </row>
    <row r="200" spans="1:30" ht="15.75" customHeight="1">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c r="AA200" s="16"/>
      <c r="AB200" s="16"/>
      <c r="AC200" s="16"/>
      <c r="AD200" s="16"/>
    </row>
    <row r="201" spans="1:30" ht="15.75" customHeight="1">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c r="AD201" s="16"/>
    </row>
    <row r="202" spans="1:30" ht="15.75" customHeight="1">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c r="AD202" s="16"/>
    </row>
    <row r="203" spans="1:30" ht="15.75" customHeight="1">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c r="AA203" s="16"/>
      <c r="AB203" s="16"/>
      <c r="AC203" s="16"/>
      <c r="AD203" s="16"/>
    </row>
    <row r="204" spans="1:30" ht="15.75" customHeight="1">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c r="AA204" s="16"/>
      <c r="AB204" s="16"/>
      <c r="AC204" s="16"/>
      <c r="AD204" s="16"/>
    </row>
    <row r="205" spans="1:30" ht="15.75" customHeight="1">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c r="AD205" s="16"/>
    </row>
    <row r="206" spans="1:30" ht="15.75" customHeight="1">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row>
    <row r="207" spans="1:30" ht="15.75" customHeight="1">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c r="AD207" s="16"/>
    </row>
    <row r="208" spans="1:30" ht="15.75" customHeight="1">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c r="AD208" s="16"/>
    </row>
    <row r="209" spans="1:30" ht="15.75" customHeight="1">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c r="AD209" s="16"/>
    </row>
    <row r="210" spans="1:30" ht="15.75" customHeight="1">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c r="AD210" s="16"/>
    </row>
    <row r="211" spans="1:30" ht="15.75" customHeight="1">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row>
    <row r="212" spans="1:30" ht="15.75" customHeight="1">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c r="AD212" s="16"/>
    </row>
    <row r="213" spans="1:30" ht="15.75" customHeight="1">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c r="AD213" s="16"/>
    </row>
    <row r="214" spans="1:30" ht="15.75" customHeight="1">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row>
    <row r="215" spans="1:30" ht="15.75" customHeight="1">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c r="AD215" s="16"/>
    </row>
    <row r="216" spans="1:30" ht="15.75" customHeight="1">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c r="AD216" s="16"/>
    </row>
    <row r="217" spans="1:30" ht="15.75" customHeight="1">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c r="AD217" s="16"/>
    </row>
    <row r="218" spans="1:30" ht="15.75" customHeight="1">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c r="AD218" s="16"/>
    </row>
    <row r="219" spans="1:30" ht="15.75" customHeight="1">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c r="AD219" s="16"/>
    </row>
    <row r="220" spans="1:30" ht="15.75" customHeight="1">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c r="AD220" s="16"/>
    </row>
    <row r="221" spans="1:30" ht="15.75" customHeight="1">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row>
    <row r="222" spans="1:30" ht="15.75" customHeight="1">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row>
    <row r="223" spans="1:30" ht="15.75" customHeight="1">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c r="AD223" s="16"/>
    </row>
    <row r="224" spans="1:30" ht="15.75" customHeight="1">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c r="AD224" s="16"/>
    </row>
    <row r="225" spans="1:30" ht="15.75" customHeight="1">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16"/>
    </row>
    <row r="226" spans="1:30" ht="15.75" customHeight="1">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row>
    <row r="227" spans="1:30" ht="15.75" customHeight="1">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16"/>
    </row>
    <row r="228" spans="1:30" ht="15.75" customHeight="1">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c r="AD228" s="16"/>
    </row>
    <row r="229" spans="1:30" ht="15.75" customHeight="1">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c r="AD229" s="16"/>
    </row>
    <row r="230" spans="1:30" ht="15.75" customHeight="1">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row>
    <row r="231" spans="1:30" ht="15.75" customHeight="1">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c r="AD231" s="16"/>
    </row>
    <row r="232" spans="1:30" ht="15.75" customHeight="1">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c r="AD232" s="16"/>
    </row>
    <row r="233" spans="1:30" ht="15.75" customHeight="1">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c r="AD233" s="16"/>
    </row>
    <row r="234" spans="1:30" ht="15.75" customHeight="1">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c r="AD234" s="16"/>
    </row>
    <row r="235" spans="1:30" ht="15.75" customHeight="1">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row>
    <row r="236" spans="1:30" ht="15.75" customHeight="1">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c r="AD236" s="16"/>
    </row>
    <row r="237" spans="1:30" ht="15.75" customHeight="1">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c r="AD237" s="16"/>
    </row>
    <row r="238" spans="1:30" ht="15.75" customHeight="1">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c r="AD238" s="16"/>
    </row>
    <row r="239" spans="1:30" ht="15.75" customHeight="1">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c r="AD239" s="16"/>
    </row>
    <row r="240" spans="1:30" ht="15.75" customHeight="1">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c r="AD240" s="16"/>
    </row>
    <row r="241" spans="1:30" ht="15.75" customHeight="1">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c r="AD241" s="16"/>
    </row>
    <row r="242" spans="1:30" ht="15.75" customHeight="1">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c r="AD242" s="16"/>
    </row>
    <row r="243" spans="1:30" ht="15.75" customHeight="1">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c r="AD243" s="16"/>
    </row>
    <row r="244" spans="1:30" ht="15.75" customHeight="1">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16"/>
    </row>
    <row r="245" spans="1:30" ht="15.75" customHeight="1">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c r="AD245" s="16"/>
    </row>
    <row r="246" spans="1:30" ht="15.75" customHeight="1">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row>
    <row r="247" spans="1:30" ht="15.75" customHeight="1">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c r="AD247" s="16"/>
    </row>
    <row r="248" spans="1:30" ht="15.75" customHeight="1">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row>
    <row r="249" spans="1:30" ht="15.75" customHeight="1">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row>
    <row r="250" spans="1:30" ht="15.75" customHeight="1">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c r="AD250" s="16"/>
    </row>
    <row r="251" spans="1:30" ht="15.75" customHeight="1">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row>
    <row r="252" spans="1:30" ht="15.75" customHeight="1">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16"/>
    </row>
    <row r="253" spans="1:30" ht="15.75" customHeight="1">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c r="AD253" s="16"/>
    </row>
    <row r="254" spans="1:30" ht="15.75" customHeight="1">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row>
    <row r="255" spans="1:30" ht="15.75" customHeight="1">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c r="AD255" s="16"/>
    </row>
    <row r="256" spans="1:30" ht="15.75" customHeight="1">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row>
    <row r="257" spans="1:30" ht="15.75" customHeight="1">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c r="AD257" s="16"/>
    </row>
    <row r="258" spans="1:30" ht="15.75" customHeight="1">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c r="AD258" s="16"/>
    </row>
    <row r="259" spans="1:30" ht="15.75" customHeight="1">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row>
    <row r="260" spans="1:30" ht="15.75" customHeight="1">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row>
    <row r="261" spans="1:30" ht="15.75" customHeight="1">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c r="AD261" s="16"/>
    </row>
    <row r="262" spans="1:30" ht="15.75" customHeight="1">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row>
    <row r="263" spans="1:30" ht="15.75" customHeight="1">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row>
    <row r="264" spans="1:30" ht="15.75" customHeight="1">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c r="AD264" s="16"/>
    </row>
    <row r="265" spans="1:30" ht="15.75" customHeight="1">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row>
    <row r="266" spans="1:30" ht="15.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row>
    <row r="267" spans="1:30" ht="15.75" customHeight="1">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row>
    <row r="268" spans="1:30" ht="15.75" customHeight="1">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c r="AD268" s="16"/>
    </row>
    <row r="269" spans="1:30" ht="15.75" customHeight="1">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row>
    <row r="270" spans="1:30" ht="15.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row>
    <row r="271" spans="1:30" ht="15.75" customHeight="1">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c r="AD271" s="16"/>
    </row>
    <row r="272" spans="1:30" ht="15.75" customHeight="1">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c r="AD272" s="16"/>
    </row>
    <row r="273" spans="1:30" ht="15.75" customHeight="1">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c r="AD273" s="16"/>
    </row>
    <row r="274" spans="1:30" ht="15.75" customHeight="1">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c r="AD274" s="16"/>
    </row>
    <row r="275" spans="1:30" ht="15.75" customHeight="1">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c r="AD275" s="16"/>
    </row>
    <row r="276" spans="1:30" ht="15.75" customHeight="1">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row>
    <row r="277" spans="1:30" ht="15.75" customHeight="1">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16"/>
    </row>
    <row r="278" spans="1:30" ht="15.75" customHeight="1">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row>
    <row r="279" spans="1:30" ht="15.75" customHeight="1">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16"/>
    </row>
    <row r="280" spans="1:30" ht="15.75" customHeight="1">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c r="AD280" s="16"/>
    </row>
    <row r="281" spans="1:30" ht="15.75" customHeight="1">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c r="AD281" s="16"/>
    </row>
    <row r="282" spans="1:30" ht="15.75" customHeight="1">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c r="AD282" s="16"/>
    </row>
    <row r="283" spans="1:30" ht="15.75" customHeight="1">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c r="AD283" s="16"/>
    </row>
    <row r="284" spans="1:30" ht="15.75" customHeight="1">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c r="AD284" s="16"/>
    </row>
    <row r="285" spans="1:30" ht="15.75" customHeight="1">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c r="AD285" s="16"/>
    </row>
    <row r="286" spans="1:30" ht="15.75" customHeight="1">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row>
    <row r="287" spans="1:30" ht="15.75" customHeight="1">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row>
    <row r="288" spans="1:30" ht="15.75" customHeight="1">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row>
    <row r="289" spans="1:30" ht="15.75" customHeight="1">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row>
    <row r="290" spans="1:30" ht="15.75" customHeight="1">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row>
    <row r="291" spans="1:30" ht="15.75" customHeight="1">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c r="AD291" s="16"/>
    </row>
    <row r="292" spans="1:30" ht="15.75" customHeight="1">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row>
    <row r="293" spans="1:30" ht="15.75" customHeight="1">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row>
    <row r="294" spans="1:30" ht="15.75" customHeight="1">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row>
    <row r="295" spans="1:30" ht="15.75" customHeight="1">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row>
    <row r="296" spans="1:30" ht="15.75" customHeight="1">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row>
    <row r="297" spans="1:30" ht="15.75" customHeight="1">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row>
    <row r="298" spans="1:30" ht="15.75" customHeight="1">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row>
    <row r="299" spans="1:30" ht="15.75" customHeight="1">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row>
    <row r="300" spans="1:30" ht="15.75" customHeight="1">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row>
    <row r="301" spans="1:30" ht="15.75" customHeight="1">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c r="AD301" s="16"/>
    </row>
    <row r="302" spans="1:30" ht="15.75" customHeight="1">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c r="AD302" s="16"/>
    </row>
    <row r="303" spans="1:30" ht="15.75" customHeight="1">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row>
    <row r="304" spans="1:30" ht="15.75" customHeight="1">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c r="AD304" s="16"/>
    </row>
    <row r="305" spans="1:30" ht="15.75" customHeight="1">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c r="AD305" s="16"/>
    </row>
    <row r="306" spans="1:30" ht="15.75" customHeight="1">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c r="AA306" s="16"/>
      <c r="AB306" s="16"/>
      <c r="AC306" s="16"/>
      <c r="AD306" s="16"/>
    </row>
    <row r="307" spans="1:30" ht="15.75" customHeight="1">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c r="AA307" s="16"/>
      <c r="AB307" s="16"/>
      <c r="AC307" s="16"/>
      <c r="AD307" s="16"/>
    </row>
    <row r="308" spans="1:30" ht="15.75" customHeight="1">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c r="AA308" s="16"/>
      <c r="AB308" s="16"/>
      <c r="AC308" s="16"/>
      <c r="AD308" s="16"/>
    </row>
    <row r="309" spans="1:30" ht="15.75" customHeight="1">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c r="AA309" s="16"/>
      <c r="AB309" s="16"/>
      <c r="AC309" s="16"/>
      <c r="AD309" s="16"/>
    </row>
    <row r="310" spans="1:30" ht="15.75" customHeight="1">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c r="AA310" s="16"/>
      <c r="AB310" s="16"/>
      <c r="AC310" s="16"/>
      <c r="AD310" s="16"/>
    </row>
    <row r="311" spans="1:30" ht="15.75" customHeight="1">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c r="AA311" s="16"/>
      <c r="AB311" s="16"/>
      <c r="AC311" s="16"/>
      <c r="AD311" s="16"/>
    </row>
    <row r="312" spans="1:30" ht="15.75" customHeight="1">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c r="AA312" s="16"/>
      <c r="AB312" s="16"/>
      <c r="AC312" s="16"/>
      <c r="AD312" s="16"/>
    </row>
    <row r="313" spans="1:30" ht="15.75" customHeight="1">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c r="AA313" s="16"/>
      <c r="AB313" s="16"/>
      <c r="AC313" s="16"/>
      <c r="AD313" s="16"/>
    </row>
    <row r="314" spans="1:30" ht="15.75" customHeight="1">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c r="AA314" s="16"/>
      <c r="AB314" s="16"/>
      <c r="AC314" s="16"/>
      <c r="AD314" s="16"/>
    </row>
    <row r="315" spans="1:30" ht="15.75" customHeight="1">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c r="AA315" s="16"/>
      <c r="AB315" s="16"/>
      <c r="AC315" s="16"/>
      <c r="AD315" s="16"/>
    </row>
    <row r="316" spans="1:30" ht="15.75" customHeight="1">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c r="AA316" s="16"/>
      <c r="AB316" s="16"/>
      <c r="AC316" s="16"/>
      <c r="AD316" s="16"/>
    </row>
    <row r="317" spans="1:30" ht="15.75" customHeight="1">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c r="AA317" s="16"/>
      <c r="AB317" s="16"/>
      <c r="AC317" s="16"/>
      <c r="AD317" s="16"/>
    </row>
    <row r="318" spans="1:30" ht="15.75" customHeight="1">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c r="AA318" s="16"/>
      <c r="AB318" s="16"/>
      <c r="AC318" s="16"/>
      <c r="AD318" s="16"/>
    </row>
    <row r="319" spans="1:30" ht="15.75" customHeight="1">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c r="AA319" s="16"/>
      <c r="AB319" s="16"/>
      <c r="AC319" s="16"/>
      <c r="AD319" s="16"/>
    </row>
    <row r="320" spans="1:3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sheetData>
  <mergeCells count="99">
    <mergeCell ref="K55:M67"/>
    <mergeCell ref="A30:F30"/>
    <mergeCell ref="A31:F31"/>
    <mergeCell ref="A32:F32"/>
    <mergeCell ref="A34:F34"/>
    <mergeCell ref="A29:F29"/>
    <mergeCell ref="A1:C1"/>
    <mergeCell ref="E1:H1"/>
    <mergeCell ref="D7:I7"/>
    <mergeCell ref="D8:I8"/>
    <mergeCell ref="A28:F28"/>
    <mergeCell ref="H92:I119"/>
    <mergeCell ref="J92:K119"/>
    <mergeCell ref="AG29:AH29"/>
    <mergeCell ref="AI29:AJ29"/>
    <mergeCell ref="AG30:AH40"/>
    <mergeCell ref="AI30:AJ40"/>
    <mergeCell ref="H37:J37"/>
    <mergeCell ref="K71:O87"/>
    <mergeCell ref="P71:Q87"/>
    <mergeCell ref="H91:I91"/>
    <mergeCell ref="J91:K91"/>
    <mergeCell ref="K70:O70"/>
    <mergeCell ref="H38:J42"/>
    <mergeCell ref="I45:K45"/>
    <mergeCell ref="I46:K50"/>
    <mergeCell ref="K54:M54"/>
    <mergeCell ref="P129:R129"/>
    <mergeCell ref="P70:Q70"/>
    <mergeCell ref="P130:R130"/>
    <mergeCell ref="P131:R131"/>
    <mergeCell ref="P132:R132"/>
    <mergeCell ref="P133:R133"/>
    <mergeCell ref="P134:R134"/>
    <mergeCell ref="M149:O149"/>
    <mergeCell ref="P135:R135"/>
    <mergeCell ref="M137:O137"/>
    <mergeCell ref="P137:T137"/>
    <mergeCell ref="M138:O138"/>
    <mergeCell ref="P138:T149"/>
    <mergeCell ref="M139:O139"/>
    <mergeCell ref="M140:O140"/>
    <mergeCell ref="M141:O141"/>
    <mergeCell ref="M142:O142"/>
    <mergeCell ref="M143:O143"/>
    <mergeCell ref="M144:O144"/>
    <mergeCell ref="M145:O145"/>
    <mergeCell ref="M146:O146"/>
    <mergeCell ref="M147:O147"/>
    <mergeCell ref="M148:O148"/>
    <mergeCell ref="M165:O165"/>
    <mergeCell ref="M152:O152"/>
    <mergeCell ref="P152:T152"/>
    <mergeCell ref="M153:O153"/>
    <mergeCell ref="P153:T166"/>
    <mergeCell ref="M154:O154"/>
    <mergeCell ref="M155:O155"/>
    <mergeCell ref="M156:O156"/>
    <mergeCell ref="M157:O157"/>
    <mergeCell ref="M158:O158"/>
    <mergeCell ref="M159:O159"/>
    <mergeCell ref="M160:O160"/>
    <mergeCell ref="M161:O161"/>
    <mergeCell ref="M162:O162"/>
    <mergeCell ref="M163:O163"/>
    <mergeCell ref="M164:O164"/>
    <mergeCell ref="P169:T169"/>
    <mergeCell ref="B170:C170"/>
    <mergeCell ref="M170:O170"/>
    <mergeCell ref="P170:T183"/>
    <mergeCell ref="B171:C171"/>
    <mergeCell ref="M171:O171"/>
    <mergeCell ref="B172:C172"/>
    <mergeCell ref="B175:C175"/>
    <mergeCell ref="M175:O175"/>
    <mergeCell ref="B174:C174"/>
    <mergeCell ref="M174:O174"/>
    <mergeCell ref="B176:C176"/>
    <mergeCell ref="M176:O176"/>
    <mergeCell ref="B177:C177"/>
    <mergeCell ref="M177:O177"/>
    <mergeCell ref="B178:C178"/>
    <mergeCell ref="M166:O166"/>
    <mergeCell ref="B169:C169"/>
    <mergeCell ref="M169:O169"/>
    <mergeCell ref="M172:O172"/>
    <mergeCell ref="B173:C173"/>
    <mergeCell ref="M173:O173"/>
    <mergeCell ref="M178:O178"/>
    <mergeCell ref="B182:C182"/>
    <mergeCell ref="M182:O182"/>
    <mergeCell ref="B183:C183"/>
    <mergeCell ref="M183:O183"/>
    <mergeCell ref="B179:C179"/>
    <mergeCell ref="M179:O179"/>
    <mergeCell ref="B180:C180"/>
    <mergeCell ref="M180:O180"/>
    <mergeCell ref="B181:C181"/>
    <mergeCell ref="M181:O181"/>
  </mergeCells>
  <phoneticPr fontId="31" type="noConversion"/>
  <conditionalFormatting sqref="I55:I66">
    <cfRule type="containsText" dxfId="628" priority="1" operator="containsText" text="5">
      <formula>NOT(ISERROR(SEARCH(("5"),(I55))))</formula>
    </cfRule>
    <cfRule type="containsText" dxfId="627" priority="2" operator="containsText" text="42">
      <formula>NOT(ISERROR(SEARCH(("42"),(I55))))</formula>
    </cfRule>
    <cfRule type="containsText" dxfId="626" priority="3" operator="containsText" text="Please fill in">
      <formula>NOT(ISERROR(SEARCH(("Please fill in"),(I55))))</formula>
    </cfRule>
  </conditionalFormatting>
  <dataValidations count="5">
    <dataValidation type="list" allowBlank="1" showErrorMessage="1" sqref="D46:D50 H57:H67" xr:uid="{54F84F29-C22B-4CAA-92B2-C1DE06797C45}">
      <formula1>'DZ Euros'!TypesOfTrainers</formula1>
    </dataValidation>
    <dataValidation type="list" allowBlank="1" showErrorMessage="1" sqref="B9" xr:uid="{ACF76EAD-6B35-4C7C-881E-068251880C67}">
      <formula1>"yes,no,partial"</formula1>
    </dataValidation>
    <dataValidation type="list" allowBlank="1" sqref="G46:G50" xr:uid="{11AF11C1-7BC3-4A94-A7A3-9AC3AF8986C7}">
      <formula1>"yes,no"</formula1>
    </dataValidation>
    <dataValidation type="list" allowBlank="1" showErrorMessage="1" sqref="H55:H56" xr:uid="{853F154B-5001-4202-A19A-EF828CF13F00}">
      <formula1>'https://universiteittwente.sharepoint.com/sites/SportsCoordinatorsSUT/Gedeelde documenten/General/(WIP) FAM Sheets - Regulations 2025-28 - Version April 2025.xlsx'!TypesOfTrainers</formula1>
    </dataValidation>
    <dataValidation type="list" allowBlank="1" showErrorMessage="1" sqref="B71:B75" xr:uid="{8E4DE439-2BA0-4454-80B0-D3A77F91D477}">
      <formula1>'https://universiteittwente.sharepoint.com/sites/SportsCoordinatorsSUT/Gedeelde documenten/General/(WIP) FAM Sheets - Regulations 2025-28 - Version April 2025.xlsx'!LocationNames</formula1>
    </dataValidation>
  </dataValidations>
  <pageMargins left="0.7" right="0.7" top="0.75" bottom="0.75" header="0" footer="0"/>
  <pageSetup paperSize="9" orientation="portrait"/>
  <drawing r:id="rId1"/>
  <legacyDrawing r:id="rId2"/>
  <tableParts count="6">
    <tablePart r:id="rId3"/>
    <tablePart r:id="rId4"/>
    <tablePart r:id="rId5"/>
    <tablePart r:id="rId6"/>
    <tablePart r:id="rId7"/>
    <tablePart r:id="rId8"/>
  </tableParts>
  <extLst>
    <ext xmlns:x14="http://schemas.microsoft.com/office/spreadsheetml/2009/9/main" uri="{CCE6A557-97BC-4b89-ADB6-D9C93CAAB3DF}">
      <x14:dataValidations xmlns:xm="http://schemas.microsoft.com/office/excel/2006/main" count="4">
        <x14:dataValidation type="list" allowBlank="1" showInputMessage="1" showErrorMessage="1" xr:uid="{96D12730-B562-4B6D-807E-188DD69E9F1D}">
          <x14:formula1>
            <xm:f>Constants!$M$6:$M$7</xm:f>
          </x14:formula1>
          <xm:sqref>B106:B121</xm:sqref>
        </x14:dataValidation>
        <x14:dataValidation type="list" allowBlank="1" showInputMessage="1" showErrorMessage="1" xr:uid="{E912D847-78A8-4DDD-936C-148C32785D40}">
          <x14:formula1>
            <xm:f>Constants!$C$55:$C$56</xm:f>
          </x14:formula1>
          <xm:sqref>B12</xm:sqref>
        </x14:dataValidation>
        <x14:dataValidation type="list" allowBlank="1" showErrorMessage="1" xr:uid="{69B08981-E5A4-4FDB-AD95-A605E22939F0}">
          <x14:formula1>
            <xm:f>Constants!$H$6:$H$13</xm:f>
          </x14:formula1>
          <xm:sqref>B55:B67</xm:sqref>
        </x14:dataValidation>
        <x14:dataValidation type="list" allowBlank="1" showErrorMessage="1" xr:uid="{A8754630-8B4D-42A4-8068-04492B12162F}">
          <x14:formula1>
            <xm:f>Constants!$A$2:$AD$2</xm:f>
          </x14:formula1>
          <xm:sqref>B76:B87</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30E27-463F-4BB9-A98E-3C351D233BE5}">
  <dimension ref="A1:BG1089"/>
  <sheetViews>
    <sheetView topLeftCell="AB16" workbookViewId="0">
      <selection activeCell="AF30" sqref="AF30"/>
    </sheetView>
  </sheetViews>
  <sheetFormatPr defaultColWidth="12.625" defaultRowHeight="15" customHeight="1"/>
  <cols>
    <col min="1" max="1" width="36.625" customWidth="1"/>
    <col min="2" max="2" width="28.125" customWidth="1"/>
    <col min="3" max="3" width="21" customWidth="1"/>
    <col min="4" max="4" width="17.5" customWidth="1"/>
    <col min="5" max="5" width="16.125" customWidth="1"/>
    <col min="6" max="6" width="21.5" customWidth="1"/>
    <col min="7" max="7" width="22.625" customWidth="1"/>
    <col min="8" max="8" width="18.625" customWidth="1"/>
    <col min="9" max="9" width="19.625" customWidth="1"/>
    <col min="10" max="10" width="18.875" customWidth="1"/>
    <col min="11" max="11" width="21.625" customWidth="1"/>
    <col min="12" max="12" width="17.375" customWidth="1"/>
    <col min="13" max="13" width="15.125" customWidth="1"/>
    <col min="14" max="14" width="15.625" customWidth="1"/>
    <col min="15" max="15" width="28.5" customWidth="1"/>
    <col min="16" max="16" width="13.125" customWidth="1"/>
    <col min="17" max="17" width="21.875" customWidth="1"/>
    <col min="18" max="18" width="27" customWidth="1"/>
    <col min="19" max="19" width="20.5" customWidth="1"/>
    <col min="20" max="22" width="7.625" customWidth="1"/>
    <col min="23" max="23" width="31.875" customWidth="1"/>
    <col min="24" max="24" width="7.625" customWidth="1"/>
    <col min="25" max="25" width="8.375" customWidth="1"/>
    <col min="26" max="26" width="21.625" customWidth="1"/>
    <col min="27" max="27" width="12" customWidth="1"/>
    <col min="28" max="28" width="16.5" customWidth="1"/>
    <col min="29" max="29" width="6" customWidth="1"/>
    <col min="30" max="30" width="13.625" customWidth="1"/>
  </cols>
  <sheetData>
    <row r="1" spans="1:59" ht="171" customHeight="1">
      <c r="A1" s="703"/>
      <c r="B1" s="704"/>
      <c r="C1" s="705"/>
      <c r="D1" s="16"/>
      <c r="E1" s="572" t="s">
        <v>915</v>
      </c>
      <c r="F1" s="704"/>
      <c r="G1" s="704"/>
      <c r="H1" s="705"/>
      <c r="I1" s="16"/>
      <c r="J1" s="16"/>
      <c r="K1" s="16"/>
      <c r="L1" s="16"/>
      <c r="M1" s="16"/>
      <c r="N1" s="16"/>
      <c r="O1" s="16"/>
      <c r="P1" s="16"/>
      <c r="Q1" s="16"/>
      <c r="R1" s="16"/>
      <c r="S1" s="16"/>
      <c r="T1" s="16"/>
      <c r="U1" s="16"/>
      <c r="V1" s="16"/>
      <c r="W1" s="16"/>
      <c r="X1" s="16"/>
      <c r="Y1" s="16"/>
      <c r="Z1" s="16"/>
      <c r="AA1" s="16"/>
      <c r="AB1" s="16"/>
      <c r="AC1" s="16"/>
      <c r="AD1" s="16"/>
    </row>
    <row r="2" spans="1:59">
      <c r="A2" s="58" t="s">
        <v>404</v>
      </c>
      <c r="B2" s="152" t="s">
        <v>221</v>
      </c>
      <c r="C2" s="59"/>
      <c r="D2" s="16"/>
      <c r="E2" s="60" t="s">
        <v>406</v>
      </c>
      <c r="F2" s="153"/>
      <c r="G2" s="154"/>
      <c r="H2" s="61"/>
      <c r="I2" s="16"/>
      <c r="J2" s="16"/>
      <c r="K2" s="16"/>
      <c r="L2" s="16"/>
      <c r="M2" s="16"/>
      <c r="N2" s="16"/>
      <c r="O2" s="16"/>
      <c r="P2" s="16"/>
      <c r="Q2" s="16"/>
      <c r="R2" s="16"/>
      <c r="S2" s="16"/>
      <c r="T2" s="16"/>
      <c r="U2" s="16"/>
      <c r="V2" s="16"/>
      <c r="W2" s="16"/>
      <c r="X2" s="16"/>
      <c r="Y2" s="16"/>
      <c r="Z2" s="15"/>
      <c r="AA2" s="15"/>
      <c r="AB2" s="15"/>
      <c r="AC2" s="15"/>
      <c r="AD2" s="16"/>
      <c r="AE2" s="16"/>
      <c r="AF2" s="16"/>
      <c r="AG2" s="16"/>
      <c r="AH2" s="16"/>
      <c r="AI2" s="17"/>
      <c r="AJ2" s="17"/>
      <c r="AK2" s="17"/>
      <c r="AL2" s="17"/>
      <c r="AM2" s="17"/>
      <c r="AN2" s="17"/>
      <c r="AO2" s="17"/>
      <c r="AP2" s="17"/>
      <c r="AQ2" s="17"/>
      <c r="AR2" s="18"/>
      <c r="AS2" s="17"/>
      <c r="AT2" s="17"/>
      <c r="AU2" s="16"/>
      <c r="AV2" s="16"/>
      <c r="AW2" s="16"/>
      <c r="AX2" s="16"/>
      <c r="AY2" s="16"/>
      <c r="AZ2" s="16"/>
      <c r="BA2" s="16"/>
    </row>
    <row r="3" spans="1:59">
      <c r="A3" s="62" t="s">
        <v>408</v>
      </c>
      <c r="B3" s="155">
        <v>2</v>
      </c>
      <c r="C3" s="156"/>
      <c r="D3" s="16"/>
      <c r="E3" s="63" t="s">
        <v>409</v>
      </c>
      <c r="F3" s="157"/>
      <c r="G3" s="158"/>
      <c r="H3" s="159"/>
      <c r="I3" s="16"/>
      <c r="J3" s="16"/>
      <c r="K3" s="16"/>
      <c r="L3" s="16"/>
      <c r="M3" s="16"/>
      <c r="N3" s="16"/>
      <c r="O3" s="16"/>
      <c r="P3" s="16"/>
      <c r="Q3" s="16"/>
      <c r="R3" s="16"/>
      <c r="S3" s="16"/>
      <c r="T3" s="16"/>
      <c r="U3" s="16"/>
      <c r="V3" s="16"/>
      <c r="W3" s="16"/>
      <c r="X3" s="16"/>
      <c r="Y3" s="16"/>
      <c r="Z3" s="16"/>
      <c r="AA3" s="16"/>
      <c r="AB3" s="16"/>
      <c r="AC3" s="16"/>
      <c r="AD3" s="16"/>
    </row>
    <row r="4" spans="1:59">
      <c r="A4" s="160" t="s">
        <v>410</v>
      </c>
      <c r="B4" s="161">
        <v>45812</v>
      </c>
      <c r="C4" s="162"/>
      <c r="D4" s="16"/>
      <c r="E4" s="163"/>
      <c r="F4" s="164"/>
      <c r="G4" s="165"/>
      <c r="H4" s="166"/>
      <c r="I4" s="16"/>
      <c r="J4" s="16"/>
      <c r="K4" s="16"/>
      <c r="L4" s="16"/>
      <c r="M4" s="16"/>
      <c r="N4" s="16"/>
      <c r="O4" s="16"/>
      <c r="P4" s="16"/>
      <c r="Q4" s="16"/>
      <c r="R4" s="16"/>
      <c r="S4" s="16"/>
      <c r="T4" s="16"/>
      <c r="U4" s="16"/>
      <c r="V4" s="16"/>
      <c r="W4" s="16"/>
      <c r="X4" s="16"/>
      <c r="Y4" s="16"/>
      <c r="Z4" s="16"/>
      <c r="AA4" s="16"/>
      <c r="AB4" s="16"/>
      <c r="AC4" s="16"/>
      <c r="AD4" s="16"/>
    </row>
    <row r="5" spans="1:59">
      <c r="A5" s="167" t="s">
        <v>411</v>
      </c>
      <c r="B5" s="168"/>
      <c r="C5" s="167"/>
      <c r="D5" s="16"/>
      <c r="E5" s="169" t="s">
        <v>412</v>
      </c>
      <c r="F5" s="169"/>
      <c r="G5" s="158"/>
      <c r="H5" s="169"/>
      <c r="I5" s="16"/>
      <c r="J5" s="16"/>
      <c r="K5" s="16"/>
      <c r="L5" s="16"/>
      <c r="M5" s="16"/>
      <c r="N5" s="16"/>
      <c r="O5" s="16"/>
      <c r="P5" s="16"/>
      <c r="Q5" s="16"/>
      <c r="R5" s="16"/>
      <c r="S5" s="16"/>
      <c r="T5" s="16"/>
      <c r="U5" s="16"/>
      <c r="V5" s="16"/>
      <c r="W5" s="16"/>
      <c r="X5" s="16"/>
      <c r="Y5" s="16"/>
      <c r="Z5" s="16"/>
      <c r="AA5" s="16"/>
      <c r="AB5" s="16"/>
      <c r="AC5" s="16"/>
      <c r="AD5" s="16"/>
    </row>
    <row r="6" spans="1:59">
      <c r="A6" s="15"/>
      <c r="B6" s="64"/>
      <c r="C6" s="16"/>
      <c r="D6" s="16"/>
      <c r="E6" s="16"/>
      <c r="F6" s="16"/>
      <c r="G6" s="16"/>
      <c r="H6" s="16"/>
      <c r="I6" s="16"/>
      <c r="J6" s="64"/>
      <c r="K6" s="16"/>
      <c r="L6" s="16"/>
      <c r="M6" s="16"/>
      <c r="N6" s="16"/>
      <c r="O6" s="16"/>
      <c r="P6" s="16"/>
      <c r="Q6" s="16"/>
      <c r="R6" s="16"/>
      <c r="S6" s="16"/>
      <c r="T6" s="16"/>
      <c r="U6" s="16"/>
      <c r="V6" s="16"/>
      <c r="W6" s="16"/>
      <c r="X6" s="16"/>
      <c r="Y6" s="16"/>
      <c r="Z6" s="16"/>
      <c r="AA6" s="16"/>
      <c r="AB6" s="16"/>
      <c r="AC6" s="16"/>
      <c r="AD6" s="16"/>
    </row>
    <row r="7" spans="1:59">
      <c r="A7" s="170" t="s">
        <v>413</v>
      </c>
      <c r="B7" s="59">
        <v>401</v>
      </c>
      <c r="C7" s="16"/>
      <c r="D7" s="573" t="s">
        <v>414</v>
      </c>
      <c r="E7" s="701"/>
      <c r="F7" s="701"/>
      <c r="G7" s="701"/>
      <c r="H7" s="701"/>
      <c r="I7" s="701"/>
      <c r="J7" s="16"/>
      <c r="K7" s="16"/>
      <c r="L7" s="16"/>
      <c r="M7" s="16"/>
      <c r="N7" s="16"/>
      <c r="O7" s="16"/>
      <c r="P7" s="16"/>
      <c r="Q7" s="16"/>
      <c r="R7" s="16"/>
      <c r="S7" s="16"/>
      <c r="T7" s="16"/>
      <c r="U7" s="16"/>
      <c r="V7" s="16"/>
      <c r="W7" s="16"/>
      <c r="X7" s="16"/>
      <c r="Y7" s="16"/>
      <c r="Z7" s="16"/>
      <c r="AA7" s="16"/>
      <c r="AB7" s="16"/>
      <c r="AC7" s="16"/>
      <c r="AD7" s="16"/>
    </row>
    <row r="8" spans="1:59" ht="14.25" customHeight="1">
      <c r="A8" s="171" t="s">
        <v>415</v>
      </c>
      <c r="B8" s="172">
        <f ca="1">M21-M17</f>
        <v>30241.219657581139</v>
      </c>
      <c r="C8" s="16" t="s">
        <v>416</v>
      </c>
      <c r="D8" s="574" t="s">
        <v>417</v>
      </c>
      <c r="E8" s="704"/>
      <c r="F8" s="704"/>
      <c r="G8" s="704"/>
      <c r="H8" s="704"/>
      <c r="I8" s="704"/>
      <c r="J8" s="16"/>
      <c r="K8" s="16"/>
      <c r="L8" s="16"/>
      <c r="M8" s="16"/>
      <c r="N8" s="16"/>
      <c r="O8" s="16"/>
      <c r="P8" s="16"/>
      <c r="Q8" s="16"/>
      <c r="R8" s="16"/>
      <c r="S8" s="16"/>
      <c r="T8" s="16"/>
      <c r="U8" s="16"/>
      <c r="V8" s="16"/>
      <c r="W8" s="16"/>
      <c r="X8" s="16"/>
      <c r="Y8" s="16"/>
      <c r="Z8" s="16"/>
      <c r="AA8" s="16"/>
      <c r="AB8" s="16"/>
      <c r="AC8" s="16"/>
    </row>
    <row r="9" spans="1:59">
      <c r="A9" s="65" t="s">
        <v>418</v>
      </c>
      <c r="B9" s="173" t="s">
        <v>419</v>
      </c>
      <c r="C9" s="16"/>
      <c r="D9" s="16"/>
      <c r="E9" s="17"/>
      <c r="F9" s="17"/>
      <c r="G9" s="17"/>
      <c r="H9" s="17"/>
      <c r="I9" s="17"/>
      <c r="J9" s="17"/>
      <c r="K9" s="17"/>
      <c r="L9" s="17"/>
      <c r="M9" s="17"/>
      <c r="N9" s="17"/>
      <c r="O9" s="17"/>
      <c r="P9" s="17"/>
      <c r="Q9" s="16"/>
      <c r="R9" s="17"/>
      <c r="S9" s="17"/>
      <c r="T9" s="17"/>
      <c r="U9" s="17"/>
      <c r="V9" s="17"/>
      <c r="W9" s="17"/>
      <c r="X9" s="17"/>
      <c r="Y9" s="17"/>
      <c r="Z9" s="17"/>
      <c r="AA9" s="17"/>
      <c r="AB9" s="17"/>
      <c r="AC9" s="17"/>
      <c r="AD9" s="18" t="s">
        <v>242</v>
      </c>
    </row>
    <row r="10" spans="1:59">
      <c r="A10" s="174" t="s">
        <v>420</v>
      </c>
      <c r="B10" s="257">
        <f>COUNTA(A38:A87)+COUNTA(A91:A95)</f>
        <v>55</v>
      </c>
      <c r="C10" s="16"/>
      <c r="D10" s="16"/>
      <c r="E10" s="17"/>
      <c r="F10" s="17"/>
      <c r="G10" s="17"/>
      <c r="H10" s="17"/>
      <c r="I10" s="17"/>
      <c r="J10" s="17"/>
      <c r="K10" s="17"/>
      <c r="L10" s="17"/>
      <c r="M10" s="17"/>
      <c r="N10" s="17"/>
      <c r="O10" s="17"/>
      <c r="P10" s="17"/>
      <c r="Q10" s="16"/>
      <c r="R10" s="17"/>
      <c r="S10" s="17"/>
      <c r="T10" s="17"/>
      <c r="U10" s="17"/>
      <c r="V10" s="17"/>
      <c r="W10" s="17"/>
      <c r="X10" s="17"/>
      <c r="Y10" s="17"/>
      <c r="Z10" s="17"/>
      <c r="AA10" s="17"/>
      <c r="AB10" s="17"/>
      <c r="AC10" s="17"/>
      <c r="AD10" s="18"/>
    </row>
    <row r="11" spans="1:59">
      <c r="A11" s="171" t="s">
        <v>421</v>
      </c>
      <c r="B11" s="256">
        <f>SUM(B38:B87)+SUM(B91:B95)</f>
        <v>647</v>
      </c>
      <c r="C11" s="16"/>
      <c r="D11" s="16"/>
      <c r="E11" s="17"/>
      <c r="F11" s="17"/>
      <c r="G11" s="17"/>
      <c r="H11" s="17"/>
      <c r="I11" s="17"/>
      <c r="J11" s="17"/>
      <c r="K11" s="17"/>
      <c r="L11" s="17"/>
      <c r="M11" s="17"/>
      <c r="N11" s="17"/>
      <c r="O11" s="17"/>
      <c r="P11" s="17"/>
      <c r="Q11" s="16"/>
      <c r="R11" s="17"/>
      <c r="S11" s="17"/>
      <c r="T11" s="17"/>
      <c r="U11" s="17"/>
      <c r="V11" s="17"/>
      <c r="W11" s="17"/>
      <c r="X11" s="17"/>
      <c r="Y11" s="17"/>
      <c r="Z11" s="17"/>
      <c r="AA11" s="17"/>
      <c r="AB11" s="17"/>
      <c r="AC11" s="17"/>
      <c r="AD11" s="18"/>
    </row>
    <row r="12" spans="1:59">
      <c r="A12" s="239" t="s">
        <v>422</v>
      </c>
      <c r="B12" s="240" t="s">
        <v>319</v>
      </c>
      <c r="C12" s="16"/>
      <c r="D12" s="16"/>
      <c r="E12" s="17"/>
      <c r="F12" s="17"/>
      <c r="G12" s="17"/>
      <c r="H12" s="17"/>
      <c r="I12" s="17"/>
      <c r="J12" s="17"/>
      <c r="K12" s="17"/>
      <c r="L12" s="17"/>
      <c r="M12" s="17"/>
      <c r="N12" s="17"/>
      <c r="O12" s="17"/>
      <c r="P12" s="17"/>
      <c r="Q12" s="16"/>
      <c r="R12" s="17"/>
      <c r="S12" s="17"/>
      <c r="T12" s="17"/>
      <c r="U12" s="17"/>
      <c r="V12" s="17"/>
      <c r="W12" s="17"/>
      <c r="X12" s="17"/>
      <c r="Y12" s="17"/>
      <c r="Z12" s="17"/>
      <c r="AA12" s="17"/>
      <c r="AB12" s="17"/>
      <c r="AC12" s="17"/>
      <c r="AD12" s="18"/>
    </row>
    <row r="13" spans="1:59">
      <c r="A13" s="16"/>
      <c r="B13" s="16"/>
      <c r="C13" s="16"/>
      <c r="D13" s="16"/>
      <c r="E13" s="17"/>
      <c r="F13" s="17"/>
      <c r="G13" s="17"/>
      <c r="H13" s="17"/>
      <c r="I13" s="17"/>
      <c r="J13" s="17"/>
      <c r="K13" s="17"/>
      <c r="L13" s="17"/>
      <c r="M13" s="17"/>
      <c r="N13" s="17"/>
      <c r="O13" s="17"/>
      <c r="P13" s="17"/>
      <c r="Q13" s="16"/>
      <c r="R13" s="17"/>
      <c r="S13" s="17"/>
      <c r="T13" s="17"/>
      <c r="U13" s="17"/>
      <c r="V13" s="17"/>
      <c r="W13" s="17"/>
      <c r="X13" s="17"/>
      <c r="Y13" s="17"/>
      <c r="Z13" s="17"/>
      <c r="AA13" s="17"/>
      <c r="AB13" s="17"/>
      <c r="AC13" s="17"/>
      <c r="AD13" s="17" t="str" cm="1">
        <f t="array" ref="AD13:BF14">Constants!A2:AC3</f>
        <v>SC1</v>
      </c>
      <c r="AE13" s="17" t="str">
        <v>SC1 - Half</v>
      </c>
      <c r="AF13" s="17" t="str">
        <v>SC2</v>
      </c>
      <c r="AG13" s="17" t="str">
        <v>SC2 - Half</v>
      </c>
      <c r="AH13" s="17" t="str">
        <v>SC3</v>
      </c>
      <c r="AI13" s="17" t="str">
        <v>SC4</v>
      </c>
      <c r="AJ13" s="17" t="str">
        <v>SC5</v>
      </c>
      <c r="AK13" s="17" t="str">
        <v>SC6</v>
      </c>
      <c r="AL13" s="17" t="str">
        <v>Dojo</v>
      </c>
      <c r="AM13" s="17" t="str">
        <v>Boulder Wall</v>
      </c>
      <c r="AN13" s="17" t="str">
        <v>Climbing Wall</v>
      </c>
      <c r="AO13" s="17" t="str">
        <v>Artificial Hockey field</v>
      </c>
      <c r="AP13" s="17" t="str">
        <v>Artificial Hockey field - Half</v>
      </c>
      <c r="AQ13" s="17" t="str">
        <v>Artificial Soccer field</v>
      </c>
      <c r="AR13" s="17" t="str">
        <v>Artificial Soccer field - Half</v>
      </c>
      <c r="AS13" s="17" t="str">
        <v>Basketball</v>
      </c>
      <c r="AT13" s="17" t="str">
        <v>Bastille field</v>
      </c>
      <c r="AU13" s="17" t="str">
        <v>Beach fields</v>
      </c>
      <c r="AV13" s="17" t="str">
        <v>Shooting range</v>
      </c>
      <c r="AW13" s="17" t="str">
        <v>Multi/Lacrosse field</v>
      </c>
      <c r="AX13" s="17" t="str">
        <v>Multi/Lacrosse field - Half</v>
      </c>
      <c r="AY13" s="17" t="str">
        <v>Bootcamp field</v>
      </c>
      <c r="AZ13" s="17" t="str">
        <v>Multi/Baseball field</v>
      </c>
      <c r="BA13" s="17" t="str">
        <v>Tennis court</v>
      </c>
      <c r="BB13" s="17" t="str">
        <v>Utrack</v>
      </c>
      <c r="BC13" s="22" t="str">
        <v>Verreveld</v>
      </c>
      <c r="BD13" s="22" t="str">
        <v>Wsc</v>
      </c>
      <c r="BE13" s="22" t="str">
        <v>Indoor pool</v>
      </c>
      <c r="BF13" s="22" t="str">
        <v>Outdoor pool</v>
      </c>
      <c r="BG13" s="22"/>
    </row>
    <row r="14" spans="1:59">
      <c r="A14" s="175" t="s">
        <v>423</v>
      </c>
      <c r="B14" s="16"/>
      <c r="C14" s="16"/>
      <c r="D14" s="16"/>
      <c r="E14" s="16"/>
      <c r="F14" s="16"/>
      <c r="G14" s="175" t="s">
        <v>424</v>
      </c>
      <c r="I14" s="17"/>
      <c r="J14" s="17"/>
      <c r="K14" s="176" t="s">
        <v>425</v>
      </c>
      <c r="L14" s="17"/>
      <c r="M14" s="176" t="s">
        <v>426</v>
      </c>
      <c r="N14" s="17"/>
      <c r="O14" s="17"/>
      <c r="P14" s="17"/>
      <c r="Q14" s="17"/>
      <c r="R14" s="17"/>
      <c r="S14" s="16"/>
      <c r="T14" s="17"/>
      <c r="U14" s="17"/>
      <c r="V14" s="17"/>
      <c r="W14" s="17"/>
      <c r="X14" s="17"/>
      <c r="Y14" s="17"/>
      <c r="Z14" s="17"/>
      <c r="AA14" s="17"/>
      <c r="AB14" s="17"/>
      <c r="AC14" s="17"/>
      <c r="AD14" s="19">
        <v>67.5</v>
      </c>
      <c r="AE14" s="19">
        <v>35</v>
      </c>
      <c r="AF14" s="19">
        <v>67.5</v>
      </c>
      <c r="AG14" s="19">
        <v>35</v>
      </c>
      <c r="AH14" s="19">
        <v>40</v>
      </c>
      <c r="AI14" s="19">
        <v>40</v>
      </c>
      <c r="AJ14" s="19">
        <v>35</v>
      </c>
      <c r="AK14" s="19">
        <v>35</v>
      </c>
      <c r="AL14" s="19">
        <v>40</v>
      </c>
      <c r="AM14" s="19">
        <v>27.5</v>
      </c>
      <c r="AN14" s="19">
        <v>45</v>
      </c>
      <c r="AO14" s="19">
        <v>75</v>
      </c>
      <c r="AP14" s="19">
        <v>40</v>
      </c>
      <c r="AQ14" s="19">
        <v>75</v>
      </c>
      <c r="AR14" s="19">
        <v>40</v>
      </c>
      <c r="AS14" s="19">
        <v>30</v>
      </c>
      <c r="AT14" s="19">
        <v>50</v>
      </c>
      <c r="AU14" s="19">
        <v>75</v>
      </c>
      <c r="AV14" s="19">
        <v>40</v>
      </c>
      <c r="AW14" s="19">
        <v>75</v>
      </c>
      <c r="AX14" s="19">
        <v>40</v>
      </c>
      <c r="AY14" s="19">
        <v>50</v>
      </c>
      <c r="AZ14" s="19">
        <v>65</v>
      </c>
      <c r="BA14" s="19">
        <v>35</v>
      </c>
      <c r="BB14" s="19">
        <v>45</v>
      </c>
      <c r="BC14" s="19">
        <v>50</v>
      </c>
      <c r="BD14" s="19">
        <v>0</v>
      </c>
      <c r="BE14" s="19">
        <v>65</v>
      </c>
      <c r="BF14" s="20">
        <v>70</v>
      </c>
      <c r="BG14" s="20"/>
    </row>
    <row r="15" spans="1:59">
      <c r="A15" s="67"/>
      <c r="B15" s="68" t="str">
        <f>Constants!H6</f>
        <v>Performance training</v>
      </c>
      <c r="C15" s="68" t="str">
        <f>Constants!H7</f>
        <v>Performance coaching</v>
      </c>
      <c r="D15" s="68" t="str">
        <f>Constants!H8</f>
        <v>Dangerous</v>
      </c>
      <c r="E15" s="69" t="str">
        <f>Constants!H9</f>
        <v>Recreational</v>
      </c>
      <c r="F15" s="69" t="s">
        <v>290</v>
      </c>
      <c r="G15" s="70"/>
      <c r="H15" s="71" t="s">
        <v>427</v>
      </c>
      <c r="I15" s="72" t="s">
        <v>272</v>
      </c>
      <c r="J15" s="70" t="s">
        <v>5</v>
      </c>
      <c r="K15" s="72" t="s">
        <v>428</v>
      </c>
      <c r="L15" s="70" t="s">
        <v>429</v>
      </c>
      <c r="M15" s="73" cm="1">
        <f t="array" ref="M15">(SUM(IF($D$91:$D$95="PT",($F$91:$F$95)/1.5+IF($G$91:$G$95="yes",1)))+SUM(IF($D$91:$D$95="Extern",($F$91:$F$95)/1.5+IF($G$91:$G$95="yes",1)))+SUM(IF($D$91:$D$95="PT-ZZP",($F$91:$F$95)/1.5+IF($G$91:$G$95="yes",1))))*Constants!B10</f>
        <v>5166.6666666666661</v>
      </c>
      <c r="N15" s="17"/>
      <c r="O15" s="17"/>
      <c r="P15" s="17"/>
      <c r="Q15" s="17"/>
      <c r="R15" s="16"/>
      <c r="S15" s="17"/>
      <c r="T15" s="17"/>
      <c r="U15" s="17"/>
      <c r="V15" s="17"/>
      <c r="W15" s="17"/>
      <c r="X15" s="17"/>
      <c r="Y15" s="17"/>
      <c r="Z15" s="17"/>
      <c r="AA15" s="17"/>
      <c r="AB15" s="17"/>
      <c r="AC15" s="17"/>
      <c r="AD15" s="16">
        <f>SUMIF($B$146:$B$169,AD13,$F$146:$F$169)</f>
        <v>462.5</v>
      </c>
      <c r="AE15" s="16">
        <f t="shared" ref="AE15:BG15" si="0">SUMIF($B$146:$B$169,AE13,$F$146:$F$169)</f>
        <v>0</v>
      </c>
      <c r="AF15" s="16">
        <f t="shared" si="0"/>
        <v>739</v>
      </c>
      <c r="AG15" s="16">
        <f t="shared" si="0"/>
        <v>0</v>
      </c>
      <c r="AH15" s="16">
        <f t="shared" si="0"/>
        <v>0</v>
      </c>
      <c r="AI15" s="16">
        <f t="shared" si="0"/>
        <v>243</v>
      </c>
      <c r="AJ15" s="16">
        <f t="shared" si="0"/>
        <v>0</v>
      </c>
      <c r="AK15" s="16">
        <f t="shared" si="0"/>
        <v>0</v>
      </c>
      <c r="AL15" s="16">
        <f t="shared" si="0"/>
        <v>0</v>
      </c>
      <c r="AM15" s="16">
        <f t="shared" si="0"/>
        <v>0</v>
      </c>
      <c r="AN15" s="16">
        <f t="shared" si="0"/>
        <v>0</v>
      </c>
      <c r="AO15" s="16">
        <f t="shared" si="0"/>
        <v>0</v>
      </c>
      <c r="AP15" s="16">
        <f t="shared" si="0"/>
        <v>0</v>
      </c>
      <c r="AQ15" s="16">
        <f t="shared" si="0"/>
        <v>0</v>
      </c>
      <c r="AR15" s="16">
        <f t="shared" si="0"/>
        <v>0</v>
      </c>
      <c r="AS15" s="16">
        <f t="shared" si="0"/>
        <v>0</v>
      </c>
      <c r="AT15" s="16">
        <f t="shared" si="0"/>
        <v>0</v>
      </c>
      <c r="AU15" s="16">
        <f t="shared" si="0"/>
        <v>156</v>
      </c>
      <c r="AV15" s="16">
        <f t="shared" si="0"/>
        <v>0</v>
      </c>
      <c r="AW15" s="16">
        <f t="shared" si="0"/>
        <v>0</v>
      </c>
      <c r="AX15" s="16">
        <f t="shared" si="0"/>
        <v>0</v>
      </c>
      <c r="AY15" s="16">
        <f t="shared" si="0"/>
        <v>0</v>
      </c>
      <c r="AZ15" s="16">
        <f t="shared" si="0"/>
        <v>0</v>
      </c>
      <c r="BA15" s="16">
        <f t="shared" si="0"/>
        <v>0</v>
      </c>
      <c r="BB15" s="16">
        <f t="shared" si="0"/>
        <v>0</v>
      </c>
      <c r="BC15" s="16">
        <f t="shared" si="0"/>
        <v>0</v>
      </c>
      <c r="BD15" s="16">
        <f t="shared" si="0"/>
        <v>0</v>
      </c>
      <c r="BE15" s="16">
        <f t="shared" si="0"/>
        <v>0</v>
      </c>
      <c r="BF15" s="16">
        <f t="shared" si="0"/>
        <v>0</v>
      </c>
      <c r="BG15" s="16">
        <f t="shared" si="0"/>
        <v>0</v>
      </c>
    </row>
    <row r="16" spans="1:59">
      <c r="A16" s="74" t="str">
        <f>Constants!E6</f>
        <v>PT</v>
      </c>
      <c r="B16">
        <f>SUMIFS(Harambee!$F$101:$F$142,Harambee!$B$101:$B$142, B$15,Harambee!$H$101:$H$142,$A16)*(1+Constants!$B$7)</f>
        <v>352.8</v>
      </c>
      <c r="C16">
        <f>SUMIFS(Harambee!$F$101:$F$142,Harambee!$B$101:$B$142, C$15,Harambee!$H$101:$H$142,$A16)</f>
        <v>150</v>
      </c>
      <c r="D16">
        <f>SUMIFS(Harambee!$F$101:$F$142,Harambee!$B$101:$B$142, D$15,Harambee!$H$101:$H$142,$A16)*(1+Constants!$B$7)</f>
        <v>0</v>
      </c>
      <c r="E16">
        <f>SUMIFS(Harambee!$F$101:$F$142,Harambee!$B$101:$B$142, E$15,Harambee!$H$101:$H$142,$A16)*(1+Constants!$B$7)</f>
        <v>0</v>
      </c>
      <c r="F16">
        <f>SUMIFS(Harambee!$F$101:$F$142,Harambee!$B$101:$B$142, F$15,Harambee!$H$101:$H$142,$A16)*(1+Constants!$B$7)</f>
        <v>0</v>
      </c>
      <c r="G16" s="74" t="s">
        <v>430</v>
      </c>
      <c r="H16" s="16">
        <f>SUMIF(Harambee!$B$146:$B$175,"&lt;&gt;External",Harambee!$F$146:$F$175)</f>
        <v>1600.5</v>
      </c>
      <c r="I16" s="75">
        <f>SUMIF(Harambee!$B$165:$B$175,"External",Harambee!$F$165:$F$175)</f>
        <v>0</v>
      </c>
      <c r="J16" s="234">
        <f>SUM($F$178:$F$191)</f>
        <v>614</v>
      </c>
      <c r="K16" s="76">
        <f>IF(OR(ISBLANK(B7),ISBLANK(B9)), "ERROR",MAX(MIN(J16,B7*Constants!B15)-Constants!B14*B7,0)*IF(B9="yes",Constants!B16,IF(B9="no",Constants!B17,0)))</f>
        <v>0</v>
      </c>
      <c r="L16" s="77" t="s">
        <v>360</v>
      </c>
      <c r="M16" s="76">
        <f>E16*Constants!B6+E17*Constants!B8+E22+E21</f>
        <v>0</v>
      </c>
      <c r="N16" s="17"/>
      <c r="O16" s="17"/>
      <c r="P16" s="17"/>
      <c r="Q16" s="17"/>
      <c r="R16" s="16"/>
      <c r="S16" s="17"/>
      <c r="T16" s="17"/>
      <c r="U16" s="17"/>
      <c r="V16" s="17"/>
      <c r="W16" s="17"/>
      <c r="X16" s="17"/>
      <c r="Y16" s="17"/>
      <c r="Z16" s="17"/>
      <c r="AA16" s="17"/>
      <c r="AB16" s="17"/>
      <c r="AC16" s="17"/>
      <c r="AD16" s="19">
        <f t="shared" ref="AD16:BF16" si="1">AD14*AD15</f>
        <v>31218.75</v>
      </c>
      <c r="AE16" s="19">
        <f t="shared" si="1"/>
        <v>0</v>
      </c>
      <c r="AF16" s="19">
        <f t="shared" si="1"/>
        <v>49882.5</v>
      </c>
      <c r="AG16" s="19">
        <f t="shared" si="1"/>
        <v>0</v>
      </c>
      <c r="AH16" s="19">
        <f t="shared" si="1"/>
        <v>0</v>
      </c>
      <c r="AI16" s="19">
        <f t="shared" si="1"/>
        <v>9720</v>
      </c>
      <c r="AJ16" s="19">
        <f t="shared" si="1"/>
        <v>0</v>
      </c>
      <c r="AK16" s="19">
        <f t="shared" si="1"/>
        <v>0</v>
      </c>
      <c r="AL16" s="19">
        <f t="shared" si="1"/>
        <v>0</v>
      </c>
      <c r="AM16" s="19">
        <f t="shared" si="1"/>
        <v>0</v>
      </c>
      <c r="AN16" s="19">
        <f t="shared" si="1"/>
        <v>0</v>
      </c>
      <c r="AO16" s="19">
        <f t="shared" si="1"/>
        <v>0</v>
      </c>
      <c r="AP16" s="19">
        <f t="shared" si="1"/>
        <v>0</v>
      </c>
      <c r="AQ16" s="19">
        <f t="shared" si="1"/>
        <v>0</v>
      </c>
      <c r="AR16" s="19">
        <f t="shared" si="1"/>
        <v>0</v>
      </c>
      <c r="AS16" s="19">
        <f t="shared" si="1"/>
        <v>0</v>
      </c>
      <c r="AT16" s="19">
        <f t="shared" si="1"/>
        <v>0</v>
      </c>
      <c r="AU16" s="19">
        <f t="shared" si="1"/>
        <v>11700</v>
      </c>
      <c r="AV16" s="19">
        <f t="shared" si="1"/>
        <v>0</v>
      </c>
      <c r="AW16" s="19">
        <f t="shared" si="1"/>
        <v>0</v>
      </c>
      <c r="AX16" s="19">
        <f t="shared" si="1"/>
        <v>0</v>
      </c>
      <c r="AY16" s="19">
        <f t="shared" si="1"/>
        <v>0</v>
      </c>
      <c r="AZ16" s="19">
        <f t="shared" si="1"/>
        <v>0</v>
      </c>
      <c r="BA16" s="19">
        <f t="shared" si="1"/>
        <v>0</v>
      </c>
      <c r="BB16" s="19">
        <f t="shared" si="1"/>
        <v>0</v>
      </c>
      <c r="BC16" s="19">
        <f t="shared" si="1"/>
        <v>0</v>
      </c>
      <c r="BD16" s="19">
        <f t="shared" si="1"/>
        <v>0</v>
      </c>
      <c r="BE16" s="19">
        <f t="shared" si="1"/>
        <v>0</v>
      </c>
      <c r="BF16" s="19">
        <f t="shared" si="1"/>
        <v>0</v>
      </c>
    </row>
    <row r="17" spans="1:36">
      <c r="A17" s="74" t="str">
        <f>Constants!E7</f>
        <v>PT-V</v>
      </c>
      <c r="B17">
        <f>SUMIFS(Harambee!$F$101:$F$142,Harambee!$B$101:$B$142, B$15,Harambee!$H$101:$H$142,$A17)*(1+Constants!$B$9)</f>
        <v>0</v>
      </c>
      <c r="C17">
        <f>SUMIFS(Harambee!$F$101:$F$142,Harambee!$B$101:$B$142, C$15,Harambee!$H$101:$H$142,$A17)</f>
        <v>0</v>
      </c>
      <c r="D17">
        <f>SUMIFS(Harambee!$F$101:$F$142,Harambee!$B$101:$B$142, D$15,Harambee!$H$101:$H$142,$A17)*(1+Constants!$B$9)</f>
        <v>0</v>
      </c>
      <c r="E17">
        <f>SUMIFS(Harambee!$F$101:$F$142,Harambee!$B$101:$B$142, E$15,Harambee!$H$101:$H$142,$A17)*(1+Constants!$B$9)</f>
        <v>0</v>
      </c>
      <c r="F17">
        <f>SUMIFS(Harambee!$F$101:$F$142,Harambee!$B$101:$B$142, F$15,Harambee!$H$101:$H$142,$A17)</f>
        <v>0</v>
      </c>
      <c r="G17" s="74" t="s">
        <v>38</v>
      </c>
      <c r="H17" s="78">
        <f>SUM(AD16:BZ16)</f>
        <v>102521.25</v>
      </c>
      <c r="I17" s="76" cm="1">
        <f t="array" ref="I17">SUM(IF($B$146:$B$173="External",$F$146:$F$173*$H$146:$H$173,0))</f>
        <v>0</v>
      </c>
      <c r="J17" s="79"/>
      <c r="K17" s="80"/>
      <c r="L17" s="77" t="s">
        <v>63</v>
      </c>
      <c r="M17" s="76">
        <f>J16-K16</f>
        <v>614</v>
      </c>
      <c r="N17" s="17"/>
      <c r="O17" s="17"/>
      <c r="P17" s="17"/>
      <c r="Q17" s="17"/>
      <c r="R17" s="16"/>
      <c r="S17" s="17"/>
      <c r="T17" s="17"/>
      <c r="U17" s="17"/>
      <c r="V17" s="17"/>
      <c r="W17" s="17"/>
      <c r="X17" s="17"/>
      <c r="Y17" s="17"/>
      <c r="Z17" s="17"/>
      <c r="AA17" s="17"/>
      <c r="AB17" s="17"/>
      <c r="AC17" s="17"/>
      <c r="AD17" s="17"/>
      <c r="AE17" s="17"/>
    </row>
    <row r="18" spans="1:36">
      <c r="A18" s="74" t="str">
        <f>Constants!E8</f>
        <v>PT-ZZP</v>
      </c>
      <c r="B18">
        <f>SUMIFS(Harambee!$F$101:$F$142,Harambee!$B$101:$B$142, B$15,Harambee!$H$101:$H$142,$A18)*(1+Constants!$B$7)</f>
        <v>216</v>
      </c>
      <c r="C18">
        <f>SUMIFS(Harambee!$F$101:$F$142,Harambee!$B$101:$B$142, C$15,Harambee!$H$101:$H$142,$A18)</f>
        <v>75</v>
      </c>
      <c r="D18">
        <f>SUMIFS(Harambee!$F$101:$F$142,Harambee!$B$101:$B$142, D$15,Harambee!$H$101:$H$142,$A18)*(1+Constants!$B$7)</f>
        <v>0</v>
      </c>
      <c r="E18">
        <f>SUMIFS(Harambee!$F$101:$F$142,Harambee!$B$101:$B$142, E$15,Harambee!$H$101:$H$142,$A18)*(1+Constants!$B$7)</f>
        <v>0</v>
      </c>
      <c r="F18">
        <f>SUMIFS(Harambee!$F$101:$F$142,Harambee!$B$101:$B$142, F$15,Harambee!$H$101:$H$142,$A18)*(1+Constants!$B$7)</f>
        <v>237.6</v>
      </c>
      <c r="G18" s="74"/>
      <c r="H18" s="78"/>
      <c r="I18" s="76"/>
      <c r="J18" s="79"/>
      <c r="K18" s="80"/>
      <c r="L18" s="77" t="s">
        <v>60</v>
      </c>
      <c r="M18" s="76" t="str">
        <f>IF(I17-Constants!I17*$B$7&gt;0,$I$17-Constants!I17*$B$7,"-")</f>
        <v>-</v>
      </c>
      <c r="N18" s="17"/>
      <c r="O18" s="17"/>
      <c r="P18" s="17"/>
      <c r="Q18" s="17"/>
      <c r="R18" s="16"/>
      <c r="S18" s="17"/>
      <c r="T18" s="17"/>
      <c r="U18" s="17"/>
      <c r="V18" s="17"/>
      <c r="W18" s="17"/>
      <c r="X18" s="17"/>
      <c r="Y18" s="17"/>
      <c r="Z18" s="17"/>
      <c r="AA18" s="17"/>
      <c r="AB18" s="17"/>
      <c r="AC18" s="17"/>
      <c r="AD18" s="17"/>
      <c r="AE18" s="17"/>
    </row>
    <row r="19" spans="1:36">
      <c r="A19" s="74" t="str">
        <f>Constants!E9</f>
        <v>RT</v>
      </c>
      <c r="B19">
        <f>SUMIFS(Harambee!$F$101:$F$142,Harambee!$B$101:$B$142, B$15,Harambee!$H$101:$H$142,$A19)</f>
        <v>150</v>
      </c>
      <c r="C19">
        <f>SUMIFS(Harambee!$F$101:$F$142,Harambee!$B$101:$B$142, C$15,Harambee!$H$101:$H$142,$A19)</f>
        <v>100</v>
      </c>
      <c r="D19">
        <f>SUMIFS(Harambee!$F$101:$F$142,Harambee!$B$101:$B$142, D$15,Harambee!$H$101:$H$142,$A19)</f>
        <v>0</v>
      </c>
      <c r="E19">
        <f>SUMIFS(Harambee!$F$101:$F$142,Harambee!$B$101:$B$142, E$15,Harambee!$H$101:$H$142,$A19)</f>
        <v>2238</v>
      </c>
      <c r="F19">
        <f>SUMIFS(Harambee!$F$101:$F$142,Harambee!$B$101:$B$142, F$15,Harambee!$H$101:$H$142,$A19)</f>
        <v>0</v>
      </c>
      <c r="G19" s="74" t="s">
        <v>396</v>
      </c>
      <c r="H19" s="78"/>
      <c r="I19" s="76">
        <f>IF(B7*Constants!I17&lt;I17,B7*Constants!I17,I17)</f>
        <v>0</v>
      </c>
      <c r="J19" s="79"/>
      <c r="K19" s="80"/>
      <c r="L19" s="77" t="s">
        <v>431</v>
      </c>
      <c r="M19" s="255">
        <f ca="1">Constants!C31*B7+Data!L13</f>
        <v>25074.552990914475</v>
      </c>
      <c r="N19" s="17"/>
      <c r="O19" s="17"/>
      <c r="P19" s="17"/>
      <c r="Q19" s="17"/>
      <c r="R19" s="16"/>
      <c r="S19" s="17"/>
      <c r="T19" s="17"/>
      <c r="U19" s="17"/>
      <c r="V19" s="17"/>
      <c r="W19" s="17"/>
      <c r="X19" s="17"/>
      <c r="Y19" s="17"/>
      <c r="Z19" s="17"/>
      <c r="AA19" s="17"/>
      <c r="AB19" s="17"/>
      <c r="AC19" s="17"/>
      <c r="AD19" s="17"/>
      <c r="AE19" s="17"/>
    </row>
    <row r="20" spans="1:36">
      <c r="A20" s="74" t="str">
        <f>Constants!E10</f>
        <v>Extern</v>
      </c>
      <c r="B20">
        <f>SUMIFS(Harambee!$F$101:$F$142,Harambee!$B$101:$B$142, B$15,Harambee!$H$101:$H$142,$A20)</f>
        <v>0</v>
      </c>
      <c r="C20">
        <f>SUMIFS(Harambee!$F$101:$F$142,Harambee!$B$101:$B$142, C$15,Harambee!$H$101:$H$142,$A20)</f>
        <v>0</v>
      </c>
      <c r="D20">
        <f>SUMIFS(Harambee!$F$101:$F$142,Harambee!$B$101:$B$142, D$15,Harambee!$H$101:$H$142,$A20)</f>
        <v>0</v>
      </c>
      <c r="E20">
        <f>SUMIFS(Harambee!$F$101:$F$142,Harambee!$B$101:$B$142, E$15,Harambee!$H$101:$H$142,$A20)</f>
        <v>0</v>
      </c>
      <c r="F20">
        <f>SUMIFS(Harambee!$F$101:$F$142,Harambee!$B$101:$B$142, F$15,Harambee!$H$101:$H$142,$A20)</f>
        <v>0</v>
      </c>
      <c r="G20" s="81"/>
      <c r="H20" s="16"/>
      <c r="I20" s="75"/>
      <c r="J20" s="79"/>
      <c r="K20" s="82"/>
      <c r="L20" s="83"/>
      <c r="M20" s="84"/>
      <c r="N20" s="17"/>
      <c r="O20" s="17"/>
      <c r="P20" s="17"/>
      <c r="Q20" s="17"/>
      <c r="R20" s="16"/>
      <c r="S20" s="17"/>
      <c r="T20" s="17"/>
      <c r="U20" s="17"/>
      <c r="V20" s="17"/>
      <c r="W20" s="17"/>
      <c r="X20" s="17"/>
      <c r="Y20" s="17"/>
      <c r="Z20" s="17"/>
      <c r="AA20" s="17"/>
      <c r="AB20" s="17"/>
      <c r="AC20" s="17"/>
      <c r="AD20" s="17"/>
      <c r="AE20" s="17"/>
    </row>
    <row r="21" spans="1:36">
      <c r="A21" s="74" t="str">
        <f>CONCATENATE(A18," Costs")</f>
        <v>PT-ZZP Costs</v>
      </c>
      <c r="B21" s="78">
        <f t="array" ref="B21">SUM(IF(Harambee!$B$101:$B$142=B$15,IF(Harambee!$H$101:$H$142="PT-ZZP",Harambee!$F$101:$F$142*Harambee!$I$101:$I$142*(1+Constants!$B$7),0),0))</f>
        <v>10800</v>
      </c>
      <c r="C21" s="78">
        <f t="array" ref="C21">SUM(IF(Harambee!$B$101:$B$142=C$15,IF(Harambee!$H$101:$H$142="PT-ZZP",Harambee!$F$101:$F$142*Harambee!$I$101:$I$142,0),0))</f>
        <v>3750</v>
      </c>
      <c r="D21" s="78">
        <f t="array" ref="D21">SUM(IF(Harambee!$B$101:$B$142=D$15,IF(Harambee!$H$101:$H$142="PT-ZZP",Harambee!$F$101:$F$142*Harambee!$I$101:$I$142*(1+Constants!$B$7),0),0))</f>
        <v>0</v>
      </c>
      <c r="E21" s="78">
        <f t="array" ref="E21">SUM(IF(Harambee!$B$101:$B$142=E$15,IF(Harambee!$H$101:$H$142="PT-ZZP",Harambee!$F$101:$F$142*Harambee!$I$101:$I$142*(1+Constants!$B$7),0),0))</f>
        <v>0</v>
      </c>
      <c r="F21" s="78">
        <f t="array" ref="F21">SUM(IF(Harambee!$B$101:$B$142=F$15,IF(Harambee!$H$101:$H$142="PT-ZZP",Harambee!$F$101:$F$142*Harambee!$I$101:$I$142*(1+Constants!$B$7),0),0))</f>
        <v>11880</v>
      </c>
      <c r="G21" s="81"/>
      <c r="H21" s="16"/>
      <c r="I21" s="75"/>
      <c r="J21" s="79"/>
      <c r="K21" s="82"/>
      <c r="L21" s="77" t="s">
        <v>5</v>
      </c>
      <c r="M21" s="76">
        <f ca="1">SUM(M15:M20)</f>
        <v>30855.219657581139</v>
      </c>
      <c r="N21" s="17"/>
      <c r="O21" s="17"/>
      <c r="P21" s="17"/>
      <c r="Q21" s="17"/>
      <c r="R21" s="16"/>
      <c r="S21" s="17"/>
      <c r="T21" s="17"/>
      <c r="U21" s="17"/>
      <c r="V21" s="17"/>
      <c r="W21" s="17"/>
      <c r="X21" s="17"/>
      <c r="Y21" s="17"/>
      <c r="Z21" s="17"/>
      <c r="AA21" s="17"/>
      <c r="AB21" s="17"/>
      <c r="AC21" s="17"/>
      <c r="AD21" s="17"/>
      <c r="AE21" s="17"/>
    </row>
    <row r="22" spans="1:36" ht="15.75" customHeight="1">
      <c r="A22" s="74" t="str">
        <f>CONCATENATE(A20," Costs")</f>
        <v>Extern Costs</v>
      </c>
      <c r="B22" s="78">
        <f t="array" ref="B22">SUM(IF(Harambee!$B$101:$B$142=B$15,IF(Harambee!$H$101:$H$142="Extern",Harambee!$F$101:$F$142*Harambee!$I$101:$I$142,0),0))</f>
        <v>0</v>
      </c>
      <c r="C22" s="78">
        <f t="array" ref="C22">SUM(IF(Harambee!$B$101:$B$142=C$15,IF(Harambee!$H$101:$H$142="Extern",Harambee!$F$101:$F$142*Harambee!$I$101:$I$142,0),0))</f>
        <v>0</v>
      </c>
      <c r="D22" s="78">
        <f t="array" ref="D22">SUM(IF(Harambee!$B$101:$B$142=D$15,IF(Harambee!$H$101:$H$142="Extern",Harambee!$F$101:$F$142*Harambee!$I$101:$I$142,0),0))</f>
        <v>0</v>
      </c>
      <c r="E22" s="78">
        <f t="array" ref="E22">SUM(IF(Harambee!$B$101:$B$142=E$15,IF(Harambee!$H$101:$H$142="Extern",Harambee!$F$101:$F$142*Harambee!$I$101:$I$142,0),0))</f>
        <v>0</v>
      </c>
      <c r="F22" s="76">
        <f t="array" ref="F22">SUM(IF(Harambee!$B$101:$B$142=F$15,IF(Harambee!$H$101:$H$142="Extern",Harambee!$F$101:$F$142*Harambee!$I$101:$I$142,0),0))</f>
        <v>0</v>
      </c>
      <c r="G22" s="85"/>
      <c r="H22" s="177"/>
      <c r="I22" s="86"/>
      <c r="J22" s="87"/>
      <c r="K22" s="88"/>
      <c r="L22" s="87"/>
      <c r="M22" s="88"/>
      <c r="N22" s="17"/>
      <c r="O22" s="17"/>
      <c r="P22" s="17"/>
      <c r="Q22" s="17"/>
      <c r="R22" s="16"/>
      <c r="S22" s="17"/>
      <c r="T22" s="17"/>
      <c r="U22" s="17"/>
      <c r="V22" s="17"/>
      <c r="W22" s="17"/>
      <c r="X22" s="17"/>
      <c r="Y22" s="17"/>
      <c r="Z22" s="17"/>
      <c r="AA22" s="17"/>
      <c r="AB22" s="17"/>
      <c r="AC22" s="17"/>
      <c r="AD22" s="17"/>
      <c r="AE22" s="17"/>
    </row>
    <row r="23" spans="1:36" ht="15" customHeight="1">
      <c r="A23" s="74" t="s">
        <v>432</v>
      </c>
      <c r="B23" s="78"/>
      <c r="C23" s="78"/>
      <c r="D23" s="78"/>
      <c r="E23" s="78"/>
      <c r="F23" s="76">
        <f t="array" ref="F23">SUMIFS(Harambee!$F$101:$F$142,Harambee!$B$101:$B$142,"Mentorship",Harambee!$H$101:$H$142,"PT-V")*Constants!B8+SUMIFS(Harambee!$F$101:$F$142,Harambee!$B$101:$B$142,"Mentorship",Harambee!$H$101:$H$142,"PT")*Constants!B6+SUMPRODUCT(IF(Harambee!$B$101:$B$142="Mentorship",IF(Harambee!$H$101:$H$142="PT-ZZP",Harambee!$F$101:$F$142*Harambee!$I$101:$I$142,0)))</f>
        <v>9900</v>
      </c>
    </row>
    <row r="24" spans="1:36" ht="15" customHeight="1">
      <c r="A24" s="89" t="s">
        <v>433</v>
      </c>
      <c r="B24" s="178"/>
      <c r="C24" s="178"/>
      <c r="D24" s="178"/>
      <c r="E24" s="267">
        <f>SUMIF(Harambee!$B$101:$B$142,"External Trainer Course",Harambee!$I$101:$I$142)</f>
        <v>750</v>
      </c>
      <c r="F24" s="90"/>
    </row>
    <row r="25" spans="1:36" ht="15.75" customHeight="1">
      <c r="A25" s="16"/>
      <c r="B25" s="16"/>
      <c r="C25" s="16"/>
      <c r="D25" s="16"/>
      <c r="E25" s="17"/>
      <c r="F25" s="17"/>
      <c r="G25" s="17"/>
      <c r="H25" s="17"/>
      <c r="I25" s="17"/>
      <c r="J25" s="17"/>
      <c r="K25" s="17"/>
      <c r="L25" s="17"/>
      <c r="M25" s="17"/>
      <c r="N25" s="17"/>
      <c r="O25" s="17"/>
      <c r="P25" s="17"/>
      <c r="Q25" s="16"/>
      <c r="R25" s="17"/>
      <c r="S25" s="17"/>
      <c r="T25" s="17"/>
      <c r="U25" s="17"/>
      <c r="V25" s="17"/>
      <c r="W25" s="17"/>
      <c r="X25" s="17"/>
      <c r="Y25" s="17"/>
      <c r="Z25" s="17"/>
      <c r="AA25" s="17"/>
      <c r="AB25" s="17"/>
      <c r="AC25" s="17"/>
      <c r="AD25" s="17"/>
    </row>
    <row r="26" spans="1:36" ht="15.75" customHeight="1">
      <c r="A26" s="16"/>
      <c r="B26" s="16"/>
      <c r="C26" s="16"/>
      <c r="D26" s="16"/>
      <c r="E26" s="17"/>
      <c r="F26" s="17"/>
      <c r="G26" s="17"/>
      <c r="H26" s="17"/>
      <c r="I26" s="17"/>
      <c r="J26" s="17"/>
      <c r="K26" s="17"/>
      <c r="L26" s="17"/>
      <c r="M26" s="17"/>
      <c r="N26" s="17"/>
      <c r="O26" s="17"/>
      <c r="P26" s="17"/>
      <c r="Q26" s="16"/>
      <c r="R26" s="17"/>
      <c r="S26" s="17"/>
      <c r="T26" s="17"/>
      <c r="U26" s="17"/>
      <c r="V26" s="17"/>
      <c r="W26" s="17"/>
      <c r="X26" s="17"/>
      <c r="Y26" s="17"/>
      <c r="Z26" s="17"/>
      <c r="AA26" s="17"/>
      <c r="AB26" s="17"/>
      <c r="AC26" s="17"/>
      <c r="AD26" s="17"/>
    </row>
    <row r="27" spans="1:36" ht="15.75" customHeight="1" thickBot="1">
      <c r="A27" s="91" t="s">
        <v>434</v>
      </c>
      <c r="B27" s="17"/>
      <c r="C27" s="17"/>
      <c r="D27" s="17"/>
      <c r="E27" s="17"/>
      <c r="F27" s="17"/>
      <c r="G27" s="92"/>
      <c r="H27" s="19"/>
      <c r="I27" s="17"/>
      <c r="J27" s="17"/>
      <c r="K27" s="17"/>
      <c r="L27" s="17"/>
      <c r="M27" s="17"/>
      <c r="N27" s="17"/>
      <c r="O27" s="17"/>
      <c r="P27" s="17"/>
      <c r="Q27" s="16"/>
      <c r="R27" s="17"/>
      <c r="S27" s="17"/>
      <c r="T27" s="17"/>
      <c r="U27" s="17"/>
      <c r="V27" s="17"/>
      <c r="W27" s="17"/>
      <c r="X27" s="17"/>
      <c r="Y27" s="17"/>
      <c r="Z27" s="17"/>
      <c r="AA27" s="17"/>
      <c r="AB27" s="17"/>
      <c r="AC27" s="17"/>
      <c r="AD27" s="17"/>
    </row>
    <row r="28" spans="1:36" ht="15.75" customHeight="1" thickTop="1" thickBot="1">
      <c r="A28" s="706" t="s">
        <v>435</v>
      </c>
      <c r="B28" s="707"/>
      <c r="C28" s="707"/>
      <c r="D28" s="707"/>
      <c r="E28" s="707"/>
      <c r="F28" s="708"/>
      <c r="G28" s="15"/>
      <c r="H28" s="17"/>
      <c r="I28" s="17"/>
      <c r="J28" s="17"/>
      <c r="K28" s="17"/>
      <c r="L28" s="17"/>
      <c r="M28" s="17"/>
      <c r="N28" s="17"/>
      <c r="O28" s="17"/>
      <c r="P28" s="17"/>
      <c r="Q28" s="16"/>
      <c r="R28" s="17"/>
      <c r="S28" s="17"/>
      <c r="T28" s="17"/>
      <c r="U28" s="17"/>
      <c r="V28" s="17"/>
      <c r="W28" s="17"/>
      <c r="X28" s="17"/>
      <c r="Y28" s="17"/>
      <c r="Z28" s="17"/>
      <c r="AA28" s="17"/>
      <c r="AB28" s="17"/>
      <c r="AC28" s="17"/>
      <c r="AD28" s="242" t="s">
        <v>436</v>
      </c>
      <c r="AE28" s="16"/>
      <c r="AF28" s="128"/>
      <c r="AG28" s="51"/>
      <c r="AH28" s="51"/>
      <c r="AI28" s="51"/>
      <c r="AJ28" s="51"/>
    </row>
    <row r="29" spans="1:36" ht="15.75" customHeight="1" thickBot="1">
      <c r="A29" s="709" t="s">
        <v>437</v>
      </c>
      <c r="B29" s="696"/>
      <c r="C29" s="696"/>
      <c r="D29" s="696"/>
      <c r="E29" s="696"/>
      <c r="F29" s="710"/>
      <c r="G29" s="17"/>
      <c r="H29" s="17"/>
      <c r="I29" s="17"/>
      <c r="J29" s="17"/>
      <c r="K29" s="17"/>
      <c r="L29" s="17"/>
      <c r="M29" s="17"/>
      <c r="N29" s="17"/>
      <c r="O29" s="17"/>
      <c r="P29" s="17"/>
      <c r="Q29" s="16"/>
      <c r="R29" s="17"/>
      <c r="S29" s="17"/>
      <c r="T29" s="17"/>
      <c r="U29" s="17"/>
      <c r="V29" s="17"/>
      <c r="W29" s="17"/>
      <c r="X29" s="17"/>
      <c r="Y29" s="17"/>
      <c r="Z29" s="17"/>
      <c r="AA29" s="17"/>
      <c r="AB29" s="17"/>
      <c r="AC29" s="17"/>
      <c r="AD29" s="243" t="s">
        <v>438</v>
      </c>
      <c r="AE29" s="243" t="s">
        <v>439</v>
      </c>
      <c r="AF29" s="243" t="s">
        <v>440</v>
      </c>
      <c r="AG29" s="711" t="s">
        <v>441</v>
      </c>
      <c r="AH29" s="712"/>
      <c r="AI29" s="711" t="s">
        <v>434</v>
      </c>
      <c r="AJ29" s="712"/>
    </row>
    <row r="30" spans="1:36" ht="15.75" customHeight="1" thickBot="1">
      <c r="A30" s="709" t="s">
        <v>442</v>
      </c>
      <c r="B30" s="696"/>
      <c r="C30" s="696"/>
      <c r="D30" s="696"/>
      <c r="E30" s="696"/>
      <c r="F30" s="710"/>
      <c r="G30" s="17"/>
      <c r="H30" s="17"/>
      <c r="I30" s="17"/>
      <c r="J30" s="17"/>
      <c r="K30" s="17"/>
      <c r="L30" s="17"/>
      <c r="M30" s="17"/>
      <c r="N30" s="17"/>
      <c r="O30" s="17"/>
      <c r="P30" s="17"/>
      <c r="Q30" s="16"/>
      <c r="R30" s="17"/>
      <c r="S30" s="17"/>
      <c r="T30" s="17"/>
      <c r="U30" s="17"/>
      <c r="V30" s="17"/>
      <c r="W30" s="17"/>
      <c r="X30" s="17"/>
      <c r="Y30" s="17"/>
      <c r="Z30" s="17"/>
      <c r="AA30" s="17"/>
      <c r="AB30" s="17"/>
      <c r="AC30" s="17"/>
      <c r="AD30" s="244" t="str">
        <f>IF($B$12="individual",Constants!F55,Constants!L55)</f>
        <v>member count</v>
      </c>
      <c r="AE30" s="244">
        <f>B7</f>
        <v>401</v>
      </c>
      <c r="AF30" s="269">
        <f>IF(AE30&gt;=301,5,IF(AE30&gt;=176,4,IF(AE30&gt;=101,3,IF(AE30&gt;=51,2,1))))</f>
        <v>5</v>
      </c>
      <c r="AG30" s="560"/>
      <c r="AH30" s="560"/>
      <c r="AI30" s="560" t="s">
        <v>443</v>
      </c>
      <c r="AJ30" s="560"/>
    </row>
    <row r="31" spans="1:36" ht="15" customHeight="1" thickBot="1">
      <c r="A31" s="709" t="s">
        <v>444</v>
      </c>
      <c r="B31" s="696"/>
      <c r="C31" s="696"/>
      <c r="D31" s="696"/>
      <c r="E31" s="696"/>
      <c r="F31" s="710"/>
      <c r="G31" s="17"/>
      <c r="H31" s="17"/>
      <c r="I31" s="17"/>
      <c r="J31" s="17"/>
      <c r="K31" s="17"/>
      <c r="L31" s="17"/>
      <c r="M31" s="17"/>
      <c r="N31" s="17"/>
      <c r="O31" s="17"/>
      <c r="P31" s="17"/>
      <c r="Q31" s="16"/>
      <c r="R31" s="17"/>
      <c r="S31" s="17"/>
      <c r="T31" s="17"/>
      <c r="U31" s="17"/>
      <c r="V31" s="17"/>
      <c r="W31" s="17"/>
      <c r="X31" s="17"/>
      <c r="Y31" s="17"/>
      <c r="Z31" s="17"/>
      <c r="AA31" s="17"/>
      <c r="AB31" s="17"/>
      <c r="AC31" s="17"/>
      <c r="AD31" s="244" t="str">
        <f>IF($B$12="individual",Constants!F56,Constants!L56)</f>
        <v>number of trainings per week</v>
      </c>
      <c r="AE31" s="244" cm="1">
        <f t="array" ref="AE31">SUMPRODUCT(C101:C142*D101:D142)/42</f>
        <v>49.023809523809526</v>
      </c>
      <c r="AF31" s="270">
        <f>IF(AE31&gt;=4,3,IF(AE31&gt;=3,2,IF(AE31&gt;=2,1,0)))</f>
        <v>3</v>
      </c>
      <c r="AG31" s="560"/>
      <c r="AH31" s="560"/>
      <c r="AI31" s="560"/>
      <c r="AJ31" s="560"/>
    </row>
    <row r="32" spans="1:36" ht="15.75" customHeight="1" thickBot="1">
      <c r="A32" s="709" t="s">
        <v>445</v>
      </c>
      <c r="B32" s="696"/>
      <c r="C32" s="696"/>
      <c r="D32" s="696"/>
      <c r="E32" s="696"/>
      <c r="F32" s="710"/>
      <c r="G32" s="17"/>
      <c r="H32" s="16"/>
      <c r="I32" s="16"/>
      <c r="J32" s="16"/>
      <c r="K32" s="17"/>
      <c r="L32" s="17"/>
      <c r="M32" s="17"/>
      <c r="N32" s="17"/>
      <c r="O32" s="17"/>
      <c r="P32" s="17"/>
      <c r="Q32" s="16"/>
      <c r="R32" s="17"/>
      <c r="S32" s="17"/>
      <c r="T32" s="17"/>
      <c r="U32" s="17"/>
      <c r="V32" s="17"/>
      <c r="W32" s="17"/>
      <c r="X32" s="17"/>
      <c r="Y32" s="17"/>
      <c r="Z32" s="17"/>
      <c r="AA32" s="17"/>
      <c r="AB32" s="17"/>
      <c r="AC32" s="17"/>
      <c r="AD32" s="244" t="str">
        <f>IF($B$12="individual",Constants!F57,Constants!L57)</f>
        <v>number of trainings weeks per year</v>
      </c>
      <c r="AE32" s="266">
        <f>MAX(C101:C142)</f>
        <v>42</v>
      </c>
      <c r="AF32" s="250">
        <f>IF(AE32&gt;=40,3,IF(AE32&gt;=35,2,1))</f>
        <v>3</v>
      </c>
      <c r="AG32" s="560"/>
      <c r="AH32" s="560"/>
      <c r="AI32" s="560"/>
      <c r="AJ32" s="560"/>
    </row>
    <row r="33" spans="1:58" ht="15.75" customHeight="1" thickBot="1">
      <c r="A33" s="93" t="s">
        <v>446</v>
      </c>
      <c r="F33" s="94"/>
      <c r="G33" s="17"/>
      <c r="H33" s="16"/>
      <c r="I33" s="16"/>
      <c r="J33" s="16"/>
      <c r="K33" s="17"/>
      <c r="L33" s="17"/>
      <c r="M33" s="17"/>
      <c r="N33" s="17"/>
      <c r="O33" s="17"/>
      <c r="P33" s="17"/>
      <c r="Q33" s="16"/>
      <c r="R33" s="17"/>
      <c r="S33" s="17"/>
      <c r="T33" s="17"/>
      <c r="U33" s="17"/>
      <c r="V33" s="17"/>
      <c r="W33" s="17"/>
      <c r="X33" s="17"/>
      <c r="Y33" s="17"/>
      <c r="Z33" s="17"/>
      <c r="AA33" s="17"/>
      <c r="AB33" s="17"/>
      <c r="AC33" s="17"/>
      <c r="AD33" s="244" t="str">
        <f>IF($B$12="individual",Constants!F58,Constants!L58)</f>
        <v>number of training hours by RT / PT-V</v>
      </c>
      <c r="AE33" s="265">
        <f>(SUMIF(H101:H142,"RT",F101:F142)+SUMIF(H101:H142,"PT-V",F101:F142))/SUM(F101:F142)</f>
        <v>0.73500738552437228</v>
      </c>
      <c r="AF33" s="270">
        <f>IF(AE33&gt;0.9,3,IF(AE33&gt;0.6,2,IF(AE33&gt;0.3,1,0)))</f>
        <v>2</v>
      </c>
      <c r="AG33" s="560"/>
      <c r="AH33" s="560"/>
      <c r="AI33" s="560"/>
      <c r="AJ33" s="560"/>
    </row>
    <row r="34" spans="1:58" ht="15.75" customHeight="1" thickBot="1">
      <c r="A34" s="713" t="s">
        <v>447</v>
      </c>
      <c r="B34" s="714"/>
      <c r="C34" s="714"/>
      <c r="D34" s="714"/>
      <c r="E34" s="714"/>
      <c r="F34" s="715"/>
      <c r="G34" s="17"/>
      <c r="H34" s="16"/>
      <c r="I34" s="16"/>
      <c r="J34" s="16"/>
      <c r="K34" s="17"/>
      <c r="L34" s="17"/>
      <c r="M34" s="17"/>
      <c r="N34" s="17"/>
      <c r="O34" s="17"/>
      <c r="P34" s="17"/>
      <c r="Q34" s="16"/>
      <c r="R34" s="17"/>
      <c r="S34" s="17"/>
      <c r="T34" s="17"/>
      <c r="U34" s="17"/>
      <c r="V34" s="17"/>
      <c r="W34" s="17"/>
      <c r="X34" s="17"/>
      <c r="Y34" s="17"/>
      <c r="Z34" s="17"/>
      <c r="AA34" s="17"/>
      <c r="AB34" s="17"/>
      <c r="AC34" s="17"/>
      <c r="AD34" s="244" t="str">
        <f>IF($B$12="individual",Constants!F59,Constants!L59)</f>
        <v>number of training groups / teams</v>
      </c>
      <c r="AE34" s="244">
        <f>B10</f>
        <v>55</v>
      </c>
      <c r="AF34" s="271">
        <f>IF(AE34&gt;9,3,IF(AE34&gt;4,2,IF(AE34&gt;2,1,0)))</f>
        <v>3</v>
      </c>
      <c r="AG34" s="560"/>
      <c r="AH34" s="560"/>
      <c r="AI34" s="560"/>
      <c r="AJ34" s="560"/>
    </row>
    <row r="35" spans="1:58" ht="15.75" customHeight="1" thickTop="1" thickBot="1">
      <c r="A35" s="16"/>
      <c r="G35" s="17"/>
      <c r="H35" s="16"/>
      <c r="I35" s="16"/>
      <c r="J35" s="16"/>
      <c r="K35" s="17"/>
      <c r="L35" s="17"/>
      <c r="M35" s="17"/>
      <c r="N35" s="17"/>
      <c r="O35" s="17"/>
      <c r="P35" s="17"/>
      <c r="Q35" s="16"/>
      <c r="R35" s="17"/>
      <c r="S35" s="17"/>
      <c r="T35" s="17"/>
      <c r="U35" s="17"/>
      <c r="V35" s="17"/>
      <c r="W35" s="17"/>
      <c r="X35" s="17"/>
      <c r="Y35" s="17"/>
      <c r="Z35" s="17"/>
      <c r="AA35" s="17"/>
      <c r="AB35" s="17"/>
      <c r="AC35" s="17"/>
      <c r="AD35" s="244" t="str">
        <f>IF($B$12="individual",Constants!F60,Constants!L60)</f>
        <v>number of competitions organised</v>
      </c>
      <c r="AE35" s="249">
        <v>6</v>
      </c>
      <c r="AF35" s="271">
        <f>IF(AE35&gt;=4,5,IF(AE35&gt;=2,3,IF(AE35&gt;=1,1,0)))</f>
        <v>5</v>
      </c>
      <c r="AG35" s="560"/>
      <c r="AH35" s="560"/>
      <c r="AI35" s="560"/>
      <c r="AJ35" s="560"/>
    </row>
    <row r="36" spans="1:58" ht="15.75" customHeight="1" thickBot="1">
      <c r="A36" s="179" t="s">
        <v>448</v>
      </c>
      <c r="B36" s="16"/>
      <c r="C36" s="16"/>
      <c r="D36" s="16"/>
      <c r="E36" s="16"/>
      <c r="F36" s="16"/>
      <c r="G36" s="16"/>
      <c r="H36" s="16"/>
      <c r="I36" s="16"/>
      <c r="J36" s="16"/>
      <c r="K36" s="16"/>
      <c r="L36" s="16"/>
      <c r="M36" s="16"/>
      <c r="N36" s="16"/>
      <c r="O36" s="16"/>
      <c r="P36" s="16"/>
      <c r="Q36" s="16"/>
      <c r="R36" s="16"/>
      <c r="S36" s="16"/>
      <c r="T36" s="16"/>
      <c r="U36" s="16"/>
      <c r="V36" s="16"/>
      <c r="W36" s="16"/>
      <c r="X36" s="16"/>
      <c r="Y36" s="16"/>
      <c r="Z36" s="16"/>
      <c r="AA36" s="16"/>
      <c r="AB36" s="18"/>
      <c r="AC36" s="16"/>
      <c r="AD36" s="244" t="str">
        <f>IF($B$12="individual",Constants!F61,Constants!L61)</f>
        <v>number of social activities</v>
      </c>
      <c r="AE36" s="249">
        <v>17</v>
      </c>
      <c r="AF36" s="271">
        <f>IF(AE36&gt;=20,2,IF(AE36&gt;=10,1,0))</f>
        <v>1</v>
      </c>
      <c r="AG36" s="560"/>
      <c r="AH36" s="560"/>
      <c r="AI36" s="560"/>
      <c r="AJ36" s="560"/>
    </row>
    <row r="37" spans="1:58" ht="15" customHeight="1" thickTop="1" thickBot="1">
      <c r="A37" s="258" t="s">
        <v>449</v>
      </c>
      <c r="B37" s="259" t="s">
        <v>450</v>
      </c>
      <c r="C37" s="258" t="s">
        <v>451</v>
      </c>
      <c r="D37" s="258" t="s">
        <v>452</v>
      </c>
      <c r="E37" s="258" t="s">
        <v>453</v>
      </c>
      <c r="F37" s="258" t="s">
        <v>454</v>
      </c>
      <c r="G37" s="259" t="s">
        <v>455</v>
      </c>
      <c r="H37" s="561" t="s">
        <v>456</v>
      </c>
      <c r="I37" s="716"/>
      <c r="J37" s="717"/>
      <c r="K37" s="98"/>
      <c r="L37" s="98"/>
      <c r="M37" s="98"/>
      <c r="N37" s="98"/>
      <c r="O37" s="98"/>
      <c r="P37" s="98"/>
      <c r="Q37" s="98"/>
      <c r="R37" s="98"/>
      <c r="S37" s="98"/>
      <c r="T37" s="98"/>
      <c r="U37" s="96"/>
      <c r="V37" s="96"/>
      <c r="W37" s="96"/>
      <c r="X37" s="96"/>
      <c r="Y37" s="99"/>
      <c r="Z37" s="96"/>
      <c r="AA37" s="96"/>
      <c r="AB37" s="100"/>
      <c r="AC37" s="100"/>
      <c r="AD37" s="244" t="str">
        <f>IF($B$12="individual",Constants!F62,Constants!L62)</f>
        <v>number of bar days</v>
      </c>
      <c r="AE37" s="249">
        <v>18</v>
      </c>
      <c r="AF37" s="271">
        <f>IF(AE37&gt;=15,2,IF(AE37&gt;=8,1,0))</f>
        <v>2</v>
      </c>
      <c r="AG37" s="560"/>
      <c r="AH37" s="560"/>
      <c r="AI37" s="560"/>
      <c r="AJ37" s="560"/>
      <c r="AK37" s="100"/>
      <c r="AL37" s="100"/>
      <c r="AM37" s="100"/>
      <c r="AN37" s="100"/>
      <c r="AO37" s="100"/>
      <c r="AP37" s="100"/>
      <c r="AQ37" s="100"/>
      <c r="AR37" s="100"/>
      <c r="AS37" s="100"/>
      <c r="AT37" s="100"/>
      <c r="AU37" s="100"/>
      <c r="AV37" s="100"/>
      <c r="AW37" s="100"/>
      <c r="AX37" s="100"/>
      <c r="AY37" s="100"/>
      <c r="AZ37" s="100"/>
      <c r="BA37" s="100"/>
      <c r="BB37" s="100"/>
      <c r="BC37" s="100"/>
      <c r="BD37" s="100"/>
      <c r="BE37" s="100"/>
      <c r="BF37" s="100"/>
    </row>
    <row r="38" spans="1:58" ht="15" customHeight="1" thickTop="1" thickBot="1">
      <c r="A38" s="312" t="s">
        <v>556</v>
      </c>
      <c r="B38" s="232">
        <v>13</v>
      </c>
      <c r="C38" s="269">
        <v>2</v>
      </c>
      <c r="D38" s="269">
        <v>42</v>
      </c>
      <c r="E38" s="313" t="s">
        <v>145</v>
      </c>
      <c r="F38" s="369" t="s">
        <v>916</v>
      </c>
      <c r="G38" s="325" t="s">
        <v>917</v>
      </c>
      <c r="H38" s="594"/>
      <c r="I38" s="606"/>
      <c r="J38" s="595"/>
      <c r="K38" s="98"/>
      <c r="L38" s="98"/>
      <c r="M38" s="98"/>
      <c r="N38" s="98"/>
      <c r="O38" s="98"/>
      <c r="P38" s="98"/>
      <c r="Q38" s="98"/>
      <c r="R38" s="98"/>
      <c r="S38" s="98"/>
      <c r="T38" s="98"/>
      <c r="U38" s="96"/>
      <c r="V38" s="96"/>
      <c r="W38" s="96"/>
      <c r="X38" s="96"/>
      <c r="Y38" s="99"/>
      <c r="Z38" s="96"/>
      <c r="AA38" s="96"/>
      <c r="AB38" s="100"/>
      <c r="AC38" s="100"/>
      <c r="AD38" s="244" t="str">
        <f>IF($B$12="individual",Constants!F63,Constants!L63)</f>
        <v>own bar / extra location</v>
      </c>
      <c r="AE38" s="249">
        <v>0</v>
      </c>
      <c r="AF38" s="271">
        <f>IF(AE38&gt;=15,2,IF(AE38&gt;=8,1,0))</f>
        <v>0</v>
      </c>
      <c r="AG38" s="560"/>
      <c r="AH38" s="560"/>
      <c r="AI38" s="560"/>
      <c r="AJ38" s="560"/>
      <c r="AK38" s="100"/>
      <c r="AL38" s="100"/>
      <c r="AM38" s="100"/>
      <c r="AN38" s="100"/>
      <c r="AO38" s="100"/>
      <c r="AP38" s="100"/>
      <c r="AQ38" s="100"/>
      <c r="AR38" s="100"/>
      <c r="AS38" s="100"/>
      <c r="AT38" s="100"/>
      <c r="AU38" s="100"/>
      <c r="AV38" s="100"/>
      <c r="AW38" s="100"/>
      <c r="AX38" s="100"/>
      <c r="AY38" s="100"/>
      <c r="AZ38" s="100"/>
      <c r="BA38" s="100"/>
      <c r="BB38" s="100"/>
      <c r="BC38" s="100"/>
      <c r="BD38" s="100"/>
      <c r="BE38" s="100"/>
      <c r="BF38" s="100"/>
    </row>
    <row r="39" spans="1:58" ht="15" customHeight="1" thickBot="1">
      <c r="A39" s="312" t="s">
        <v>558</v>
      </c>
      <c r="B39" s="232">
        <v>13</v>
      </c>
      <c r="C39" s="269">
        <v>2</v>
      </c>
      <c r="D39" s="269">
        <v>42</v>
      </c>
      <c r="E39" s="313" t="s">
        <v>57</v>
      </c>
      <c r="F39" s="369" t="s">
        <v>918</v>
      </c>
      <c r="G39" s="325"/>
      <c r="H39" s="596"/>
      <c r="I39" s="589"/>
      <c r="J39" s="597"/>
      <c r="K39" s="98"/>
      <c r="L39" s="98"/>
      <c r="M39" s="98"/>
      <c r="N39" s="98"/>
      <c r="O39" s="98"/>
      <c r="P39" s="98"/>
      <c r="Q39" s="98"/>
      <c r="R39" s="98"/>
      <c r="S39" s="98"/>
      <c r="T39" s="98"/>
      <c r="U39" s="96"/>
      <c r="V39" s="96"/>
      <c r="W39" s="96"/>
      <c r="X39" s="96"/>
      <c r="Y39" s="99"/>
      <c r="Z39" s="96"/>
      <c r="AA39" s="96"/>
      <c r="AB39" s="100"/>
      <c r="AC39" s="100"/>
      <c r="AD39" s="244" t="str">
        <f>IF($B$12="individual",Constants!F65,Constants!L64)</f>
        <v>number of facilities used</v>
      </c>
      <c r="AE39" s="249">
        <v>3</v>
      </c>
      <c r="AF39" s="273">
        <f>IF(B12="individual", IF(AE39&gt;10, 5, IF(AE39&gt;6, 3, IF(AE39&gt;2, 1, 0))), IF(AE39&gt;3, 3, IF(AE39&gt;1, 2, 1)))</f>
        <v>2</v>
      </c>
      <c r="AG39" s="560"/>
      <c r="AH39" s="560"/>
      <c r="AI39" s="560"/>
      <c r="AJ39" s="560"/>
      <c r="AK39" s="100"/>
      <c r="AL39" s="100"/>
      <c r="AM39" s="100"/>
      <c r="AN39" s="100"/>
      <c r="AO39" s="100"/>
      <c r="AP39" s="100"/>
      <c r="AQ39" s="100"/>
      <c r="AR39" s="100"/>
      <c r="AS39" s="100"/>
      <c r="AT39" s="100"/>
      <c r="AU39" s="100"/>
      <c r="AV39" s="100"/>
      <c r="AW39" s="100"/>
      <c r="AX39" s="100"/>
      <c r="AY39" s="100"/>
      <c r="AZ39" s="100"/>
      <c r="BA39" s="100"/>
      <c r="BB39" s="100"/>
      <c r="BC39" s="100"/>
      <c r="BD39" s="100"/>
      <c r="BE39" s="100"/>
      <c r="BF39" s="100"/>
    </row>
    <row r="40" spans="1:58" ht="15" customHeight="1" thickBot="1">
      <c r="A40" s="312" t="s">
        <v>560</v>
      </c>
      <c r="B40" s="232">
        <v>13</v>
      </c>
      <c r="C40" s="269">
        <v>2</v>
      </c>
      <c r="D40" s="269">
        <v>42</v>
      </c>
      <c r="E40" s="313" t="s">
        <v>55</v>
      </c>
      <c r="F40" s="261" t="s">
        <v>918</v>
      </c>
      <c r="G40" s="325"/>
      <c r="H40" s="596"/>
      <c r="I40" s="589"/>
      <c r="J40" s="597"/>
      <c r="K40" s="98"/>
      <c r="L40" s="98"/>
      <c r="M40" s="98"/>
      <c r="N40" s="98"/>
      <c r="O40" s="98"/>
      <c r="P40" s="98"/>
      <c r="Q40" s="98"/>
      <c r="R40" s="98"/>
      <c r="S40" s="98"/>
      <c r="T40" s="98"/>
      <c r="U40" s="96"/>
      <c r="V40" s="96"/>
      <c r="W40" s="96"/>
      <c r="X40" s="96"/>
      <c r="Y40" s="99"/>
      <c r="Z40" s="96"/>
      <c r="AA40" s="96"/>
      <c r="AB40" s="100"/>
      <c r="AC40" s="100"/>
      <c r="AD40" s="231" t="str">
        <f>IF($B$12="individual",Constants!F64,Constants!L65)</f>
        <v>ratio of competing teams / training teams</v>
      </c>
      <c r="AE40" s="248">
        <f>IF(AD40="n/a","",COUNTA(A91:A95)/COUNTA(A38:A87))</f>
        <v>0.1</v>
      </c>
      <c r="AF40" s="272">
        <f>IF(B12="group", IF(AE40&gt;0.15, 5, IF(AE40&gt;0.1, 3, IF(AE40&gt;0.05, 1, 0))), " ")</f>
        <v>1</v>
      </c>
      <c r="AG40" s="560"/>
      <c r="AH40" s="560"/>
      <c r="AI40" s="560"/>
      <c r="AJ40" s="560"/>
      <c r="AK40" s="100"/>
      <c r="AL40" s="100"/>
      <c r="AM40" s="100"/>
      <c r="AN40" s="100"/>
      <c r="AO40" s="100"/>
      <c r="AP40" s="100"/>
      <c r="AQ40" s="100"/>
      <c r="AR40" s="100"/>
      <c r="AS40" s="100"/>
      <c r="AT40" s="100"/>
      <c r="AU40" s="100"/>
      <c r="AV40" s="100"/>
      <c r="AW40" s="100"/>
      <c r="AX40" s="100"/>
      <c r="AY40" s="100"/>
      <c r="AZ40" s="100"/>
      <c r="BA40" s="100"/>
      <c r="BB40" s="100"/>
      <c r="BC40" s="100"/>
      <c r="BD40" s="100"/>
      <c r="BE40" s="100"/>
      <c r="BF40" s="100"/>
    </row>
    <row r="41" spans="1:58" ht="15" customHeight="1" thickBot="1">
      <c r="A41" s="312" t="s">
        <v>561</v>
      </c>
      <c r="B41" s="232">
        <v>12</v>
      </c>
      <c r="C41" s="269">
        <v>2</v>
      </c>
      <c r="D41" s="269">
        <v>42</v>
      </c>
      <c r="E41" s="313" t="s">
        <v>55</v>
      </c>
      <c r="F41" s="369" t="s">
        <v>629</v>
      </c>
      <c r="G41" s="325"/>
      <c r="H41" s="596"/>
      <c r="I41" s="589"/>
      <c r="J41" s="597"/>
      <c r="K41" s="98"/>
      <c r="L41" s="98"/>
      <c r="M41" s="98"/>
      <c r="N41" s="98"/>
      <c r="O41" s="98"/>
      <c r="P41" s="98"/>
      <c r="Q41" s="98"/>
      <c r="R41" s="98"/>
      <c r="S41" s="98"/>
      <c r="T41" s="98"/>
      <c r="U41" s="96"/>
      <c r="V41" s="96"/>
      <c r="W41" s="96"/>
      <c r="X41" s="96"/>
      <c r="Y41" s="99"/>
      <c r="Z41" s="96"/>
      <c r="AA41" s="96"/>
      <c r="AB41" s="100"/>
      <c r="AC41" s="100"/>
      <c r="AD41" s="16"/>
      <c r="AE41" s="275" t="s">
        <v>461</v>
      </c>
      <c r="AF41" s="277">
        <f>SUM(AF30:AF40)</f>
        <v>27</v>
      </c>
      <c r="AG41" s="247"/>
      <c r="AH41" s="245"/>
      <c r="AI41" s="246"/>
      <c r="AJ41" s="247"/>
      <c r="AK41" s="100"/>
      <c r="AL41" s="100"/>
      <c r="AM41" s="100"/>
      <c r="AN41" s="100"/>
      <c r="AO41" s="100"/>
      <c r="AP41" s="100"/>
      <c r="AQ41" s="100"/>
      <c r="AR41" s="100"/>
      <c r="AS41" s="100"/>
      <c r="AT41" s="100"/>
      <c r="AU41" s="100"/>
      <c r="AV41" s="100"/>
      <c r="AW41" s="100"/>
      <c r="AX41" s="100"/>
      <c r="AY41" s="100"/>
      <c r="AZ41" s="100"/>
      <c r="BA41" s="100"/>
      <c r="BB41" s="100"/>
      <c r="BC41" s="100"/>
      <c r="BD41" s="100"/>
      <c r="BE41" s="100"/>
      <c r="BF41" s="100"/>
    </row>
    <row r="42" spans="1:58" ht="15" customHeight="1">
      <c r="A42" s="312" t="s">
        <v>919</v>
      </c>
      <c r="B42" s="232">
        <v>12</v>
      </c>
      <c r="C42" s="269">
        <v>2</v>
      </c>
      <c r="D42" s="269">
        <v>42</v>
      </c>
      <c r="E42" s="313" t="s">
        <v>55</v>
      </c>
      <c r="F42" s="261" t="s">
        <v>629</v>
      </c>
      <c r="G42" s="325"/>
      <c r="H42" s="596"/>
      <c r="I42" s="589"/>
      <c r="J42" s="597"/>
      <c r="K42" s="98"/>
      <c r="L42" s="98"/>
      <c r="M42" s="98"/>
      <c r="N42" s="98"/>
      <c r="O42" s="98"/>
      <c r="P42" s="98"/>
      <c r="Q42" s="98"/>
      <c r="R42" s="98"/>
      <c r="S42" s="98"/>
      <c r="T42" s="98"/>
      <c r="U42" s="96"/>
      <c r="V42" s="96"/>
      <c r="W42" s="96"/>
      <c r="X42" s="96"/>
      <c r="Y42" s="99"/>
      <c r="Z42" s="96"/>
      <c r="AA42" s="96"/>
      <c r="AB42" s="100"/>
      <c r="AC42" s="100"/>
      <c r="AD42" s="100"/>
      <c r="AE42" s="100"/>
      <c r="AF42" s="100"/>
      <c r="AG42" s="100"/>
      <c r="AH42" s="100"/>
      <c r="AI42" s="100"/>
      <c r="AJ42" s="100"/>
      <c r="AK42" s="100"/>
      <c r="AL42" s="100"/>
      <c r="AM42" s="100"/>
      <c r="AN42" s="100"/>
      <c r="AO42" s="100"/>
      <c r="AP42" s="100"/>
      <c r="AQ42" s="100"/>
      <c r="AR42" s="100"/>
      <c r="AS42" s="100"/>
      <c r="AT42" s="100"/>
      <c r="AU42" s="100"/>
      <c r="AV42" s="100"/>
      <c r="AW42" s="100"/>
      <c r="AX42" s="100"/>
      <c r="AY42" s="100"/>
      <c r="AZ42" s="100"/>
      <c r="BA42" s="100"/>
      <c r="BB42" s="100"/>
      <c r="BC42" s="100"/>
      <c r="BD42" s="100"/>
      <c r="BE42" s="100"/>
      <c r="BF42" s="100"/>
    </row>
    <row r="43" spans="1:58" ht="15" customHeight="1">
      <c r="A43" s="312" t="s">
        <v>920</v>
      </c>
      <c r="B43" s="232">
        <v>12</v>
      </c>
      <c r="C43" s="269">
        <v>2</v>
      </c>
      <c r="D43" s="269">
        <v>42</v>
      </c>
      <c r="E43" s="313" t="s">
        <v>55</v>
      </c>
      <c r="F43" s="369" t="s">
        <v>625</v>
      </c>
      <c r="G43" s="325"/>
      <c r="H43" s="596"/>
      <c r="I43" s="589"/>
      <c r="J43" s="597"/>
      <c r="K43" s="98"/>
      <c r="L43" s="98"/>
      <c r="M43" s="98"/>
      <c r="N43" s="98"/>
      <c r="O43" s="98"/>
      <c r="P43" s="98"/>
      <c r="Q43" s="98"/>
      <c r="R43" s="98"/>
      <c r="S43" s="98"/>
      <c r="T43" s="98"/>
      <c r="U43" s="96"/>
      <c r="V43" s="96"/>
      <c r="W43" s="96"/>
      <c r="X43" s="96"/>
      <c r="Y43" s="99"/>
      <c r="Z43" s="96"/>
      <c r="AA43" s="96"/>
      <c r="AB43" s="100"/>
      <c r="AC43" s="100"/>
      <c r="AD43" s="100"/>
      <c r="AE43" s="100"/>
      <c r="AF43" s="100"/>
      <c r="AG43" s="100"/>
      <c r="AH43" s="100"/>
      <c r="AI43" s="100"/>
      <c r="AJ43" s="100"/>
      <c r="AK43" s="100"/>
      <c r="AL43" s="100"/>
      <c r="AM43" s="100"/>
      <c r="AN43" s="100"/>
      <c r="AO43" s="100"/>
      <c r="AP43" s="100"/>
      <c r="AQ43" s="100"/>
      <c r="AR43" s="100"/>
      <c r="AS43" s="100"/>
      <c r="AT43" s="100"/>
      <c r="AU43" s="100"/>
      <c r="AV43" s="100"/>
      <c r="AW43" s="100"/>
      <c r="AX43" s="100"/>
      <c r="AY43" s="100"/>
      <c r="AZ43" s="100"/>
      <c r="BA43" s="100"/>
      <c r="BB43" s="100"/>
      <c r="BC43" s="100"/>
      <c r="BD43" s="100"/>
      <c r="BE43" s="100"/>
      <c r="BF43" s="100"/>
    </row>
    <row r="44" spans="1:58" ht="15" customHeight="1">
      <c r="A44" s="312" t="s">
        <v>921</v>
      </c>
      <c r="B44" s="232">
        <v>12</v>
      </c>
      <c r="C44" s="269">
        <v>2</v>
      </c>
      <c r="D44" s="269">
        <v>42</v>
      </c>
      <c r="E44" s="313" t="s">
        <v>55</v>
      </c>
      <c r="F44" s="261" t="s">
        <v>625</v>
      </c>
      <c r="G44" s="325"/>
      <c r="H44" s="596"/>
      <c r="I44" s="589"/>
      <c r="J44" s="597"/>
      <c r="K44" s="98"/>
      <c r="L44" s="98"/>
      <c r="M44" s="98"/>
      <c r="N44" s="98"/>
      <c r="O44" s="98"/>
      <c r="P44" s="98"/>
      <c r="Q44" s="98"/>
      <c r="R44" s="98"/>
      <c r="S44" s="98"/>
      <c r="T44" s="98"/>
      <c r="U44" s="96"/>
      <c r="V44" s="96"/>
      <c r="W44" s="96"/>
      <c r="X44" s="96"/>
      <c r="Y44" s="99"/>
      <c r="Z44" s="96"/>
      <c r="AA44" s="96"/>
      <c r="AB44" s="100"/>
      <c r="AC44" s="100"/>
      <c r="AD44" s="100"/>
      <c r="AE44" s="100"/>
      <c r="AF44" s="100"/>
      <c r="AG44" s="100"/>
      <c r="AH44" s="100"/>
      <c r="AI44" s="100"/>
      <c r="AJ44" s="100"/>
      <c r="AK44" s="100"/>
      <c r="AL44" s="100"/>
      <c r="AM44" s="100"/>
      <c r="AN44" s="100"/>
      <c r="AO44" s="100"/>
      <c r="AP44" s="100"/>
      <c r="AQ44" s="100"/>
      <c r="AR44" s="100"/>
      <c r="AS44" s="100"/>
      <c r="AT44" s="100"/>
      <c r="AU44" s="100"/>
      <c r="AV44" s="100"/>
      <c r="AW44" s="100"/>
      <c r="AX44" s="100"/>
      <c r="AY44" s="100"/>
      <c r="AZ44" s="100"/>
      <c r="BA44" s="100"/>
      <c r="BB44" s="100"/>
      <c r="BC44" s="100"/>
      <c r="BD44" s="100"/>
      <c r="BE44" s="100"/>
      <c r="BF44" s="100"/>
    </row>
    <row r="45" spans="1:58" ht="15" customHeight="1">
      <c r="A45" s="312" t="s">
        <v>922</v>
      </c>
      <c r="B45" s="232">
        <v>12</v>
      </c>
      <c r="C45" s="269">
        <v>2</v>
      </c>
      <c r="D45" s="269">
        <v>42</v>
      </c>
      <c r="E45" s="313" t="s">
        <v>55</v>
      </c>
      <c r="F45" s="261" t="s">
        <v>625</v>
      </c>
      <c r="G45" s="325"/>
      <c r="H45" s="596"/>
      <c r="I45" s="589"/>
      <c r="J45" s="597"/>
      <c r="K45" s="98"/>
      <c r="L45" s="98"/>
      <c r="M45" s="98"/>
      <c r="N45" s="98"/>
      <c r="O45" s="98"/>
      <c r="P45" s="98"/>
      <c r="Q45" s="98"/>
      <c r="R45" s="98"/>
      <c r="S45" s="98"/>
      <c r="T45" s="98"/>
      <c r="U45" s="96"/>
      <c r="V45" s="96"/>
      <c r="W45" s="96"/>
      <c r="X45" s="96"/>
      <c r="Y45" s="99"/>
      <c r="Z45" s="96"/>
      <c r="AA45" s="96"/>
      <c r="AB45" s="100"/>
      <c r="AC45" s="100"/>
      <c r="AD45" s="100"/>
      <c r="AE45" s="100"/>
      <c r="AF45" s="100"/>
      <c r="AG45" s="100"/>
      <c r="AH45" s="100"/>
      <c r="AI45" s="100"/>
      <c r="AJ45" s="100"/>
      <c r="AK45" s="100"/>
      <c r="AL45" s="100"/>
      <c r="AM45" s="100"/>
      <c r="AN45" s="100"/>
      <c r="AO45" s="100"/>
      <c r="AP45" s="100"/>
      <c r="AQ45" s="100"/>
      <c r="AR45" s="100"/>
      <c r="AS45" s="100"/>
      <c r="AT45" s="100"/>
      <c r="AU45" s="100"/>
      <c r="AV45" s="100"/>
      <c r="AW45" s="100"/>
      <c r="AX45" s="100"/>
      <c r="AY45" s="100"/>
      <c r="AZ45" s="100"/>
      <c r="BA45" s="100"/>
      <c r="BB45" s="100"/>
      <c r="BC45" s="100"/>
      <c r="BD45" s="100"/>
      <c r="BE45" s="100"/>
      <c r="BF45" s="100"/>
    </row>
    <row r="46" spans="1:58" ht="15" customHeight="1">
      <c r="A46" s="312" t="s">
        <v>923</v>
      </c>
      <c r="B46" s="232">
        <v>12</v>
      </c>
      <c r="C46" s="269">
        <v>2</v>
      </c>
      <c r="D46" s="269">
        <v>42</v>
      </c>
      <c r="E46" s="313" t="s">
        <v>55</v>
      </c>
      <c r="F46" s="369" t="s">
        <v>924</v>
      </c>
      <c r="G46" s="325"/>
      <c r="H46" s="596"/>
      <c r="I46" s="589"/>
      <c r="J46" s="597"/>
      <c r="K46" s="98"/>
      <c r="L46" s="98"/>
      <c r="M46" s="98"/>
      <c r="N46" s="98"/>
      <c r="O46" s="98"/>
      <c r="P46" s="98"/>
      <c r="Q46" s="98"/>
      <c r="R46" s="98"/>
      <c r="S46" s="98"/>
      <c r="T46" s="98"/>
      <c r="U46" s="96"/>
      <c r="V46" s="96"/>
      <c r="W46" s="96"/>
      <c r="X46" s="96"/>
      <c r="Y46" s="99"/>
      <c r="Z46" s="96"/>
      <c r="AA46" s="96"/>
      <c r="AB46" s="100"/>
      <c r="AC46" s="100"/>
      <c r="AD46" s="100"/>
      <c r="AE46" s="100"/>
      <c r="AF46" s="100"/>
      <c r="AG46" s="100"/>
      <c r="AH46" s="100"/>
      <c r="AI46" s="100"/>
      <c r="AJ46" s="100"/>
      <c r="AK46" s="100"/>
      <c r="AL46" s="100"/>
      <c r="AM46" s="100"/>
      <c r="AN46" s="100"/>
      <c r="AO46" s="100"/>
      <c r="AP46" s="100"/>
      <c r="AQ46" s="100"/>
      <c r="AR46" s="100"/>
      <c r="AS46" s="100"/>
      <c r="AT46" s="100"/>
      <c r="AU46" s="100"/>
      <c r="AV46" s="100"/>
      <c r="AW46" s="100"/>
      <c r="AX46" s="100"/>
      <c r="AY46" s="100"/>
      <c r="AZ46" s="100"/>
      <c r="BA46" s="100"/>
      <c r="BB46" s="100"/>
      <c r="BC46" s="100"/>
      <c r="BD46" s="100"/>
      <c r="BE46" s="100"/>
      <c r="BF46" s="100"/>
    </row>
    <row r="47" spans="1:58" ht="15" customHeight="1">
      <c r="A47" s="312" t="s">
        <v>925</v>
      </c>
      <c r="B47" s="232">
        <v>12</v>
      </c>
      <c r="C47" s="269">
        <v>2</v>
      </c>
      <c r="D47" s="269">
        <v>42</v>
      </c>
      <c r="E47" s="313" t="s">
        <v>55</v>
      </c>
      <c r="F47" s="369" t="s">
        <v>924</v>
      </c>
      <c r="G47" s="325"/>
      <c r="H47" s="596"/>
      <c r="I47" s="589"/>
      <c r="J47" s="597"/>
      <c r="K47" s="98"/>
      <c r="L47" s="98"/>
      <c r="M47" s="98"/>
      <c r="N47" s="98"/>
      <c r="O47" s="98"/>
      <c r="P47" s="98"/>
      <c r="Q47" s="98"/>
      <c r="R47" s="98"/>
      <c r="S47" s="98"/>
      <c r="T47" s="98"/>
      <c r="U47" s="96"/>
      <c r="V47" s="96"/>
      <c r="W47" s="96"/>
      <c r="X47" s="96"/>
      <c r="Y47" s="99"/>
      <c r="Z47" s="96"/>
      <c r="AA47" s="96"/>
      <c r="AB47" s="100"/>
      <c r="AC47" s="100"/>
      <c r="AD47" s="100"/>
      <c r="AE47" s="100"/>
      <c r="AF47" s="100"/>
      <c r="AG47" s="100"/>
      <c r="AH47" s="100"/>
      <c r="AI47" s="100"/>
      <c r="AJ47" s="100"/>
      <c r="AK47" s="100"/>
      <c r="AL47" s="100"/>
      <c r="AM47" s="100"/>
      <c r="AN47" s="100"/>
      <c r="AO47" s="100"/>
      <c r="AP47" s="100"/>
      <c r="AQ47" s="100"/>
      <c r="AR47" s="100"/>
      <c r="AS47" s="100"/>
      <c r="AT47" s="100"/>
      <c r="AU47" s="100"/>
      <c r="AV47" s="100"/>
      <c r="AW47" s="100"/>
      <c r="AX47" s="100"/>
      <c r="AY47" s="100"/>
      <c r="AZ47" s="100"/>
      <c r="BA47" s="100"/>
      <c r="BB47" s="100"/>
      <c r="BC47" s="100"/>
      <c r="BD47" s="100"/>
      <c r="BE47" s="100"/>
      <c r="BF47" s="100"/>
    </row>
    <row r="48" spans="1:58" ht="15" customHeight="1">
      <c r="A48" s="312" t="s">
        <v>926</v>
      </c>
      <c r="B48" s="232">
        <v>12</v>
      </c>
      <c r="C48" s="269">
        <v>2</v>
      </c>
      <c r="D48" s="269">
        <v>42</v>
      </c>
      <c r="E48" s="313" t="s">
        <v>55</v>
      </c>
      <c r="F48" s="261" t="s">
        <v>638</v>
      </c>
      <c r="G48" s="325"/>
      <c r="H48" s="596"/>
      <c r="I48" s="589"/>
      <c r="J48" s="597"/>
      <c r="K48" s="98"/>
      <c r="L48" s="98"/>
      <c r="M48" s="98"/>
      <c r="N48" s="98"/>
      <c r="O48" s="98"/>
      <c r="P48" s="98"/>
      <c r="Q48" s="98"/>
      <c r="R48" s="98"/>
      <c r="S48" s="98"/>
      <c r="T48" s="98"/>
      <c r="U48" s="96"/>
      <c r="V48" s="96"/>
      <c r="W48" s="96"/>
      <c r="X48" s="96"/>
      <c r="Y48" s="99"/>
      <c r="Z48" s="96"/>
      <c r="AA48" s="96"/>
      <c r="AB48" s="100"/>
      <c r="AC48" s="100"/>
      <c r="AD48" s="100"/>
      <c r="AE48" s="100"/>
      <c r="AF48" s="100"/>
      <c r="AG48" s="100"/>
      <c r="AH48" s="100"/>
      <c r="AI48" s="100"/>
      <c r="AJ48" s="100"/>
      <c r="AK48" s="100"/>
      <c r="AL48" s="100"/>
      <c r="AM48" s="100"/>
      <c r="AN48" s="100"/>
      <c r="AO48" s="100"/>
      <c r="AP48" s="100"/>
      <c r="AQ48" s="100"/>
      <c r="AR48" s="100"/>
      <c r="AS48" s="100"/>
      <c r="AT48" s="100"/>
      <c r="AU48" s="100"/>
      <c r="AV48" s="100"/>
      <c r="AW48" s="100"/>
      <c r="AX48" s="100"/>
      <c r="AY48" s="100"/>
      <c r="AZ48" s="100"/>
      <c r="BA48" s="100"/>
      <c r="BB48" s="100"/>
      <c r="BC48" s="100"/>
      <c r="BD48" s="100"/>
      <c r="BE48" s="100"/>
      <c r="BF48" s="100"/>
    </row>
    <row r="49" spans="1:58" ht="15" customHeight="1">
      <c r="A49" s="312" t="s">
        <v>563</v>
      </c>
      <c r="B49" s="232">
        <v>13</v>
      </c>
      <c r="C49" s="269">
        <v>2</v>
      </c>
      <c r="D49" s="269">
        <v>42</v>
      </c>
      <c r="E49" s="313" t="s">
        <v>57</v>
      </c>
      <c r="F49" s="369" t="s">
        <v>916</v>
      </c>
      <c r="G49" s="325" t="s">
        <v>927</v>
      </c>
      <c r="H49" s="596"/>
      <c r="I49" s="589"/>
      <c r="J49" s="597"/>
      <c r="K49" s="98"/>
      <c r="L49" s="98"/>
      <c r="M49" s="98"/>
      <c r="N49" s="98"/>
      <c r="O49" s="98"/>
      <c r="P49" s="98"/>
      <c r="Q49" s="98"/>
      <c r="R49" s="98"/>
      <c r="S49" s="98"/>
      <c r="T49" s="98"/>
      <c r="U49" s="96"/>
      <c r="V49" s="96"/>
      <c r="W49" s="96"/>
      <c r="X49" s="96"/>
      <c r="Y49" s="99"/>
      <c r="Z49" s="96"/>
      <c r="AA49" s="96"/>
      <c r="AB49" s="100"/>
      <c r="AC49" s="100"/>
      <c r="AD49" s="100"/>
      <c r="AE49" s="100"/>
      <c r="AF49" s="100"/>
      <c r="AG49" s="100"/>
      <c r="AH49" s="100"/>
      <c r="AI49" s="100"/>
      <c r="AJ49" s="100"/>
      <c r="AK49" s="100"/>
      <c r="AL49" s="100"/>
      <c r="AM49" s="100"/>
      <c r="AN49" s="100"/>
      <c r="AO49" s="100"/>
      <c r="AP49" s="100"/>
      <c r="AQ49" s="100"/>
      <c r="AR49" s="100"/>
      <c r="AS49" s="100"/>
      <c r="AT49" s="100"/>
      <c r="AU49" s="100"/>
      <c r="AV49" s="100"/>
      <c r="AW49" s="100"/>
      <c r="AX49" s="100"/>
      <c r="AY49" s="100"/>
      <c r="AZ49" s="100"/>
      <c r="BA49" s="100"/>
      <c r="BB49" s="100"/>
      <c r="BC49" s="100"/>
      <c r="BD49" s="100"/>
      <c r="BE49" s="100"/>
      <c r="BF49" s="100"/>
    </row>
    <row r="50" spans="1:58" ht="15" customHeight="1">
      <c r="A50" s="312" t="s">
        <v>564</v>
      </c>
      <c r="B50" s="232">
        <v>13</v>
      </c>
      <c r="C50" s="269">
        <v>2</v>
      </c>
      <c r="D50" s="269">
        <v>42</v>
      </c>
      <c r="E50" s="313" t="s">
        <v>55</v>
      </c>
      <c r="F50" s="261" t="s">
        <v>629</v>
      </c>
      <c r="G50" s="325"/>
      <c r="H50" s="596"/>
      <c r="I50" s="589"/>
      <c r="J50" s="597"/>
      <c r="K50" s="98"/>
      <c r="L50" s="98"/>
      <c r="M50" s="98"/>
      <c r="N50" s="98"/>
      <c r="O50" s="98"/>
      <c r="P50" s="98"/>
      <c r="Q50" s="98"/>
      <c r="R50" s="98"/>
      <c r="S50" s="98"/>
      <c r="T50" s="98"/>
      <c r="U50" s="96"/>
      <c r="V50" s="96"/>
      <c r="W50" s="96"/>
      <c r="X50" s="96"/>
      <c r="Y50" s="99"/>
      <c r="Z50" s="96"/>
      <c r="AA50" s="96"/>
      <c r="AB50" s="100"/>
      <c r="AC50" s="100"/>
      <c r="AD50" s="100"/>
      <c r="AE50" s="100"/>
      <c r="AF50" s="100"/>
      <c r="AG50" s="100"/>
      <c r="AH50" s="100"/>
      <c r="AI50" s="100"/>
      <c r="AJ50" s="100"/>
      <c r="AK50" s="100"/>
      <c r="AL50" s="100"/>
      <c r="AM50" s="100"/>
      <c r="AN50" s="100"/>
      <c r="AO50" s="100"/>
      <c r="AP50" s="100"/>
      <c r="AQ50" s="100"/>
      <c r="AR50" s="100"/>
      <c r="AS50" s="100"/>
      <c r="AT50" s="100"/>
      <c r="AU50" s="100"/>
      <c r="AV50" s="100"/>
      <c r="AW50" s="100"/>
      <c r="AX50" s="100"/>
      <c r="AY50" s="100"/>
      <c r="AZ50" s="100"/>
      <c r="BA50" s="100"/>
      <c r="BB50" s="100"/>
      <c r="BC50" s="100"/>
      <c r="BD50" s="100"/>
      <c r="BE50" s="100"/>
      <c r="BF50" s="100"/>
    </row>
    <row r="51" spans="1:58" ht="15" customHeight="1">
      <c r="A51" s="312" t="s">
        <v>928</v>
      </c>
      <c r="B51" s="232">
        <v>13</v>
      </c>
      <c r="C51" s="269">
        <v>2</v>
      </c>
      <c r="D51" s="269">
        <v>42</v>
      </c>
      <c r="E51" s="313" t="s">
        <v>55</v>
      </c>
      <c r="F51" s="261" t="s">
        <v>629</v>
      </c>
      <c r="G51" s="325" t="s">
        <v>929</v>
      </c>
      <c r="H51" s="596"/>
      <c r="I51" s="589"/>
      <c r="J51" s="597"/>
      <c r="K51" s="98"/>
      <c r="L51" s="98"/>
      <c r="M51" s="98"/>
      <c r="N51" s="98"/>
      <c r="O51" s="98"/>
      <c r="P51" s="98"/>
      <c r="Q51" s="98"/>
      <c r="R51" s="98"/>
      <c r="S51" s="98"/>
      <c r="T51" s="98"/>
      <c r="U51" s="96"/>
      <c r="V51" s="96"/>
      <c r="W51" s="96"/>
      <c r="X51" s="96"/>
      <c r="Y51" s="99"/>
      <c r="Z51" s="96"/>
      <c r="AA51" s="96"/>
      <c r="AB51" s="100"/>
      <c r="AC51" s="100"/>
      <c r="AD51" s="100"/>
      <c r="AE51" s="100"/>
      <c r="AF51" s="100"/>
      <c r="AG51" s="100"/>
      <c r="AH51" s="100"/>
      <c r="AI51" s="100"/>
      <c r="AJ51" s="100"/>
      <c r="AK51" s="100"/>
      <c r="AL51" s="100"/>
      <c r="AM51" s="100"/>
      <c r="AN51" s="100"/>
      <c r="AO51" s="100"/>
      <c r="AP51" s="100"/>
      <c r="AQ51" s="100"/>
      <c r="AR51" s="100"/>
      <c r="AS51" s="100"/>
      <c r="AT51" s="100"/>
      <c r="AU51" s="100"/>
      <c r="AV51" s="100"/>
      <c r="AW51" s="100"/>
      <c r="AX51" s="100"/>
      <c r="AY51" s="100"/>
      <c r="AZ51" s="100"/>
      <c r="BA51" s="100"/>
      <c r="BB51" s="100"/>
      <c r="BC51" s="100"/>
      <c r="BD51" s="100"/>
      <c r="BE51" s="100"/>
      <c r="BF51" s="100"/>
    </row>
    <row r="52" spans="1:58" ht="15" customHeight="1">
      <c r="A52" s="312" t="s">
        <v>930</v>
      </c>
      <c r="B52" s="232">
        <v>12</v>
      </c>
      <c r="C52" s="269">
        <v>2</v>
      </c>
      <c r="D52" s="269">
        <v>42</v>
      </c>
      <c r="E52" s="313" t="s">
        <v>55</v>
      </c>
      <c r="F52" s="261" t="s">
        <v>625</v>
      </c>
      <c r="G52" s="325"/>
      <c r="H52" s="596"/>
      <c r="I52" s="589"/>
      <c r="J52" s="597"/>
      <c r="K52" s="98"/>
      <c r="L52" s="98"/>
      <c r="M52" s="98"/>
      <c r="N52" s="98"/>
      <c r="O52" s="98"/>
      <c r="P52" s="98"/>
      <c r="Q52" s="98"/>
      <c r="R52" s="98"/>
      <c r="S52" s="98"/>
      <c r="T52" s="98"/>
      <c r="U52" s="96"/>
      <c r="V52" s="96"/>
      <c r="W52" s="96"/>
      <c r="X52" s="96"/>
      <c r="Y52" s="99"/>
      <c r="Z52" s="96"/>
      <c r="AA52" s="96"/>
      <c r="AB52" s="100"/>
      <c r="AC52" s="100"/>
      <c r="AD52" s="100"/>
      <c r="AE52" s="100"/>
      <c r="AF52" s="100"/>
      <c r="AG52" s="100"/>
      <c r="AH52" s="100"/>
      <c r="AI52" s="100"/>
      <c r="AJ52" s="100"/>
      <c r="AK52" s="100"/>
      <c r="AL52" s="100"/>
      <c r="AM52" s="100"/>
      <c r="AN52" s="100"/>
      <c r="AO52" s="100"/>
      <c r="AP52" s="100"/>
      <c r="AQ52" s="100"/>
      <c r="AR52" s="100"/>
      <c r="AS52" s="100"/>
      <c r="AT52" s="100"/>
      <c r="AU52" s="100"/>
      <c r="AV52" s="100"/>
      <c r="AW52" s="100"/>
      <c r="AX52" s="100"/>
      <c r="AY52" s="100"/>
      <c r="AZ52" s="100"/>
      <c r="BA52" s="100"/>
      <c r="BB52" s="100"/>
      <c r="BC52" s="100"/>
      <c r="BD52" s="100"/>
      <c r="BE52" s="100"/>
      <c r="BF52" s="100"/>
    </row>
    <row r="53" spans="1:58" ht="15" customHeight="1">
      <c r="A53" s="312" t="s">
        <v>931</v>
      </c>
      <c r="B53" s="232">
        <v>12</v>
      </c>
      <c r="C53" s="269">
        <v>2</v>
      </c>
      <c r="D53" s="269">
        <v>42</v>
      </c>
      <c r="E53" s="313" t="s">
        <v>55</v>
      </c>
      <c r="F53" s="369" t="s">
        <v>924</v>
      </c>
      <c r="G53" s="325"/>
      <c r="H53" s="596"/>
      <c r="I53" s="589"/>
      <c r="J53" s="597"/>
      <c r="K53" s="98"/>
      <c r="L53" s="98"/>
      <c r="M53" s="98"/>
      <c r="N53" s="98"/>
      <c r="O53" s="98"/>
      <c r="P53" s="98"/>
      <c r="Q53" s="98"/>
      <c r="R53" s="98"/>
      <c r="S53" s="98"/>
      <c r="T53" s="98"/>
      <c r="U53" s="96"/>
      <c r="V53" s="96"/>
      <c r="W53" s="96"/>
      <c r="X53" s="96"/>
      <c r="Y53" s="99"/>
      <c r="Z53" s="96"/>
      <c r="AA53" s="96"/>
      <c r="AB53" s="100"/>
      <c r="AC53" s="100"/>
      <c r="AD53" s="100"/>
      <c r="AE53" s="100"/>
      <c r="AF53" s="100"/>
      <c r="AG53" s="100"/>
      <c r="AH53" s="100"/>
      <c r="AI53" s="100"/>
      <c r="AJ53" s="100"/>
      <c r="AK53" s="100"/>
      <c r="AL53" s="100"/>
      <c r="AM53" s="100"/>
      <c r="AN53" s="100"/>
      <c r="AO53" s="100"/>
      <c r="AP53" s="100"/>
      <c r="AQ53" s="100"/>
      <c r="AR53" s="100"/>
      <c r="AS53" s="100"/>
      <c r="AT53" s="100"/>
      <c r="AU53" s="100"/>
      <c r="AV53" s="100"/>
      <c r="AW53" s="100"/>
      <c r="AX53" s="100"/>
      <c r="AY53" s="100"/>
      <c r="AZ53" s="100"/>
      <c r="BA53" s="100"/>
      <c r="BB53" s="100"/>
      <c r="BC53" s="100"/>
      <c r="BD53" s="100"/>
      <c r="BE53" s="100"/>
      <c r="BF53" s="100"/>
    </row>
    <row r="54" spans="1:58" ht="15" customHeight="1">
      <c r="A54" s="312" t="s">
        <v>932</v>
      </c>
      <c r="B54" s="232">
        <v>12</v>
      </c>
      <c r="C54" s="269">
        <v>2</v>
      </c>
      <c r="D54" s="269">
        <v>42</v>
      </c>
      <c r="E54" s="313" t="s">
        <v>55</v>
      </c>
      <c r="F54" s="369" t="s">
        <v>924</v>
      </c>
      <c r="G54" s="325"/>
      <c r="H54" s="596"/>
      <c r="I54" s="589"/>
      <c r="J54" s="597"/>
      <c r="K54" s="98"/>
      <c r="L54" s="98"/>
      <c r="M54" s="98"/>
      <c r="N54" s="98"/>
      <c r="O54" s="98"/>
      <c r="P54" s="98"/>
      <c r="Q54" s="98"/>
      <c r="R54" s="98"/>
      <c r="S54" s="98"/>
      <c r="T54" s="98"/>
      <c r="U54" s="96"/>
      <c r="V54" s="96"/>
      <c r="W54" s="96"/>
      <c r="X54" s="96"/>
      <c r="Y54" s="99"/>
      <c r="Z54" s="96"/>
      <c r="AA54" s="96"/>
      <c r="AB54" s="100"/>
      <c r="AC54" s="100"/>
      <c r="AD54" s="100"/>
      <c r="AE54" s="100"/>
      <c r="AF54" s="100"/>
      <c r="AG54" s="100"/>
      <c r="AH54" s="100"/>
      <c r="AI54" s="100"/>
      <c r="AJ54" s="100"/>
      <c r="AK54" s="100"/>
      <c r="AL54" s="100"/>
      <c r="AM54" s="100"/>
      <c r="AN54" s="100"/>
      <c r="AO54" s="100"/>
      <c r="AP54" s="100"/>
      <c r="AQ54" s="100"/>
      <c r="AR54" s="100"/>
      <c r="AS54" s="100"/>
      <c r="AT54" s="100"/>
      <c r="AU54" s="100"/>
      <c r="AV54" s="100"/>
      <c r="AW54" s="100"/>
      <c r="AX54" s="100"/>
      <c r="AY54" s="100"/>
      <c r="AZ54" s="100"/>
      <c r="BA54" s="100"/>
      <c r="BB54" s="100"/>
      <c r="BC54" s="100"/>
      <c r="BD54" s="100"/>
      <c r="BE54" s="100"/>
      <c r="BF54" s="100"/>
    </row>
    <row r="55" spans="1:58" ht="15" customHeight="1">
      <c r="A55" s="312" t="s">
        <v>933</v>
      </c>
      <c r="B55" s="232">
        <v>12</v>
      </c>
      <c r="C55" s="269">
        <v>2</v>
      </c>
      <c r="D55" s="269">
        <v>42</v>
      </c>
      <c r="E55" s="313" t="s">
        <v>55</v>
      </c>
      <c r="F55" s="369" t="s">
        <v>934</v>
      </c>
      <c r="G55" s="325"/>
      <c r="H55" s="596"/>
      <c r="I55" s="589"/>
      <c r="J55" s="597"/>
      <c r="K55" s="98"/>
      <c r="L55" s="98"/>
      <c r="M55" s="98"/>
      <c r="N55" s="98"/>
      <c r="O55" s="98"/>
      <c r="P55" s="98"/>
      <c r="Q55" s="98"/>
      <c r="R55" s="98"/>
      <c r="S55" s="98"/>
      <c r="T55" s="98"/>
      <c r="U55" s="96"/>
      <c r="V55" s="96"/>
      <c r="W55" s="96"/>
      <c r="X55" s="96"/>
      <c r="Y55" s="99"/>
      <c r="Z55" s="96"/>
      <c r="AA55" s="96"/>
      <c r="AB55" s="100"/>
      <c r="AC55" s="100"/>
      <c r="AD55" s="100"/>
      <c r="AE55" s="100"/>
      <c r="AF55" s="100"/>
      <c r="AG55" s="100"/>
      <c r="AH55" s="100"/>
      <c r="AI55" s="100"/>
      <c r="AJ55" s="100"/>
      <c r="AK55" s="100"/>
      <c r="AL55" s="100"/>
      <c r="AM55" s="100"/>
      <c r="AN55" s="100"/>
      <c r="AO55" s="100"/>
      <c r="AP55" s="100"/>
      <c r="AQ55" s="100"/>
      <c r="AR55" s="100"/>
      <c r="AS55" s="100"/>
      <c r="AT55" s="100"/>
      <c r="AU55" s="100"/>
      <c r="AV55" s="100"/>
      <c r="AW55" s="100"/>
      <c r="AX55" s="100"/>
      <c r="AY55" s="100"/>
      <c r="AZ55" s="100"/>
      <c r="BA55" s="100"/>
      <c r="BB55" s="100"/>
      <c r="BC55" s="100"/>
      <c r="BD55" s="100"/>
      <c r="BE55" s="100"/>
      <c r="BF55" s="100"/>
    </row>
    <row r="56" spans="1:58" ht="15" customHeight="1">
      <c r="A56" s="312" t="s">
        <v>935</v>
      </c>
      <c r="B56" s="232">
        <v>12</v>
      </c>
      <c r="C56" s="269">
        <v>2</v>
      </c>
      <c r="D56" s="269">
        <v>42</v>
      </c>
      <c r="E56" s="313" t="s">
        <v>55</v>
      </c>
      <c r="F56" s="369" t="s">
        <v>934</v>
      </c>
      <c r="G56" s="325"/>
      <c r="H56" s="596"/>
      <c r="I56" s="589"/>
      <c r="J56" s="597"/>
      <c r="K56" s="98"/>
      <c r="L56" s="98"/>
      <c r="M56" s="98"/>
      <c r="N56" s="98"/>
      <c r="O56" s="98"/>
      <c r="P56" s="98"/>
      <c r="Q56" s="98"/>
      <c r="R56" s="98"/>
      <c r="S56" s="98"/>
      <c r="T56" s="98"/>
      <c r="U56" s="96"/>
      <c r="V56" s="96"/>
      <c r="W56" s="96"/>
      <c r="X56" s="96"/>
      <c r="Y56" s="99"/>
      <c r="Z56" s="96"/>
      <c r="AA56" s="96"/>
      <c r="AB56" s="100"/>
      <c r="AC56" s="100"/>
      <c r="AD56" s="100"/>
      <c r="AE56" s="100"/>
      <c r="AF56" s="100"/>
      <c r="AG56" s="100"/>
      <c r="AH56" s="100"/>
      <c r="AI56" s="100"/>
      <c r="AJ56" s="100"/>
      <c r="AK56" s="100"/>
      <c r="AL56" s="100"/>
      <c r="AM56" s="100"/>
      <c r="AN56" s="100"/>
      <c r="AO56" s="100"/>
      <c r="AP56" s="100"/>
      <c r="AQ56" s="100"/>
      <c r="AR56" s="100"/>
      <c r="AS56" s="100"/>
      <c r="AT56" s="100"/>
      <c r="AU56" s="100"/>
      <c r="AV56" s="100"/>
      <c r="AW56" s="100"/>
      <c r="AX56" s="100"/>
      <c r="AY56" s="100"/>
      <c r="AZ56" s="100"/>
      <c r="BA56" s="100"/>
      <c r="BB56" s="100"/>
      <c r="BC56" s="100"/>
      <c r="BD56" s="100"/>
      <c r="BE56" s="100"/>
      <c r="BF56" s="100"/>
    </row>
    <row r="57" spans="1:58" ht="15" customHeight="1">
      <c r="A57" s="312" t="s">
        <v>936</v>
      </c>
      <c r="B57" s="232">
        <v>12</v>
      </c>
      <c r="C57" s="269">
        <v>1</v>
      </c>
      <c r="D57" s="269">
        <v>42</v>
      </c>
      <c r="E57" s="313" t="s">
        <v>55</v>
      </c>
      <c r="F57" s="369" t="s">
        <v>644</v>
      </c>
      <c r="G57" s="325" t="s">
        <v>937</v>
      </c>
      <c r="H57" s="596"/>
      <c r="I57" s="589"/>
      <c r="J57" s="597"/>
      <c r="K57" s="98"/>
      <c r="L57" s="98"/>
      <c r="M57" s="98"/>
      <c r="N57" s="98"/>
      <c r="O57" s="98"/>
      <c r="P57" s="98"/>
      <c r="Q57" s="98"/>
      <c r="R57" s="98"/>
      <c r="S57" s="98"/>
      <c r="T57" s="98"/>
      <c r="U57" s="96"/>
      <c r="V57" s="96"/>
      <c r="W57" s="96"/>
      <c r="X57" s="96"/>
      <c r="Y57" s="99"/>
      <c r="Z57" s="96"/>
      <c r="AA57" s="96"/>
      <c r="AB57" s="100"/>
      <c r="AC57" s="100"/>
      <c r="AD57" s="100"/>
      <c r="AE57" s="100"/>
      <c r="AF57" s="100"/>
      <c r="AG57" s="100"/>
      <c r="AH57" s="100"/>
      <c r="AI57" s="100"/>
      <c r="AJ57" s="100"/>
      <c r="AK57" s="100"/>
      <c r="AL57" s="100"/>
      <c r="AM57" s="100"/>
      <c r="AN57" s="100"/>
      <c r="AO57" s="100"/>
      <c r="AP57" s="100"/>
      <c r="AQ57" s="100"/>
      <c r="AR57" s="100"/>
      <c r="AS57" s="100"/>
      <c r="AT57" s="100"/>
      <c r="AU57" s="100"/>
      <c r="AV57" s="100"/>
      <c r="AW57" s="100"/>
      <c r="AX57" s="100"/>
      <c r="AY57" s="100"/>
      <c r="AZ57" s="100"/>
      <c r="BA57" s="100"/>
      <c r="BB57" s="100"/>
      <c r="BC57" s="100"/>
      <c r="BD57" s="100"/>
      <c r="BE57" s="100"/>
      <c r="BF57" s="100"/>
    </row>
    <row r="58" spans="1:58" ht="15" customHeight="1">
      <c r="A58" s="312" t="s">
        <v>938</v>
      </c>
      <c r="B58" s="232">
        <v>12</v>
      </c>
      <c r="C58" s="269">
        <v>1</v>
      </c>
      <c r="D58" s="269">
        <v>42</v>
      </c>
      <c r="E58" s="313" t="s">
        <v>55</v>
      </c>
      <c r="F58" s="369" t="s">
        <v>644</v>
      </c>
      <c r="G58" s="325" t="s">
        <v>937</v>
      </c>
      <c r="H58" s="596"/>
      <c r="I58" s="589"/>
      <c r="J58" s="597"/>
      <c r="K58" s="98"/>
      <c r="L58" s="98"/>
      <c r="M58" s="98"/>
      <c r="N58" s="98"/>
      <c r="O58" s="98"/>
      <c r="P58" s="98"/>
      <c r="Q58" s="98"/>
      <c r="R58" s="98"/>
      <c r="S58" s="98"/>
      <c r="T58" s="98"/>
      <c r="U58" s="96"/>
      <c r="V58" s="96"/>
      <c r="W58" s="96"/>
      <c r="X58" s="96"/>
      <c r="Y58" s="99"/>
      <c r="Z58" s="96"/>
      <c r="AA58" s="96"/>
      <c r="AB58" s="100"/>
      <c r="AC58" s="100"/>
      <c r="AD58" s="100"/>
      <c r="AE58" s="100"/>
      <c r="AF58" s="100"/>
      <c r="AG58" s="100"/>
      <c r="AH58" s="100"/>
      <c r="AI58" s="100"/>
      <c r="AJ58" s="100"/>
      <c r="AK58" s="100"/>
      <c r="AL58" s="100"/>
      <c r="AM58" s="100"/>
      <c r="AN58" s="100"/>
      <c r="AO58" s="100"/>
      <c r="AP58" s="100"/>
      <c r="AQ58" s="100"/>
      <c r="AR58" s="100"/>
      <c r="AS58" s="100"/>
      <c r="AT58" s="100"/>
      <c r="AU58" s="100"/>
      <c r="AV58" s="100"/>
      <c r="AW58" s="100"/>
      <c r="AX58" s="100"/>
      <c r="AY58" s="100"/>
      <c r="AZ58" s="100"/>
      <c r="BA58" s="100"/>
      <c r="BB58" s="100"/>
      <c r="BC58" s="100"/>
      <c r="BD58" s="100"/>
      <c r="BE58" s="100"/>
      <c r="BF58" s="100"/>
    </row>
    <row r="59" spans="1:58" ht="15" customHeight="1">
      <c r="A59" s="312" t="s">
        <v>939</v>
      </c>
      <c r="B59" s="232">
        <v>12</v>
      </c>
      <c r="C59" s="269">
        <v>1</v>
      </c>
      <c r="D59" s="269">
        <v>42</v>
      </c>
      <c r="E59" s="313" t="s">
        <v>55</v>
      </c>
      <c r="F59" s="369" t="s">
        <v>644</v>
      </c>
      <c r="G59" s="325" t="s">
        <v>937</v>
      </c>
      <c r="H59" s="596"/>
      <c r="I59" s="589"/>
      <c r="J59" s="597"/>
      <c r="K59" s="98"/>
      <c r="L59" s="98"/>
      <c r="M59" s="98"/>
      <c r="N59" s="98"/>
      <c r="O59" s="98"/>
      <c r="P59" s="98"/>
      <c r="Q59" s="98"/>
      <c r="R59" s="98"/>
      <c r="S59" s="98"/>
      <c r="T59" s="98"/>
      <c r="U59" s="96"/>
      <c r="V59" s="96"/>
      <c r="W59" s="96"/>
      <c r="X59" s="96"/>
      <c r="Y59" s="99"/>
      <c r="Z59" s="96"/>
      <c r="AA59" s="96"/>
      <c r="AB59" s="100"/>
      <c r="AC59" s="100"/>
      <c r="AD59" s="100"/>
      <c r="AE59" s="100"/>
      <c r="AF59" s="100"/>
      <c r="AG59" s="100"/>
      <c r="AH59" s="100"/>
      <c r="AI59" s="100"/>
      <c r="AJ59" s="100"/>
      <c r="AK59" s="100"/>
      <c r="AL59" s="100"/>
      <c r="AM59" s="100"/>
      <c r="AN59" s="100"/>
      <c r="AO59" s="100"/>
      <c r="AP59" s="100"/>
      <c r="AQ59" s="100"/>
      <c r="AR59" s="100"/>
      <c r="AS59" s="100"/>
      <c r="AT59" s="100"/>
      <c r="AU59" s="100"/>
      <c r="AV59" s="100"/>
      <c r="AW59" s="100"/>
      <c r="AX59" s="100"/>
      <c r="AY59" s="100"/>
      <c r="AZ59" s="100"/>
      <c r="BA59" s="100"/>
      <c r="BB59" s="100"/>
      <c r="BC59" s="100"/>
      <c r="BD59" s="100"/>
      <c r="BE59" s="100"/>
      <c r="BF59" s="100"/>
    </row>
    <row r="60" spans="1:58" ht="15" customHeight="1">
      <c r="A60" s="312" t="s">
        <v>940</v>
      </c>
      <c r="B60" s="232">
        <v>12</v>
      </c>
      <c r="C60" s="269">
        <v>1</v>
      </c>
      <c r="D60" s="269">
        <v>42</v>
      </c>
      <c r="E60" s="313" t="s">
        <v>55</v>
      </c>
      <c r="F60" s="369" t="s">
        <v>644</v>
      </c>
      <c r="G60" s="325" t="s">
        <v>937</v>
      </c>
      <c r="H60" s="596"/>
      <c r="I60" s="589"/>
      <c r="J60" s="597"/>
      <c r="K60" s="98"/>
      <c r="L60" s="98"/>
      <c r="M60" s="98"/>
      <c r="N60" s="98"/>
      <c r="O60" s="98"/>
      <c r="P60" s="98"/>
      <c r="Q60" s="98"/>
      <c r="R60" s="98"/>
      <c r="S60" s="98"/>
      <c r="T60" s="98"/>
      <c r="U60" s="96"/>
      <c r="V60" s="96"/>
      <c r="W60" s="96"/>
      <c r="X60" s="96"/>
      <c r="Y60" s="99"/>
      <c r="Z60" s="96"/>
      <c r="AA60" s="96"/>
      <c r="AB60" s="100"/>
      <c r="AC60" s="100"/>
      <c r="AD60" s="100"/>
      <c r="AE60" s="100"/>
      <c r="AF60" s="100"/>
      <c r="AG60" s="100"/>
      <c r="AH60" s="100"/>
      <c r="AI60" s="100"/>
      <c r="AJ60" s="100"/>
      <c r="AK60" s="100"/>
      <c r="AL60" s="100"/>
      <c r="AM60" s="100"/>
      <c r="AN60" s="100"/>
      <c r="AO60" s="100"/>
      <c r="AP60" s="100"/>
      <c r="AQ60" s="100"/>
      <c r="AR60" s="100"/>
      <c r="AS60" s="100"/>
      <c r="AT60" s="100"/>
      <c r="AU60" s="100"/>
      <c r="AV60" s="100"/>
      <c r="AW60" s="100"/>
      <c r="AX60" s="100"/>
      <c r="AY60" s="100"/>
      <c r="AZ60" s="100"/>
      <c r="BA60" s="100"/>
      <c r="BB60" s="100"/>
      <c r="BC60" s="100"/>
      <c r="BD60" s="100"/>
      <c r="BE60" s="100"/>
      <c r="BF60" s="100"/>
    </row>
    <row r="61" spans="1:58" ht="15" customHeight="1">
      <c r="A61" s="312" t="s">
        <v>941</v>
      </c>
      <c r="B61" s="232">
        <v>12</v>
      </c>
      <c r="C61" s="269">
        <v>1</v>
      </c>
      <c r="D61" s="269">
        <v>42</v>
      </c>
      <c r="E61" s="313" t="s">
        <v>55</v>
      </c>
      <c r="F61" s="369" t="s">
        <v>644</v>
      </c>
      <c r="G61" s="325" t="s">
        <v>937</v>
      </c>
      <c r="H61" s="596"/>
      <c r="I61" s="589"/>
      <c r="J61" s="597"/>
      <c r="K61" s="98"/>
      <c r="L61" s="98"/>
      <c r="M61" s="98"/>
      <c r="N61" s="98"/>
      <c r="O61" s="98"/>
      <c r="P61" s="98"/>
      <c r="Q61" s="98"/>
      <c r="R61" s="98"/>
      <c r="S61" s="98"/>
      <c r="T61" s="98"/>
      <c r="U61" s="96"/>
      <c r="V61" s="96"/>
      <c r="W61" s="96"/>
      <c r="X61" s="96"/>
      <c r="Y61" s="99"/>
      <c r="Z61" s="96"/>
      <c r="AA61" s="96"/>
      <c r="AB61" s="100"/>
      <c r="AC61" s="100"/>
      <c r="AD61" s="100"/>
      <c r="AE61" s="100"/>
      <c r="AF61" s="100"/>
      <c r="AG61" s="100"/>
      <c r="AH61" s="100"/>
      <c r="AI61" s="100"/>
      <c r="AJ61" s="100"/>
      <c r="AK61" s="100"/>
      <c r="AL61" s="100"/>
      <c r="AM61" s="100"/>
      <c r="AN61" s="100"/>
      <c r="AO61" s="100"/>
      <c r="AP61" s="100"/>
      <c r="AQ61" s="100"/>
      <c r="AR61" s="100"/>
      <c r="AS61" s="100"/>
      <c r="AT61" s="100"/>
      <c r="AU61" s="100"/>
      <c r="AV61" s="100"/>
      <c r="AW61" s="100"/>
      <c r="AX61" s="100"/>
      <c r="AY61" s="100"/>
      <c r="AZ61" s="100"/>
      <c r="BA61" s="100"/>
      <c r="BB61" s="100"/>
      <c r="BC61" s="100"/>
      <c r="BD61" s="100"/>
      <c r="BE61" s="100"/>
      <c r="BF61" s="100"/>
    </row>
    <row r="62" spans="1:58" ht="15" customHeight="1">
      <c r="A62" s="312" t="s">
        <v>942</v>
      </c>
      <c r="B62" s="232">
        <v>12</v>
      </c>
      <c r="C62" s="269">
        <v>1</v>
      </c>
      <c r="D62" s="269">
        <v>42</v>
      </c>
      <c r="E62" s="313" t="s">
        <v>55</v>
      </c>
      <c r="F62" s="369" t="s">
        <v>644</v>
      </c>
      <c r="G62" s="325" t="s">
        <v>937</v>
      </c>
      <c r="H62" s="596"/>
      <c r="I62" s="589"/>
      <c r="J62" s="597"/>
      <c r="K62" s="98"/>
      <c r="L62" s="98"/>
      <c r="M62" s="98"/>
      <c r="N62" s="98"/>
      <c r="O62" s="98"/>
      <c r="P62" s="98"/>
      <c r="Q62" s="98"/>
      <c r="R62" s="98"/>
      <c r="S62" s="98"/>
      <c r="T62" s="98"/>
      <c r="U62" s="96"/>
      <c r="V62" s="96"/>
      <c r="W62" s="96"/>
      <c r="X62" s="96"/>
      <c r="Y62" s="99"/>
      <c r="Z62" s="96"/>
      <c r="AA62" s="96"/>
      <c r="AB62" s="100"/>
      <c r="AC62" s="100"/>
      <c r="AD62" s="100"/>
      <c r="AE62" s="100"/>
      <c r="AF62" s="100"/>
      <c r="AG62" s="100"/>
      <c r="AH62" s="100"/>
      <c r="AI62" s="100"/>
      <c r="AJ62" s="100"/>
      <c r="AK62" s="100"/>
      <c r="AL62" s="100"/>
      <c r="AM62" s="100"/>
      <c r="AN62" s="100"/>
      <c r="AO62" s="100"/>
      <c r="AP62" s="100"/>
      <c r="AQ62" s="100"/>
      <c r="AR62" s="100"/>
      <c r="AS62" s="100"/>
      <c r="AT62" s="100"/>
      <c r="AU62" s="100"/>
      <c r="AV62" s="100"/>
      <c r="AW62" s="100"/>
      <c r="AX62" s="100"/>
      <c r="AY62" s="100"/>
      <c r="AZ62" s="100"/>
      <c r="BA62" s="100"/>
      <c r="BB62" s="100"/>
      <c r="BC62" s="100"/>
      <c r="BD62" s="100"/>
      <c r="BE62" s="100"/>
      <c r="BF62" s="100"/>
    </row>
    <row r="63" spans="1:58" ht="15" customHeight="1">
      <c r="A63" s="312" t="s">
        <v>943</v>
      </c>
      <c r="B63" s="232">
        <v>12</v>
      </c>
      <c r="C63" s="269">
        <v>1</v>
      </c>
      <c r="D63" s="269">
        <v>42</v>
      </c>
      <c r="E63" s="313" t="s">
        <v>55</v>
      </c>
      <c r="F63" s="369" t="s">
        <v>644</v>
      </c>
      <c r="G63" s="325" t="s">
        <v>937</v>
      </c>
      <c r="H63" s="596"/>
      <c r="I63" s="589"/>
      <c r="J63" s="597"/>
      <c r="K63" s="98"/>
      <c r="L63" s="98"/>
      <c r="M63" s="98"/>
      <c r="N63" s="98"/>
      <c r="O63" s="98"/>
      <c r="P63" s="98"/>
      <c r="Q63" s="98"/>
      <c r="R63" s="98"/>
      <c r="S63" s="98"/>
      <c r="T63" s="98"/>
      <c r="U63" s="96"/>
      <c r="V63" s="96"/>
      <c r="W63" s="96"/>
      <c r="X63" s="96"/>
      <c r="Y63" s="99"/>
      <c r="Z63" s="96"/>
      <c r="AA63" s="96"/>
      <c r="AB63" s="100"/>
      <c r="AC63" s="100"/>
      <c r="AD63" s="100"/>
      <c r="AE63" s="100"/>
      <c r="AF63" s="100"/>
      <c r="AG63" s="100"/>
      <c r="AH63" s="100"/>
      <c r="AI63" s="100"/>
      <c r="AJ63" s="100"/>
      <c r="AK63" s="100"/>
      <c r="AL63" s="100"/>
      <c r="AM63" s="100"/>
      <c r="AN63" s="100"/>
      <c r="AO63" s="100"/>
      <c r="AP63" s="100"/>
      <c r="AQ63" s="100"/>
      <c r="AR63" s="100"/>
      <c r="AS63" s="100"/>
      <c r="AT63" s="100"/>
      <c r="AU63" s="100"/>
      <c r="AV63" s="100"/>
      <c r="AW63" s="100"/>
      <c r="AX63" s="100"/>
      <c r="AY63" s="100"/>
      <c r="AZ63" s="100"/>
      <c r="BA63" s="100"/>
      <c r="BB63" s="100"/>
      <c r="BC63" s="100"/>
      <c r="BD63" s="100"/>
      <c r="BE63" s="100"/>
      <c r="BF63" s="100"/>
    </row>
    <row r="64" spans="1:58" ht="15" customHeight="1">
      <c r="A64" s="312" t="s">
        <v>944</v>
      </c>
      <c r="B64" s="232">
        <v>12</v>
      </c>
      <c r="C64" s="269">
        <v>1</v>
      </c>
      <c r="D64" s="269">
        <v>42</v>
      </c>
      <c r="E64" s="313" t="s">
        <v>55</v>
      </c>
      <c r="F64" s="369" t="s">
        <v>644</v>
      </c>
      <c r="G64" s="325" t="s">
        <v>937</v>
      </c>
      <c r="H64" s="596"/>
      <c r="I64" s="589"/>
      <c r="J64" s="597"/>
      <c r="K64" s="98"/>
      <c r="L64" s="98"/>
      <c r="M64" s="98"/>
      <c r="N64" s="98"/>
      <c r="O64" s="98"/>
      <c r="P64" s="98"/>
      <c r="Q64" s="98"/>
      <c r="R64" s="98"/>
      <c r="S64" s="98"/>
      <c r="T64" s="98"/>
      <c r="U64" s="96"/>
      <c r="V64" s="96"/>
      <c r="W64" s="96"/>
      <c r="X64" s="96"/>
      <c r="Y64" s="99"/>
      <c r="Z64" s="96"/>
      <c r="AA64" s="96"/>
      <c r="AB64" s="100"/>
      <c r="AC64" s="100"/>
      <c r="AD64" s="100"/>
      <c r="AE64" s="100"/>
      <c r="AF64" s="100"/>
      <c r="AG64" s="100"/>
      <c r="AH64" s="100"/>
      <c r="AI64" s="100"/>
      <c r="AJ64" s="100"/>
      <c r="AK64" s="100"/>
      <c r="AL64" s="100"/>
      <c r="AM64" s="100"/>
      <c r="AN64" s="100"/>
      <c r="AO64" s="100"/>
      <c r="AP64" s="100"/>
      <c r="AQ64" s="100"/>
      <c r="AR64" s="100"/>
      <c r="AS64" s="100"/>
      <c r="AT64" s="100"/>
      <c r="AU64" s="100"/>
      <c r="AV64" s="100"/>
      <c r="AW64" s="100"/>
      <c r="AX64" s="100"/>
      <c r="AY64" s="100"/>
      <c r="AZ64" s="100"/>
      <c r="BA64" s="100"/>
      <c r="BB64" s="100"/>
      <c r="BC64" s="100"/>
      <c r="BD64" s="100"/>
      <c r="BE64" s="100"/>
      <c r="BF64" s="100"/>
    </row>
    <row r="65" spans="1:58" ht="15" customHeight="1">
      <c r="A65" s="312" t="s">
        <v>945</v>
      </c>
      <c r="B65" s="232">
        <v>12</v>
      </c>
      <c r="C65" s="269">
        <v>1</v>
      </c>
      <c r="D65" s="269">
        <v>42</v>
      </c>
      <c r="E65" s="313" t="s">
        <v>55</v>
      </c>
      <c r="F65" s="369" t="s">
        <v>644</v>
      </c>
      <c r="G65" s="325" t="s">
        <v>937</v>
      </c>
      <c r="H65" s="596"/>
      <c r="I65" s="589"/>
      <c r="J65" s="597"/>
      <c r="K65" s="98"/>
      <c r="L65" s="98"/>
      <c r="M65" s="98"/>
      <c r="N65" s="98"/>
      <c r="O65" s="98"/>
      <c r="P65" s="98"/>
      <c r="Q65" s="98"/>
      <c r="R65" s="98"/>
      <c r="S65" s="98"/>
      <c r="T65" s="98"/>
      <c r="U65" s="96"/>
      <c r="V65" s="96"/>
      <c r="W65" s="96"/>
      <c r="X65" s="96"/>
      <c r="Y65" s="99"/>
      <c r="Z65" s="96"/>
      <c r="AA65" s="96"/>
      <c r="AB65" s="100"/>
      <c r="AC65" s="100"/>
      <c r="AD65" s="100"/>
      <c r="AE65" s="100"/>
      <c r="AF65" s="100"/>
      <c r="AG65" s="100"/>
      <c r="AH65" s="100"/>
      <c r="AI65" s="100"/>
      <c r="AJ65" s="100"/>
      <c r="AK65" s="100"/>
      <c r="AL65" s="100"/>
      <c r="AM65" s="100"/>
      <c r="AN65" s="100"/>
      <c r="AO65" s="100"/>
      <c r="AP65" s="100"/>
      <c r="AQ65" s="100"/>
      <c r="AR65" s="100"/>
      <c r="AS65" s="100"/>
      <c r="AT65" s="100"/>
      <c r="AU65" s="100"/>
      <c r="AV65" s="100"/>
      <c r="AW65" s="100"/>
      <c r="AX65" s="100"/>
      <c r="AY65" s="100"/>
      <c r="AZ65" s="100"/>
      <c r="BA65" s="100"/>
      <c r="BB65" s="100"/>
      <c r="BC65" s="100"/>
      <c r="BD65" s="100"/>
      <c r="BE65" s="100"/>
      <c r="BF65" s="100"/>
    </row>
    <row r="66" spans="1:58" ht="15" customHeight="1">
      <c r="A66" s="312" t="s">
        <v>946</v>
      </c>
      <c r="B66" s="232">
        <v>12</v>
      </c>
      <c r="C66" s="269">
        <v>1</v>
      </c>
      <c r="D66" s="269">
        <v>42</v>
      </c>
      <c r="E66" s="313" t="s">
        <v>55</v>
      </c>
      <c r="F66" s="369" t="s">
        <v>644</v>
      </c>
      <c r="G66" s="325" t="s">
        <v>937</v>
      </c>
      <c r="H66" s="596"/>
      <c r="I66" s="589"/>
      <c r="J66" s="597"/>
      <c r="K66" s="98"/>
      <c r="L66" s="98"/>
      <c r="M66" s="98"/>
      <c r="N66" s="98"/>
      <c r="O66" s="98"/>
      <c r="P66" s="98"/>
      <c r="Q66" s="98"/>
      <c r="R66" s="98"/>
      <c r="S66" s="98"/>
      <c r="T66" s="98"/>
      <c r="U66" s="96"/>
      <c r="V66" s="96"/>
      <c r="W66" s="96"/>
      <c r="X66" s="96"/>
      <c r="Y66" s="99"/>
      <c r="Z66" s="96"/>
      <c r="AA66" s="96"/>
      <c r="AB66" s="100"/>
      <c r="AC66" s="100"/>
      <c r="AD66" s="100"/>
      <c r="AE66" s="100"/>
      <c r="AF66" s="100"/>
      <c r="AG66" s="100"/>
      <c r="AH66" s="100"/>
      <c r="AI66" s="100"/>
      <c r="AJ66" s="100"/>
      <c r="AK66" s="100"/>
      <c r="AL66" s="100"/>
      <c r="AM66" s="100"/>
      <c r="AN66" s="100"/>
      <c r="AO66" s="100"/>
      <c r="AP66" s="100"/>
      <c r="AQ66" s="100"/>
      <c r="AR66" s="100"/>
      <c r="AS66" s="100"/>
      <c r="AT66" s="100"/>
      <c r="AU66" s="100"/>
      <c r="AV66" s="100"/>
      <c r="AW66" s="100"/>
      <c r="AX66" s="100"/>
      <c r="AY66" s="100"/>
      <c r="AZ66" s="100"/>
      <c r="BA66" s="100"/>
      <c r="BB66" s="100"/>
      <c r="BC66" s="100"/>
      <c r="BD66" s="100"/>
      <c r="BE66" s="100"/>
      <c r="BF66" s="100"/>
    </row>
    <row r="67" spans="1:58" ht="15" customHeight="1">
      <c r="A67" s="312" t="s">
        <v>947</v>
      </c>
      <c r="B67" s="232">
        <v>12</v>
      </c>
      <c r="C67" s="269">
        <v>1</v>
      </c>
      <c r="D67" s="269">
        <v>42</v>
      </c>
      <c r="E67" s="313" t="s">
        <v>55</v>
      </c>
      <c r="F67" s="261"/>
      <c r="G67" s="325" t="s">
        <v>937</v>
      </c>
      <c r="H67" s="596"/>
      <c r="I67" s="589"/>
      <c r="J67" s="597"/>
      <c r="K67" s="98"/>
      <c r="L67" s="98"/>
      <c r="M67" s="98"/>
      <c r="N67" s="98"/>
      <c r="O67" s="98"/>
      <c r="P67" s="98"/>
      <c r="Q67" s="98"/>
      <c r="R67" s="98"/>
      <c r="S67" s="98"/>
      <c r="T67" s="98"/>
      <c r="U67" s="96"/>
      <c r="V67" s="96"/>
      <c r="W67" s="96"/>
      <c r="X67" s="96"/>
      <c r="Y67" s="99"/>
      <c r="Z67" s="96"/>
      <c r="AA67" s="96"/>
      <c r="AB67" s="100"/>
      <c r="AC67" s="100"/>
      <c r="AD67" s="100"/>
      <c r="AE67" s="100"/>
      <c r="AF67" s="100"/>
      <c r="AG67" s="100"/>
      <c r="AH67" s="100"/>
      <c r="AI67" s="100"/>
      <c r="AJ67" s="100"/>
      <c r="AK67" s="100"/>
      <c r="AL67" s="100"/>
      <c r="AM67" s="100"/>
      <c r="AN67" s="100"/>
      <c r="AO67" s="100"/>
      <c r="AP67" s="100"/>
      <c r="AQ67" s="100"/>
      <c r="AR67" s="100"/>
      <c r="AS67" s="100"/>
      <c r="AT67" s="100"/>
      <c r="AU67" s="100"/>
      <c r="AV67" s="100"/>
      <c r="AW67" s="100"/>
      <c r="AX67" s="100"/>
      <c r="AY67" s="100"/>
      <c r="AZ67" s="100"/>
      <c r="BA67" s="100"/>
      <c r="BB67" s="100"/>
      <c r="BC67" s="100"/>
      <c r="BD67" s="100"/>
      <c r="BE67" s="100"/>
      <c r="BF67" s="100"/>
    </row>
    <row r="68" spans="1:58" ht="15" customHeight="1">
      <c r="A68" s="312" t="s">
        <v>948</v>
      </c>
      <c r="B68" s="232">
        <v>12</v>
      </c>
      <c r="C68" s="269">
        <v>1</v>
      </c>
      <c r="D68" s="269">
        <v>42</v>
      </c>
      <c r="E68" s="313" t="s">
        <v>55</v>
      </c>
      <c r="F68" s="369" t="s">
        <v>644</v>
      </c>
      <c r="G68" s="325" t="s">
        <v>937</v>
      </c>
      <c r="H68" s="596"/>
      <c r="I68" s="589"/>
      <c r="J68" s="597"/>
      <c r="K68" s="98"/>
      <c r="L68" s="98"/>
      <c r="M68" s="98"/>
      <c r="N68" s="98"/>
      <c r="O68" s="98"/>
      <c r="P68" s="98"/>
      <c r="Q68" s="98"/>
      <c r="R68" s="98"/>
      <c r="S68" s="98"/>
      <c r="T68" s="98"/>
      <c r="U68" s="96"/>
      <c r="V68" s="96"/>
      <c r="W68" s="96"/>
      <c r="X68" s="96"/>
      <c r="Y68" s="99"/>
      <c r="Z68" s="96"/>
      <c r="AA68" s="96"/>
      <c r="AB68" s="100"/>
      <c r="AC68" s="100"/>
      <c r="AD68" s="100"/>
      <c r="AE68" s="100"/>
      <c r="AF68" s="100"/>
      <c r="AG68" s="100"/>
      <c r="AH68" s="100"/>
      <c r="AI68" s="100"/>
      <c r="AJ68" s="100"/>
      <c r="AK68" s="100"/>
      <c r="AL68" s="100"/>
      <c r="AM68" s="100"/>
      <c r="AN68" s="100"/>
      <c r="AO68" s="100"/>
      <c r="AP68" s="100"/>
      <c r="AQ68" s="100"/>
      <c r="AR68" s="100"/>
      <c r="AS68" s="100"/>
      <c r="AT68" s="100"/>
      <c r="AU68" s="100"/>
      <c r="AV68" s="100"/>
      <c r="AW68" s="100"/>
      <c r="AX68" s="100"/>
      <c r="AY68" s="100"/>
      <c r="AZ68" s="100"/>
      <c r="BA68" s="100"/>
      <c r="BB68" s="100"/>
      <c r="BC68" s="100"/>
      <c r="BD68" s="100"/>
      <c r="BE68" s="100"/>
      <c r="BF68" s="100"/>
    </row>
    <row r="69" spans="1:58" ht="15" customHeight="1">
      <c r="A69" s="312" t="s">
        <v>949</v>
      </c>
      <c r="B69" s="232">
        <v>12</v>
      </c>
      <c r="C69" s="269">
        <v>1</v>
      </c>
      <c r="D69" s="269">
        <v>42</v>
      </c>
      <c r="E69" s="313" t="s">
        <v>55</v>
      </c>
      <c r="F69" s="369" t="s">
        <v>644</v>
      </c>
      <c r="G69" s="325"/>
      <c r="H69" s="596"/>
      <c r="I69" s="589"/>
      <c r="J69" s="597"/>
      <c r="K69" s="98"/>
      <c r="L69" s="98"/>
      <c r="M69" s="98"/>
      <c r="N69" s="98"/>
      <c r="O69" s="98"/>
      <c r="P69" s="98"/>
      <c r="Q69" s="98"/>
      <c r="R69" s="98"/>
      <c r="S69" s="98"/>
      <c r="T69" s="98"/>
      <c r="U69" s="96"/>
      <c r="V69" s="96"/>
      <c r="W69" s="96"/>
      <c r="X69" s="96"/>
      <c r="Y69" s="99"/>
      <c r="Z69" s="96"/>
      <c r="AA69" s="96"/>
      <c r="AB69" s="100"/>
      <c r="AC69" s="100"/>
      <c r="AD69" s="100"/>
      <c r="AE69" s="100"/>
      <c r="AF69" s="100"/>
      <c r="AG69" s="100"/>
      <c r="AH69" s="100"/>
      <c r="AI69" s="100"/>
      <c r="AJ69" s="100"/>
      <c r="AK69" s="100"/>
      <c r="AL69" s="100"/>
      <c r="AM69" s="100"/>
      <c r="AN69" s="100"/>
      <c r="AO69" s="100"/>
      <c r="AP69" s="100"/>
      <c r="AQ69" s="100"/>
      <c r="AR69" s="100"/>
      <c r="AS69" s="100"/>
      <c r="AT69" s="100"/>
      <c r="AU69" s="100"/>
      <c r="AV69" s="100"/>
      <c r="AW69" s="100"/>
      <c r="AX69" s="100"/>
      <c r="AY69" s="100"/>
      <c r="AZ69" s="100"/>
      <c r="BA69" s="100"/>
      <c r="BB69" s="100"/>
      <c r="BC69" s="100"/>
      <c r="BD69" s="100"/>
      <c r="BE69" s="100"/>
      <c r="BF69" s="100"/>
    </row>
    <row r="70" spans="1:58" ht="15" customHeight="1">
      <c r="A70" s="312" t="s">
        <v>950</v>
      </c>
      <c r="B70" s="232">
        <v>12</v>
      </c>
      <c r="C70" s="269">
        <v>1</v>
      </c>
      <c r="D70" s="269">
        <v>42</v>
      </c>
      <c r="E70" s="313" t="s">
        <v>55</v>
      </c>
      <c r="F70" s="369" t="s">
        <v>644</v>
      </c>
      <c r="G70" s="325"/>
      <c r="H70" s="596"/>
      <c r="I70" s="589"/>
      <c r="J70" s="597"/>
      <c r="K70" s="98"/>
      <c r="L70" s="98"/>
      <c r="M70" s="98"/>
      <c r="N70" s="98"/>
      <c r="O70" s="98"/>
      <c r="P70" s="98"/>
      <c r="Q70" s="98"/>
      <c r="R70" s="98"/>
      <c r="S70" s="98"/>
      <c r="T70" s="98"/>
      <c r="U70" s="96"/>
      <c r="V70" s="96"/>
      <c r="W70" s="96"/>
      <c r="X70" s="96"/>
      <c r="Y70" s="99"/>
      <c r="Z70" s="96"/>
      <c r="AA70" s="96"/>
      <c r="AB70" s="100"/>
      <c r="AC70" s="100"/>
      <c r="AD70" s="100"/>
      <c r="AE70" s="100"/>
      <c r="AF70" s="100"/>
      <c r="AG70" s="100"/>
      <c r="AH70" s="100"/>
      <c r="AI70" s="100"/>
      <c r="AJ70" s="100"/>
      <c r="AK70" s="100"/>
      <c r="AL70" s="100"/>
      <c r="AM70" s="100"/>
      <c r="AN70" s="100"/>
      <c r="AO70" s="100"/>
      <c r="AP70" s="100"/>
      <c r="AQ70" s="100"/>
      <c r="AR70" s="100"/>
      <c r="AS70" s="100"/>
      <c r="AT70" s="100"/>
      <c r="AU70" s="100"/>
      <c r="AV70" s="100"/>
      <c r="AW70" s="100"/>
      <c r="AX70" s="100"/>
      <c r="AY70" s="100"/>
      <c r="AZ70" s="100"/>
      <c r="BA70" s="100"/>
      <c r="BB70" s="100"/>
      <c r="BC70" s="100"/>
      <c r="BD70" s="100"/>
      <c r="BE70" s="100"/>
      <c r="BF70" s="100"/>
    </row>
    <row r="71" spans="1:58" ht="15" customHeight="1">
      <c r="A71" s="312" t="s">
        <v>951</v>
      </c>
      <c r="B71" s="232">
        <v>10</v>
      </c>
      <c r="C71" s="269">
        <v>1</v>
      </c>
      <c r="D71" s="269">
        <v>8</v>
      </c>
      <c r="E71" s="313" t="s">
        <v>57</v>
      </c>
      <c r="F71" s="369" t="s">
        <v>644</v>
      </c>
      <c r="G71" s="325" t="s">
        <v>952</v>
      </c>
      <c r="H71" s="596"/>
      <c r="I71" s="589"/>
      <c r="J71" s="597"/>
      <c r="K71" s="98"/>
      <c r="L71" s="98"/>
      <c r="M71" s="98"/>
      <c r="N71" s="98"/>
      <c r="O71" s="98"/>
      <c r="P71" s="98"/>
      <c r="Q71" s="98"/>
      <c r="R71" s="98"/>
      <c r="S71" s="98"/>
      <c r="T71" s="98"/>
      <c r="U71" s="96"/>
      <c r="V71" s="96"/>
      <c r="W71" s="96"/>
      <c r="X71" s="96"/>
      <c r="Y71" s="99"/>
      <c r="Z71" s="96"/>
      <c r="AA71" s="96"/>
      <c r="AB71" s="100"/>
      <c r="AC71" s="100"/>
      <c r="AD71" s="100"/>
      <c r="AE71" s="100"/>
      <c r="AF71" s="100"/>
      <c r="AG71" s="100"/>
      <c r="AH71" s="100"/>
      <c r="AI71" s="100"/>
      <c r="AJ71" s="100"/>
      <c r="AK71" s="100"/>
      <c r="AL71" s="100"/>
      <c r="AM71" s="100"/>
      <c r="AN71" s="100"/>
      <c r="AO71" s="100"/>
      <c r="AP71" s="100"/>
      <c r="AQ71" s="100"/>
      <c r="AR71" s="100"/>
      <c r="AS71" s="100"/>
      <c r="AT71" s="100"/>
      <c r="AU71" s="100"/>
      <c r="AV71" s="100"/>
      <c r="AW71" s="100"/>
      <c r="AX71" s="100"/>
      <c r="AY71" s="100"/>
      <c r="AZ71" s="100"/>
      <c r="BA71" s="100"/>
      <c r="BB71" s="100"/>
      <c r="BC71" s="100"/>
      <c r="BD71" s="100"/>
      <c r="BE71" s="100"/>
      <c r="BF71" s="100"/>
    </row>
    <row r="72" spans="1:58" ht="15" customHeight="1">
      <c r="A72" s="312" t="s">
        <v>953</v>
      </c>
      <c r="B72" s="232">
        <v>10</v>
      </c>
      <c r="C72" s="269">
        <v>1</v>
      </c>
      <c r="D72" s="269">
        <v>8</v>
      </c>
      <c r="E72" s="313" t="s">
        <v>57</v>
      </c>
      <c r="F72" s="369" t="s">
        <v>644</v>
      </c>
      <c r="G72" s="325" t="s">
        <v>952</v>
      </c>
      <c r="H72" s="596"/>
      <c r="I72" s="589"/>
      <c r="J72" s="597"/>
      <c r="K72" s="98"/>
      <c r="L72" s="98"/>
      <c r="M72" s="98"/>
      <c r="N72" s="98"/>
      <c r="O72" s="98"/>
      <c r="P72" s="98"/>
      <c r="Q72" s="98"/>
      <c r="R72" s="98"/>
      <c r="S72" s="98"/>
      <c r="T72" s="98"/>
      <c r="U72" s="96"/>
      <c r="V72" s="96"/>
      <c r="W72" s="96"/>
      <c r="X72" s="96"/>
      <c r="Y72" s="99"/>
      <c r="Z72" s="96"/>
      <c r="AA72" s="96"/>
      <c r="AB72" s="100"/>
      <c r="AC72" s="100"/>
      <c r="AD72" s="100"/>
      <c r="AE72" s="100"/>
      <c r="AF72" s="100"/>
      <c r="AG72" s="100"/>
      <c r="AH72" s="100"/>
      <c r="AI72" s="100"/>
      <c r="AJ72" s="100"/>
      <c r="AK72" s="100"/>
      <c r="AL72" s="100"/>
      <c r="AM72" s="100"/>
      <c r="AN72" s="100"/>
      <c r="AO72" s="100"/>
      <c r="AP72" s="100"/>
      <c r="AQ72" s="100"/>
      <c r="AR72" s="100"/>
      <c r="AS72" s="100"/>
      <c r="AT72" s="100"/>
      <c r="AU72" s="100"/>
      <c r="AV72" s="100"/>
      <c r="AW72" s="100"/>
      <c r="AX72" s="100"/>
      <c r="AY72" s="100"/>
      <c r="AZ72" s="100"/>
      <c r="BA72" s="100"/>
      <c r="BB72" s="100"/>
      <c r="BC72" s="100"/>
      <c r="BD72" s="100"/>
      <c r="BE72" s="100"/>
      <c r="BF72" s="100"/>
    </row>
    <row r="73" spans="1:58" ht="15" customHeight="1">
      <c r="A73" s="312" t="s">
        <v>954</v>
      </c>
      <c r="B73" s="232">
        <v>10</v>
      </c>
      <c r="C73" s="269">
        <v>1</v>
      </c>
      <c r="D73" s="269">
        <v>8</v>
      </c>
      <c r="E73" s="313" t="s">
        <v>55</v>
      </c>
      <c r="F73" s="369" t="s">
        <v>644</v>
      </c>
      <c r="G73" s="325" t="s">
        <v>952</v>
      </c>
      <c r="H73" s="596"/>
      <c r="I73" s="589"/>
      <c r="J73" s="597"/>
      <c r="K73" s="98"/>
      <c r="L73" s="98"/>
      <c r="M73" s="98"/>
      <c r="N73" s="98"/>
      <c r="O73" s="98"/>
      <c r="P73" s="98"/>
      <c r="Q73" s="98"/>
      <c r="R73" s="98"/>
      <c r="S73" s="98"/>
      <c r="T73" s="98"/>
      <c r="U73" s="96"/>
      <c r="V73" s="96"/>
      <c r="W73" s="96"/>
      <c r="X73" s="96"/>
      <c r="Y73" s="99"/>
      <c r="Z73" s="96"/>
      <c r="AA73" s="96"/>
      <c r="AB73" s="100"/>
      <c r="AC73" s="100"/>
      <c r="AD73" s="100"/>
      <c r="AE73" s="100"/>
      <c r="AF73" s="100"/>
      <c r="AG73" s="100"/>
      <c r="AH73" s="100"/>
      <c r="AI73" s="100"/>
      <c r="AJ73" s="100"/>
      <c r="AK73" s="100"/>
      <c r="AL73" s="100"/>
      <c r="AM73" s="100"/>
      <c r="AN73" s="100"/>
      <c r="AO73" s="100"/>
      <c r="AP73" s="100"/>
      <c r="AQ73" s="100"/>
      <c r="AR73" s="100"/>
      <c r="AS73" s="100"/>
      <c r="AT73" s="100"/>
      <c r="AU73" s="100"/>
      <c r="AV73" s="100"/>
      <c r="AW73" s="100"/>
      <c r="AX73" s="100"/>
      <c r="AY73" s="100"/>
      <c r="AZ73" s="100"/>
      <c r="BA73" s="100"/>
      <c r="BB73" s="100"/>
      <c r="BC73" s="100"/>
      <c r="BD73" s="100"/>
      <c r="BE73" s="100"/>
      <c r="BF73" s="100"/>
    </row>
    <row r="74" spans="1:58" ht="15" customHeight="1">
      <c r="A74" s="312" t="s">
        <v>955</v>
      </c>
      <c r="B74" s="232">
        <v>10</v>
      </c>
      <c r="C74" s="269">
        <v>1</v>
      </c>
      <c r="D74" s="269">
        <v>8</v>
      </c>
      <c r="E74" s="313" t="s">
        <v>55</v>
      </c>
      <c r="F74" s="369" t="s">
        <v>644</v>
      </c>
      <c r="G74" s="325" t="s">
        <v>952</v>
      </c>
      <c r="H74" s="596"/>
      <c r="I74" s="589"/>
      <c r="J74" s="597"/>
      <c r="K74" s="98"/>
      <c r="L74" s="98"/>
      <c r="M74" s="98"/>
      <c r="N74" s="98"/>
      <c r="O74" s="98"/>
      <c r="P74" s="98"/>
      <c r="Q74" s="98"/>
      <c r="R74" s="98"/>
      <c r="S74" s="98"/>
      <c r="T74" s="98"/>
      <c r="U74" s="96"/>
      <c r="V74" s="96"/>
      <c r="W74" s="96"/>
      <c r="X74" s="96"/>
      <c r="Y74" s="99"/>
      <c r="Z74" s="96"/>
      <c r="AA74" s="96"/>
      <c r="AB74" s="100"/>
      <c r="AC74" s="100"/>
      <c r="AD74" s="100"/>
      <c r="AE74" s="100"/>
      <c r="AF74" s="100"/>
      <c r="AG74" s="100"/>
      <c r="AH74" s="100"/>
      <c r="AI74" s="100"/>
      <c r="AJ74" s="100"/>
      <c r="AK74" s="100"/>
      <c r="AL74" s="100"/>
      <c r="AM74" s="100"/>
      <c r="AN74" s="100"/>
      <c r="AO74" s="100"/>
      <c r="AP74" s="100"/>
      <c r="AQ74" s="100"/>
      <c r="AR74" s="100"/>
      <c r="AS74" s="100"/>
      <c r="AT74" s="100"/>
      <c r="AU74" s="100"/>
      <c r="AV74" s="100"/>
      <c r="AW74" s="100"/>
      <c r="AX74" s="100"/>
      <c r="AY74" s="100"/>
      <c r="AZ74" s="100"/>
      <c r="BA74" s="100"/>
      <c r="BB74" s="100"/>
      <c r="BC74" s="100"/>
      <c r="BD74" s="100"/>
      <c r="BE74" s="100"/>
      <c r="BF74" s="100"/>
    </row>
    <row r="75" spans="1:58" ht="15" customHeight="1">
      <c r="A75" s="312" t="s">
        <v>956</v>
      </c>
      <c r="B75" s="232">
        <v>10</v>
      </c>
      <c r="C75" s="269">
        <v>1</v>
      </c>
      <c r="D75" s="269">
        <v>8</v>
      </c>
      <c r="E75" s="313" t="s">
        <v>55</v>
      </c>
      <c r="F75" s="369" t="s">
        <v>644</v>
      </c>
      <c r="G75" s="325" t="s">
        <v>952</v>
      </c>
      <c r="H75" s="596"/>
      <c r="I75" s="589"/>
      <c r="J75" s="597"/>
      <c r="K75" s="98"/>
      <c r="L75" s="98"/>
      <c r="M75" s="98"/>
      <c r="N75" s="98"/>
      <c r="O75" s="98"/>
      <c r="P75" s="98"/>
      <c r="Q75" s="98"/>
      <c r="R75" s="98"/>
      <c r="S75" s="98"/>
      <c r="T75" s="98"/>
      <c r="U75" s="96"/>
      <c r="V75" s="96"/>
      <c r="W75" s="96"/>
      <c r="X75" s="96"/>
      <c r="Y75" s="99"/>
      <c r="Z75" s="96"/>
      <c r="AA75" s="96"/>
      <c r="AB75" s="100"/>
      <c r="AC75" s="100"/>
      <c r="AD75" s="100"/>
      <c r="AE75" s="100"/>
      <c r="AF75" s="100"/>
      <c r="AG75" s="100"/>
      <c r="AH75" s="100"/>
      <c r="AI75" s="100"/>
      <c r="AJ75" s="100"/>
      <c r="AK75" s="100"/>
      <c r="AL75" s="100"/>
      <c r="AM75" s="100"/>
      <c r="AN75" s="100"/>
      <c r="AO75" s="100"/>
      <c r="AP75" s="100"/>
      <c r="AQ75" s="100"/>
      <c r="AR75" s="100"/>
      <c r="AS75" s="100"/>
      <c r="AT75" s="100"/>
      <c r="AU75" s="100"/>
      <c r="AV75" s="100"/>
      <c r="AW75" s="100"/>
      <c r="AX75" s="100"/>
      <c r="AY75" s="100"/>
      <c r="AZ75" s="100"/>
      <c r="BA75" s="100"/>
      <c r="BB75" s="100"/>
      <c r="BC75" s="100"/>
      <c r="BD75" s="100"/>
      <c r="BE75" s="100"/>
      <c r="BF75" s="100"/>
    </row>
    <row r="76" spans="1:58" ht="15" customHeight="1">
      <c r="A76" s="312" t="s">
        <v>957</v>
      </c>
      <c r="B76" s="232">
        <v>10</v>
      </c>
      <c r="C76" s="269">
        <v>1</v>
      </c>
      <c r="D76" s="269">
        <v>8</v>
      </c>
      <c r="E76" s="313" t="s">
        <v>55</v>
      </c>
      <c r="F76" s="369" t="s">
        <v>644</v>
      </c>
      <c r="G76" s="325" t="s">
        <v>952</v>
      </c>
      <c r="H76" s="596"/>
      <c r="I76" s="589"/>
      <c r="J76" s="597"/>
      <c r="K76" s="98"/>
      <c r="L76" s="98"/>
      <c r="M76" s="98"/>
      <c r="N76" s="98"/>
      <c r="O76" s="98"/>
      <c r="P76" s="98"/>
      <c r="Q76" s="98"/>
      <c r="R76" s="98"/>
      <c r="S76" s="98"/>
      <c r="T76" s="98"/>
      <c r="U76" s="96"/>
      <c r="V76" s="96"/>
      <c r="W76" s="96"/>
      <c r="X76" s="96"/>
      <c r="Y76" s="99"/>
      <c r="Z76" s="96"/>
      <c r="AA76" s="96"/>
      <c r="AB76" s="100"/>
      <c r="AC76" s="100"/>
      <c r="AD76" s="100"/>
      <c r="AE76" s="100"/>
      <c r="AF76" s="100"/>
      <c r="AG76" s="100"/>
      <c r="AH76" s="100"/>
      <c r="AI76" s="100"/>
      <c r="AJ76" s="100"/>
      <c r="AK76" s="100"/>
      <c r="AL76" s="100"/>
      <c r="AM76" s="100"/>
      <c r="AN76" s="100"/>
      <c r="AO76" s="100"/>
      <c r="AP76" s="100"/>
      <c r="AQ76" s="100"/>
      <c r="AR76" s="100"/>
      <c r="AS76" s="100"/>
      <c r="AT76" s="100"/>
      <c r="AU76" s="100"/>
      <c r="AV76" s="100"/>
      <c r="AW76" s="100"/>
      <c r="AX76" s="100"/>
      <c r="AY76" s="100"/>
      <c r="AZ76" s="100"/>
      <c r="BA76" s="100"/>
      <c r="BB76" s="100"/>
      <c r="BC76" s="100"/>
      <c r="BD76" s="100"/>
      <c r="BE76" s="100"/>
      <c r="BF76" s="100"/>
    </row>
    <row r="77" spans="1:58" ht="15" customHeight="1">
      <c r="A77" s="312" t="s">
        <v>958</v>
      </c>
      <c r="B77" s="232">
        <v>10</v>
      </c>
      <c r="C77" s="269">
        <v>1</v>
      </c>
      <c r="D77" s="269">
        <v>8</v>
      </c>
      <c r="E77" s="313" t="s">
        <v>55</v>
      </c>
      <c r="F77" s="369" t="s">
        <v>644</v>
      </c>
      <c r="G77" s="325" t="s">
        <v>952</v>
      </c>
      <c r="H77" s="596"/>
      <c r="I77" s="589"/>
      <c r="J77" s="597"/>
      <c r="K77" s="98"/>
      <c r="L77" s="98"/>
      <c r="M77" s="98"/>
      <c r="N77" s="98"/>
      <c r="O77" s="98"/>
      <c r="P77" s="98"/>
      <c r="Q77" s="98"/>
      <c r="R77" s="98"/>
      <c r="S77" s="98"/>
      <c r="T77" s="98"/>
      <c r="U77" s="96"/>
      <c r="V77" s="96"/>
      <c r="W77" s="96"/>
      <c r="X77" s="96"/>
      <c r="Y77" s="99"/>
      <c r="Z77" s="96"/>
      <c r="AA77" s="96"/>
      <c r="AB77" s="100"/>
      <c r="AC77" s="100"/>
      <c r="AD77" s="100"/>
      <c r="AE77" s="100"/>
      <c r="AF77" s="100"/>
      <c r="AG77" s="100"/>
      <c r="AH77" s="100"/>
      <c r="AI77" s="100"/>
      <c r="AJ77" s="100"/>
      <c r="AK77" s="100"/>
      <c r="AL77" s="100"/>
      <c r="AM77" s="100"/>
      <c r="AN77" s="100"/>
      <c r="AO77" s="100"/>
      <c r="AP77" s="100"/>
      <c r="AQ77" s="100"/>
      <c r="AR77" s="100"/>
      <c r="AS77" s="100"/>
      <c r="AT77" s="100"/>
      <c r="AU77" s="100"/>
      <c r="AV77" s="100"/>
      <c r="AW77" s="100"/>
      <c r="AX77" s="100"/>
      <c r="AY77" s="100"/>
      <c r="AZ77" s="100"/>
      <c r="BA77" s="100"/>
      <c r="BB77" s="100"/>
      <c r="BC77" s="100"/>
      <c r="BD77" s="100"/>
      <c r="BE77" s="100"/>
      <c r="BF77" s="100"/>
    </row>
    <row r="78" spans="1:58" ht="15" customHeight="1">
      <c r="A78" s="312" t="s">
        <v>959</v>
      </c>
      <c r="B78" s="232">
        <v>10</v>
      </c>
      <c r="C78" s="269">
        <v>1</v>
      </c>
      <c r="D78" s="269">
        <v>8</v>
      </c>
      <c r="E78" s="313" t="s">
        <v>55</v>
      </c>
      <c r="F78" s="369" t="s">
        <v>644</v>
      </c>
      <c r="G78" s="325" t="s">
        <v>952</v>
      </c>
      <c r="H78" s="596"/>
      <c r="I78" s="589"/>
      <c r="J78" s="597"/>
      <c r="K78" s="98"/>
      <c r="L78" s="98"/>
      <c r="M78" s="98"/>
      <c r="N78" s="98"/>
      <c r="O78" s="98"/>
      <c r="P78" s="98"/>
      <c r="Q78" s="98"/>
      <c r="R78" s="98"/>
      <c r="S78" s="98"/>
      <c r="T78" s="98"/>
      <c r="U78" s="96"/>
      <c r="V78" s="96"/>
      <c r="W78" s="96"/>
      <c r="X78" s="96"/>
      <c r="Y78" s="99"/>
      <c r="Z78" s="96"/>
      <c r="AA78" s="96"/>
      <c r="AB78" s="100"/>
      <c r="AC78" s="100"/>
      <c r="AD78" s="100"/>
      <c r="AE78" s="100"/>
      <c r="AF78" s="100"/>
      <c r="AG78" s="100"/>
      <c r="AH78" s="100"/>
      <c r="AI78" s="100"/>
      <c r="AJ78" s="100"/>
      <c r="AK78" s="100"/>
      <c r="AL78" s="100"/>
      <c r="AM78" s="100"/>
      <c r="AN78" s="100"/>
      <c r="AO78" s="100"/>
      <c r="AP78" s="100"/>
      <c r="AQ78" s="100"/>
      <c r="AR78" s="100"/>
      <c r="AS78" s="100"/>
      <c r="AT78" s="100"/>
      <c r="AU78" s="100"/>
      <c r="AV78" s="100"/>
      <c r="AW78" s="100"/>
      <c r="AX78" s="100"/>
      <c r="AY78" s="100"/>
      <c r="AZ78" s="100"/>
      <c r="BA78" s="100"/>
      <c r="BB78" s="100"/>
      <c r="BC78" s="100"/>
      <c r="BD78" s="100"/>
      <c r="BE78" s="100"/>
      <c r="BF78" s="100"/>
    </row>
    <row r="79" spans="1:58" ht="15" customHeight="1">
      <c r="A79" s="312" t="s">
        <v>960</v>
      </c>
      <c r="B79" s="232">
        <v>10</v>
      </c>
      <c r="C79" s="269">
        <v>1</v>
      </c>
      <c r="D79" s="269">
        <v>8</v>
      </c>
      <c r="E79" s="313" t="s">
        <v>55</v>
      </c>
      <c r="F79" s="369" t="s">
        <v>644</v>
      </c>
      <c r="G79" s="325" t="s">
        <v>952</v>
      </c>
      <c r="H79" s="596"/>
      <c r="I79" s="589"/>
      <c r="J79" s="597"/>
      <c r="K79" s="98"/>
      <c r="L79" s="98"/>
      <c r="M79" s="98"/>
      <c r="N79" s="98"/>
      <c r="O79" s="98"/>
      <c r="P79" s="98"/>
      <c r="Q79" s="98"/>
      <c r="R79" s="98"/>
      <c r="S79" s="98"/>
      <c r="T79" s="98"/>
      <c r="U79" s="96"/>
      <c r="V79" s="96"/>
      <c r="W79" s="96"/>
      <c r="X79" s="96"/>
      <c r="Y79" s="99"/>
      <c r="Z79" s="96"/>
      <c r="AA79" s="96"/>
      <c r="AB79" s="100"/>
      <c r="AC79" s="100"/>
      <c r="AD79" s="100"/>
      <c r="AE79" s="100"/>
      <c r="AF79" s="100"/>
      <c r="AG79" s="100"/>
      <c r="AH79" s="100"/>
      <c r="AI79" s="100"/>
      <c r="AJ79" s="100"/>
      <c r="AK79" s="100"/>
      <c r="AL79" s="100"/>
      <c r="AM79" s="100"/>
      <c r="AN79" s="100"/>
      <c r="AO79" s="100"/>
      <c r="AP79" s="100"/>
      <c r="AQ79" s="100"/>
      <c r="AR79" s="100"/>
      <c r="AS79" s="100"/>
      <c r="AT79" s="100"/>
      <c r="AU79" s="100"/>
      <c r="AV79" s="100"/>
      <c r="AW79" s="100"/>
      <c r="AX79" s="100"/>
      <c r="AY79" s="100"/>
      <c r="AZ79" s="100"/>
      <c r="BA79" s="100"/>
      <c r="BB79" s="100"/>
      <c r="BC79" s="100"/>
      <c r="BD79" s="100"/>
      <c r="BE79" s="100"/>
      <c r="BF79" s="100"/>
    </row>
    <row r="80" spans="1:58" ht="15" customHeight="1">
      <c r="A80" s="312" t="s">
        <v>961</v>
      </c>
      <c r="B80" s="232">
        <v>10</v>
      </c>
      <c r="C80" s="269">
        <v>1</v>
      </c>
      <c r="D80" s="269">
        <v>8</v>
      </c>
      <c r="E80" s="313" t="s">
        <v>55</v>
      </c>
      <c r="F80" s="369" t="s">
        <v>644</v>
      </c>
      <c r="G80" s="325" t="s">
        <v>952</v>
      </c>
      <c r="H80" s="596"/>
      <c r="I80" s="589"/>
      <c r="J80" s="597"/>
      <c r="K80" s="98"/>
      <c r="L80" s="98"/>
      <c r="M80" s="98"/>
      <c r="N80" s="98"/>
      <c r="O80" s="98"/>
      <c r="P80" s="98"/>
      <c r="Q80" s="98"/>
      <c r="R80" s="98"/>
      <c r="S80" s="98"/>
      <c r="T80" s="98"/>
      <c r="U80" s="96"/>
      <c r="V80" s="96"/>
      <c r="W80" s="96"/>
      <c r="X80" s="96"/>
      <c r="Y80" s="99"/>
      <c r="Z80" s="96"/>
      <c r="AA80" s="96"/>
      <c r="AB80" s="100"/>
      <c r="AC80" s="100"/>
      <c r="AD80" s="100"/>
      <c r="AE80" s="100"/>
      <c r="AF80" s="100"/>
      <c r="AG80" s="100"/>
      <c r="AH80" s="100"/>
      <c r="AI80" s="100"/>
      <c r="AJ80" s="100"/>
      <c r="AK80" s="100"/>
      <c r="AL80" s="100"/>
      <c r="AM80" s="100"/>
      <c r="AN80" s="100"/>
      <c r="AO80" s="100"/>
      <c r="AP80" s="100"/>
      <c r="AQ80" s="100"/>
      <c r="AR80" s="100"/>
      <c r="AS80" s="100"/>
      <c r="AT80" s="100"/>
      <c r="AU80" s="100"/>
      <c r="AV80" s="100"/>
      <c r="AW80" s="100"/>
      <c r="AX80" s="100"/>
      <c r="AY80" s="100"/>
      <c r="AZ80" s="100"/>
      <c r="BA80" s="100"/>
      <c r="BB80" s="100"/>
      <c r="BC80" s="100"/>
      <c r="BD80" s="100"/>
      <c r="BE80" s="100"/>
      <c r="BF80" s="100"/>
    </row>
    <row r="81" spans="1:58" ht="15" customHeight="1">
      <c r="A81" s="312" t="s">
        <v>962</v>
      </c>
      <c r="B81" s="232">
        <v>10</v>
      </c>
      <c r="C81" s="269">
        <v>1</v>
      </c>
      <c r="D81" s="269">
        <v>8</v>
      </c>
      <c r="E81" s="313" t="s">
        <v>55</v>
      </c>
      <c r="F81" s="369" t="s">
        <v>644</v>
      </c>
      <c r="G81" s="325" t="s">
        <v>952</v>
      </c>
      <c r="H81" s="596"/>
      <c r="I81" s="589"/>
      <c r="J81" s="597"/>
      <c r="K81" s="98"/>
      <c r="L81" s="98"/>
      <c r="M81" s="98"/>
      <c r="N81" s="98"/>
      <c r="O81" s="98"/>
      <c r="P81" s="98"/>
      <c r="Q81" s="98"/>
      <c r="R81" s="98"/>
      <c r="S81" s="98"/>
      <c r="T81" s="98"/>
      <c r="U81" s="96"/>
      <c r="V81" s="96"/>
      <c r="W81" s="96"/>
      <c r="X81" s="96"/>
      <c r="Y81" s="99"/>
      <c r="Z81" s="96"/>
      <c r="AA81" s="96"/>
      <c r="AB81" s="100"/>
      <c r="AC81" s="100"/>
      <c r="AD81" s="100"/>
      <c r="AE81" s="100"/>
      <c r="AF81" s="100"/>
      <c r="AG81" s="100"/>
      <c r="AH81" s="100"/>
      <c r="AI81" s="100"/>
      <c r="AJ81" s="100"/>
      <c r="AK81" s="100"/>
      <c r="AL81" s="100"/>
      <c r="AM81" s="100"/>
      <c r="AN81" s="100"/>
      <c r="AO81" s="100"/>
      <c r="AP81" s="100"/>
      <c r="AQ81" s="100"/>
      <c r="AR81" s="100"/>
      <c r="AS81" s="100"/>
      <c r="AT81" s="100"/>
      <c r="AU81" s="100"/>
      <c r="AV81" s="100"/>
      <c r="AW81" s="100"/>
      <c r="AX81" s="100"/>
      <c r="AY81" s="100"/>
      <c r="AZ81" s="100"/>
      <c r="BA81" s="100"/>
      <c r="BB81" s="100"/>
      <c r="BC81" s="100"/>
      <c r="BD81" s="100"/>
      <c r="BE81" s="100"/>
      <c r="BF81" s="100"/>
    </row>
    <row r="82" spans="1:58" ht="15" customHeight="1">
      <c r="A82" s="312" t="s">
        <v>963</v>
      </c>
      <c r="B82" s="232">
        <v>10</v>
      </c>
      <c r="C82" s="269">
        <v>1</v>
      </c>
      <c r="D82" s="269">
        <v>8</v>
      </c>
      <c r="E82" s="313" t="s">
        <v>55</v>
      </c>
      <c r="F82" s="369" t="s">
        <v>644</v>
      </c>
      <c r="G82" s="325" t="s">
        <v>952</v>
      </c>
      <c r="H82" s="596"/>
      <c r="I82" s="589"/>
      <c r="J82" s="597"/>
      <c r="K82" s="98"/>
      <c r="L82" s="98"/>
      <c r="M82" s="98"/>
      <c r="N82" s="98"/>
      <c r="O82" s="98"/>
      <c r="P82" s="98"/>
      <c r="Q82" s="98"/>
      <c r="R82" s="98"/>
      <c r="S82" s="98"/>
      <c r="T82" s="98"/>
      <c r="U82" s="96"/>
      <c r="V82" s="96"/>
      <c r="W82" s="96"/>
      <c r="X82" s="96"/>
      <c r="Y82" s="99"/>
      <c r="Z82" s="96"/>
      <c r="AA82" s="96"/>
      <c r="AB82" s="100"/>
      <c r="AC82" s="100"/>
      <c r="AD82" s="100"/>
      <c r="AE82" s="100"/>
      <c r="AF82" s="100"/>
      <c r="AG82" s="100"/>
      <c r="AH82" s="100"/>
      <c r="AI82" s="100"/>
      <c r="AJ82" s="100"/>
      <c r="AK82" s="100"/>
      <c r="AL82" s="100"/>
      <c r="AM82" s="100"/>
      <c r="AN82" s="100"/>
      <c r="AO82" s="100"/>
      <c r="AP82" s="100"/>
      <c r="AQ82" s="100"/>
      <c r="AR82" s="100"/>
      <c r="AS82" s="100"/>
      <c r="AT82" s="100"/>
      <c r="AU82" s="100"/>
      <c r="AV82" s="100"/>
      <c r="AW82" s="100"/>
      <c r="AX82" s="100"/>
      <c r="AY82" s="100"/>
      <c r="AZ82" s="100"/>
      <c r="BA82" s="100"/>
      <c r="BB82" s="100"/>
      <c r="BC82" s="100"/>
      <c r="BD82" s="100"/>
      <c r="BE82" s="100"/>
      <c r="BF82" s="100"/>
    </row>
    <row r="83" spans="1:58" ht="15" customHeight="1">
      <c r="A83" s="312" t="s">
        <v>964</v>
      </c>
      <c r="B83" s="232">
        <v>11</v>
      </c>
      <c r="C83" s="269">
        <v>1</v>
      </c>
      <c r="D83" s="269">
        <v>8</v>
      </c>
      <c r="E83" s="313" t="s">
        <v>55</v>
      </c>
      <c r="F83" s="369" t="s">
        <v>644</v>
      </c>
      <c r="G83" s="325" t="s">
        <v>952</v>
      </c>
      <c r="H83" s="596"/>
      <c r="I83" s="589"/>
      <c r="J83" s="597"/>
      <c r="K83" s="98"/>
      <c r="L83" s="98"/>
      <c r="M83" s="98"/>
      <c r="N83" s="98"/>
      <c r="O83" s="98"/>
      <c r="P83" s="98"/>
      <c r="Q83" s="98"/>
      <c r="R83" s="98"/>
      <c r="S83" s="98"/>
      <c r="T83" s="98"/>
      <c r="U83" s="96"/>
      <c r="V83" s="96"/>
      <c r="W83" s="96"/>
      <c r="X83" s="96"/>
      <c r="Y83" s="99"/>
      <c r="Z83" s="96"/>
      <c r="AA83" s="96"/>
      <c r="AB83" s="100"/>
      <c r="AC83" s="100"/>
      <c r="AD83" s="100"/>
      <c r="AE83" s="100"/>
      <c r="AF83" s="100"/>
      <c r="AG83" s="100"/>
      <c r="AH83" s="100"/>
      <c r="AI83" s="100"/>
      <c r="AJ83" s="100"/>
      <c r="AK83" s="100"/>
      <c r="AL83" s="100"/>
      <c r="AM83" s="100"/>
      <c r="AN83" s="100"/>
      <c r="AO83" s="100"/>
      <c r="AP83" s="100"/>
      <c r="AQ83" s="100"/>
      <c r="AR83" s="100"/>
      <c r="AS83" s="100"/>
      <c r="AT83" s="100"/>
      <c r="AU83" s="100"/>
      <c r="AV83" s="100"/>
      <c r="AW83" s="100"/>
      <c r="AX83" s="100"/>
      <c r="AY83" s="100"/>
      <c r="AZ83" s="100"/>
      <c r="BA83" s="100"/>
      <c r="BB83" s="100"/>
      <c r="BC83" s="100"/>
      <c r="BD83" s="100"/>
      <c r="BE83" s="100"/>
      <c r="BF83" s="100"/>
    </row>
    <row r="84" spans="1:58" ht="14.25" customHeight="1">
      <c r="A84" s="312" t="s">
        <v>965</v>
      </c>
      <c r="B84" s="232">
        <v>12</v>
      </c>
      <c r="C84" s="269">
        <v>1</v>
      </c>
      <c r="D84" s="269">
        <v>8</v>
      </c>
      <c r="E84" s="313" t="s">
        <v>55</v>
      </c>
      <c r="F84" s="369" t="s">
        <v>644</v>
      </c>
      <c r="G84" s="325" t="s">
        <v>952</v>
      </c>
      <c r="H84" s="596"/>
      <c r="I84" s="589"/>
      <c r="J84" s="597"/>
      <c r="K84" s="16"/>
      <c r="L84" s="16"/>
      <c r="M84" s="16"/>
      <c r="N84" s="16"/>
      <c r="O84" s="16"/>
      <c r="P84" s="16"/>
      <c r="Q84" s="16"/>
      <c r="R84" s="16"/>
      <c r="S84" s="16"/>
      <c r="T84" s="16"/>
      <c r="U84" s="16"/>
      <c r="V84" s="16"/>
      <c r="W84" s="16"/>
      <c r="X84" s="16"/>
      <c r="Y84" s="17"/>
      <c r="Z84" s="16"/>
      <c r="AA84" s="16"/>
    </row>
    <row r="85" spans="1:58" ht="14.25" customHeight="1">
      <c r="A85" s="312" t="s">
        <v>966</v>
      </c>
      <c r="B85" s="232">
        <v>13</v>
      </c>
      <c r="C85" s="269">
        <v>1</v>
      </c>
      <c r="D85" s="269">
        <v>8</v>
      </c>
      <c r="E85" s="313" t="s">
        <v>55</v>
      </c>
      <c r="F85" s="369" t="s">
        <v>644</v>
      </c>
      <c r="G85" s="325" t="s">
        <v>952</v>
      </c>
      <c r="H85" s="596"/>
      <c r="I85" s="589"/>
      <c r="J85" s="597"/>
      <c r="K85" s="16"/>
      <c r="L85" s="16"/>
      <c r="M85" s="16"/>
      <c r="N85" s="16"/>
      <c r="O85" s="16"/>
      <c r="P85" s="16"/>
      <c r="Q85" s="16"/>
      <c r="R85" s="16"/>
      <c r="S85" s="16"/>
      <c r="T85" s="16"/>
      <c r="U85" s="16"/>
      <c r="V85" s="16"/>
      <c r="W85" s="16"/>
      <c r="X85" s="16"/>
      <c r="Y85" s="17"/>
      <c r="Z85" s="16"/>
      <c r="AA85" s="16"/>
    </row>
    <row r="86" spans="1:58" ht="15.75" customHeight="1">
      <c r="A86" s="312" t="s">
        <v>967</v>
      </c>
      <c r="B86" s="232">
        <v>13</v>
      </c>
      <c r="C86" s="269">
        <v>1</v>
      </c>
      <c r="D86" s="269">
        <v>8</v>
      </c>
      <c r="E86" s="313" t="s">
        <v>55</v>
      </c>
      <c r="F86" s="369" t="s">
        <v>644</v>
      </c>
      <c r="G86" s="325" t="s">
        <v>952</v>
      </c>
      <c r="H86" s="596"/>
      <c r="I86" s="589"/>
      <c r="J86" s="597"/>
      <c r="K86" s="16"/>
      <c r="L86" s="16"/>
      <c r="M86" s="16"/>
      <c r="N86" s="16"/>
      <c r="O86" s="16"/>
      <c r="P86" s="16"/>
      <c r="Q86" s="16"/>
      <c r="R86" s="16"/>
      <c r="S86" s="16"/>
      <c r="T86" s="16"/>
      <c r="U86" s="16"/>
      <c r="V86" s="16"/>
      <c r="W86" s="16"/>
      <c r="X86" s="16"/>
      <c r="Y86" s="16"/>
      <c r="Z86" s="16"/>
      <c r="AA86" s="16"/>
    </row>
    <row r="87" spans="1:58" ht="15.75" customHeight="1" thickBot="1">
      <c r="A87" s="312" t="s">
        <v>968</v>
      </c>
      <c r="B87" s="232">
        <v>11</v>
      </c>
      <c r="C87" s="269">
        <v>1</v>
      </c>
      <c r="D87" s="269">
        <v>8</v>
      </c>
      <c r="E87" s="313" t="s">
        <v>55</v>
      </c>
      <c r="F87" s="369" t="s">
        <v>644</v>
      </c>
      <c r="G87" s="325" t="s">
        <v>952</v>
      </c>
      <c r="H87" s="598"/>
      <c r="I87" s="607"/>
      <c r="J87" s="599"/>
      <c r="K87" s="16"/>
      <c r="L87" s="16"/>
      <c r="M87" s="16"/>
      <c r="N87" s="16"/>
      <c r="O87" s="16"/>
      <c r="P87" s="16"/>
      <c r="Q87" s="16"/>
      <c r="R87" s="16"/>
      <c r="S87" s="16"/>
      <c r="T87" s="16"/>
      <c r="U87" s="16"/>
      <c r="V87" s="16"/>
      <c r="W87" s="16"/>
      <c r="X87" s="16"/>
      <c r="Y87" s="16"/>
      <c r="Z87" s="16"/>
      <c r="AA87" s="16"/>
    </row>
    <row r="88" spans="1:58" ht="15.75" customHeight="1" thickTop="1">
      <c r="A88" s="18"/>
      <c r="B88" s="18"/>
      <c r="C88" s="18"/>
      <c r="D88" s="18"/>
      <c r="E88" s="18"/>
      <c r="F88" s="18"/>
      <c r="G88" s="17"/>
      <c r="H88" s="17"/>
      <c r="I88" s="17"/>
      <c r="J88" s="17"/>
      <c r="K88" s="17"/>
      <c r="L88" s="17"/>
      <c r="M88" s="17"/>
      <c r="N88" s="17"/>
      <c r="O88" s="17"/>
      <c r="P88" s="17"/>
      <c r="Q88" s="16"/>
      <c r="R88" s="17"/>
      <c r="S88" s="17"/>
      <c r="T88" s="17"/>
      <c r="U88" s="17"/>
      <c r="V88" s="17"/>
      <c r="W88" s="17"/>
      <c r="X88" s="17"/>
      <c r="Y88" s="17"/>
      <c r="Z88" s="17"/>
      <c r="AA88" s="17"/>
      <c r="AB88" s="17"/>
      <c r="AC88" s="17"/>
      <c r="AD88" s="17"/>
    </row>
    <row r="89" spans="1:58" ht="15.75" customHeight="1" thickBot="1">
      <c r="A89" s="179" t="s">
        <v>462</v>
      </c>
      <c r="B89" s="169"/>
      <c r="C89" s="16"/>
      <c r="D89" s="16"/>
      <c r="E89" s="16"/>
      <c r="F89" s="16"/>
      <c r="G89" s="16"/>
      <c r="H89" s="16"/>
      <c r="I89" s="16"/>
      <c r="J89" s="16"/>
      <c r="K89" s="16"/>
      <c r="L89" s="16"/>
      <c r="M89" s="16"/>
      <c r="N89" s="16"/>
      <c r="O89" s="16"/>
      <c r="P89" s="16"/>
      <c r="Q89" s="16"/>
      <c r="R89" s="16"/>
      <c r="S89" s="16"/>
      <c r="T89" s="16"/>
      <c r="U89" s="16"/>
      <c r="V89" s="16"/>
      <c r="W89" s="16"/>
      <c r="X89" s="16"/>
      <c r="Y89" s="16"/>
      <c r="Z89" s="16"/>
      <c r="AA89" s="16"/>
      <c r="AB89" s="18"/>
      <c r="AC89" s="16"/>
      <c r="AD89" s="16"/>
    </row>
    <row r="90" spans="1:58" ht="15" customHeight="1" thickTop="1" thickBot="1">
      <c r="A90" s="258" t="s">
        <v>449</v>
      </c>
      <c r="B90" s="259" t="s">
        <v>450</v>
      </c>
      <c r="C90" s="258" t="s">
        <v>463</v>
      </c>
      <c r="D90" s="258" t="s">
        <v>464</v>
      </c>
      <c r="E90" s="258" t="s">
        <v>465</v>
      </c>
      <c r="F90" s="258" t="s">
        <v>466</v>
      </c>
      <c r="G90" s="258" t="s">
        <v>467</v>
      </c>
      <c r="H90" s="259" t="s">
        <v>455</v>
      </c>
      <c r="I90" s="561" t="s">
        <v>456</v>
      </c>
      <c r="J90" s="716"/>
      <c r="K90" s="717"/>
      <c r="L90" s="98"/>
      <c r="M90" s="98"/>
      <c r="N90" s="98"/>
      <c r="O90" s="98"/>
      <c r="P90" s="98"/>
      <c r="Q90" s="98"/>
      <c r="R90" s="98"/>
      <c r="S90" s="98"/>
      <c r="T90" s="98"/>
      <c r="U90" s="98"/>
      <c r="V90" s="96"/>
      <c r="W90" s="96"/>
      <c r="X90" s="96"/>
      <c r="Y90" s="96"/>
      <c r="Z90" s="99"/>
      <c r="AA90" s="96"/>
      <c r="AB90" s="96"/>
      <c r="AC90" s="100"/>
      <c r="AD90" s="100"/>
      <c r="AE90" s="100"/>
      <c r="AF90" s="100"/>
      <c r="AG90" s="100"/>
      <c r="AH90" s="100"/>
      <c r="AI90" s="100"/>
      <c r="AJ90" s="100"/>
      <c r="AK90" s="100"/>
      <c r="AL90" s="100"/>
      <c r="AM90" s="100"/>
      <c r="AN90" s="100"/>
      <c r="AO90" s="100"/>
      <c r="AP90" s="100"/>
      <c r="AQ90" s="100"/>
      <c r="AR90" s="100"/>
      <c r="AS90" s="100"/>
      <c r="AT90" s="100"/>
      <c r="AU90" s="100"/>
      <c r="AV90" s="100"/>
      <c r="AW90" s="100"/>
      <c r="AX90" s="100"/>
      <c r="AY90" s="100"/>
      <c r="AZ90" s="100"/>
      <c r="BA90" s="100"/>
      <c r="BB90" s="100"/>
      <c r="BC90" s="100"/>
      <c r="BD90" s="100"/>
      <c r="BE90" s="100"/>
      <c r="BF90" s="100"/>
    </row>
    <row r="91" spans="1:58" ht="14.25" customHeight="1" thickTop="1">
      <c r="A91" s="312" t="s">
        <v>556</v>
      </c>
      <c r="B91" s="232">
        <v>13</v>
      </c>
      <c r="C91" s="269" t="s">
        <v>969</v>
      </c>
      <c r="D91" s="269" t="s">
        <v>145</v>
      </c>
      <c r="E91" s="245">
        <v>2</v>
      </c>
      <c r="F91" s="261">
        <v>4</v>
      </c>
      <c r="G91" s="231" t="s">
        <v>419</v>
      </c>
      <c r="H91" s="325"/>
      <c r="I91" s="618"/>
      <c r="J91" s="741"/>
      <c r="K91" s="742"/>
      <c r="L91" s="16"/>
      <c r="M91" s="16"/>
      <c r="N91" s="16"/>
      <c r="O91" s="16"/>
      <c r="P91" s="16"/>
      <c r="Q91" s="16"/>
      <c r="R91" s="16"/>
      <c r="S91" s="16"/>
      <c r="T91" s="16"/>
      <c r="U91" s="16"/>
      <c r="V91" s="16"/>
      <c r="W91" s="16"/>
      <c r="X91" s="16"/>
      <c r="Y91" s="16"/>
      <c r="Z91" s="17"/>
      <c r="AA91" s="16"/>
      <c r="AB91" s="16"/>
    </row>
    <row r="92" spans="1:58" ht="14.25" customHeight="1">
      <c r="A92" s="312" t="s">
        <v>558</v>
      </c>
      <c r="B92" s="232">
        <v>13</v>
      </c>
      <c r="C92" s="269" t="s">
        <v>970</v>
      </c>
      <c r="D92" s="269" t="s">
        <v>57</v>
      </c>
      <c r="E92" s="245">
        <v>2</v>
      </c>
      <c r="F92" s="261">
        <v>3</v>
      </c>
      <c r="G92" s="231" t="s">
        <v>419</v>
      </c>
      <c r="H92" s="194"/>
      <c r="I92" s="743"/>
      <c r="J92" s="744"/>
      <c r="K92" s="745"/>
      <c r="L92" s="16"/>
      <c r="M92" s="16"/>
      <c r="N92" s="16"/>
      <c r="O92" s="16"/>
      <c r="P92" s="16"/>
      <c r="Q92" s="16"/>
      <c r="R92" s="16"/>
      <c r="S92" s="16"/>
      <c r="T92" s="16"/>
      <c r="U92" s="16"/>
      <c r="V92" s="16"/>
      <c r="W92" s="16"/>
      <c r="X92" s="16"/>
      <c r="Y92" s="16"/>
      <c r="Z92" s="17"/>
      <c r="AA92" s="16"/>
      <c r="AB92" s="16"/>
    </row>
    <row r="93" spans="1:58" ht="15.75" customHeight="1">
      <c r="A93" s="312" t="s">
        <v>560</v>
      </c>
      <c r="B93" s="232">
        <v>13</v>
      </c>
      <c r="C93" s="269" t="s">
        <v>570</v>
      </c>
      <c r="D93" s="269" t="s">
        <v>55</v>
      </c>
      <c r="E93" s="245">
        <v>2</v>
      </c>
      <c r="F93" s="261">
        <v>3</v>
      </c>
      <c r="G93" s="231" t="s">
        <v>419</v>
      </c>
      <c r="H93" s="195" t="s">
        <v>971</v>
      </c>
      <c r="I93" s="743"/>
      <c r="J93" s="744"/>
      <c r="K93" s="745"/>
      <c r="L93" s="16"/>
      <c r="M93" s="16"/>
      <c r="N93" s="16"/>
      <c r="O93" s="16"/>
      <c r="P93" s="16"/>
      <c r="Q93" s="16"/>
      <c r="R93" s="16"/>
      <c r="S93" s="16"/>
      <c r="T93" s="16"/>
      <c r="U93" s="16"/>
      <c r="V93" s="16"/>
      <c r="W93" s="16"/>
      <c r="X93" s="16"/>
      <c r="Y93" s="16"/>
      <c r="Z93" s="16"/>
      <c r="AA93" s="16"/>
      <c r="AB93" s="16"/>
    </row>
    <row r="94" spans="1:58" ht="15.75" customHeight="1">
      <c r="A94" s="231" t="s">
        <v>563</v>
      </c>
      <c r="B94" s="232">
        <v>13</v>
      </c>
      <c r="C94" s="231" t="s">
        <v>972</v>
      </c>
      <c r="D94" s="269" t="s">
        <v>57</v>
      </c>
      <c r="E94" s="245">
        <v>2</v>
      </c>
      <c r="F94" s="261">
        <v>4</v>
      </c>
      <c r="G94" s="263" t="s">
        <v>419</v>
      </c>
      <c r="H94" s="231"/>
      <c r="I94" s="743"/>
      <c r="J94" s="744"/>
      <c r="K94" s="745"/>
      <c r="L94" s="16"/>
      <c r="M94" s="16"/>
      <c r="N94" s="16"/>
      <c r="O94" s="16"/>
      <c r="P94" s="16"/>
      <c r="Q94" s="16"/>
      <c r="R94" s="16"/>
      <c r="S94" s="16"/>
      <c r="T94" s="16"/>
      <c r="U94" s="16"/>
      <c r="V94" s="16"/>
      <c r="W94" s="16"/>
      <c r="X94" s="16"/>
      <c r="Y94" s="16"/>
      <c r="Z94" s="16"/>
      <c r="AA94" s="16"/>
      <c r="AB94" s="16"/>
    </row>
    <row r="95" spans="1:58" ht="15.75" customHeight="1" thickBot="1">
      <c r="A95" s="231" t="s">
        <v>564</v>
      </c>
      <c r="B95" s="232">
        <v>13</v>
      </c>
      <c r="C95" s="231" t="s">
        <v>570</v>
      </c>
      <c r="D95" s="269" t="s">
        <v>55</v>
      </c>
      <c r="E95" s="245">
        <v>2</v>
      </c>
      <c r="F95" s="261">
        <v>3</v>
      </c>
      <c r="G95" s="263" t="s">
        <v>419</v>
      </c>
      <c r="H95" s="195" t="s">
        <v>971</v>
      </c>
      <c r="I95" s="746"/>
      <c r="J95" s="747"/>
      <c r="K95" s="748"/>
      <c r="L95" s="16"/>
      <c r="M95" s="16"/>
      <c r="N95" s="16"/>
      <c r="O95" s="16"/>
      <c r="P95" s="16"/>
      <c r="Q95" s="16"/>
      <c r="R95" s="16"/>
      <c r="S95" s="16"/>
      <c r="T95" s="16"/>
      <c r="U95" s="16"/>
      <c r="V95" s="16"/>
      <c r="W95" s="16"/>
      <c r="X95" s="16"/>
      <c r="Y95" s="16"/>
      <c r="Z95" s="16"/>
      <c r="AA95" s="16"/>
      <c r="AB95" s="16"/>
    </row>
    <row r="96" spans="1:58" ht="15.75" customHeight="1" thickTop="1">
      <c r="A96" s="16"/>
      <c r="B96" s="51"/>
      <c r="C96" s="16"/>
      <c r="D96" s="104"/>
      <c r="E96" s="105"/>
      <c r="F96" s="106"/>
      <c r="G96" s="111"/>
      <c r="H96" s="231"/>
      <c r="I96" s="228"/>
      <c r="J96" s="228"/>
      <c r="K96" s="228"/>
      <c r="L96" s="16"/>
      <c r="M96" s="16"/>
      <c r="N96" s="16"/>
      <c r="O96" s="16"/>
      <c r="P96" s="16"/>
      <c r="Q96" s="16"/>
      <c r="R96" s="16"/>
      <c r="S96" s="16"/>
      <c r="T96" s="16"/>
      <c r="U96" s="16"/>
      <c r="V96" s="16"/>
      <c r="W96" s="16"/>
      <c r="X96" s="16"/>
      <c r="Y96" s="16"/>
      <c r="Z96" s="16"/>
      <c r="AA96" s="16"/>
      <c r="AB96" s="16"/>
    </row>
    <row r="97" spans="1:30" ht="15.75" customHeight="1">
      <c r="A97" s="15"/>
      <c r="B97" s="16"/>
      <c r="C97" s="16"/>
      <c r="D97" s="16"/>
      <c r="E97" s="16"/>
      <c r="F97" s="16"/>
      <c r="G97" s="16"/>
      <c r="H97" s="16"/>
      <c r="I97" s="16"/>
      <c r="J97" s="16"/>
      <c r="K97" s="16"/>
      <c r="L97" s="16"/>
      <c r="M97" s="16"/>
      <c r="N97" s="16"/>
      <c r="O97" s="16"/>
      <c r="P97" s="16"/>
      <c r="Q97" s="16"/>
      <c r="R97" s="16"/>
      <c r="S97" s="16"/>
      <c r="T97" s="16"/>
      <c r="U97" s="16"/>
      <c r="V97" s="16"/>
      <c r="W97" s="16"/>
      <c r="X97" s="16"/>
      <c r="Y97" s="16"/>
      <c r="Z97" s="16"/>
      <c r="AA97" s="16"/>
      <c r="AB97" s="16"/>
      <c r="AC97" s="16"/>
      <c r="AD97" s="16"/>
    </row>
    <row r="98" spans="1:30" ht="15.75" customHeight="1">
      <c r="A98" s="15"/>
      <c r="B98" s="16"/>
      <c r="C98" s="16"/>
      <c r="D98" s="16"/>
      <c r="E98" s="16"/>
      <c r="F98" s="16"/>
      <c r="G98" s="16"/>
      <c r="H98" s="16"/>
      <c r="I98" s="16"/>
      <c r="J98" s="16"/>
      <c r="K98" s="16"/>
      <c r="L98" s="16"/>
      <c r="M98" s="16"/>
      <c r="N98" s="16"/>
      <c r="O98" s="16"/>
      <c r="P98" s="16"/>
      <c r="Q98" s="16"/>
      <c r="W98" s="16"/>
      <c r="X98" s="16"/>
      <c r="Y98" s="16"/>
      <c r="Z98" s="16"/>
      <c r="AA98" s="16"/>
      <c r="AB98" s="16"/>
      <c r="AC98" s="16"/>
      <c r="AD98" s="16"/>
    </row>
    <row r="99" spans="1:30" ht="15.75" customHeight="1" thickBot="1">
      <c r="A99" s="186" t="s">
        <v>475</v>
      </c>
      <c r="B99" s="231"/>
      <c r="C99" s="231"/>
      <c r="D99" s="231"/>
      <c r="E99" s="231"/>
      <c r="F99" s="231"/>
      <c r="G99" s="231"/>
      <c r="H99" s="231"/>
      <c r="I99" s="231"/>
      <c r="J99" s="231"/>
      <c r="K99" s="16"/>
      <c r="L99" s="16"/>
      <c r="M99" s="16"/>
      <c r="N99" s="16"/>
      <c r="O99" s="16"/>
      <c r="P99" s="16"/>
      <c r="Q99" s="16"/>
      <c r="W99" s="16"/>
      <c r="X99" s="16"/>
      <c r="Y99" s="16"/>
      <c r="Z99" s="16"/>
      <c r="AA99" s="16"/>
      <c r="AB99" s="16"/>
      <c r="AC99" s="16"/>
      <c r="AD99" s="16"/>
    </row>
    <row r="100" spans="1:30" ht="15.75" customHeight="1" thickTop="1" thickBot="1">
      <c r="A100" s="230" t="s">
        <v>476</v>
      </c>
      <c r="B100" s="230" t="s">
        <v>477</v>
      </c>
      <c r="C100" s="230" t="s">
        <v>478</v>
      </c>
      <c r="D100" s="230" t="s">
        <v>479</v>
      </c>
      <c r="E100" s="230" t="s">
        <v>480</v>
      </c>
      <c r="F100" s="230" t="s">
        <v>481</v>
      </c>
      <c r="G100" s="230" t="s">
        <v>482</v>
      </c>
      <c r="H100" s="230" t="s">
        <v>453</v>
      </c>
      <c r="I100" s="230" t="s">
        <v>483</v>
      </c>
      <c r="J100" s="230" t="s">
        <v>484</v>
      </c>
      <c r="K100" s="721" t="s">
        <v>485</v>
      </c>
      <c r="L100" s="716"/>
      <c r="M100" s="722"/>
      <c r="N100" s="15"/>
      <c r="O100" s="16"/>
      <c r="P100" s="16"/>
      <c r="Q100" s="16"/>
      <c r="W100" s="16"/>
      <c r="X100" s="16"/>
      <c r="Y100" s="16"/>
      <c r="Z100" s="16"/>
      <c r="AA100" s="16"/>
      <c r="AB100" s="16"/>
    </row>
    <row r="101" spans="1:30" ht="15.75" customHeight="1" thickTop="1">
      <c r="A101" s="319" t="s">
        <v>556</v>
      </c>
      <c r="B101" s="319" t="s">
        <v>278</v>
      </c>
      <c r="C101" s="261">
        <v>42</v>
      </c>
      <c r="D101" s="261">
        <v>2</v>
      </c>
      <c r="E101" s="261">
        <v>4</v>
      </c>
      <c r="F101" s="261">
        <f>E101*C101</f>
        <v>168</v>
      </c>
      <c r="G101" s="384" t="s">
        <v>969</v>
      </c>
      <c r="H101" s="319" t="s">
        <v>145</v>
      </c>
      <c r="I101" s="339">
        <f>Constants!$B$6</f>
        <v>50</v>
      </c>
      <c r="J101" s="231"/>
      <c r="K101" s="594"/>
      <c r="L101" s="606"/>
      <c r="M101" s="595"/>
      <c r="N101" s="15"/>
      <c r="O101" s="16"/>
      <c r="P101" s="16"/>
      <c r="Q101" s="16"/>
      <c r="W101" s="16"/>
      <c r="X101" s="16"/>
      <c r="Y101" s="16"/>
      <c r="Z101" s="16"/>
      <c r="AA101" s="16"/>
      <c r="AB101" s="16"/>
    </row>
    <row r="102" spans="1:30" ht="15.75" customHeight="1">
      <c r="A102" s="319" t="s">
        <v>558</v>
      </c>
      <c r="B102" s="319" t="s">
        <v>278</v>
      </c>
      <c r="C102" s="261">
        <v>42</v>
      </c>
      <c r="D102" s="261">
        <v>2</v>
      </c>
      <c r="E102" s="261">
        <v>3</v>
      </c>
      <c r="F102" s="261">
        <f t="shared" ref="F102:F142" si="2">E102*C102</f>
        <v>126</v>
      </c>
      <c r="G102" s="384" t="s">
        <v>970</v>
      </c>
      <c r="H102" s="319" t="s">
        <v>57</v>
      </c>
      <c r="I102" s="339" t="s">
        <v>328</v>
      </c>
      <c r="J102" s="231"/>
      <c r="K102" s="596"/>
      <c r="L102" s="589"/>
      <c r="M102" s="597"/>
      <c r="N102" s="15"/>
      <c r="O102" s="16"/>
      <c r="P102" s="16"/>
      <c r="Q102" s="16"/>
      <c r="W102" s="16"/>
      <c r="X102" s="16"/>
      <c r="Y102" s="16"/>
      <c r="Z102" s="16"/>
      <c r="AA102" s="16"/>
      <c r="AB102" s="16"/>
    </row>
    <row r="103" spans="1:30" ht="15.75" customHeight="1">
      <c r="A103" s="319" t="s">
        <v>560</v>
      </c>
      <c r="B103" s="319" t="s">
        <v>287</v>
      </c>
      <c r="C103" s="261">
        <v>42</v>
      </c>
      <c r="D103" s="261">
        <v>2</v>
      </c>
      <c r="E103" s="261">
        <v>3</v>
      </c>
      <c r="F103" s="261">
        <f t="shared" si="2"/>
        <v>126</v>
      </c>
      <c r="G103" s="384" t="s">
        <v>570</v>
      </c>
      <c r="H103" s="319" t="s">
        <v>55</v>
      </c>
      <c r="I103" s="339" t="s">
        <v>328</v>
      </c>
      <c r="J103" s="231"/>
      <c r="K103" s="596"/>
      <c r="L103" s="589"/>
      <c r="M103" s="597"/>
      <c r="N103" s="15"/>
      <c r="O103" s="16"/>
      <c r="P103" s="16"/>
      <c r="Q103" s="16"/>
      <c r="W103" s="16"/>
      <c r="X103" s="16"/>
      <c r="Y103" s="16"/>
      <c r="Z103" s="16"/>
      <c r="AA103" s="16"/>
      <c r="AB103" s="16"/>
    </row>
    <row r="104" spans="1:30" ht="15.75" customHeight="1">
      <c r="A104" s="319" t="s">
        <v>561</v>
      </c>
      <c r="B104" s="319" t="s">
        <v>287</v>
      </c>
      <c r="C104" s="261">
        <v>42</v>
      </c>
      <c r="D104" s="261">
        <v>2</v>
      </c>
      <c r="E104" s="261">
        <v>3</v>
      </c>
      <c r="F104" s="261">
        <f t="shared" si="2"/>
        <v>126</v>
      </c>
      <c r="G104" s="384" t="s">
        <v>570</v>
      </c>
      <c r="H104" s="319" t="s">
        <v>55</v>
      </c>
      <c r="I104" s="339" t="s">
        <v>328</v>
      </c>
      <c r="J104" s="231"/>
      <c r="K104" s="596"/>
      <c r="L104" s="589"/>
      <c r="M104" s="597"/>
      <c r="N104" s="15"/>
      <c r="O104" s="16"/>
      <c r="P104" s="16"/>
      <c r="Q104" s="16"/>
      <c r="W104" s="16"/>
      <c r="X104" s="16"/>
      <c r="Y104" s="16"/>
      <c r="Z104" s="16"/>
      <c r="AA104" s="16"/>
      <c r="AB104" s="16"/>
    </row>
    <row r="105" spans="1:30" ht="15.75" customHeight="1">
      <c r="A105" s="319" t="s">
        <v>919</v>
      </c>
      <c r="B105" s="319" t="s">
        <v>287</v>
      </c>
      <c r="C105" s="261">
        <v>42</v>
      </c>
      <c r="D105" s="261">
        <v>2</v>
      </c>
      <c r="E105" s="261">
        <v>3</v>
      </c>
      <c r="F105" s="261">
        <f t="shared" si="2"/>
        <v>126</v>
      </c>
      <c r="G105" s="384" t="s">
        <v>570</v>
      </c>
      <c r="H105" s="319" t="s">
        <v>55</v>
      </c>
      <c r="I105" s="339" t="s">
        <v>328</v>
      </c>
      <c r="J105" s="231"/>
      <c r="K105" s="596"/>
      <c r="L105" s="589"/>
      <c r="M105" s="597"/>
      <c r="N105" s="15"/>
      <c r="O105" s="16"/>
      <c r="P105" s="16"/>
      <c r="Q105" s="16"/>
      <c r="W105" s="16"/>
      <c r="X105" s="16"/>
      <c r="Y105" s="16"/>
      <c r="Z105" s="16"/>
      <c r="AA105" s="16"/>
      <c r="AB105" s="16"/>
    </row>
    <row r="106" spans="1:30" ht="15.75" customHeight="1">
      <c r="A106" s="319" t="s">
        <v>920</v>
      </c>
      <c r="B106" s="319" t="s">
        <v>287</v>
      </c>
      <c r="C106" s="261">
        <v>42</v>
      </c>
      <c r="D106" s="261">
        <v>2</v>
      </c>
      <c r="E106" s="261">
        <v>3</v>
      </c>
      <c r="F106" s="261">
        <f t="shared" si="2"/>
        <v>126</v>
      </c>
      <c r="G106" s="384" t="s">
        <v>570</v>
      </c>
      <c r="H106" s="319" t="s">
        <v>55</v>
      </c>
      <c r="I106" s="339" t="s">
        <v>328</v>
      </c>
      <c r="J106" s="231"/>
      <c r="K106" s="596"/>
      <c r="L106" s="589"/>
      <c r="M106" s="597"/>
      <c r="N106" s="15"/>
      <c r="O106" s="16"/>
      <c r="P106" s="16"/>
      <c r="Q106" s="16"/>
      <c r="W106" s="16"/>
      <c r="X106" s="16"/>
      <c r="Y106" s="16"/>
      <c r="Z106" s="16"/>
      <c r="AA106" s="16"/>
      <c r="AB106" s="16"/>
    </row>
    <row r="107" spans="1:30" ht="15.75" customHeight="1">
      <c r="A107" s="319" t="s">
        <v>921</v>
      </c>
      <c r="B107" s="319" t="s">
        <v>287</v>
      </c>
      <c r="C107" s="261">
        <v>42</v>
      </c>
      <c r="D107" s="261">
        <v>2</v>
      </c>
      <c r="E107" s="261">
        <v>3</v>
      </c>
      <c r="F107" s="261">
        <f t="shared" si="2"/>
        <v>126</v>
      </c>
      <c r="G107" s="384" t="s">
        <v>570</v>
      </c>
      <c r="H107" s="319" t="s">
        <v>55</v>
      </c>
      <c r="I107" s="339" t="s">
        <v>328</v>
      </c>
      <c r="J107" s="231"/>
      <c r="K107" s="596"/>
      <c r="L107" s="589"/>
      <c r="M107" s="597"/>
      <c r="N107" s="15"/>
      <c r="O107" s="16"/>
      <c r="P107" s="16"/>
      <c r="Q107" s="16"/>
      <c r="W107" s="16"/>
      <c r="X107" s="16"/>
      <c r="Y107" s="16"/>
      <c r="Z107" s="16"/>
      <c r="AA107" s="16"/>
      <c r="AB107" s="16"/>
    </row>
    <row r="108" spans="1:30" ht="15.75" customHeight="1">
      <c r="A108" s="319" t="s">
        <v>922</v>
      </c>
      <c r="B108" s="319" t="s">
        <v>287</v>
      </c>
      <c r="C108" s="261">
        <v>42</v>
      </c>
      <c r="D108" s="261">
        <v>2</v>
      </c>
      <c r="E108" s="261">
        <v>3</v>
      </c>
      <c r="F108" s="261">
        <f t="shared" si="2"/>
        <v>126</v>
      </c>
      <c r="G108" s="384" t="s">
        <v>570</v>
      </c>
      <c r="H108" s="319" t="s">
        <v>55</v>
      </c>
      <c r="I108" s="339" t="s">
        <v>328</v>
      </c>
      <c r="J108" s="231"/>
      <c r="K108" s="596"/>
      <c r="L108" s="589"/>
      <c r="M108" s="597"/>
      <c r="N108" s="15"/>
      <c r="O108" s="16"/>
      <c r="P108" s="16"/>
      <c r="Q108" s="16"/>
      <c r="W108" s="16"/>
      <c r="X108" s="16"/>
      <c r="Y108" s="16"/>
      <c r="Z108" s="16"/>
      <c r="AA108" s="16"/>
      <c r="AB108" s="16"/>
    </row>
    <row r="109" spans="1:30" ht="15.75" customHeight="1">
      <c r="A109" s="319" t="s">
        <v>923</v>
      </c>
      <c r="B109" s="319" t="s">
        <v>287</v>
      </c>
      <c r="C109" s="261">
        <v>42</v>
      </c>
      <c r="D109" s="261">
        <v>2</v>
      </c>
      <c r="E109" s="261">
        <v>3</v>
      </c>
      <c r="F109" s="261">
        <f t="shared" si="2"/>
        <v>126</v>
      </c>
      <c r="G109" s="384" t="s">
        <v>570</v>
      </c>
      <c r="H109" s="319" t="s">
        <v>55</v>
      </c>
      <c r="I109" s="339" t="s">
        <v>328</v>
      </c>
      <c r="J109" s="231"/>
      <c r="K109" s="596"/>
      <c r="L109" s="589"/>
      <c r="M109" s="597"/>
      <c r="N109" s="15"/>
      <c r="O109" s="16"/>
      <c r="P109" s="16"/>
      <c r="Q109" s="16"/>
      <c r="W109" s="16"/>
      <c r="X109" s="16"/>
      <c r="Y109" s="16"/>
      <c r="Z109" s="16"/>
      <c r="AA109" s="16"/>
      <c r="AB109" s="16"/>
    </row>
    <row r="110" spans="1:30" ht="15.75" customHeight="1">
      <c r="A110" s="319" t="s">
        <v>925</v>
      </c>
      <c r="B110" s="319" t="s">
        <v>287</v>
      </c>
      <c r="C110" s="261">
        <v>42</v>
      </c>
      <c r="D110" s="261">
        <v>2</v>
      </c>
      <c r="E110" s="261">
        <v>3</v>
      </c>
      <c r="F110" s="261">
        <f t="shared" si="2"/>
        <v>126</v>
      </c>
      <c r="G110" s="384" t="s">
        <v>570</v>
      </c>
      <c r="H110" s="319" t="s">
        <v>55</v>
      </c>
      <c r="I110" s="339"/>
      <c r="J110" s="231"/>
      <c r="K110" s="596"/>
      <c r="L110" s="589"/>
      <c r="M110" s="597"/>
      <c r="N110" s="15"/>
      <c r="O110" s="16"/>
      <c r="P110" s="16"/>
      <c r="Q110" s="16"/>
      <c r="W110" s="16"/>
      <c r="X110" s="16"/>
      <c r="Y110" s="16"/>
      <c r="Z110" s="16"/>
      <c r="AA110" s="16"/>
      <c r="AB110" s="16"/>
    </row>
    <row r="111" spans="1:30" ht="15.75" customHeight="1">
      <c r="A111" s="319" t="s">
        <v>926</v>
      </c>
      <c r="B111" s="319" t="s">
        <v>287</v>
      </c>
      <c r="C111" s="261">
        <v>42</v>
      </c>
      <c r="D111" s="261">
        <v>2</v>
      </c>
      <c r="E111" s="261">
        <v>3</v>
      </c>
      <c r="F111" s="261">
        <f t="shared" si="2"/>
        <v>126</v>
      </c>
      <c r="G111" s="384" t="s">
        <v>570</v>
      </c>
      <c r="H111" s="319" t="s">
        <v>55</v>
      </c>
      <c r="I111" s="339"/>
      <c r="J111" s="231"/>
      <c r="K111" s="596"/>
      <c r="L111" s="589"/>
      <c r="M111" s="597"/>
      <c r="N111" s="15"/>
      <c r="O111" s="16"/>
      <c r="P111" s="16"/>
      <c r="Q111" s="16"/>
      <c r="W111" s="16"/>
      <c r="X111" s="16"/>
      <c r="Y111" s="16"/>
      <c r="Z111" s="16"/>
      <c r="AA111" s="16"/>
      <c r="AB111" s="16"/>
    </row>
    <row r="112" spans="1:30" ht="15.75" customHeight="1">
      <c r="A112" s="319" t="s">
        <v>563</v>
      </c>
      <c r="B112" s="319" t="s">
        <v>278</v>
      </c>
      <c r="C112" s="261">
        <v>42</v>
      </c>
      <c r="D112" s="261">
        <v>2</v>
      </c>
      <c r="E112" s="261">
        <v>4</v>
      </c>
      <c r="F112" s="261">
        <f t="shared" si="2"/>
        <v>168</v>
      </c>
      <c r="G112" s="384" t="s">
        <v>972</v>
      </c>
      <c r="H112" s="319" t="s">
        <v>57</v>
      </c>
      <c r="I112" s="339" t="s">
        <v>328</v>
      </c>
      <c r="J112" s="231"/>
      <c r="K112" s="596"/>
      <c r="L112" s="589"/>
      <c r="M112" s="597"/>
      <c r="N112" s="15"/>
      <c r="O112" s="16"/>
      <c r="P112" s="16"/>
      <c r="Q112" s="16"/>
      <c r="W112" s="16"/>
      <c r="X112" s="16"/>
      <c r="Y112" s="16"/>
      <c r="Z112" s="16"/>
      <c r="AA112" s="16"/>
      <c r="AB112" s="16"/>
    </row>
    <row r="113" spans="1:28" ht="15.75" customHeight="1">
      <c r="A113" s="319" t="s">
        <v>564</v>
      </c>
      <c r="B113" s="319" t="s">
        <v>278</v>
      </c>
      <c r="C113" s="261">
        <v>42</v>
      </c>
      <c r="D113" s="261">
        <v>2</v>
      </c>
      <c r="E113" s="261">
        <v>3</v>
      </c>
      <c r="F113" s="261">
        <f t="shared" si="2"/>
        <v>126</v>
      </c>
      <c r="G113" s="384" t="s">
        <v>570</v>
      </c>
      <c r="H113" s="319" t="s">
        <v>55</v>
      </c>
      <c r="I113" s="339" t="s">
        <v>328</v>
      </c>
      <c r="J113" s="231"/>
      <c r="K113" s="596"/>
      <c r="L113" s="589"/>
      <c r="M113" s="597"/>
      <c r="N113" s="15"/>
      <c r="O113" s="16"/>
      <c r="P113" s="16"/>
      <c r="Q113" s="16"/>
      <c r="W113" s="16"/>
      <c r="X113" s="16"/>
      <c r="Y113" s="16"/>
      <c r="Z113" s="16"/>
      <c r="AA113" s="16"/>
      <c r="AB113" s="16"/>
    </row>
    <row r="114" spans="1:28" ht="15.75" customHeight="1">
      <c r="A114" s="319" t="s">
        <v>928</v>
      </c>
      <c r="B114" s="319" t="s">
        <v>287</v>
      </c>
      <c r="C114" s="261">
        <v>42</v>
      </c>
      <c r="D114" s="261">
        <v>2</v>
      </c>
      <c r="E114" s="261">
        <v>3</v>
      </c>
      <c r="F114" s="261">
        <f t="shared" si="2"/>
        <v>126</v>
      </c>
      <c r="G114" s="384" t="s">
        <v>570</v>
      </c>
      <c r="H114" s="319" t="s">
        <v>55</v>
      </c>
      <c r="I114" s="339" t="s">
        <v>328</v>
      </c>
      <c r="J114" s="231"/>
      <c r="K114" s="596"/>
      <c r="L114" s="589"/>
      <c r="M114" s="597"/>
      <c r="N114" s="15"/>
      <c r="O114" s="16"/>
      <c r="P114" s="16"/>
      <c r="Q114" s="16"/>
      <c r="W114" s="16"/>
      <c r="X114" s="16"/>
      <c r="Y114" s="16"/>
      <c r="Z114" s="16"/>
      <c r="AA114" s="16"/>
      <c r="AB114" s="16"/>
    </row>
    <row r="115" spans="1:28" ht="15.75" customHeight="1">
      <c r="A115" s="319" t="s">
        <v>930</v>
      </c>
      <c r="B115" s="319" t="s">
        <v>287</v>
      </c>
      <c r="C115" s="261">
        <v>42</v>
      </c>
      <c r="D115" s="261">
        <v>2</v>
      </c>
      <c r="E115" s="261">
        <v>3</v>
      </c>
      <c r="F115" s="261">
        <f t="shared" si="2"/>
        <v>126</v>
      </c>
      <c r="G115" s="409" t="s">
        <v>570</v>
      </c>
      <c r="H115" s="319" t="s">
        <v>55</v>
      </c>
      <c r="I115" s="339" t="s">
        <v>328</v>
      </c>
      <c r="J115" s="231"/>
      <c r="K115" s="596"/>
      <c r="L115" s="589"/>
      <c r="M115" s="597"/>
      <c r="N115" s="15"/>
      <c r="O115" s="16"/>
      <c r="P115" s="16"/>
      <c r="Q115" s="16"/>
      <c r="W115" s="16"/>
      <c r="X115" s="16"/>
      <c r="Y115" s="16"/>
      <c r="Z115" s="16"/>
      <c r="AA115" s="16"/>
      <c r="AB115" s="16"/>
    </row>
    <row r="116" spans="1:28" ht="15.75" customHeight="1">
      <c r="A116" s="319" t="s">
        <v>931</v>
      </c>
      <c r="B116" s="319" t="s">
        <v>287</v>
      </c>
      <c r="C116" s="261">
        <v>42</v>
      </c>
      <c r="D116" s="261">
        <v>2</v>
      </c>
      <c r="E116" s="261">
        <v>3</v>
      </c>
      <c r="F116" s="261">
        <f t="shared" si="2"/>
        <v>126</v>
      </c>
      <c r="G116" s="409" t="s">
        <v>570</v>
      </c>
      <c r="H116" s="319" t="s">
        <v>55</v>
      </c>
      <c r="I116" s="339" t="s">
        <v>328</v>
      </c>
      <c r="J116" s="231"/>
      <c r="K116" s="596"/>
      <c r="L116" s="589"/>
      <c r="M116" s="597"/>
      <c r="N116" s="15"/>
      <c r="O116" s="16"/>
      <c r="P116" s="16"/>
      <c r="Q116" s="16"/>
      <c r="W116" s="16"/>
      <c r="X116" s="16"/>
      <c r="Y116" s="16"/>
      <c r="Z116" s="16"/>
      <c r="AA116" s="16"/>
      <c r="AB116" s="16"/>
    </row>
    <row r="117" spans="1:28" ht="15.75" customHeight="1">
      <c r="A117" s="319" t="s">
        <v>932</v>
      </c>
      <c r="B117" s="319" t="s">
        <v>287</v>
      </c>
      <c r="C117" s="261">
        <v>42</v>
      </c>
      <c r="D117" s="261">
        <v>2</v>
      </c>
      <c r="E117" s="261">
        <v>3</v>
      </c>
      <c r="F117" s="261">
        <f t="shared" si="2"/>
        <v>126</v>
      </c>
      <c r="G117" s="409" t="s">
        <v>570</v>
      </c>
      <c r="H117" s="319" t="s">
        <v>55</v>
      </c>
      <c r="I117" s="339" t="s">
        <v>328</v>
      </c>
      <c r="J117" s="231"/>
      <c r="K117" s="596"/>
      <c r="L117" s="589"/>
      <c r="M117" s="597"/>
      <c r="N117" s="15"/>
      <c r="O117" s="16"/>
      <c r="P117" s="16"/>
      <c r="Q117" s="16"/>
      <c r="W117" s="16"/>
      <c r="X117" s="16"/>
      <c r="Y117" s="16"/>
      <c r="Z117" s="16"/>
      <c r="AA117" s="16"/>
      <c r="AB117" s="16"/>
    </row>
    <row r="118" spans="1:28" ht="15.75" customHeight="1">
      <c r="A118" s="319" t="s">
        <v>933</v>
      </c>
      <c r="B118" s="319" t="s">
        <v>287</v>
      </c>
      <c r="C118" s="261">
        <v>42</v>
      </c>
      <c r="D118" s="261">
        <v>2</v>
      </c>
      <c r="E118" s="261">
        <v>3</v>
      </c>
      <c r="F118" s="261">
        <f t="shared" si="2"/>
        <v>126</v>
      </c>
      <c r="G118" s="409" t="s">
        <v>570</v>
      </c>
      <c r="H118" s="319" t="s">
        <v>55</v>
      </c>
      <c r="I118" s="339" t="s">
        <v>328</v>
      </c>
      <c r="J118" s="231"/>
      <c r="K118" s="596"/>
      <c r="L118" s="589"/>
      <c r="M118" s="597"/>
      <c r="N118" s="15"/>
      <c r="O118" s="16"/>
      <c r="P118" s="16"/>
      <c r="Q118" s="16"/>
      <c r="W118" s="16"/>
      <c r="X118" s="16"/>
      <c r="Y118" s="16"/>
      <c r="Z118" s="16"/>
      <c r="AA118" s="16"/>
      <c r="AB118" s="16"/>
    </row>
    <row r="119" spans="1:28" ht="15.75" customHeight="1">
      <c r="A119" s="319" t="s">
        <v>935</v>
      </c>
      <c r="B119" s="319" t="s">
        <v>287</v>
      </c>
      <c r="C119" s="261">
        <v>42</v>
      </c>
      <c r="D119" s="261">
        <v>2</v>
      </c>
      <c r="E119" s="261">
        <v>3</v>
      </c>
      <c r="F119" s="261">
        <f t="shared" si="2"/>
        <v>126</v>
      </c>
      <c r="G119" s="409" t="s">
        <v>570</v>
      </c>
      <c r="H119" s="319" t="s">
        <v>55</v>
      </c>
      <c r="I119" s="339" t="s">
        <v>328</v>
      </c>
      <c r="J119" s="231"/>
      <c r="K119" s="596"/>
      <c r="L119" s="589"/>
      <c r="M119" s="597"/>
      <c r="N119" s="15"/>
      <c r="O119" s="16"/>
      <c r="P119" s="16"/>
      <c r="Q119" s="16"/>
      <c r="W119" s="16"/>
      <c r="X119" s="16"/>
      <c r="Y119" s="16"/>
      <c r="Z119" s="16"/>
      <c r="AA119" s="16"/>
      <c r="AB119" s="16"/>
    </row>
    <row r="120" spans="1:28" ht="15.75" customHeight="1">
      <c r="A120" s="319" t="s">
        <v>973</v>
      </c>
      <c r="B120" s="319" t="s">
        <v>287</v>
      </c>
      <c r="C120" s="261">
        <v>42</v>
      </c>
      <c r="D120" s="261">
        <v>1</v>
      </c>
      <c r="E120" s="261">
        <v>1.5</v>
      </c>
      <c r="F120" s="261">
        <f t="shared" si="2"/>
        <v>63</v>
      </c>
      <c r="G120" s="409" t="s">
        <v>570</v>
      </c>
      <c r="H120" s="319" t="s">
        <v>55</v>
      </c>
      <c r="I120" s="339" t="s">
        <v>328</v>
      </c>
      <c r="J120" s="231"/>
      <c r="K120" s="596"/>
      <c r="L120" s="589"/>
      <c r="M120" s="597"/>
      <c r="N120" s="15"/>
      <c r="O120" s="16"/>
      <c r="P120" s="16"/>
      <c r="Q120" s="16"/>
      <c r="W120" s="16"/>
      <c r="X120" s="16"/>
      <c r="Y120" s="16"/>
      <c r="Z120" s="16"/>
      <c r="AA120" s="16"/>
      <c r="AB120" s="16"/>
    </row>
    <row r="121" spans="1:28" ht="15.75" customHeight="1">
      <c r="A121" s="319" t="s">
        <v>974</v>
      </c>
      <c r="B121" s="319" t="s">
        <v>287</v>
      </c>
      <c r="C121" s="261">
        <v>42</v>
      </c>
      <c r="D121" s="261">
        <v>1</v>
      </c>
      <c r="E121" s="261">
        <v>1.5</v>
      </c>
      <c r="F121" s="261">
        <f t="shared" si="2"/>
        <v>63</v>
      </c>
      <c r="G121" s="409" t="s">
        <v>570</v>
      </c>
      <c r="H121" s="319" t="s">
        <v>55</v>
      </c>
      <c r="I121" s="339" t="s">
        <v>328</v>
      </c>
      <c r="J121" s="231"/>
      <c r="K121" s="596"/>
      <c r="L121" s="589"/>
      <c r="M121" s="597"/>
      <c r="N121" s="15"/>
      <c r="O121" s="16"/>
      <c r="P121" s="16"/>
      <c r="Q121" s="16"/>
      <c r="W121" s="16"/>
      <c r="X121" s="16"/>
      <c r="Y121" s="16"/>
      <c r="Z121" s="16"/>
      <c r="AA121" s="16"/>
      <c r="AB121" s="16"/>
    </row>
    <row r="122" spans="1:28" ht="15.75" customHeight="1">
      <c r="A122" s="319" t="s">
        <v>975</v>
      </c>
      <c r="B122" s="319" t="s">
        <v>287</v>
      </c>
      <c r="C122" s="261">
        <v>42</v>
      </c>
      <c r="D122" s="261">
        <v>1</v>
      </c>
      <c r="E122" s="261">
        <v>1.5</v>
      </c>
      <c r="F122" s="261">
        <f t="shared" si="2"/>
        <v>63</v>
      </c>
      <c r="G122" s="409" t="s">
        <v>570</v>
      </c>
      <c r="H122" s="319" t="s">
        <v>55</v>
      </c>
      <c r="I122" s="339" t="s">
        <v>328</v>
      </c>
      <c r="J122" s="231"/>
      <c r="K122" s="596"/>
      <c r="L122" s="589"/>
      <c r="M122" s="597"/>
      <c r="N122" s="15"/>
      <c r="O122" s="16"/>
      <c r="P122" s="16"/>
      <c r="Q122" s="16"/>
      <c r="W122" s="16"/>
      <c r="X122" s="16"/>
      <c r="Y122" s="16"/>
      <c r="Z122" s="16"/>
      <c r="AA122" s="16"/>
      <c r="AB122" s="16"/>
    </row>
    <row r="123" spans="1:28" ht="15.75" customHeight="1">
      <c r="A123" s="319" t="s">
        <v>976</v>
      </c>
      <c r="B123" s="319" t="s">
        <v>287</v>
      </c>
      <c r="C123" s="261">
        <v>42</v>
      </c>
      <c r="D123" s="261">
        <v>1</v>
      </c>
      <c r="E123" s="261">
        <v>1.5</v>
      </c>
      <c r="F123" s="261">
        <f t="shared" si="2"/>
        <v>63</v>
      </c>
      <c r="G123" s="409" t="s">
        <v>570</v>
      </c>
      <c r="H123" s="319" t="s">
        <v>55</v>
      </c>
      <c r="I123" s="339" t="s">
        <v>328</v>
      </c>
      <c r="J123" s="231"/>
      <c r="K123" s="596"/>
      <c r="L123" s="589"/>
      <c r="M123" s="597"/>
      <c r="N123" s="15"/>
      <c r="O123" s="16"/>
      <c r="P123" s="16"/>
      <c r="Q123" s="16"/>
      <c r="W123" s="16"/>
      <c r="X123" s="16"/>
      <c r="Y123" s="16"/>
      <c r="Z123" s="16"/>
      <c r="AA123" s="16"/>
      <c r="AB123" s="16"/>
    </row>
    <row r="124" spans="1:28" ht="15.75" customHeight="1">
      <c r="A124" s="319" t="s">
        <v>977</v>
      </c>
      <c r="B124" s="319" t="s">
        <v>278</v>
      </c>
      <c r="C124" s="261">
        <v>8</v>
      </c>
      <c r="D124" s="261">
        <v>2</v>
      </c>
      <c r="E124" s="261">
        <v>1.5</v>
      </c>
      <c r="F124" s="261">
        <f>E124*C124</f>
        <v>12</v>
      </c>
      <c r="G124" s="384" t="s">
        <v>969</v>
      </c>
      <c r="H124" s="319" t="s">
        <v>145</v>
      </c>
      <c r="I124" s="339">
        <f>Constants!$B$6</f>
        <v>50</v>
      </c>
      <c r="J124" s="231" t="s">
        <v>978</v>
      </c>
      <c r="K124" s="596"/>
      <c r="L124" s="589"/>
      <c r="M124" s="597"/>
      <c r="N124" s="15"/>
      <c r="O124" s="16"/>
      <c r="P124" s="16"/>
      <c r="Q124" s="16"/>
      <c r="W124" s="16"/>
      <c r="X124" s="16"/>
      <c r="Y124" s="16"/>
      <c r="Z124" s="16"/>
      <c r="AA124" s="16"/>
      <c r="AB124" s="16"/>
    </row>
    <row r="125" spans="1:28" ht="15.75" customHeight="1">
      <c r="A125" s="319" t="s">
        <v>979</v>
      </c>
      <c r="B125" s="319" t="s">
        <v>278</v>
      </c>
      <c r="C125" s="261">
        <v>8</v>
      </c>
      <c r="D125" s="261">
        <v>1</v>
      </c>
      <c r="E125" s="261">
        <v>1.5</v>
      </c>
      <c r="F125" s="261">
        <f t="shared" si="2"/>
        <v>12</v>
      </c>
      <c r="G125" s="384" t="s">
        <v>570</v>
      </c>
      <c r="H125" s="319" t="s">
        <v>55</v>
      </c>
      <c r="I125" s="339" t="s">
        <v>328</v>
      </c>
      <c r="J125" s="231"/>
      <c r="K125" s="596"/>
      <c r="L125" s="589"/>
      <c r="M125" s="597"/>
      <c r="N125" s="15"/>
      <c r="O125" s="16"/>
      <c r="P125" s="16"/>
      <c r="Q125" s="16"/>
      <c r="W125" s="16"/>
      <c r="X125" s="16"/>
      <c r="Y125" s="16"/>
      <c r="Z125" s="16"/>
      <c r="AA125" s="16"/>
      <c r="AB125" s="16"/>
    </row>
    <row r="126" spans="1:28" ht="15.75" customHeight="1">
      <c r="A126" s="319" t="s">
        <v>980</v>
      </c>
      <c r="B126" s="319" t="s">
        <v>278</v>
      </c>
      <c r="C126" s="261">
        <v>8</v>
      </c>
      <c r="D126" s="261">
        <v>1</v>
      </c>
      <c r="E126" s="261">
        <v>1.5</v>
      </c>
      <c r="F126" s="261">
        <f>E126*C126</f>
        <v>12</v>
      </c>
      <c r="G126" s="384" t="s">
        <v>570</v>
      </c>
      <c r="H126" s="319" t="s">
        <v>55</v>
      </c>
      <c r="I126" s="339" t="s">
        <v>328</v>
      </c>
      <c r="J126" s="231"/>
      <c r="K126" s="596"/>
      <c r="L126" s="589"/>
      <c r="M126" s="597"/>
      <c r="N126" s="15"/>
      <c r="O126" s="16"/>
      <c r="P126" s="16"/>
      <c r="Q126" s="16"/>
      <c r="W126" s="16"/>
      <c r="X126" s="16"/>
      <c r="Y126" s="16"/>
      <c r="Z126" s="16"/>
      <c r="AA126" s="16"/>
      <c r="AB126" s="16"/>
    </row>
    <row r="127" spans="1:28" ht="15.75" customHeight="1">
      <c r="A127" s="319" t="s">
        <v>981</v>
      </c>
      <c r="B127" s="319" t="s">
        <v>287</v>
      </c>
      <c r="C127" s="261">
        <v>8</v>
      </c>
      <c r="D127" s="261">
        <v>1</v>
      </c>
      <c r="E127" s="261">
        <v>1.5</v>
      </c>
      <c r="F127" s="261">
        <f t="shared" si="2"/>
        <v>12</v>
      </c>
      <c r="G127" s="384" t="s">
        <v>570</v>
      </c>
      <c r="H127" s="319" t="s">
        <v>55</v>
      </c>
      <c r="I127" s="339" t="s">
        <v>328</v>
      </c>
      <c r="J127" s="231"/>
      <c r="K127" s="596"/>
      <c r="L127" s="589"/>
      <c r="M127" s="597"/>
      <c r="N127" s="15"/>
      <c r="O127" s="16"/>
      <c r="P127" s="16"/>
      <c r="Q127" s="16"/>
      <c r="W127" s="16"/>
      <c r="X127" s="16"/>
      <c r="Y127" s="16"/>
      <c r="Z127" s="16"/>
      <c r="AA127" s="16"/>
      <c r="AB127" s="16"/>
    </row>
    <row r="128" spans="1:28" ht="15.75" customHeight="1">
      <c r="A128" s="319" t="s">
        <v>982</v>
      </c>
      <c r="B128" s="319" t="s">
        <v>287</v>
      </c>
      <c r="C128" s="261">
        <v>8</v>
      </c>
      <c r="D128" s="261">
        <v>1</v>
      </c>
      <c r="E128" s="261">
        <v>1.5</v>
      </c>
      <c r="F128" s="261">
        <f t="shared" si="2"/>
        <v>12</v>
      </c>
      <c r="G128" s="384" t="s">
        <v>570</v>
      </c>
      <c r="H128" s="319" t="s">
        <v>55</v>
      </c>
      <c r="I128" s="339" t="s">
        <v>328</v>
      </c>
      <c r="J128" s="231"/>
      <c r="K128" s="596"/>
      <c r="L128" s="589"/>
      <c r="M128" s="597"/>
      <c r="N128" s="15"/>
      <c r="O128" s="16"/>
      <c r="P128" s="16"/>
      <c r="Q128" s="16"/>
      <c r="W128" s="16"/>
      <c r="X128" s="16"/>
      <c r="Y128" s="16"/>
      <c r="Z128" s="16"/>
      <c r="AA128" s="16"/>
      <c r="AB128" s="16"/>
    </row>
    <row r="129" spans="1:30" ht="15.75" customHeight="1">
      <c r="A129" s="319" t="s">
        <v>983</v>
      </c>
      <c r="B129" s="319" t="s">
        <v>287</v>
      </c>
      <c r="C129" s="261">
        <v>8</v>
      </c>
      <c r="D129" s="261">
        <v>1</v>
      </c>
      <c r="E129" s="261">
        <v>1.5</v>
      </c>
      <c r="F129" s="261">
        <f t="shared" si="2"/>
        <v>12</v>
      </c>
      <c r="G129" s="384" t="s">
        <v>570</v>
      </c>
      <c r="H129" s="319" t="s">
        <v>55</v>
      </c>
      <c r="I129" s="339" t="s">
        <v>328</v>
      </c>
      <c r="J129" s="231"/>
      <c r="K129" s="596"/>
      <c r="L129" s="589"/>
      <c r="M129" s="597"/>
      <c r="N129" s="15"/>
      <c r="O129" s="16"/>
      <c r="P129" s="16"/>
      <c r="Q129" s="16"/>
      <c r="W129" s="16"/>
      <c r="X129" s="16"/>
      <c r="Y129" s="16"/>
      <c r="Z129" s="16"/>
      <c r="AA129" s="16"/>
      <c r="AB129" s="16"/>
    </row>
    <row r="130" spans="1:30" ht="15.75" customHeight="1">
      <c r="A130" s="319" t="s">
        <v>984</v>
      </c>
      <c r="B130" s="319" t="s">
        <v>287</v>
      </c>
      <c r="C130" s="261">
        <v>8</v>
      </c>
      <c r="D130" s="261">
        <v>1</v>
      </c>
      <c r="E130" s="261">
        <v>1.5</v>
      </c>
      <c r="F130" s="261">
        <f t="shared" si="2"/>
        <v>12</v>
      </c>
      <c r="G130" s="384" t="s">
        <v>570</v>
      </c>
      <c r="H130" s="319" t="s">
        <v>55</v>
      </c>
      <c r="I130" s="339" t="s">
        <v>328</v>
      </c>
      <c r="J130" s="231"/>
      <c r="K130" s="596"/>
      <c r="L130" s="589"/>
      <c r="M130" s="597"/>
      <c r="N130" s="15"/>
      <c r="O130" s="16"/>
      <c r="P130" s="16"/>
      <c r="Q130" s="16"/>
      <c r="W130" s="16"/>
      <c r="X130" s="16"/>
      <c r="Y130" s="16"/>
      <c r="Z130" s="16"/>
      <c r="AA130" s="16"/>
      <c r="AB130" s="16"/>
    </row>
    <row r="131" spans="1:30" ht="15.75" customHeight="1">
      <c r="A131" s="319" t="s">
        <v>985</v>
      </c>
      <c r="B131" s="319" t="s">
        <v>287</v>
      </c>
      <c r="C131" s="261">
        <v>8</v>
      </c>
      <c r="D131" s="261">
        <v>1</v>
      </c>
      <c r="E131" s="261">
        <v>1.5</v>
      </c>
      <c r="F131" s="261">
        <f t="shared" si="2"/>
        <v>12</v>
      </c>
      <c r="G131" s="384" t="s">
        <v>570</v>
      </c>
      <c r="H131" s="319" t="s">
        <v>55</v>
      </c>
      <c r="I131" s="339" t="s">
        <v>328</v>
      </c>
      <c r="J131" s="231"/>
      <c r="K131" s="596"/>
      <c r="L131" s="589"/>
      <c r="M131" s="597"/>
      <c r="N131" s="15"/>
      <c r="O131" s="16"/>
      <c r="P131" s="16"/>
      <c r="Q131" s="16"/>
      <c r="W131" s="16"/>
      <c r="X131" s="16"/>
      <c r="Y131" s="16"/>
      <c r="Z131" s="16"/>
      <c r="AA131" s="16"/>
      <c r="AB131" s="16"/>
    </row>
    <row r="132" spans="1:30" ht="15.75" customHeight="1">
      <c r="A132" s="319" t="s">
        <v>986</v>
      </c>
      <c r="B132" s="319" t="s">
        <v>287</v>
      </c>
      <c r="C132" s="261">
        <v>8</v>
      </c>
      <c r="D132" s="261">
        <v>1</v>
      </c>
      <c r="E132" s="261">
        <v>1.5</v>
      </c>
      <c r="F132" s="261">
        <f t="shared" si="2"/>
        <v>12</v>
      </c>
      <c r="G132" s="384" t="s">
        <v>570</v>
      </c>
      <c r="H132" s="319" t="s">
        <v>55</v>
      </c>
      <c r="I132" s="339" t="s">
        <v>328</v>
      </c>
      <c r="J132" s="231"/>
      <c r="K132" s="596"/>
      <c r="L132" s="589"/>
      <c r="M132" s="597"/>
      <c r="N132" s="15"/>
      <c r="O132" s="16"/>
      <c r="P132" s="16"/>
      <c r="Q132" s="16"/>
      <c r="W132" s="16"/>
      <c r="X132" s="16"/>
      <c r="Y132" s="16"/>
      <c r="Z132" s="16"/>
      <c r="AA132" s="16"/>
      <c r="AB132" s="16"/>
    </row>
    <row r="133" spans="1:30" ht="15" customHeight="1">
      <c r="A133" s="319" t="s">
        <v>987</v>
      </c>
      <c r="B133" s="319" t="s">
        <v>287</v>
      </c>
      <c r="C133" s="261">
        <v>8</v>
      </c>
      <c r="D133" s="261">
        <v>1</v>
      </c>
      <c r="E133" s="261">
        <v>1.5</v>
      </c>
      <c r="F133" s="261">
        <f t="shared" si="2"/>
        <v>12</v>
      </c>
      <c r="G133" s="384" t="s">
        <v>570</v>
      </c>
      <c r="H133" s="319" t="s">
        <v>55</v>
      </c>
      <c r="I133" s="339" t="s">
        <v>328</v>
      </c>
      <c r="J133" s="231"/>
      <c r="K133" s="596"/>
      <c r="L133" s="589"/>
      <c r="M133" s="597"/>
      <c r="N133" s="16"/>
      <c r="O133" s="16"/>
      <c r="P133" s="16"/>
      <c r="Q133" s="16"/>
      <c r="W133" s="16"/>
      <c r="X133" s="16"/>
      <c r="Y133" s="16"/>
      <c r="Z133" s="16"/>
      <c r="AA133" s="16"/>
      <c r="AB133" s="16"/>
    </row>
    <row r="134" spans="1:30" ht="15.75" customHeight="1">
      <c r="A134" s="319" t="s">
        <v>988</v>
      </c>
      <c r="B134" s="319" t="s">
        <v>287</v>
      </c>
      <c r="C134" s="261">
        <v>8</v>
      </c>
      <c r="D134" s="261">
        <v>1</v>
      </c>
      <c r="E134" s="261">
        <v>1.5</v>
      </c>
      <c r="F134" s="261">
        <f t="shared" si="2"/>
        <v>12</v>
      </c>
      <c r="G134" s="384" t="s">
        <v>570</v>
      </c>
      <c r="H134" s="319" t="s">
        <v>55</v>
      </c>
      <c r="I134" s="339" t="s">
        <v>328</v>
      </c>
      <c r="J134" s="231"/>
      <c r="K134" s="596"/>
      <c r="L134" s="589"/>
      <c r="M134" s="597"/>
      <c r="N134" s="16"/>
      <c r="O134" s="16"/>
      <c r="P134" s="16"/>
      <c r="Q134" s="16"/>
      <c r="W134" s="16"/>
      <c r="X134" s="16"/>
      <c r="Y134" s="16"/>
      <c r="Z134" s="16"/>
      <c r="AA134" s="16"/>
      <c r="AB134" s="16"/>
    </row>
    <row r="135" spans="1:30" ht="15.75" customHeight="1">
      <c r="A135" s="319" t="s">
        <v>556</v>
      </c>
      <c r="B135" s="319" t="s">
        <v>282</v>
      </c>
      <c r="C135" s="261">
        <v>25</v>
      </c>
      <c r="D135" s="261">
        <v>1</v>
      </c>
      <c r="E135" s="261">
        <v>3</v>
      </c>
      <c r="F135" s="261">
        <f t="shared" si="2"/>
        <v>75</v>
      </c>
      <c r="G135" s="319" t="s">
        <v>969</v>
      </c>
      <c r="H135" s="319" t="s">
        <v>145</v>
      </c>
      <c r="I135" s="339">
        <f>Constants!$B$6</f>
        <v>50</v>
      </c>
      <c r="J135" s="231"/>
      <c r="K135" s="596"/>
      <c r="L135" s="589"/>
      <c r="M135" s="597"/>
      <c r="N135" s="16"/>
      <c r="O135" s="16"/>
      <c r="P135" s="16"/>
      <c r="Q135" s="16"/>
      <c r="W135" s="16"/>
      <c r="X135" s="16"/>
      <c r="Y135" s="16"/>
      <c r="Z135" s="16"/>
      <c r="AA135" s="16"/>
      <c r="AB135" s="16"/>
    </row>
    <row r="136" spans="1:30" ht="15.75" customHeight="1">
      <c r="A136" s="319" t="s">
        <v>558</v>
      </c>
      <c r="B136" s="319" t="s">
        <v>282</v>
      </c>
      <c r="C136" s="261">
        <v>25</v>
      </c>
      <c r="D136" s="261">
        <v>1</v>
      </c>
      <c r="E136" s="261">
        <v>3</v>
      </c>
      <c r="F136" s="261">
        <f t="shared" si="2"/>
        <v>75</v>
      </c>
      <c r="G136" s="319" t="s">
        <v>970</v>
      </c>
      <c r="H136" s="319" t="s">
        <v>57</v>
      </c>
      <c r="I136" s="339" t="s">
        <v>328</v>
      </c>
      <c r="J136" s="231"/>
      <c r="K136" s="596"/>
      <c r="L136" s="589"/>
      <c r="M136" s="597"/>
      <c r="N136" s="16"/>
      <c r="O136" s="16"/>
      <c r="P136" s="16"/>
      <c r="Q136" s="16"/>
      <c r="W136" s="16"/>
      <c r="X136" s="16"/>
      <c r="Y136" s="16"/>
      <c r="Z136" s="16"/>
      <c r="AA136" s="16"/>
      <c r="AB136" s="16"/>
    </row>
    <row r="137" spans="1:30" ht="15.75" customHeight="1">
      <c r="A137" s="319" t="s">
        <v>989</v>
      </c>
      <c r="B137" s="319" t="s">
        <v>282</v>
      </c>
      <c r="C137" s="261">
        <v>25</v>
      </c>
      <c r="D137" s="261">
        <v>1</v>
      </c>
      <c r="E137" s="261">
        <v>3</v>
      </c>
      <c r="F137" s="261">
        <f t="shared" si="2"/>
        <v>75</v>
      </c>
      <c r="G137" s="319" t="s">
        <v>972</v>
      </c>
      <c r="H137" s="319" t="s">
        <v>57</v>
      </c>
      <c r="I137" s="339" t="s">
        <v>328</v>
      </c>
      <c r="J137" s="231"/>
      <c r="K137" s="596"/>
      <c r="L137" s="589"/>
      <c r="M137" s="597"/>
      <c r="N137" s="16"/>
      <c r="O137" s="16"/>
      <c r="P137" s="16"/>
      <c r="Q137" s="16"/>
      <c r="W137" s="16"/>
      <c r="X137" s="16"/>
      <c r="Y137" s="16"/>
      <c r="Z137" s="16"/>
      <c r="AA137" s="16"/>
      <c r="AB137" s="16"/>
    </row>
    <row r="138" spans="1:30" ht="15.75" customHeight="1">
      <c r="A138" s="231" t="s">
        <v>564</v>
      </c>
      <c r="B138" s="319" t="s">
        <v>282</v>
      </c>
      <c r="C138" s="261">
        <v>25</v>
      </c>
      <c r="D138" s="261">
        <v>1</v>
      </c>
      <c r="E138" s="261">
        <v>4</v>
      </c>
      <c r="F138" s="261">
        <f t="shared" si="2"/>
        <v>100</v>
      </c>
      <c r="G138" s="319" t="s">
        <v>570</v>
      </c>
      <c r="H138" s="319" t="s">
        <v>55</v>
      </c>
      <c r="I138" s="339" t="s">
        <v>328</v>
      </c>
      <c r="J138" s="231"/>
      <c r="K138" s="596"/>
      <c r="L138" s="589"/>
      <c r="M138" s="597"/>
      <c r="N138" s="16"/>
      <c r="O138" s="16"/>
      <c r="P138" s="16"/>
      <c r="Q138" s="16"/>
      <c r="W138" s="16"/>
      <c r="X138" s="16"/>
      <c r="Y138" s="16"/>
      <c r="Z138" s="16"/>
      <c r="AA138" s="16"/>
      <c r="AB138" s="16"/>
    </row>
    <row r="139" spans="1:30" ht="15.75" customHeight="1">
      <c r="A139" s="231" t="s">
        <v>990</v>
      </c>
      <c r="B139" s="319" t="s">
        <v>293</v>
      </c>
      <c r="C139" s="245"/>
      <c r="D139" s="232"/>
      <c r="E139" s="261"/>
      <c r="F139" s="261">
        <f t="shared" si="2"/>
        <v>0</v>
      </c>
      <c r="G139" s="263"/>
      <c r="H139" s="319"/>
      <c r="I139" s="339">
        <v>750</v>
      </c>
      <c r="J139" s="231" t="s">
        <v>991</v>
      </c>
      <c r="K139" s="596"/>
      <c r="L139" s="589"/>
      <c r="M139" s="597"/>
      <c r="N139" s="16"/>
      <c r="O139" s="16"/>
      <c r="P139" s="16"/>
      <c r="Q139" s="16"/>
      <c r="W139" s="16"/>
      <c r="X139" s="16"/>
      <c r="Y139" s="16"/>
      <c r="Z139" s="16"/>
      <c r="AA139" s="16"/>
      <c r="AB139" s="16"/>
    </row>
    <row r="140" spans="1:30" ht="15.75" customHeight="1">
      <c r="A140" s="231" t="s">
        <v>992</v>
      </c>
      <c r="B140" s="319" t="s">
        <v>290</v>
      </c>
      <c r="C140" s="245">
        <v>33</v>
      </c>
      <c r="D140" s="232">
        <v>3</v>
      </c>
      <c r="E140" s="261">
        <v>6</v>
      </c>
      <c r="F140" s="261">
        <f t="shared" si="2"/>
        <v>198</v>
      </c>
      <c r="G140" s="263" t="s">
        <v>993</v>
      </c>
      <c r="H140" s="319" t="s">
        <v>145</v>
      </c>
      <c r="I140" s="339">
        <f>Constants!$B$6</f>
        <v>50</v>
      </c>
      <c r="J140" s="231"/>
      <c r="K140" s="596"/>
      <c r="L140" s="589"/>
      <c r="M140" s="597"/>
      <c r="N140" s="16"/>
      <c r="O140" s="16"/>
      <c r="P140" s="16"/>
      <c r="Q140" s="16"/>
      <c r="W140" s="16"/>
      <c r="X140" s="16"/>
      <c r="Y140" s="16"/>
      <c r="Z140" s="16"/>
      <c r="AA140" s="16"/>
      <c r="AB140" s="16"/>
    </row>
    <row r="141" spans="1:30" ht="15.75" customHeight="1">
      <c r="A141" s="231"/>
      <c r="B141" s="319"/>
      <c r="C141" s="232"/>
      <c r="D141" s="232"/>
      <c r="E141" s="261"/>
      <c r="F141" s="261">
        <f t="shared" si="2"/>
        <v>0</v>
      </c>
      <c r="G141" s="231"/>
      <c r="H141" s="319"/>
      <c r="I141" s="331"/>
      <c r="J141" s="231"/>
      <c r="K141" s="596"/>
      <c r="L141" s="589"/>
      <c r="M141" s="597"/>
      <c r="N141" s="16"/>
      <c r="O141" s="16"/>
      <c r="P141" s="16"/>
      <c r="Q141" s="16"/>
      <c r="W141" s="16"/>
      <c r="X141" s="16"/>
      <c r="Y141" s="16"/>
      <c r="Z141" s="16"/>
      <c r="AA141" s="16"/>
      <c r="AB141" s="16"/>
    </row>
    <row r="142" spans="1:30" ht="15.75" customHeight="1" thickBot="1">
      <c r="A142" s="231"/>
      <c r="B142" s="319"/>
      <c r="C142" s="245"/>
      <c r="D142" s="232"/>
      <c r="E142" s="261"/>
      <c r="F142" s="261">
        <f t="shared" si="2"/>
        <v>0</v>
      </c>
      <c r="G142" s="263"/>
      <c r="H142" s="263"/>
      <c r="I142" s="264"/>
      <c r="J142" s="231"/>
      <c r="K142" s="598"/>
      <c r="L142" s="607"/>
      <c r="M142" s="599"/>
      <c r="N142" s="16"/>
      <c r="O142" s="16"/>
      <c r="P142" s="16"/>
      <c r="Q142" s="16"/>
      <c r="W142" s="16"/>
      <c r="X142" s="16"/>
      <c r="Y142" s="16"/>
      <c r="Z142" s="16"/>
      <c r="AA142" s="16"/>
      <c r="AB142" s="16"/>
    </row>
    <row r="143" spans="1:30" ht="15.75" customHeight="1" thickTop="1">
      <c r="A143" s="16"/>
      <c r="B143" s="16"/>
      <c r="C143" s="16"/>
      <c r="D143" s="16"/>
      <c r="E143" s="16"/>
      <c r="F143" s="16"/>
      <c r="G143" s="16"/>
      <c r="H143" s="16"/>
      <c r="I143" s="16"/>
      <c r="J143" s="16"/>
      <c r="K143" s="16"/>
      <c r="L143" s="16"/>
      <c r="M143" s="16"/>
      <c r="N143" s="16"/>
      <c r="O143" s="16"/>
      <c r="P143" s="16"/>
      <c r="Q143" s="16"/>
      <c r="W143" s="16"/>
      <c r="X143" s="16"/>
      <c r="Y143" s="16"/>
      <c r="Z143" s="16"/>
      <c r="AA143" s="16"/>
      <c r="AB143" s="16"/>
      <c r="AC143" s="16"/>
      <c r="AD143" s="16"/>
    </row>
    <row r="144" spans="1:30" ht="15.75" customHeight="1" thickBot="1">
      <c r="A144" s="186" t="s">
        <v>499</v>
      </c>
      <c r="B144" s="231"/>
      <c r="C144" s="231"/>
      <c r="D144" s="231"/>
      <c r="E144" s="231"/>
      <c r="F144" s="231"/>
      <c r="G144" s="231"/>
      <c r="H144" s="231"/>
      <c r="I144" s="231"/>
      <c r="J144" s="231"/>
      <c r="K144" s="123"/>
      <c r="L144" s="123"/>
      <c r="M144" s="16"/>
      <c r="N144" s="16"/>
      <c r="O144" s="16"/>
      <c r="P144" s="16"/>
      <c r="Q144" s="16"/>
      <c r="W144" s="16"/>
      <c r="X144" s="16"/>
      <c r="Y144" s="16"/>
      <c r="Z144" s="16"/>
      <c r="AA144" s="16"/>
      <c r="AB144" s="16"/>
      <c r="AC144" s="16"/>
      <c r="AD144" s="16"/>
    </row>
    <row r="145" spans="1:27" ht="15.75" customHeight="1" thickTop="1" thickBot="1">
      <c r="A145" s="230" t="s">
        <v>476</v>
      </c>
      <c r="B145" s="230" t="s">
        <v>500</v>
      </c>
      <c r="C145" s="230" t="s">
        <v>501</v>
      </c>
      <c r="D145" s="230" t="s">
        <v>502</v>
      </c>
      <c r="E145" s="230" t="s">
        <v>503</v>
      </c>
      <c r="F145" s="230" t="s">
        <v>504</v>
      </c>
      <c r="G145" s="230" t="s">
        <v>505</v>
      </c>
      <c r="H145" s="230" t="s">
        <v>506</v>
      </c>
      <c r="I145" s="230" t="s">
        <v>507</v>
      </c>
      <c r="J145" s="230" t="s">
        <v>508</v>
      </c>
      <c r="K145" s="561" t="s">
        <v>441</v>
      </c>
      <c r="L145" s="561"/>
      <c r="M145" s="561"/>
      <c r="N145" s="561"/>
      <c r="O145" s="570"/>
      <c r="P145" s="726" t="s">
        <v>434</v>
      </c>
      <c r="Q145" s="727"/>
      <c r="R145" s="16"/>
      <c r="S145" s="16"/>
      <c r="V145" s="16"/>
      <c r="W145" s="16"/>
      <c r="X145" s="16"/>
      <c r="Y145" s="16"/>
      <c r="Z145" s="16"/>
      <c r="AA145" s="16"/>
    </row>
    <row r="146" spans="1:27" ht="15.75" customHeight="1" thickTop="1">
      <c r="A146" s="231" t="s">
        <v>994</v>
      </c>
      <c r="B146" s="231" t="s">
        <v>245</v>
      </c>
      <c r="C146" s="232" t="s">
        <v>515</v>
      </c>
      <c r="D146" s="232">
        <v>4.5</v>
      </c>
      <c r="E146" s="230"/>
      <c r="F146" s="232">
        <f>D146*E146</f>
        <v>0</v>
      </c>
      <c r="G146" s="230"/>
      <c r="H146" s="332">
        <f>IF($B146= "","-",IF($B146= "External","Specify location tariff", INDEX(Constants!$3:$3,MATCH($B146,Constants!$2:$2,0))))</f>
        <v>67.5</v>
      </c>
      <c r="I146" s="333">
        <f t="shared" ref="I146:I169" si="3">IF($H146="-","-",IF($H146="Specify location tariff","-",$H146*$F146))</f>
        <v>0</v>
      </c>
      <c r="J146" s="247"/>
      <c r="K146" s="594"/>
      <c r="L146" s="606"/>
      <c r="M146" s="606"/>
      <c r="N146" s="606"/>
      <c r="O146" s="595"/>
      <c r="P146" s="576" t="s">
        <v>511</v>
      </c>
      <c r="Q146" s="577"/>
      <c r="R146" s="16"/>
      <c r="S146" s="16"/>
      <c r="V146" s="16"/>
      <c r="W146" s="16"/>
      <c r="X146" s="16"/>
      <c r="Y146" s="16"/>
      <c r="Z146" s="16"/>
      <c r="AA146" s="16"/>
    </row>
    <row r="147" spans="1:27" ht="15.75" customHeight="1">
      <c r="A147" s="319" t="s">
        <v>994</v>
      </c>
      <c r="B147" s="231" t="s">
        <v>245</v>
      </c>
      <c r="C147" s="232" t="s">
        <v>515</v>
      </c>
      <c r="D147" s="261">
        <v>6.5</v>
      </c>
      <c r="E147" s="245">
        <v>33</v>
      </c>
      <c r="F147" s="232">
        <f t="shared" ref="F147:F173" si="4">D147*E147</f>
        <v>214.5</v>
      </c>
      <c r="G147" s="245" t="s">
        <v>995</v>
      </c>
      <c r="H147" s="332">
        <f>IF($B147= "","-",IF($B147= "External","Specify location tariff", INDEX(Constants!$3:$3,MATCH($B147,Constants!$2:$2,0))))</f>
        <v>67.5</v>
      </c>
      <c r="I147" s="333">
        <f t="shared" si="3"/>
        <v>14478.75</v>
      </c>
      <c r="J147" s="247"/>
      <c r="K147" s="596"/>
      <c r="L147" s="589"/>
      <c r="M147" s="589"/>
      <c r="N147" s="589"/>
      <c r="O147" s="597"/>
      <c r="P147" s="578"/>
      <c r="Q147" s="579"/>
      <c r="R147" s="16"/>
      <c r="S147" s="16"/>
      <c r="V147" s="16"/>
      <c r="W147" s="16"/>
      <c r="X147" s="16"/>
      <c r="Y147" s="16"/>
      <c r="Z147" s="16"/>
      <c r="AA147" s="16"/>
    </row>
    <row r="148" spans="1:27" ht="15.75" customHeight="1">
      <c r="A148" s="319" t="s">
        <v>996</v>
      </c>
      <c r="B148" s="231" t="s">
        <v>245</v>
      </c>
      <c r="C148" s="232" t="s">
        <v>512</v>
      </c>
      <c r="D148" s="261">
        <v>6</v>
      </c>
      <c r="E148" s="245">
        <v>16</v>
      </c>
      <c r="F148" s="232">
        <f t="shared" si="4"/>
        <v>96</v>
      </c>
      <c r="G148" s="245" t="s">
        <v>997</v>
      </c>
      <c r="H148" s="332">
        <f>IF($B148= "","-",IF($B148= "External","Specify location tariff", INDEX(Constants!$3:$3,MATCH($B148,Constants!$2:$2,0))))</f>
        <v>67.5</v>
      </c>
      <c r="I148" s="333">
        <f t="shared" si="3"/>
        <v>6480</v>
      </c>
      <c r="J148" s="247"/>
      <c r="K148" s="596"/>
      <c r="L148" s="589"/>
      <c r="M148" s="589"/>
      <c r="N148" s="589"/>
      <c r="O148" s="597"/>
      <c r="P148" s="578"/>
      <c r="Q148" s="579"/>
      <c r="R148" s="16"/>
      <c r="S148" s="16"/>
      <c r="V148" s="16"/>
      <c r="W148" s="16"/>
      <c r="X148" s="16"/>
      <c r="Y148" s="16"/>
      <c r="Z148" s="16"/>
      <c r="AA148" s="16"/>
    </row>
    <row r="149" spans="1:27" ht="15.75" customHeight="1">
      <c r="A149" s="319" t="s">
        <v>996</v>
      </c>
      <c r="B149" s="231" t="s">
        <v>245</v>
      </c>
      <c r="C149" s="232" t="s">
        <v>512</v>
      </c>
      <c r="D149" s="261">
        <v>3</v>
      </c>
      <c r="E149" s="245">
        <v>16</v>
      </c>
      <c r="F149" s="232">
        <f t="shared" si="4"/>
        <v>48</v>
      </c>
      <c r="G149" s="245" t="s">
        <v>998</v>
      </c>
      <c r="H149" s="332">
        <f>IF($B149= "","-",IF($B149= "External","Specify location tariff", INDEX(Constants!$3:$3,MATCH($B149,Constants!$2:$2,0))))</f>
        <v>67.5</v>
      </c>
      <c r="I149" s="333">
        <f t="shared" si="3"/>
        <v>3240</v>
      </c>
      <c r="J149" s="247"/>
      <c r="K149" s="596"/>
      <c r="L149" s="589"/>
      <c r="M149" s="589"/>
      <c r="N149" s="589"/>
      <c r="O149" s="597"/>
      <c r="P149" s="578"/>
      <c r="Q149" s="579"/>
      <c r="R149" s="16"/>
      <c r="S149" s="16"/>
      <c r="V149" s="16"/>
      <c r="W149" s="16"/>
      <c r="X149" s="16"/>
      <c r="Y149" s="16"/>
      <c r="Z149" s="16"/>
      <c r="AA149" s="16"/>
    </row>
    <row r="150" spans="1:27" ht="15.75" customHeight="1">
      <c r="A150" s="319" t="s">
        <v>999</v>
      </c>
      <c r="B150" s="231" t="s">
        <v>245</v>
      </c>
      <c r="C150" s="232" t="s">
        <v>512</v>
      </c>
      <c r="D150" s="261">
        <v>4.5</v>
      </c>
      <c r="E150" s="245">
        <v>18</v>
      </c>
      <c r="F150" s="232">
        <f t="shared" si="4"/>
        <v>81</v>
      </c>
      <c r="G150" s="245" t="s">
        <v>997</v>
      </c>
      <c r="H150" s="332">
        <f>IF($B150= "","-",IF($B150= "External","Specify location tariff", INDEX(Constants!$3:$3,MATCH($B150,Constants!$2:$2,0))))</f>
        <v>67.5</v>
      </c>
      <c r="I150" s="333">
        <f t="shared" si="3"/>
        <v>5467.5</v>
      </c>
      <c r="J150" s="247"/>
      <c r="K150" s="596"/>
      <c r="L150" s="589"/>
      <c r="M150" s="589"/>
      <c r="N150" s="589"/>
      <c r="O150" s="597"/>
      <c r="P150" s="578"/>
      <c r="Q150" s="579"/>
      <c r="R150" s="16"/>
      <c r="S150" s="16"/>
      <c r="V150" s="16"/>
      <c r="W150" s="16"/>
      <c r="X150" s="16"/>
      <c r="Y150" s="16"/>
      <c r="Z150" s="16"/>
      <c r="AA150" s="16"/>
    </row>
    <row r="151" spans="1:27" ht="15.75" customHeight="1">
      <c r="A151" s="319" t="s">
        <v>999</v>
      </c>
      <c r="B151" s="231" t="s">
        <v>245</v>
      </c>
      <c r="C151" s="232" t="s">
        <v>512</v>
      </c>
      <c r="D151" s="261">
        <v>1.5</v>
      </c>
      <c r="E151" s="245">
        <v>18</v>
      </c>
      <c r="F151" s="232">
        <f t="shared" si="4"/>
        <v>27</v>
      </c>
      <c r="G151" s="245" t="s">
        <v>998</v>
      </c>
      <c r="H151" s="332">
        <f>IF($B151= "","-",IF($B151= "External","Specify location tariff", INDEX(Constants!$3:$3,MATCH($B151,Constants!$2:$2,0))))</f>
        <v>67.5</v>
      </c>
      <c r="I151" s="333">
        <f t="shared" si="3"/>
        <v>1822.5</v>
      </c>
      <c r="J151" s="247"/>
      <c r="K151" s="596"/>
      <c r="L151" s="589"/>
      <c r="M151" s="589"/>
      <c r="N151" s="589"/>
      <c r="O151" s="597"/>
      <c r="P151" s="578"/>
      <c r="Q151" s="579"/>
      <c r="R151" s="16"/>
      <c r="S151" s="16"/>
      <c r="V151" s="16"/>
      <c r="W151" s="16"/>
      <c r="X151" s="16"/>
      <c r="Y151" s="16"/>
      <c r="Z151" s="16"/>
      <c r="AA151" s="16"/>
    </row>
    <row r="152" spans="1:27" ht="15.75" customHeight="1">
      <c r="A152" s="319" t="s">
        <v>1000</v>
      </c>
      <c r="B152" s="231" t="s">
        <v>243</v>
      </c>
      <c r="C152" s="232" t="s">
        <v>513</v>
      </c>
      <c r="D152" s="261">
        <v>6.5</v>
      </c>
      <c r="E152" s="245">
        <v>33</v>
      </c>
      <c r="F152" s="232">
        <f t="shared" si="4"/>
        <v>214.5</v>
      </c>
      <c r="G152" s="245" t="s">
        <v>998</v>
      </c>
      <c r="H152" s="332">
        <f>IF($B152= "","-",IF($B152= "External","Specify location tariff", INDEX(Constants!$3:$3,MATCH($B152,Constants!$2:$2,0))))</f>
        <v>67.5</v>
      </c>
      <c r="I152" s="333">
        <f t="shared" si="3"/>
        <v>14478.75</v>
      </c>
      <c r="J152" s="247"/>
      <c r="K152" s="596"/>
      <c r="L152" s="589"/>
      <c r="M152" s="589"/>
      <c r="N152" s="589"/>
      <c r="O152" s="597"/>
      <c r="P152" s="578"/>
      <c r="Q152" s="579"/>
      <c r="R152" s="16"/>
      <c r="S152" s="16"/>
      <c r="V152" s="16"/>
      <c r="W152" s="16"/>
      <c r="X152" s="16"/>
      <c r="Y152" s="16"/>
      <c r="Z152" s="16"/>
      <c r="AA152" s="16"/>
    </row>
    <row r="153" spans="1:27" ht="15.75" customHeight="1">
      <c r="A153" s="319" t="s">
        <v>1001</v>
      </c>
      <c r="B153" s="231" t="s">
        <v>245</v>
      </c>
      <c r="C153" s="232" t="s">
        <v>516</v>
      </c>
      <c r="D153" s="261">
        <v>1.5</v>
      </c>
      <c r="E153" s="245">
        <v>33</v>
      </c>
      <c r="F153" s="232">
        <f t="shared" si="4"/>
        <v>49.5</v>
      </c>
      <c r="G153" s="245">
        <v>3</v>
      </c>
      <c r="H153" s="332">
        <f>IF($B153= "","-",IF($B153= "External","Specify location tariff", INDEX(Constants!$3:$3,MATCH($B153,Constants!$2:$2,0))))</f>
        <v>67.5</v>
      </c>
      <c r="I153" s="333">
        <f t="shared" si="3"/>
        <v>3341.25</v>
      </c>
      <c r="J153" s="247"/>
      <c r="K153" s="596"/>
      <c r="L153" s="589"/>
      <c r="M153" s="589"/>
      <c r="N153" s="589"/>
      <c r="O153" s="597"/>
      <c r="P153" s="578"/>
      <c r="Q153" s="579"/>
      <c r="R153" s="16"/>
      <c r="S153" s="16"/>
      <c r="V153" s="16"/>
      <c r="W153" s="16"/>
      <c r="X153" s="16"/>
      <c r="Y153" s="16"/>
      <c r="Z153" s="16"/>
      <c r="AA153" s="16"/>
    </row>
    <row r="154" spans="1:27" ht="15.75" customHeight="1">
      <c r="A154" s="319" t="s">
        <v>1002</v>
      </c>
      <c r="B154" s="231" t="s">
        <v>245</v>
      </c>
      <c r="C154" s="232" t="s">
        <v>516</v>
      </c>
      <c r="D154" s="261">
        <v>1.5</v>
      </c>
      <c r="E154" s="245">
        <v>16</v>
      </c>
      <c r="F154" s="232">
        <f t="shared" si="4"/>
        <v>24</v>
      </c>
      <c r="G154" s="245">
        <v>5</v>
      </c>
      <c r="H154" s="332">
        <f>IF($B154= "","-",IF($B154= "External","Specify location tariff", INDEX(Constants!$3:$3,MATCH($B154,Constants!$2:$2,0))))</f>
        <v>67.5</v>
      </c>
      <c r="I154" s="333">
        <f t="shared" si="3"/>
        <v>1620</v>
      </c>
      <c r="J154" s="247"/>
      <c r="K154" s="596"/>
      <c r="L154" s="589"/>
      <c r="M154" s="589"/>
      <c r="N154" s="589"/>
      <c r="O154" s="597"/>
      <c r="P154" s="578"/>
      <c r="Q154" s="579"/>
      <c r="R154" s="16"/>
      <c r="S154" s="16"/>
      <c r="V154" s="16"/>
      <c r="W154" s="16"/>
      <c r="X154" s="16"/>
      <c r="Y154" s="16"/>
      <c r="Z154" s="16"/>
      <c r="AA154" s="16"/>
    </row>
    <row r="155" spans="1:27" ht="15.75" customHeight="1">
      <c r="A155" s="319" t="s">
        <v>1003</v>
      </c>
      <c r="B155" s="231" t="s">
        <v>245</v>
      </c>
      <c r="C155" s="232" t="s">
        <v>516</v>
      </c>
      <c r="D155" s="261">
        <v>3</v>
      </c>
      <c r="E155" s="245">
        <v>18</v>
      </c>
      <c r="F155" s="232">
        <f t="shared" si="4"/>
        <v>54</v>
      </c>
      <c r="G155" s="245">
        <v>5</v>
      </c>
      <c r="H155" s="332">
        <f>IF($B155= "","-",IF($B155= "External","Specify location tariff", INDEX(Constants!$3:$3,MATCH($B155,Constants!$2:$2,0))))</f>
        <v>67.5</v>
      </c>
      <c r="I155" s="333">
        <f t="shared" si="3"/>
        <v>3645</v>
      </c>
      <c r="J155" s="247"/>
      <c r="K155" s="596"/>
      <c r="L155" s="589"/>
      <c r="M155" s="589"/>
      <c r="N155" s="589"/>
      <c r="O155" s="597"/>
      <c r="P155" s="578"/>
      <c r="Q155" s="579"/>
      <c r="R155" s="16"/>
      <c r="S155" s="16"/>
      <c r="V155" s="16"/>
      <c r="W155" s="16"/>
      <c r="X155" s="16"/>
      <c r="Y155" s="16"/>
      <c r="Z155" s="16"/>
      <c r="AA155" s="16"/>
    </row>
    <row r="156" spans="1:27" ht="15.75" customHeight="1">
      <c r="A156" s="319" t="s">
        <v>448</v>
      </c>
      <c r="B156" s="231" t="s">
        <v>245</v>
      </c>
      <c r="C156" s="232" t="s">
        <v>515</v>
      </c>
      <c r="D156" s="261">
        <v>5</v>
      </c>
      <c r="E156" s="245">
        <v>10</v>
      </c>
      <c r="F156" s="232">
        <f t="shared" si="4"/>
        <v>50</v>
      </c>
      <c r="G156" s="245" t="s">
        <v>1004</v>
      </c>
      <c r="H156" s="332">
        <f>IF($B156= "","-",IF($B156= "External","Specify location tariff", INDEX(Constants!$3:$3,MATCH($B156,Constants!$2:$2,0))))</f>
        <v>67.5</v>
      </c>
      <c r="I156" s="333">
        <f t="shared" si="3"/>
        <v>3375</v>
      </c>
      <c r="J156" s="247"/>
      <c r="K156" s="596"/>
      <c r="L156" s="589"/>
      <c r="M156" s="589"/>
      <c r="N156" s="589"/>
      <c r="O156" s="597"/>
      <c r="P156" s="578"/>
      <c r="Q156" s="579"/>
      <c r="R156" s="16"/>
      <c r="S156" s="16"/>
      <c r="V156" s="16"/>
      <c r="W156" s="16"/>
      <c r="X156" s="16"/>
      <c r="Y156" s="16"/>
      <c r="Z156" s="16"/>
      <c r="AA156" s="16"/>
    </row>
    <row r="157" spans="1:27" ht="15.75" customHeight="1">
      <c r="A157" s="319" t="s">
        <v>448</v>
      </c>
      <c r="B157" s="231" t="s">
        <v>245</v>
      </c>
      <c r="C157" s="232" t="s">
        <v>512</v>
      </c>
      <c r="D157" s="261">
        <v>1.5</v>
      </c>
      <c r="E157" s="245">
        <v>10</v>
      </c>
      <c r="F157" s="232">
        <f t="shared" si="4"/>
        <v>15</v>
      </c>
      <c r="G157" s="245" t="s">
        <v>998</v>
      </c>
      <c r="H157" s="332">
        <f>IF($B157= "","-",IF($B157= "External","Specify location tariff", INDEX(Constants!$3:$3,MATCH($B157,Constants!$2:$2,0))))</f>
        <v>67.5</v>
      </c>
      <c r="I157" s="333">
        <f t="shared" si="3"/>
        <v>1012.5</v>
      </c>
      <c r="J157" s="247"/>
      <c r="K157" s="596"/>
      <c r="L157" s="589"/>
      <c r="M157" s="589"/>
      <c r="N157" s="589"/>
      <c r="O157" s="597"/>
      <c r="P157" s="578"/>
      <c r="Q157" s="579"/>
      <c r="R157" s="16"/>
      <c r="S157" s="16"/>
      <c r="V157" s="16"/>
      <c r="W157" s="16"/>
      <c r="X157" s="16"/>
      <c r="Y157" s="16"/>
      <c r="Z157" s="16"/>
      <c r="AA157" s="16"/>
    </row>
    <row r="158" spans="1:27" ht="15.75" customHeight="1">
      <c r="A158" s="319" t="s">
        <v>448</v>
      </c>
      <c r="B158" s="231" t="s">
        <v>243</v>
      </c>
      <c r="C158" s="232" t="s">
        <v>513</v>
      </c>
      <c r="D158" s="261">
        <v>5</v>
      </c>
      <c r="E158" s="245">
        <v>10</v>
      </c>
      <c r="F158" s="232">
        <f t="shared" si="4"/>
        <v>50</v>
      </c>
      <c r="G158" s="245" t="s">
        <v>998</v>
      </c>
      <c r="H158" s="332">
        <f>IF($B158= "","-",IF($B158= "External","Specify location tariff", INDEX(Constants!$3:$3,MATCH($B158,Constants!$2:$2,0))))</f>
        <v>67.5</v>
      </c>
      <c r="I158" s="333">
        <f t="shared" si="3"/>
        <v>3375</v>
      </c>
      <c r="J158" s="247"/>
      <c r="K158" s="596"/>
      <c r="L158" s="589"/>
      <c r="M158" s="589"/>
      <c r="N158" s="589"/>
      <c r="O158" s="597"/>
      <c r="P158" s="578"/>
      <c r="Q158" s="579"/>
      <c r="R158" s="16"/>
      <c r="S158" s="16"/>
      <c r="V158" s="16"/>
      <c r="W158" s="16"/>
      <c r="X158" s="16"/>
      <c r="Y158" s="16"/>
      <c r="Z158" s="16"/>
      <c r="AA158" s="16"/>
    </row>
    <row r="159" spans="1:27" ht="15.75" customHeight="1">
      <c r="A159" s="319" t="s">
        <v>604</v>
      </c>
      <c r="B159" s="231" t="s">
        <v>260</v>
      </c>
      <c r="C159" s="232" t="s">
        <v>515</v>
      </c>
      <c r="D159" s="261">
        <v>3</v>
      </c>
      <c r="E159" s="245">
        <v>8</v>
      </c>
      <c r="F159" s="232">
        <f t="shared" si="4"/>
        <v>24</v>
      </c>
      <c r="G159" s="245" t="s">
        <v>1004</v>
      </c>
      <c r="H159" s="332">
        <f>IF($B159= "","-",IF($B159= "External","Specify location tariff", INDEX(Constants!$3:$3,MATCH($B159,Constants!$2:$2,0))))</f>
        <v>75</v>
      </c>
      <c r="I159" s="333">
        <f t="shared" si="3"/>
        <v>1800</v>
      </c>
      <c r="J159" s="247"/>
      <c r="K159" s="596"/>
      <c r="L159" s="589"/>
      <c r="M159" s="589"/>
      <c r="N159" s="589"/>
      <c r="O159" s="597"/>
      <c r="P159" s="578"/>
      <c r="Q159" s="579"/>
      <c r="R159" s="16"/>
      <c r="S159" s="16"/>
      <c r="V159" s="16"/>
      <c r="W159" s="16"/>
      <c r="X159" s="16"/>
      <c r="Y159" s="16"/>
      <c r="Z159" s="16"/>
      <c r="AA159" s="16"/>
    </row>
    <row r="160" spans="1:27" ht="15.75" customHeight="1">
      <c r="A160" s="319" t="s">
        <v>604</v>
      </c>
      <c r="B160" s="231" t="s">
        <v>260</v>
      </c>
      <c r="C160" s="232" t="s">
        <v>512</v>
      </c>
      <c r="D160" s="261">
        <v>4.5</v>
      </c>
      <c r="E160" s="245">
        <v>8</v>
      </c>
      <c r="F160" s="232">
        <f t="shared" si="4"/>
        <v>36</v>
      </c>
      <c r="G160" s="245" t="s">
        <v>1004</v>
      </c>
      <c r="H160" s="332">
        <f>IF($B160= "","-",IF($B160= "External","Specify location tariff", INDEX(Constants!$3:$3,MATCH($B160,Constants!$2:$2,0))))</f>
        <v>75</v>
      </c>
      <c r="I160" s="333">
        <f t="shared" si="3"/>
        <v>2700</v>
      </c>
      <c r="J160" s="247"/>
      <c r="K160" s="596"/>
      <c r="L160" s="589"/>
      <c r="M160" s="589"/>
      <c r="N160" s="589"/>
      <c r="O160" s="597"/>
      <c r="P160" s="578"/>
      <c r="Q160" s="579"/>
      <c r="R160" s="16"/>
      <c r="S160" s="16"/>
      <c r="V160" s="16"/>
      <c r="W160" s="16"/>
      <c r="X160" s="16"/>
      <c r="Y160" s="16"/>
      <c r="Z160" s="16"/>
      <c r="AA160" s="16"/>
    </row>
    <row r="161" spans="1:30" ht="15.75" customHeight="1">
      <c r="A161" s="319"/>
      <c r="B161" s="231"/>
      <c r="C161" s="232"/>
      <c r="D161" s="261"/>
      <c r="E161" s="245"/>
      <c r="F161" s="232">
        <f t="shared" si="4"/>
        <v>0</v>
      </c>
      <c r="G161" s="245"/>
      <c r="H161" s="332" t="str">
        <f>IF($B161= "","-",IF($B161= "External","Specify location tariff", INDEX(Constants!$3:$3,MATCH($B161,Constants!$2:$2,0))))</f>
        <v>-</v>
      </c>
      <c r="I161" s="333" t="str">
        <f t="shared" si="3"/>
        <v>-</v>
      </c>
      <c r="J161" s="247"/>
      <c r="K161" s="596"/>
      <c r="L161" s="589"/>
      <c r="M161" s="589"/>
      <c r="N161" s="589"/>
      <c r="O161" s="597"/>
      <c r="P161" s="578"/>
      <c r="Q161" s="579"/>
      <c r="R161" s="16"/>
      <c r="S161" s="16"/>
      <c r="V161" s="16"/>
      <c r="W161" s="16"/>
      <c r="X161" s="16"/>
      <c r="Y161" s="16"/>
      <c r="Z161" s="16"/>
      <c r="AA161" s="16"/>
    </row>
    <row r="162" spans="1:30" ht="15.75" customHeight="1">
      <c r="A162" s="319" t="s">
        <v>1005</v>
      </c>
      <c r="B162" s="231" t="s">
        <v>243</v>
      </c>
      <c r="C162" s="232" t="s">
        <v>514</v>
      </c>
      <c r="D162" s="261">
        <v>6</v>
      </c>
      <c r="E162" s="245">
        <v>18</v>
      </c>
      <c r="F162" s="232">
        <f t="shared" si="4"/>
        <v>108</v>
      </c>
      <c r="G162" s="245">
        <v>0</v>
      </c>
      <c r="H162" s="332">
        <f>IF($B162= "","-",IF($B162= "External","Specify location tariff", INDEX(Constants!$3:$3,MATCH($B162,Constants!$2:$2,0))))</f>
        <v>67.5</v>
      </c>
      <c r="I162" s="333">
        <f t="shared" si="3"/>
        <v>7290</v>
      </c>
      <c r="J162" s="247"/>
      <c r="K162" s="596"/>
      <c r="L162" s="589"/>
      <c r="M162" s="589"/>
      <c r="N162" s="589"/>
      <c r="O162" s="597"/>
      <c r="P162" s="578"/>
      <c r="Q162" s="579"/>
      <c r="R162" s="16"/>
      <c r="S162" s="16"/>
      <c r="V162" s="16"/>
      <c r="W162" s="16"/>
      <c r="X162" s="16"/>
      <c r="Y162" s="16"/>
      <c r="Z162" s="16"/>
      <c r="AA162" s="16"/>
    </row>
    <row r="163" spans="1:30" ht="15.75" customHeight="1">
      <c r="A163" s="231" t="s">
        <v>1005</v>
      </c>
      <c r="B163" s="231" t="s">
        <v>248</v>
      </c>
      <c r="C163" s="232" t="s">
        <v>514</v>
      </c>
      <c r="D163" s="261">
        <v>5.5</v>
      </c>
      <c r="E163" s="245">
        <v>18</v>
      </c>
      <c r="F163" s="232">
        <f t="shared" si="4"/>
        <v>99</v>
      </c>
      <c r="G163" s="245">
        <v>0</v>
      </c>
      <c r="H163" s="332">
        <f>IF($B163= "","-",IF($B163= "External","Specify location tariff", INDEX(Constants!$3:$3,MATCH($B163,Constants!$2:$2,0))))</f>
        <v>40</v>
      </c>
      <c r="I163" s="333">
        <f t="shared" si="3"/>
        <v>3960</v>
      </c>
      <c r="J163" s="247"/>
      <c r="K163" s="596"/>
      <c r="L163" s="589"/>
      <c r="M163" s="589"/>
      <c r="N163" s="589"/>
      <c r="O163" s="597"/>
      <c r="P163" s="578"/>
      <c r="Q163" s="579"/>
      <c r="R163" s="16"/>
      <c r="S163" s="16"/>
      <c r="V163" s="16"/>
      <c r="W163" s="16"/>
      <c r="X163" s="16"/>
      <c r="Y163" s="16"/>
      <c r="Z163" s="16"/>
      <c r="AA163" s="16"/>
    </row>
    <row r="164" spans="1:30" ht="15.75" customHeight="1">
      <c r="A164" s="231" t="s">
        <v>1005</v>
      </c>
      <c r="B164" s="231" t="s">
        <v>243</v>
      </c>
      <c r="C164" s="232" t="s">
        <v>1006</v>
      </c>
      <c r="D164" s="261">
        <v>5</v>
      </c>
      <c r="E164" s="245">
        <v>18</v>
      </c>
      <c r="F164" s="232">
        <f t="shared" si="4"/>
        <v>90</v>
      </c>
      <c r="G164" s="245">
        <v>0</v>
      </c>
      <c r="H164" s="332">
        <f>IF($B164= "","-",IF($B164= "External","Specify location tariff", INDEX(Constants!$3:$3,MATCH($B164,Constants!$2:$2,0))))</f>
        <v>67.5</v>
      </c>
      <c r="I164" s="333">
        <f t="shared" si="3"/>
        <v>6075</v>
      </c>
      <c r="J164" s="247"/>
      <c r="K164" s="596"/>
      <c r="L164" s="589"/>
      <c r="M164" s="589"/>
      <c r="N164" s="589"/>
      <c r="O164" s="597"/>
      <c r="P164" s="578"/>
      <c r="Q164" s="579"/>
      <c r="R164" s="16"/>
      <c r="S164" s="16"/>
      <c r="V164" s="16"/>
      <c r="W164" s="16"/>
      <c r="X164" s="16"/>
      <c r="Y164" s="16"/>
      <c r="Z164" s="16"/>
      <c r="AA164" s="16"/>
    </row>
    <row r="165" spans="1:30" ht="15.75" customHeight="1">
      <c r="A165" s="319" t="s">
        <v>1005</v>
      </c>
      <c r="B165" s="231" t="s">
        <v>248</v>
      </c>
      <c r="C165" s="232" t="s">
        <v>1006</v>
      </c>
      <c r="D165" s="261">
        <v>8</v>
      </c>
      <c r="E165" s="245">
        <v>18</v>
      </c>
      <c r="F165" s="232">
        <f t="shared" si="4"/>
        <v>144</v>
      </c>
      <c r="G165" s="245">
        <v>0</v>
      </c>
      <c r="H165" s="332">
        <f>IF($B165= "","-",IF($B165= "External","Specify location tariff", INDEX(Constants!$3:$3,MATCH($B165,Constants!$2:$2,0))))</f>
        <v>40</v>
      </c>
      <c r="I165" s="333">
        <f t="shared" si="3"/>
        <v>5760</v>
      </c>
      <c r="J165" s="247"/>
      <c r="K165" s="596"/>
      <c r="L165" s="589"/>
      <c r="M165" s="589"/>
      <c r="N165" s="589"/>
      <c r="O165" s="597"/>
      <c r="P165" s="578"/>
      <c r="Q165" s="579"/>
      <c r="R165" s="16"/>
      <c r="S165" s="16"/>
      <c r="V165" s="16"/>
      <c r="W165" s="16"/>
      <c r="X165" s="16"/>
      <c r="Y165" s="16"/>
      <c r="Z165" s="16"/>
      <c r="AA165" s="16"/>
    </row>
    <row r="166" spans="1:30" ht="15.75" customHeight="1">
      <c r="A166" s="231" t="s">
        <v>1007</v>
      </c>
      <c r="B166" s="231" t="s">
        <v>245</v>
      </c>
      <c r="C166" s="232" t="s">
        <v>514</v>
      </c>
      <c r="D166" s="261">
        <v>4</v>
      </c>
      <c r="E166" s="245">
        <v>10</v>
      </c>
      <c r="F166" s="232">
        <f t="shared" si="4"/>
        <v>40</v>
      </c>
      <c r="G166" s="245">
        <v>0</v>
      </c>
      <c r="H166" s="332">
        <f>IF($B166= "","-",IF($B166= "External","Specify location tariff", INDEX(Constants!$3:$3,MATCH($B166,Constants!$2:$2,0))))</f>
        <v>67.5</v>
      </c>
      <c r="I166" s="333">
        <f t="shared" si="3"/>
        <v>2700</v>
      </c>
      <c r="J166" s="247"/>
      <c r="K166" s="596"/>
      <c r="L166" s="589"/>
      <c r="M166" s="589"/>
      <c r="N166" s="589"/>
      <c r="O166" s="597"/>
      <c r="P166" s="578"/>
      <c r="Q166" s="579"/>
      <c r="R166" s="16"/>
      <c r="S166" s="16"/>
      <c r="V166" s="16"/>
      <c r="W166" s="16"/>
      <c r="X166" s="16"/>
      <c r="Y166" s="16"/>
      <c r="Z166" s="16"/>
      <c r="AA166" s="16"/>
    </row>
    <row r="167" spans="1:30" ht="15.75" customHeight="1">
      <c r="A167" s="319" t="s">
        <v>1007</v>
      </c>
      <c r="B167" s="231" t="s">
        <v>245</v>
      </c>
      <c r="C167" s="232" t="s">
        <v>514</v>
      </c>
      <c r="D167" s="261">
        <v>4</v>
      </c>
      <c r="E167" s="245">
        <v>10</v>
      </c>
      <c r="F167" s="232">
        <f t="shared" si="4"/>
        <v>40</v>
      </c>
      <c r="G167" s="245">
        <v>0</v>
      </c>
      <c r="H167" s="332">
        <f>IF($B167= "","-",IF($B167= "External","Specify location tariff", INDEX(Constants!$3:$3,MATCH($B167,Constants!$2:$2,0))))</f>
        <v>67.5</v>
      </c>
      <c r="I167" s="333">
        <f t="shared" si="3"/>
        <v>2700</v>
      </c>
      <c r="J167" s="247"/>
      <c r="K167" s="596"/>
      <c r="L167" s="589"/>
      <c r="M167" s="589"/>
      <c r="N167" s="589"/>
      <c r="O167" s="597"/>
      <c r="P167" s="578"/>
      <c r="Q167" s="579"/>
      <c r="R167" s="16"/>
      <c r="S167" s="16"/>
      <c r="V167" s="16"/>
      <c r="W167" s="16"/>
      <c r="X167" s="16"/>
      <c r="Y167" s="16"/>
      <c r="Z167" s="16"/>
      <c r="AA167" s="16"/>
    </row>
    <row r="168" spans="1:30" ht="15.75" customHeight="1">
      <c r="A168" s="231" t="s">
        <v>1008</v>
      </c>
      <c r="B168" s="231" t="s">
        <v>260</v>
      </c>
      <c r="C168" s="232" t="s">
        <v>516</v>
      </c>
      <c r="D168" s="261">
        <v>6</v>
      </c>
      <c r="E168" s="245">
        <v>8</v>
      </c>
      <c r="F168" s="232">
        <f t="shared" si="4"/>
        <v>48</v>
      </c>
      <c r="G168" s="245">
        <v>0</v>
      </c>
      <c r="H168" s="332">
        <f>IF($B168= "","-",IF($B168= "External","Specify location tariff", INDEX(Constants!$3:$3,MATCH($B168,Constants!$2:$2,0))))</f>
        <v>75</v>
      </c>
      <c r="I168" s="333">
        <f t="shared" si="3"/>
        <v>3600</v>
      </c>
      <c r="J168" s="247"/>
      <c r="K168" s="596"/>
      <c r="L168" s="589"/>
      <c r="M168" s="589"/>
      <c r="N168" s="589"/>
      <c r="O168" s="597"/>
      <c r="P168" s="578"/>
      <c r="Q168" s="579"/>
      <c r="R168" s="16"/>
      <c r="S168" s="16"/>
      <c r="V168" s="16"/>
      <c r="W168" s="16"/>
      <c r="X168" s="16"/>
      <c r="Y168" s="16"/>
      <c r="Z168" s="16"/>
      <c r="AA168" s="16"/>
    </row>
    <row r="169" spans="1:30" ht="15.75" customHeight="1">
      <c r="A169" s="319" t="s">
        <v>1008</v>
      </c>
      <c r="B169" s="231" t="s">
        <v>260</v>
      </c>
      <c r="C169" s="232" t="s">
        <v>514</v>
      </c>
      <c r="D169" s="261">
        <v>6</v>
      </c>
      <c r="E169" s="245">
        <v>8</v>
      </c>
      <c r="F169" s="232">
        <f t="shared" si="4"/>
        <v>48</v>
      </c>
      <c r="G169" s="245">
        <v>0</v>
      </c>
      <c r="H169" s="332">
        <f>IF($B169= "","-",IF($B169= "External","Specify location tariff", INDEX(Constants!$3:$3,MATCH($B169,Constants!$2:$2,0))))</f>
        <v>75</v>
      </c>
      <c r="I169" s="333">
        <f t="shared" si="3"/>
        <v>3600</v>
      </c>
      <c r="J169" s="247"/>
      <c r="K169" s="596"/>
      <c r="L169" s="589"/>
      <c r="M169" s="589"/>
      <c r="N169" s="589"/>
      <c r="O169" s="597"/>
      <c r="P169" s="578"/>
      <c r="Q169" s="579"/>
      <c r="R169" s="16"/>
      <c r="S169" s="16"/>
      <c r="V169" s="16"/>
      <c r="W169" s="16"/>
      <c r="X169" s="16"/>
      <c r="Y169" s="16"/>
      <c r="Z169" s="16"/>
      <c r="AA169" s="16"/>
    </row>
    <row r="170" spans="1:30" ht="15.75" customHeight="1">
      <c r="A170" s="231"/>
      <c r="B170" s="231"/>
      <c r="C170" s="232"/>
      <c r="D170" s="261"/>
      <c r="E170" s="245"/>
      <c r="F170" s="232">
        <f t="shared" si="4"/>
        <v>0</v>
      </c>
      <c r="G170" s="245"/>
      <c r="H170" s="332" t="str">
        <f>IF($B170= "","-",IF($B170= "External","Specify location tariff", INDEX(Constants!$3:$3,MATCH($B170,Constants!$2:$2,0))))</f>
        <v>-</v>
      </c>
      <c r="I170" s="333" t="str">
        <f t="shared" ref="I170:I173" si="5">IF($H170="-","-",IF($H170="Specify location tariff","-",$H170*$F170))</f>
        <v>-</v>
      </c>
      <c r="J170" s="247"/>
      <c r="K170" s="596"/>
      <c r="L170" s="589"/>
      <c r="M170" s="589"/>
      <c r="N170" s="589"/>
      <c r="O170" s="597"/>
      <c r="P170" s="578"/>
      <c r="Q170" s="579"/>
      <c r="R170" s="16"/>
      <c r="S170" s="16"/>
      <c r="V170" s="16"/>
      <c r="W170" s="16"/>
      <c r="X170" s="16"/>
      <c r="Y170" s="16"/>
      <c r="Z170" s="16"/>
      <c r="AA170" s="16"/>
    </row>
    <row r="171" spans="1:30" ht="15.75" customHeight="1">
      <c r="A171" s="231"/>
      <c r="B171" s="231"/>
      <c r="C171" s="232"/>
      <c r="D171" s="261"/>
      <c r="E171" s="245"/>
      <c r="F171" s="232">
        <f t="shared" si="4"/>
        <v>0</v>
      </c>
      <c r="G171" s="245"/>
      <c r="H171" s="332" t="str">
        <f>IF($B171= "","-",IF($B171= "External","Specify location tariff", INDEX(Constants!$3:$3,MATCH($B171,Constants!$2:$2,0))))</f>
        <v>-</v>
      </c>
      <c r="I171" s="333" t="str">
        <f t="shared" si="5"/>
        <v>-</v>
      </c>
      <c r="J171" s="247"/>
      <c r="K171" s="596"/>
      <c r="L171" s="589"/>
      <c r="M171" s="589"/>
      <c r="N171" s="589"/>
      <c r="O171" s="597"/>
      <c r="P171" s="578"/>
      <c r="Q171" s="579"/>
      <c r="R171" s="16"/>
      <c r="S171" s="16"/>
      <c r="V171" s="16"/>
      <c r="W171" s="16"/>
      <c r="X171" s="16"/>
      <c r="Y171" s="16"/>
      <c r="Z171" s="16"/>
      <c r="AA171" s="16"/>
    </row>
    <row r="172" spans="1:30" ht="15.75" customHeight="1">
      <c r="A172" s="231"/>
      <c r="B172" s="231"/>
      <c r="C172" s="232"/>
      <c r="D172" s="261"/>
      <c r="E172" s="245"/>
      <c r="F172" s="232">
        <f t="shared" si="4"/>
        <v>0</v>
      </c>
      <c r="G172" s="245"/>
      <c r="H172" s="332" t="str">
        <f>IF($B172= "","-",IF($B172= "External","Specify location tariff", INDEX(Constants!$3:$3,MATCH($B172,Constants!$2:$2,0))))</f>
        <v>-</v>
      </c>
      <c r="I172" s="333" t="str">
        <f t="shared" si="5"/>
        <v>-</v>
      </c>
      <c r="J172" s="247"/>
      <c r="K172" s="596"/>
      <c r="L172" s="589"/>
      <c r="M172" s="589"/>
      <c r="N172" s="589"/>
      <c r="O172" s="597"/>
      <c r="P172" s="578"/>
      <c r="Q172" s="579"/>
      <c r="R172" s="16"/>
      <c r="S172" s="16"/>
      <c r="V172" s="16"/>
      <c r="W172" s="16"/>
      <c r="X172" s="16"/>
      <c r="Y172" s="16"/>
      <c r="Z172" s="16"/>
      <c r="AA172" s="16"/>
    </row>
    <row r="173" spans="1:30" ht="15.75" customHeight="1" thickBot="1">
      <c r="A173" s="231"/>
      <c r="B173" s="231"/>
      <c r="C173" s="232"/>
      <c r="D173" s="261"/>
      <c r="E173" s="245"/>
      <c r="F173" s="232">
        <f t="shared" si="4"/>
        <v>0</v>
      </c>
      <c r="G173" s="245"/>
      <c r="H173" s="332" t="str">
        <f>IF($B173= "","-",IF($B173= "External","Specify location tariff", INDEX(Constants!$3:$3,MATCH($B173,Constants!$2:$2,0))))</f>
        <v>-</v>
      </c>
      <c r="I173" s="333" t="str">
        <f t="shared" si="5"/>
        <v>-</v>
      </c>
      <c r="J173" s="247"/>
      <c r="K173" s="598"/>
      <c r="L173" s="607"/>
      <c r="M173" s="607"/>
      <c r="N173" s="607"/>
      <c r="O173" s="599"/>
      <c r="P173" s="580"/>
      <c r="Q173" s="581"/>
      <c r="R173" s="16"/>
      <c r="S173" s="16"/>
      <c r="V173" s="16"/>
      <c r="W173" s="16"/>
      <c r="X173" s="16"/>
      <c r="Y173" s="16"/>
      <c r="Z173" s="16"/>
      <c r="AA173" s="16"/>
    </row>
    <row r="174" spans="1:30" ht="15.75" customHeight="1" thickTop="1">
      <c r="A174" s="15"/>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c r="AC174" s="16"/>
      <c r="AD174" s="16"/>
    </row>
    <row r="175" spans="1:30" ht="15.75" customHeight="1">
      <c r="A175" s="15"/>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c r="AA175" s="16"/>
      <c r="AB175" s="16"/>
      <c r="AC175" s="16"/>
      <c r="AD175" s="16"/>
    </row>
    <row r="176" spans="1:30" ht="15.75" customHeight="1" thickBot="1">
      <c r="A176" s="186" t="s">
        <v>519</v>
      </c>
      <c r="B176" s="16"/>
      <c r="C176" s="128"/>
      <c r="D176" s="51"/>
      <c r="E176" s="51"/>
      <c r="F176" s="51"/>
      <c r="G176" s="51"/>
      <c r="H176" s="51"/>
      <c r="I176" s="51"/>
      <c r="J176" s="51"/>
      <c r="K176" s="51"/>
      <c r="L176" s="232"/>
      <c r="M176" s="231"/>
      <c r="N176" s="16"/>
      <c r="O176" s="16"/>
      <c r="P176" s="16"/>
      <c r="Q176" s="16"/>
      <c r="R176" s="16"/>
      <c r="S176" s="16"/>
      <c r="T176" s="16"/>
      <c r="U176" s="16"/>
      <c r="V176" s="16"/>
      <c r="W176" s="16"/>
      <c r="X176" s="16"/>
      <c r="Y176" s="16"/>
      <c r="Z176" s="16"/>
      <c r="AA176" s="16"/>
      <c r="AB176" s="16"/>
      <c r="AC176" s="16"/>
      <c r="AD176" s="16"/>
    </row>
    <row r="177" spans="1:30" ht="15" customHeight="1" thickTop="1" thickBot="1">
      <c r="A177" s="230" t="s">
        <v>438</v>
      </c>
      <c r="B177" s="230" t="s">
        <v>439</v>
      </c>
      <c r="C177" s="230" t="s">
        <v>520</v>
      </c>
      <c r="D177" s="230" t="s">
        <v>521</v>
      </c>
      <c r="E177" s="230" t="s">
        <v>522</v>
      </c>
      <c r="F177" s="230" t="s">
        <v>523</v>
      </c>
      <c r="G177" s="230" t="s">
        <v>508</v>
      </c>
      <c r="H177" s="721" t="s">
        <v>441</v>
      </c>
      <c r="I177" s="728"/>
      <c r="J177" s="729" t="s">
        <v>434</v>
      </c>
      <c r="K177" s="730"/>
      <c r="L177" s="16"/>
      <c r="M177" s="16"/>
      <c r="N177" s="16"/>
      <c r="O177" s="16"/>
      <c r="P177" s="117"/>
      <c r="Q177" s="15"/>
      <c r="R177" s="16"/>
      <c r="S177" s="130"/>
      <c r="T177" s="16"/>
      <c r="U177" s="16"/>
      <c r="V177" s="16"/>
      <c r="W177" s="241"/>
      <c r="X177" s="16"/>
      <c r="Y177" s="16"/>
      <c r="Z177" s="16"/>
      <c r="AA177" s="16"/>
      <c r="AB177" s="16"/>
    </row>
    <row r="178" spans="1:30" ht="14.25" customHeight="1" thickTop="1">
      <c r="A178" s="244" t="s">
        <v>1009</v>
      </c>
      <c r="B178" s="244" t="s">
        <v>687</v>
      </c>
      <c r="C178" s="339">
        <v>70</v>
      </c>
      <c r="D178" s="371">
        <v>5</v>
      </c>
      <c r="E178" s="338">
        <v>15</v>
      </c>
      <c r="F178" s="339">
        <v>210</v>
      </c>
      <c r="G178" s="247"/>
      <c r="H178" s="653"/>
      <c r="I178" s="750"/>
      <c r="J178" s="628" t="s">
        <v>526</v>
      </c>
      <c r="K178" s="730"/>
      <c r="L178" s="16"/>
      <c r="M178" s="16"/>
      <c r="N178" s="16"/>
      <c r="O178" s="16"/>
      <c r="P178" s="16"/>
      <c r="Q178" s="133"/>
      <c r="R178" s="16"/>
      <c r="S178" s="16"/>
      <c r="T178" s="16"/>
      <c r="U178" s="16"/>
      <c r="V178" s="16"/>
      <c r="W178" s="16"/>
      <c r="X178" s="16"/>
      <c r="Y178" s="16"/>
      <c r="Z178" s="16"/>
      <c r="AA178" s="16"/>
      <c r="AB178" s="16"/>
    </row>
    <row r="179" spans="1:30" ht="15.75" customHeight="1">
      <c r="A179" s="244" t="s">
        <v>1010</v>
      </c>
      <c r="B179" s="244" t="s">
        <v>687</v>
      </c>
      <c r="C179" s="339">
        <v>65</v>
      </c>
      <c r="D179" s="371">
        <v>5</v>
      </c>
      <c r="E179" s="338">
        <v>8</v>
      </c>
      <c r="F179" s="339">
        <v>104</v>
      </c>
      <c r="G179" s="247"/>
      <c r="H179" s="744"/>
      <c r="I179" s="751"/>
      <c r="J179" s="702"/>
      <c r="K179" s="732"/>
      <c r="L179" s="16"/>
      <c r="M179" s="16"/>
      <c r="N179" s="16"/>
      <c r="O179" s="16"/>
      <c r="P179" s="16"/>
      <c r="Q179" s="16"/>
      <c r="R179" s="16"/>
      <c r="S179" s="16"/>
      <c r="T179" s="16"/>
      <c r="U179" s="16"/>
      <c r="V179" s="16"/>
      <c r="W179" s="16"/>
      <c r="X179" s="16"/>
      <c r="Y179" s="16"/>
      <c r="Z179" s="16"/>
      <c r="AA179" s="16"/>
      <c r="AB179" s="16"/>
    </row>
    <row r="180" spans="1:30" ht="15.75" customHeight="1">
      <c r="A180" s="244" t="s">
        <v>1011</v>
      </c>
      <c r="B180" s="244" t="s">
        <v>687</v>
      </c>
      <c r="C180" s="331"/>
      <c r="D180" s="408"/>
      <c r="E180" s="337"/>
      <c r="F180" s="339">
        <v>300</v>
      </c>
      <c r="G180" s="247"/>
      <c r="H180" s="744"/>
      <c r="I180" s="751"/>
      <c r="J180" s="702"/>
      <c r="K180" s="732"/>
      <c r="L180" s="16"/>
      <c r="M180" s="16"/>
      <c r="N180" s="16"/>
      <c r="O180" s="16"/>
      <c r="P180" s="16"/>
      <c r="Q180" s="16"/>
      <c r="R180" s="16"/>
      <c r="S180" s="16"/>
      <c r="T180" s="16"/>
      <c r="U180" s="16"/>
      <c r="V180" s="16"/>
      <c r="W180" s="16"/>
      <c r="X180" s="16"/>
      <c r="Y180" s="16"/>
      <c r="Z180" s="16"/>
      <c r="AA180" s="16"/>
      <c r="AB180" s="16"/>
    </row>
    <row r="181" spans="1:30" ht="15.75" customHeight="1">
      <c r="A181" s="231"/>
      <c r="B181" s="248"/>
      <c r="C181" s="246">
        <v>0</v>
      </c>
      <c r="D181" s="247"/>
      <c r="E181" s="245"/>
      <c r="F181" s="246">
        <v>0</v>
      </c>
      <c r="G181" s="247"/>
      <c r="H181" s="744"/>
      <c r="I181" s="751"/>
      <c r="J181" s="702"/>
      <c r="K181" s="732"/>
      <c r="L181" s="16"/>
      <c r="M181" s="16"/>
      <c r="N181" s="16"/>
      <c r="O181" s="16"/>
      <c r="P181" s="16"/>
      <c r="Q181" s="16"/>
      <c r="R181" s="16"/>
      <c r="S181" s="16"/>
      <c r="T181" s="16"/>
      <c r="U181" s="16"/>
      <c r="V181" s="16"/>
      <c r="W181" s="16"/>
      <c r="X181" s="16"/>
      <c r="Y181" s="16"/>
      <c r="Z181" s="16"/>
      <c r="AA181" s="16"/>
      <c r="AB181" s="16"/>
    </row>
    <row r="182" spans="1:30" ht="15.75" customHeight="1">
      <c r="A182" s="231"/>
      <c r="B182" s="248"/>
      <c r="C182" s="246">
        <v>0</v>
      </c>
      <c r="D182" s="247"/>
      <c r="E182" s="245"/>
      <c r="F182" s="246">
        <v>0</v>
      </c>
      <c r="G182" s="247"/>
      <c r="H182" s="744"/>
      <c r="I182" s="751"/>
      <c r="J182" s="702"/>
      <c r="K182" s="732"/>
      <c r="L182" s="16"/>
      <c r="M182" s="16"/>
      <c r="N182" s="16"/>
      <c r="O182" s="16"/>
      <c r="P182" s="16"/>
      <c r="Q182" s="16"/>
      <c r="R182" s="16"/>
      <c r="S182" s="16"/>
      <c r="T182" s="16"/>
      <c r="U182" s="16"/>
      <c r="V182" s="16"/>
      <c r="W182" s="16"/>
      <c r="X182" s="16"/>
      <c r="Y182" s="16"/>
      <c r="Z182" s="16"/>
      <c r="AA182" s="16"/>
      <c r="AB182" s="16"/>
    </row>
    <row r="183" spans="1:30" ht="15.75" customHeight="1">
      <c r="A183" s="231"/>
      <c r="B183" s="248"/>
      <c r="C183" s="246">
        <v>0</v>
      </c>
      <c r="D183" s="247"/>
      <c r="E183" s="245"/>
      <c r="F183" s="246">
        <v>0</v>
      </c>
      <c r="G183" s="247"/>
      <c r="H183" s="744"/>
      <c r="I183" s="751"/>
      <c r="J183" s="702"/>
      <c r="K183" s="732"/>
      <c r="L183" s="16"/>
      <c r="M183" s="16"/>
      <c r="N183" s="16"/>
      <c r="O183" s="16"/>
      <c r="P183" s="16"/>
      <c r="Q183" s="16"/>
      <c r="R183" s="16"/>
      <c r="S183" s="16"/>
      <c r="T183" s="16"/>
      <c r="U183" s="16"/>
      <c r="V183" s="16"/>
      <c r="W183" s="16"/>
      <c r="X183" s="16"/>
      <c r="Y183" s="16"/>
      <c r="Z183" s="16"/>
      <c r="AA183" s="16"/>
      <c r="AB183" s="16"/>
    </row>
    <row r="184" spans="1:30" ht="15.75" customHeight="1">
      <c r="A184" s="231"/>
      <c r="B184" s="244"/>
      <c r="C184" s="246">
        <v>0</v>
      </c>
      <c r="D184" s="247"/>
      <c r="E184" s="245"/>
      <c r="F184" s="246">
        <v>0</v>
      </c>
      <c r="G184" s="247"/>
      <c r="H184" s="744"/>
      <c r="I184" s="751"/>
      <c r="J184" s="702"/>
      <c r="K184" s="732"/>
      <c r="L184" s="16"/>
      <c r="M184" s="16"/>
      <c r="N184" s="16"/>
      <c r="O184" s="16"/>
      <c r="P184" s="16"/>
      <c r="Q184" s="16"/>
      <c r="R184" s="16"/>
      <c r="S184" s="16"/>
      <c r="T184" s="16"/>
      <c r="U184" s="16"/>
      <c r="V184" s="16"/>
      <c r="W184" s="16"/>
      <c r="X184" s="16"/>
      <c r="Y184" s="16"/>
      <c r="Z184" s="16"/>
      <c r="AA184" s="16"/>
      <c r="AB184" s="16"/>
    </row>
    <row r="185" spans="1:30" ht="15.75" customHeight="1">
      <c r="A185" s="231"/>
      <c r="B185" s="244"/>
      <c r="C185" s="246">
        <v>0</v>
      </c>
      <c r="D185" s="247"/>
      <c r="E185" s="245"/>
      <c r="F185" s="246">
        <v>0</v>
      </c>
      <c r="G185" s="247"/>
      <c r="H185" s="744"/>
      <c r="I185" s="751"/>
      <c r="J185" s="702"/>
      <c r="K185" s="732"/>
      <c r="L185" s="16"/>
      <c r="M185" s="16"/>
      <c r="N185" s="16"/>
      <c r="O185" s="16"/>
      <c r="P185" s="16"/>
      <c r="Q185" s="16"/>
      <c r="R185" s="16"/>
      <c r="S185" s="16"/>
      <c r="T185" s="16"/>
      <c r="U185" s="16"/>
      <c r="V185" s="16"/>
      <c r="W185" s="16"/>
      <c r="X185" s="16"/>
      <c r="Y185" s="16"/>
      <c r="Z185" s="16"/>
      <c r="AA185" s="16"/>
      <c r="AB185" s="16"/>
    </row>
    <row r="186" spans="1:30" ht="15.75" customHeight="1">
      <c r="A186" s="231"/>
      <c r="B186" s="244"/>
      <c r="C186" s="246">
        <v>0</v>
      </c>
      <c r="D186" s="247"/>
      <c r="E186" s="245"/>
      <c r="F186" s="246">
        <v>0</v>
      </c>
      <c r="G186" s="247"/>
      <c r="H186" s="744"/>
      <c r="I186" s="751"/>
      <c r="J186" s="702"/>
      <c r="K186" s="732"/>
      <c r="L186" s="16"/>
      <c r="M186" s="16"/>
      <c r="N186" s="16"/>
      <c r="O186" s="16"/>
      <c r="P186" s="16"/>
      <c r="Q186" s="16"/>
      <c r="R186" s="16"/>
      <c r="S186" s="16"/>
      <c r="T186" s="16"/>
      <c r="U186" s="16"/>
      <c r="V186" s="16"/>
      <c r="W186" s="16"/>
      <c r="X186" s="16"/>
      <c r="Y186" s="16"/>
      <c r="Z186" s="16"/>
      <c r="AA186" s="16"/>
      <c r="AB186" s="16"/>
    </row>
    <row r="187" spans="1:30" ht="15.75" customHeight="1">
      <c r="A187" s="231"/>
      <c r="B187" s="244"/>
      <c r="C187" s="246">
        <v>0</v>
      </c>
      <c r="D187" s="247"/>
      <c r="E187" s="245"/>
      <c r="F187" s="246">
        <v>0</v>
      </c>
      <c r="G187" s="247"/>
      <c r="H187" s="744"/>
      <c r="I187" s="751"/>
      <c r="J187" s="702"/>
      <c r="K187" s="732"/>
      <c r="L187" s="16"/>
      <c r="M187" s="16"/>
      <c r="N187" s="16"/>
      <c r="O187" s="16"/>
      <c r="P187" s="16"/>
      <c r="Q187" s="16"/>
      <c r="R187" s="16"/>
      <c r="S187" s="16"/>
      <c r="T187" s="16"/>
      <c r="U187" s="16"/>
      <c r="V187" s="16"/>
      <c r="W187" s="16"/>
      <c r="X187" s="16"/>
      <c r="Y187" s="16"/>
      <c r="Z187" s="16"/>
      <c r="AA187" s="16"/>
      <c r="AB187" s="16"/>
    </row>
    <row r="188" spans="1:30" ht="15.75" customHeight="1">
      <c r="A188" s="231"/>
      <c r="B188" s="244"/>
      <c r="C188" s="246">
        <v>0</v>
      </c>
      <c r="D188" s="247"/>
      <c r="E188" s="245"/>
      <c r="F188" s="246">
        <v>0</v>
      </c>
      <c r="G188" s="247"/>
      <c r="H188" s="744"/>
      <c r="I188" s="751"/>
      <c r="J188" s="702"/>
      <c r="K188" s="732"/>
      <c r="L188" s="16"/>
      <c r="M188" s="16"/>
      <c r="N188" s="16"/>
      <c r="O188" s="16"/>
      <c r="P188" s="16"/>
      <c r="Q188" s="16"/>
      <c r="R188" s="16"/>
      <c r="S188" s="16"/>
      <c r="T188" s="16"/>
      <c r="U188" s="16"/>
      <c r="V188" s="16"/>
      <c r="W188" s="16"/>
      <c r="X188" s="16"/>
      <c r="Y188" s="16"/>
      <c r="Z188" s="16"/>
      <c r="AA188" s="16"/>
      <c r="AB188" s="16"/>
    </row>
    <row r="189" spans="1:30" ht="15.75" customHeight="1">
      <c r="A189" s="231"/>
      <c r="B189" s="244"/>
      <c r="C189" s="246">
        <v>0</v>
      </c>
      <c r="D189" s="247"/>
      <c r="E189" s="245"/>
      <c r="F189" s="246">
        <v>0</v>
      </c>
      <c r="G189" s="247"/>
      <c r="H189" s="744"/>
      <c r="I189" s="751"/>
      <c r="J189" s="702"/>
      <c r="K189" s="732"/>
      <c r="L189" s="16"/>
      <c r="M189" s="16"/>
      <c r="N189" s="16"/>
      <c r="O189" s="16"/>
      <c r="P189" s="16"/>
      <c r="Q189" s="16"/>
      <c r="R189" s="16"/>
      <c r="S189" s="16"/>
      <c r="T189" s="16"/>
      <c r="U189" s="16"/>
      <c r="V189" s="16"/>
      <c r="W189" s="16"/>
      <c r="X189" s="16"/>
      <c r="Y189" s="16"/>
      <c r="Z189" s="16"/>
      <c r="AA189" s="16"/>
      <c r="AB189" s="16"/>
    </row>
    <row r="190" spans="1:30" ht="15.75" customHeight="1">
      <c r="A190" s="231"/>
      <c r="B190" s="244"/>
      <c r="C190" s="246">
        <v>0</v>
      </c>
      <c r="D190" s="247"/>
      <c r="E190" s="245"/>
      <c r="F190" s="246">
        <v>0</v>
      </c>
      <c r="G190" s="247"/>
      <c r="H190" s="744"/>
      <c r="I190" s="751"/>
      <c r="J190" s="702"/>
      <c r="K190" s="732"/>
      <c r="L190" s="16"/>
      <c r="M190" s="16"/>
      <c r="N190" s="16"/>
      <c r="O190" s="16"/>
      <c r="P190" s="16"/>
      <c r="Q190" s="16"/>
      <c r="R190" s="16"/>
      <c r="S190" s="16"/>
      <c r="T190" s="16"/>
      <c r="U190" s="16"/>
      <c r="V190" s="16"/>
      <c r="W190" s="16"/>
      <c r="X190" s="16"/>
      <c r="Y190" s="16"/>
      <c r="Z190" s="16"/>
      <c r="AA190" s="16"/>
      <c r="AB190" s="16"/>
    </row>
    <row r="191" spans="1:30" ht="15.75" customHeight="1" thickBot="1">
      <c r="A191" s="231"/>
      <c r="B191" s="244"/>
      <c r="C191" s="246">
        <v>0</v>
      </c>
      <c r="D191" s="247"/>
      <c r="E191" s="245"/>
      <c r="F191" s="246">
        <v>0</v>
      </c>
      <c r="G191" s="247"/>
      <c r="H191" s="747"/>
      <c r="I191" s="748"/>
      <c r="J191" s="752"/>
      <c r="K191" s="734"/>
      <c r="L191" s="16"/>
      <c r="M191" s="16"/>
      <c r="N191" s="16"/>
      <c r="O191" s="16"/>
      <c r="P191" s="16"/>
      <c r="Q191" s="16"/>
      <c r="R191" s="16"/>
      <c r="S191" s="16"/>
      <c r="T191" s="16"/>
      <c r="U191" s="16"/>
      <c r="V191" s="16"/>
      <c r="W191" s="16"/>
      <c r="X191" s="16"/>
      <c r="Y191" s="16"/>
      <c r="Z191" s="16"/>
      <c r="AA191" s="16"/>
      <c r="AB191" s="16"/>
    </row>
    <row r="192" spans="1:30" ht="15.75" customHeight="1" thickTop="1">
      <c r="A192" s="15"/>
      <c r="B192" s="131"/>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c r="AD192" s="16"/>
    </row>
    <row r="193" spans="1:30" ht="15.75" customHeight="1">
      <c r="A193" s="15"/>
      <c r="B193" s="131"/>
      <c r="C193" s="16"/>
      <c r="D193" s="16"/>
      <c r="E193" s="16"/>
      <c r="F193" s="16"/>
      <c r="G193" s="16"/>
      <c r="I193" s="16"/>
      <c r="J193" s="16"/>
      <c r="K193" s="16"/>
      <c r="L193" s="16"/>
      <c r="M193" s="16"/>
      <c r="N193" s="16"/>
      <c r="O193" s="16"/>
      <c r="P193" s="16"/>
      <c r="Q193" s="16"/>
      <c r="R193" s="16"/>
      <c r="S193" s="16"/>
      <c r="T193" s="16"/>
      <c r="U193" s="16"/>
      <c r="V193" s="16"/>
      <c r="W193" s="16"/>
      <c r="X193" s="16"/>
      <c r="Y193" s="16"/>
      <c r="Z193" s="16"/>
      <c r="AA193" s="16"/>
      <c r="AB193" s="16"/>
      <c r="AC193" s="16"/>
      <c r="AD193" s="16"/>
    </row>
    <row r="194" spans="1:30" ht="15.75" customHeight="1">
      <c r="H194" s="51"/>
      <c r="I194" s="51"/>
      <c r="J194" s="51"/>
      <c r="K194" s="51"/>
      <c r="L194" s="16"/>
      <c r="M194" s="16"/>
      <c r="N194" s="16"/>
      <c r="O194" s="16"/>
      <c r="P194" s="16"/>
      <c r="Q194" s="16"/>
      <c r="R194" s="16"/>
      <c r="S194" s="16"/>
      <c r="T194" s="16"/>
      <c r="U194" s="16"/>
      <c r="V194" s="16"/>
      <c r="W194" s="16"/>
      <c r="X194" s="16"/>
      <c r="Y194" s="16"/>
      <c r="Z194" s="16"/>
      <c r="AA194" s="16"/>
      <c r="AB194" s="16"/>
      <c r="AC194" s="16"/>
      <c r="AD194" s="16"/>
    </row>
    <row r="195" spans="1:30" ht="15.75" customHeight="1">
      <c r="L195" s="16"/>
      <c r="M195" s="16"/>
      <c r="N195" s="16"/>
      <c r="O195" s="16"/>
      <c r="P195" s="16"/>
      <c r="Q195" s="16"/>
      <c r="R195" s="16"/>
      <c r="S195" s="16"/>
      <c r="T195" s="16"/>
      <c r="U195" s="16"/>
      <c r="V195" s="16"/>
      <c r="W195" s="16"/>
      <c r="X195" s="16"/>
      <c r="Y195" s="16"/>
      <c r="Z195" s="16"/>
      <c r="AA195" s="16"/>
      <c r="AB195" s="16"/>
      <c r="AC195" s="16"/>
      <c r="AD195" s="16"/>
    </row>
    <row r="196" spans="1:30" ht="15.75" customHeight="1">
      <c r="L196" s="16"/>
      <c r="M196" s="16"/>
      <c r="N196" s="16"/>
      <c r="O196" s="16"/>
      <c r="P196" s="16"/>
      <c r="Q196" s="16"/>
      <c r="R196" s="16"/>
      <c r="S196" s="16"/>
      <c r="T196" s="16"/>
      <c r="U196" s="16"/>
      <c r="V196" s="16"/>
      <c r="W196" s="16"/>
      <c r="X196" s="16"/>
      <c r="Y196" s="16"/>
      <c r="Z196" s="16"/>
      <c r="AA196" s="16"/>
      <c r="AB196" s="16"/>
      <c r="AC196" s="16"/>
      <c r="AD196" s="16"/>
    </row>
    <row r="197" spans="1:30" ht="15.75" customHeight="1">
      <c r="L197" s="16"/>
      <c r="M197" s="16"/>
      <c r="N197" s="16"/>
      <c r="O197" s="16"/>
      <c r="P197" s="16"/>
      <c r="Q197" s="16"/>
      <c r="R197" s="16"/>
      <c r="S197" s="16"/>
      <c r="T197" s="16"/>
      <c r="U197" s="16"/>
      <c r="V197" s="16"/>
      <c r="W197" s="16"/>
      <c r="X197" s="16"/>
      <c r="Y197" s="16"/>
      <c r="Z197" s="16"/>
      <c r="AA197" s="16"/>
      <c r="AB197" s="16"/>
      <c r="AC197" s="16"/>
      <c r="AD197" s="16"/>
    </row>
    <row r="198" spans="1:30" ht="15.75" customHeight="1">
      <c r="L198" s="16"/>
      <c r="M198" s="16"/>
      <c r="N198" s="16"/>
      <c r="O198" s="16"/>
      <c r="P198" s="16"/>
      <c r="Q198" s="16"/>
      <c r="R198" s="16"/>
      <c r="S198" s="16"/>
      <c r="T198" s="16"/>
      <c r="U198" s="16"/>
      <c r="V198" s="16"/>
      <c r="W198" s="16"/>
      <c r="X198" s="16"/>
      <c r="Y198" s="16"/>
      <c r="Z198" s="16"/>
      <c r="AA198" s="16"/>
      <c r="AB198" s="16"/>
      <c r="AC198" s="16"/>
      <c r="AD198" s="16"/>
    </row>
    <row r="199" spans="1:30" ht="15.75" customHeight="1">
      <c r="L199" s="16"/>
      <c r="M199" s="16"/>
      <c r="N199" s="16"/>
      <c r="O199" s="16"/>
      <c r="P199" s="16"/>
      <c r="Q199" s="16"/>
      <c r="R199" s="16"/>
      <c r="S199" s="16"/>
      <c r="T199" s="16"/>
      <c r="U199" s="16"/>
      <c r="V199" s="16"/>
      <c r="W199" s="16"/>
      <c r="X199" s="16"/>
      <c r="Y199" s="16"/>
      <c r="Z199" s="16"/>
      <c r="AA199" s="16"/>
      <c r="AB199" s="16"/>
      <c r="AC199" s="16"/>
      <c r="AD199" s="16"/>
    </row>
    <row r="200" spans="1:30" ht="15.75" customHeight="1">
      <c r="L200" s="16"/>
      <c r="M200" s="16"/>
      <c r="N200" s="16"/>
      <c r="O200" s="16"/>
      <c r="P200" s="16"/>
      <c r="Q200" s="16"/>
      <c r="R200" s="16"/>
      <c r="S200" s="16"/>
      <c r="T200" s="16"/>
      <c r="U200" s="16"/>
      <c r="V200" s="16"/>
      <c r="W200" s="16"/>
      <c r="X200" s="16"/>
      <c r="Y200" s="16"/>
      <c r="Z200" s="16"/>
      <c r="AA200" s="16"/>
      <c r="AB200" s="16"/>
      <c r="AC200" s="16"/>
      <c r="AD200" s="16"/>
    </row>
    <row r="201" spans="1:30" ht="15.75" customHeight="1">
      <c r="L201" s="16"/>
      <c r="M201" s="16"/>
      <c r="N201" s="16"/>
      <c r="O201" s="16"/>
      <c r="P201" s="735"/>
      <c r="Q201" s="696"/>
      <c r="R201" s="696"/>
      <c r="S201" s="16"/>
      <c r="T201" s="16"/>
      <c r="U201" s="16"/>
      <c r="V201" s="16"/>
      <c r="W201" s="16"/>
      <c r="X201" s="16"/>
      <c r="Y201" s="16"/>
      <c r="Z201" s="16"/>
      <c r="AA201" s="16"/>
      <c r="AB201" s="16"/>
      <c r="AC201" s="16"/>
      <c r="AD201" s="16"/>
    </row>
    <row r="202" spans="1:30" ht="15.75" customHeight="1">
      <c r="L202" s="16"/>
      <c r="M202" s="16"/>
      <c r="N202" s="16"/>
      <c r="O202" s="16"/>
      <c r="P202" s="735"/>
      <c r="Q202" s="696"/>
      <c r="R202" s="696"/>
      <c r="S202" s="16"/>
      <c r="T202" s="16"/>
      <c r="U202" s="16"/>
      <c r="V202" s="16"/>
      <c r="W202" s="16"/>
      <c r="X202" s="16"/>
      <c r="Y202" s="16"/>
      <c r="Z202" s="16"/>
      <c r="AA202" s="16"/>
      <c r="AB202" s="16"/>
      <c r="AC202" s="16"/>
      <c r="AD202" s="16"/>
    </row>
    <row r="203" spans="1:30" ht="15.75" customHeight="1">
      <c r="L203" s="16"/>
      <c r="M203" s="16"/>
      <c r="N203" s="16"/>
      <c r="O203" s="16"/>
      <c r="P203" s="735"/>
      <c r="Q203" s="696"/>
      <c r="R203" s="696"/>
      <c r="S203" s="16"/>
      <c r="T203" s="16"/>
      <c r="U203" s="16"/>
      <c r="V203" s="16"/>
      <c r="W203" s="16"/>
      <c r="X203" s="16"/>
      <c r="Y203" s="16"/>
      <c r="Z203" s="16"/>
      <c r="AA203" s="16"/>
      <c r="AB203" s="16"/>
      <c r="AC203" s="16"/>
      <c r="AD203" s="16"/>
    </row>
    <row r="204" spans="1:30" ht="15.75" customHeight="1">
      <c r="L204" s="16"/>
      <c r="M204" s="16"/>
      <c r="N204" s="16"/>
      <c r="O204" s="16"/>
      <c r="P204" s="735"/>
      <c r="Q204" s="696"/>
      <c r="R204" s="696"/>
      <c r="S204" s="16"/>
      <c r="T204" s="16"/>
      <c r="U204" s="16"/>
      <c r="V204" s="16"/>
      <c r="W204" s="16"/>
      <c r="X204" s="16"/>
      <c r="Y204" s="16"/>
      <c r="Z204" s="16"/>
      <c r="AA204" s="16"/>
      <c r="AB204" s="16"/>
      <c r="AC204" s="16"/>
      <c r="AD204" s="16"/>
    </row>
    <row r="205" spans="1:30" ht="15.75" customHeight="1">
      <c r="L205" s="16"/>
      <c r="M205" s="16"/>
      <c r="N205" s="16"/>
      <c r="O205" s="16"/>
      <c r="P205" s="735"/>
      <c r="Q205" s="696"/>
      <c r="R205" s="696"/>
      <c r="S205" s="16"/>
      <c r="T205" s="16"/>
      <c r="U205" s="16"/>
      <c r="V205" s="16"/>
      <c r="W205" s="16"/>
      <c r="X205" s="16"/>
      <c r="Y205" s="16"/>
      <c r="Z205" s="16"/>
      <c r="AA205" s="16"/>
      <c r="AB205" s="16"/>
      <c r="AC205" s="16"/>
      <c r="AD205" s="16"/>
    </row>
    <row r="206" spans="1:30" ht="15.75" customHeight="1">
      <c r="L206" s="16"/>
      <c r="M206" s="16"/>
      <c r="N206" s="16"/>
      <c r="O206" s="16"/>
      <c r="P206" s="735"/>
      <c r="Q206" s="696"/>
      <c r="R206" s="696"/>
      <c r="S206" s="16"/>
      <c r="T206" s="16"/>
      <c r="U206" s="16"/>
      <c r="V206" s="16"/>
      <c r="W206" s="16"/>
      <c r="X206" s="16"/>
      <c r="Y206" s="16"/>
      <c r="Z206" s="16"/>
      <c r="AA206" s="16"/>
      <c r="AB206" s="16"/>
      <c r="AC206" s="16"/>
      <c r="AD206" s="16"/>
    </row>
    <row r="207" spans="1:30" ht="15.75" customHeight="1">
      <c r="H207" s="248"/>
      <c r="I207" s="248"/>
      <c r="J207" s="228"/>
      <c r="K207" s="228"/>
      <c r="L207" s="16"/>
      <c r="M207" s="16"/>
      <c r="N207" s="16"/>
      <c r="O207" s="16"/>
      <c r="P207" s="735"/>
      <c r="Q207" s="696"/>
      <c r="R207" s="696"/>
      <c r="S207" s="16"/>
      <c r="T207" s="16"/>
      <c r="U207" s="16"/>
      <c r="V207" s="16"/>
      <c r="W207" s="16"/>
      <c r="X207" s="16"/>
      <c r="Y207" s="16"/>
      <c r="Z207" s="16"/>
      <c r="AA207" s="16"/>
      <c r="AB207" s="16"/>
      <c r="AC207" s="16"/>
      <c r="AD207" s="16"/>
    </row>
    <row r="208" spans="1:30" ht="15.75" customHeight="1">
      <c r="A208" s="231"/>
      <c r="B208" s="231"/>
      <c r="C208" s="246"/>
      <c r="D208" s="247"/>
      <c r="E208" s="245"/>
      <c r="F208" s="246"/>
      <c r="G208" s="247"/>
      <c r="H208" s="248"/>
      <c r="I208" s="248"/>
      <c r="J208" s="228"/>
      <c r="K208" s="228"/>
      <c r="L208" s="16"/>
      <c r="M208" s="16"/>
      <c r="N208" s="16"/>
      <c r="O208" s="16"/>
      <c r="P208" s="16"/>
      <c r="Q208" s="16"/>
      <c r="R208" s="16"/>
      <c r="S208" s="16"/>
      <c r="T208" s="16"/>
      <c r="U208" s="16"/>
      <c r="V208" s="16"/>
      <c r="W208" s="16"/>
      <c r="X208" s="16"/>
      <c r="Y208" s="16"/>
      <c r="Z208" s="16"/>
      <c r="AA208" s="16"/>
      <c r="AB208" s="16"/>
      <c r="AC208" s="16"/>
      <c r="AD208" s="16"/>
    </row>
    <row r="209" spans="1:30" ht="15.75" customHeight="1">
      <c r="A209" s="231"/>
      <c r="B209" s="16"/>
      <c r="C209" s="246"/>
      <c r="D209" s="247"/>
      <c r="E209" s="245"/>
      <c r="F209" s="246"/>
      <c r="G209" s="247"/>
      <c r="H209" s="228"/>
      <c r="I209" s="228"/>
      <c r="J209" s="228"/>
      <c r="K209" s="228"/>
      <c r="L209" s="16"/>
      <c r="M209" s="735"/>
      <c r="N209" s="696"/>
      <c r="O209" s="696"/>
      <c r="P209" s="735"/>
      <c r="Q209" s="696"/>
      <c r="R209" s="696"/>
      <c r="S209" s="696"/>
      <c r="T209" s="696"/>
      <c r="U209" s="16"/>
      <c r="V209" s="16"/>
      <c r="W209" s="16"/>
      <c r="X209" s="16"/>
      <c r="Y209" s="16"/>
      <c r="Z209" s="16"/>
      <c r="AA209" s="16"/>
      <c r="AB209" s="16"/>
      <c r="AC209" s="16"/>
      <c r="AD209" s="16"/>
    </row>
    <row r="210" spans="1:30" ht="15.75" customHeight="1">
      <c r="A210" s="16"/>
      <c r="B210" s="16"/>
      <c r="C210" s="16"/>
      <c r="D210" s="16"/>
      <c r="E210" s="16"/>
      <c r="F210" s="16"/>
      <c r="G210" s="16"/>
      <c r="H210" s="16"/>
      <c r="I210" s="16"/>
      <c r="J210" s="16"/>
      <c r="K210" s="16"/>
      <c r="L210" s="16"/>
      <c r="M210" s="735"/>
      <c r="N210" s="696"/>
      <c r="O210" s="696"/>
      <c r="P210" s="735"/>
      <c r="Q210" s="696"/>
      <c r="R210" s="696"/>
      <c r="S210" s="696"/>
      <c r="T210" s="696"/>
      <c r="U210" s="16"/>
      <c r="V210" s="16"/>
      <c r="W210" s="16"/>
      <c r="X210" s="16"/>
      <c r="Y210" s="16"/>
      <c r="Z210" s="16"/>
      <c r="AA210" s="16"/>
      <c r="AB210" s="16"/>
      <c r="AC210" s="16"/>
      <c r="AD210" s="16"/>
    </row>
    <row r="211" spans="1:30" ht="15.75" customHeight="1">
      <c r="A211" s="16"/>
      <c r="B211" s="16"/>
      <c r="C211" s="16"/>
      <c r="D211" s="16"/>
      <c r="E211" s="16"/>
      <c r="F211" s="16"/>
      <c r="G211" s="16"/>
      <c r="H211" s="16"/>
      <c r="I211" s="16"/>
      <c r="J211" s="16"/>
      <c r="K211" s="16"/>
      <c r="L211" s="16"/>
      <c r="M211" s="735"/>
      <c r="N211" s="696"/>
      <c r="O211" s="696"/>
      <c r="P211" s="696"/>
      <c r="Q211" s="696"/>
      <c r="R211" s="696"/>
      <c r="S211" s="696"/>
      <c r="T211" s="696"/>
      <c r="U211" s="16"/>
      <c r="V211" s="16"/>
      <c r="W211" s="16"/>
      <c r="X211" s="16"/>
      <c r="Y211" s="16"/>
      <c r="Z211" s="16"/>
      <c r="AA211" s="16"/>
      <c r="AB211" s="16"/>
      <c r="AC211" s="16"/>
      <c r="AD211" s="16"/>
    </row>
    <row r="212" spans="1:30" ht="15.75" customHeight="1">
      <c r="A212" s="16"/>
      <c r="B212" s="16"/>
      <c r="C212" s="16"/>
      <c r="D212" s="16"/>
      <c r="E212" s="16"/>
      <c r="F212" s="16"/>
      <c r="G212" s="16"/>
      <c r="H212" s="16"/>
      <c r="I212" s="16"/>
      <c r="J212" s="16"/>
      <c r="K212" s="16"/>
      <c r="L212" s="16"/>
      <c r="M212" s="735"/>
      <c r="N212" s="696"/>
      <c r="O212" s="696"/>
      <c r="P212" s="696"/>
      <c r="Q212" s="696"/>
      <c r="R212" s="696"/>
      <c r="S212" s="696"/>
      <c r="T212" s="696"/>
      <c r="U212" s="16"/>
      <c r="V212" s="16"/>
      <c r="W212" s="16"/>
      <c r="X212" s="16"/>
      <c r="Y212" s="16"/>
      <c r="Z212" s="16"/>
      <c r="AA212" s="16"/>
      <c r="AB212" s="16"/>
      <c r="AC212" s="16"/>
      <c r="AD212" s="16"/>
    </row>
    <row r="213" spans="1:30" ht="15.75" customHeight="1">
      <c r="A213" s="16"/>
      <c r="B213" s="16"/>
      <c r="C213" s="16"/>
      <c r="D213" s="16"/>
      <c r="E213" s="16"/>
      <c r="F213" s="16"/>
      <c r="G213" s="16"/>
      <c r="H213" s="16"/>
      <c r="I213" s="16"/>
      <c r="J213" s="16"/>
      <c r="K213" s="16"/>
      <c r="L213" s="16"/>
      <c r="M213" s="735"/>
      <c r="N213" s="696"/>
      <c r="O213" s="696"/>
      <c r="P213" s="696"/>
      <c r="Q213" s="696"/>
      <c r="R213" s="696"/>
      <c r="S213" s="696"/>
      <c r="T213" s="696"/>
      <c r="U213" s="16"/>
      <c r="V213" s="16"/>
      <c r="W213" s="16"/>
      <c r="X213" s="16"/>
      <c r="Y213" s="16"/>
      <c r="Z213" s="16"/>
      <c r="AA213" s="16"/>
      <c r="AB213" s="16"/>
      <c r="AC213" s="16"/>
      <c r="AD213" s="16"/>
    </row>
    <row r="214" spans="1:30" ht="15.75" customHeight="1">
      <c r="A214" s="16"/>
      <c r="B214" s="16"/>
      <c r="C214" s="16"/>
      <c r="D214" s="16"/>
      <c r="E214" s="16"/>
      <c r="F214" s="16"/>
      <c r="G214" s="16"/>
      <c r="H214" s="16"/>
      <c r="I214" s="16"/>
      <c r="J214" s="16"/>
      <c r="K214" s="16"/>
      <c r="L214" s="16"/>
      <c r="M214" s="735"/>
      <c r="N214" s="696"/>
      <c r="O214" s="696"/>
      <c r="P214" s="696"/>
      <c r="Q214" s="696"/>
      <c r="R214" s="696"/>
      <c r="S214" s="696"/>
      <c r="T214" s="696"/>
      <c r="U214" s="16"/>
      <c r="V214" s="16"/>
      <c r="W214" s="16"/>
      <c r="X214" s="16"/>
      <c r="Y214" s="16"/>
      <c r="Z214" s="16"/>
      <c r="AA214" s="16"/>
      <c r="AB214" s="16"/>
      <c r="AC214" s="16"/>
      <c r="AD214" s="16"/>
    </row>
    <row r="215" spans="1:30" ht="15.75" customHeight="1">
      <c r="A215" s="16"/>
      <c r="B215" s="16"/>
      <c r="C215" s="16"/>
      <c r="D215" s="16"/>
      <c r="E215" s="16"/>
      <c r="F215" s="16"/>
      <c r="G215" s="16"/>
      <c r="H215" s="16"/>
      <c r="I215" s="16"/>
      <c r="J215" s="16"/>
      <c r="K215" s="16"/>
      <c r="L215" s="16"/>
      <c r="M215" s="735"/>
      <c r="N215" s="696"/>
      <c r="O215" s="696"/>
      <c r="P215" s="696"/>
      <c r="Q215" s="696"/>
      <c r="R215" s="696"/>
      <c r="S215" s="696"/>
      <c r="T215" s="696"/>
      <c r="U215" s="16"/>
      <c r="V215" s="16"/>
      <c r="W215" s="16"/>
      <c r="X215" s="16"/>
      <c r="Y215" s="16"/>
      <c r="Z215" s="16"/>
      <c r="AA215" s="16"/>
      <c r="AB215" s="16"/>
      <c r="AC215" s="16"/>
      <c r="AD215" s="16"/>
    </row>
    <row r="216" spans="1:30" ht="15.75" customHeight="1">
      <c r="A216" s="16"/>
      <c r="B216" s="16"/>
      <c r="C216" s="16"/>
      <c r="D216" s="16"/>
      <c r="E216" s="16"/>
      <c r="F216" s="16"/>
      <c r="G216" s="16"/>
      <c r="H216" s="16"/>
      <c r="I216" s="16"/>
      <c r="J216" s="16"/>
      <c r="K216" s="16"/>
      <c r="L216" s="16"/>
      <c r="M216" s="735"/>
      <c r="N216" s="696"/>
      <c r="O216" s="696"/>
      <c r="P216" s="696"/>
      <c r="Q216" s="696"/>
      <c r="R216" s="696"/>
      <c r="S216" s="696"/>
      <c r="T216" s="696"/>
      <c r="U216" s="16"/>
      <c r="V216" s="16"/>
      <c r="W216" s="16"/>
      <c r="X216" s="16"/>
      <c r="Y216" s="16"/>
      <c r="Z216" s="16"/>
      <c r="AA216" s="16"/>
      <c r="AB216" s="16"/>
      <c r="AC216" s="16"/>
      <c r="AD216" s="16"/>
    </row>
    <row r="217" spans="1:30" ht="15.75" customHeight="1">
      <c r="A217" s="16"/>
      <c r="B217" s="16"/>
      <c r="C217" s="16"/>
      <c r="D217" s="16"/>
      <c r="E217" s="16"/>
      <c r="F217" s="16"/>
      <c r="G217" s="16"/>
      <c r="H217" s="16"/>
      <c r="I217" s="16"/>
      <c r="J217" s="16"/>
      <c r="K217" s="16"/>
      <c r="L217" s="16"/>
      <c r="M217" s="735"/>
      <c r="N217" s="696"/>
      <c r="O217" s="696"/>
      <c r="P217" s="696"/>
      <c r="Q217" s="696"/>
      <c r="R217" s="696"/>
      <c r="S217" s="696"/>
      <c r="T217" s="696"/>
      <c r="U217" s="16"/>
      <c r="V217" s="16"/>
      <c r="W217" s="16"/>
      <c r="X217" s="16"/>
      <c r="Y217" s="16"/>
      <c r="Z217" s="16"/>
      <c r="AA217" s="16"/>
      <c r="AB217" s="16"/>
      <c r="AC217" s="16"/>
      <c r="AD217" s="16"/>
    </row>
    <row r="218" spans="1:30" ht="15.75" customHeight="1">
      <c r="A218" s="16"/>
      <c r="B218" s="16"/>
      <c r="C218" s="16"/>
      <c r="D218" s="16"/>
      <c r="E218" s="16"/>
      <c r="F218" s="16"/>
      <c r="G218" s="16"/>
      <c r="H218" s="16"/>
      <c r="I218" s="16"/>
      <c r="J218" s="16"/>
      <c r="K218" s="16"/>
      <c r="L218" s="16"/>
      <c r="M218" s="735"/>
      <c r="N218" s="696"/>
      <c r="O218" s="696"/>
      <c r="P218" s="696"/>
      <c r="Q218" s="696"/>
      <c r="R218" s="696"/>
      <c r="S218" s="696"/>
      <c r="T218" s="696"/>
      <c r="U218" s="16"/>
      <c r="V218" s="16"/>
      <c r="W218" s="16"/>
      <c r="X218" s="16"/>
      <c r="Y218" s="16"/>
      <c r="Z218" s="16"/>
      <c r="AA218" s="16"/>
      <c r="AB218" s="16"/>
      <c r="AC218" s="16"/>
      <c r="AD218" s="16"/>
    </row>
    <row r="219" spans="1:30" ht="15.75" customHeight="1">
      <c r="A219" s="16"/>
      <c r="B219" s="16"/>
      <c r="C219" s="16"/>
      <c r="D219" s="16"/>
      <c r="E219" s="16"/>
      <c r="F219" s="16"/>
      <c r="G219" s="16"/>
      <c r="H219" s="16"/>
      <c r="I219" s="16"/>
      <c r="J219" s="16"/>
      <c r="K219" s="16"/>
      <c r="L219" s="16"/>
      <c r="M219" s="735"/>
      <c r="N219" s="696"/>
      <c r="O219" s="696"/>
      <c r="P219" s="696"/>
      <c r="Q219" s="696"/>
      <c r="R219" s="696"/>
      <c r="S219" s="696"/>
      <c r="T219" s="696"/>
      <c r="U219" s="16"/>
      <c r="V219" s="16"/>
      <c r="W219" s="16"/>
      <c r="X219" s="16"/>
      <c r="Y219" s="16"/>
      <c r="Z219" s="16"/>
      <c r="AA219" s="16"/>
      <c r="AB219" s="16"/>
      <c r="AC219" s="16"/>
      <c r="AD219" s="16"/>
    </row>
    <row r="220" spans="1:30" ht="15.75" customHeight="1">
      <c r="A220" s="16"/>
      <c r="B220" s="16"/>
      <c r="C220" s="16"/>
      <c r="D220" s="16"/>
      <c r="E220" s="16"/>
      <c r="F220" s="16"/>
      <c r="G220" s="16"/>
      <c r="H220" s="16"/>
      <c r="I220" s="16"/>
      <c r="J220" s="16"/>
      <c r="K220" s="16"/>
      <c r="L220" s="16"/>
      <c r="M220" s="735"/>
      <c r="N220" s="696"/>
      <c r="O220" s="696"/>
      <c r="P220" s="696"/>
      <c r="Q220" s="696"/>
      <c r="R220" s="696"/>
      <c r="S220" s="696"/>
      <c r="T220" s="696"/>
      <c r="U220" s="16"/>
      <c r="V220" s="16"/>
      <c r="W220" s="16"/>
      <c r="X220" s="16"/>
      <c r="Y220" s="16"/>
      <c r="Z220" s="16"/>
      <c r="AA220" s="16"/>
      <c r="AB220" s="16"/>
      <c r="AC220" s="16"/>
      <c r="AD220" s="16"/>
    </row>
    <row r="221" spans="1:30" ht="15.75" customHeight="1">
      <c r="A221" s="16"/>
      <c r="B221" s="16"/>
      <c r="C221" s="16"/>
      <c r="D221" s="16"/>
      <c r="E221" s="16"/>
      <c r="F221" s="16"/>
      <c r="G221" s="16"/>
      <c r="H221" s="16"/>
      <c r="I221" s="16"/>
      <c r="J221" s="16"/>
      <c r="K221" s="16"/>
      <c r="L221" s="16"/>
      <c r="M221" s="735"/>
      <c r="N221" s="696"/>
      <c r="O221" s="696"/>
      <c r="P221" s="696"/>
      <c r="Q221" s="696"/>
      <c r="R221" s="696"/>
      <c r="S221" s="696"/>
      <c r="T221" s="696"/>
      <c r="U221" s="16"/>
      <c r="V221" s="16"/>
      <c r="W221" s="16"/>
      <c r="X221" s="16"/>
      <c r="Y221" s="16"/>
      <c r="Z221" s="16"/>
      <c r="AA221" s="16"/>
      <c r="AB221" s="16"/>
      <c r="AC221" s="16"/>
      <c r="AD221" s="16"/>
    </row>
    <row r="222" spans="1:30" ht="15.75" customHeight="1">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row>
    <row r="223" spans="1:30" ht="15.75" customHeight="1">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c r="AD223" s="16"/>
    </row>
    <row r="224" spans="1:30" ht="15.75" customHeight="1">
      <c r="A224" s="16"/>
      <c r="B224" s="16"/>
      <c r="C224" s="16"/>
      <c r="D224" s="16"/>
      <c r="E224" s="16"/>
      <c r="F224" s="16"/>
      <c r="G224" s="16"/>
      <c r="H224" s="16"/>
      <c r="I224" s="16"/>
      <c r="J224" s="16"/>
      <c r="K224" s="16"/>
      <c r="L224" s="16"/>
      <c r="M224" s="735"/>
      <c r="N224" s="696"/>
      <c r="O224" s="696"/>
      <c r="P224" s="735"/>
      <c r="Q224" s="696"/>
      <c r="R224" s="696"/>
      <c r="S224" s="696"/>
      <c r="T224" s="696"/>
      <c r="U224" s="16"/>
      <c r="V224" s="16"/>
      <c r="W224" s="16"/>
      <c r="X224" s="16"/>
      <c r="Y224" s="16"/>
      <c r="Z224" s="16"/>
      <c r="AA224" s="16"/>
      <c r="AB224" s="16"/>
      <c r="AC224" s="16"/>
      <c r="AD224" s="16"/>
    </row>
    <row r="225" spans="1:30" ht="15.75" customHeight="1">
      <c r="A225" s="16"/>
      <c r="B225" s="16"/>
      <c r="C225" s="16"/>
      <c r="D225" s="16"/>
      <c r="E225" s="16"/>
      <c r="F225" s="16"/>
      <c r="G225" s="16"/>
      <c r="H225" s="16"/>
      <c r="I225" s="16"/>
      <c r="J225" s="16"/>
      <c r="K225" s="16"/>
      <c r="L225" s="16"/>
      <c r="M225" s="735"/>
      <c r="N225" s="696"/>
      <c r="O225" s="696"/>
      <c r="P225" s="735"/>
      <c r="Q225" s="696"/>
      <c r="R225" s="696"/>
      <c r="S225" s="696"/>
      <c r="T225" s="696"/>
      <c r="U225" s="16"/>
      <c r="V225" s="16"/>
      <c r="W225" s="16"/>
      <c r="X225" s="16"/>
      <c r="Y225" s="16"/>
      <c r="Z225" s="16"/>
      <c r="AA225" s="16"/>
      <c r="AB225" s="16"/>
      <c r="AC225" s="16"/>
      <c r="AD225" s="16"/>
    </row>
    <row r="226" spans="1:30" ht="15.75" customHeight="1">
      <c r="A226" s="16"/>
      <c r="B226" s="16"/>
      <c r="C226" s="16"/>
      <c r="D226" s="16"/>
      <c r="E226" s="16"/>
      <c r="F226" s="16"/>
      <c r="G226" s="16"/>
      <c r="H226" s="16"/>
      <c r="I226" s="16"/>
      <c r="J226" s="16"/>
      <c r="K226" s="16"/>
      <c r="L226" s="16"/>
      <c r="M226" s="735"/>
      <c r="N226" s="696"/>
      <c r="O226" s="696"/>
      <c r="P226" s="696"/>
      <c r="Q226" s="696"/>
      <c r="R226" s="696"/>
      <c r="S226" s="696"/>
      <c r="T226" s="696"/>
      <c r="U226" s="16"/>
      <c r="V226" s="16"/>
      <c r="W226" s="16"/>
      <c r="X226" s="16"/>
      <c r="Y226" s="16"/>
      <c r="Z226" s="16"/>
      <c r="AA226" s="16"/>
      <c r="AB226" s="16"/>
      <c r="AC226" s="16"/>
      <c r="AD226" s="16"/>
    </row>
    <row r="227" spans="1:30" ht="15.75" customHeight="1">
      <c r="A227" s="16"/>
      <c r="B227" s="16"/>
      <c r="C227" s="16"/>
      <c r="D227" s="16"/>
      <c r="E227" s="16"/>
      <c r="F227" s="16"/>
      <c r="G227" s="16"/>
      <c r="H227" s="16"/>
      <c r="I227" s="16"/>
      <c r="J227" s="16"/>
      <c r="K227" s="16"/>
      <c r="L227" s="16"/>
      <c r="M227" s="735"/>
      <c r="N227" s="696"/>
      <c r="O227" s="696"/>
      <c r="P227" s="696"/>
      <c r="Q227" s="696"/>
      <c r="R227" s="696"/>
      <c r="S227" s="696"/>
      <c r="T227" s="696"/>
      <c r="U227" s="16"/>
      <c r="V227" s="16"/>
      <c r="W227" s="16"/>
      <c r="X227" s="16"/>
      <c r="Y227" s="16"/>
      <c r="Z227" s="16"/>
      <c r="AA227" s="16"/>
      <c r="AB227" s="16"/>
      <c r="AC227" s="16"/>
      <c r="AD227" s="16"/>
    </row>
    <row r="228" spans="1:30" ht="15.75" customHeight="1">
      <c r="A228" s="16"/>
      <c r="B228" s="16"/>
      <c r="C228" s="16"/>
      <c r="D228" s="16"/>
      <c r="E228" s="16"/>
      <c r="F228" s="16"/>
      <c r="G228" s="16"/>
      <c r="H228" s="16"/>
      <c r="I228" s="16"/>
      <c r="J228" s="16"/>
      <c r="K228" s="16"/>
      <c r="L228" s="16"/>
      <c r="M228" s="735"/>
      <c r="N228" s="696"/>
      <c r="O228" s="696"/>
      <c r="P228" s="696"/>
      <c r="Q228" s="696"/>
      <c r="R228" s="696"/>
      <c r="S228" s="696"/>
      <c r="T228" s="696"/>
      <c r="U228" s="16"/>
      <c r="V228" s="16"/>
      <c r="W228" s="16"/>
      <c r="X228" s="16"/>
      <c r="Y228" s="16"/>
      <c r="Z228" s="16"/>
      <c r="AA228" s="16"/>
      <c r="AB228" s="16"/>
      <c r="AC228" s="16"/>
      <c r="AD228" s="16"/>
    </row>
    <row r="229" spans="1:30" ht="15.75" customHeight="1">
      <c r="A229" s="16"/>
      <c r="B229" s="16"/>
      <c r="C229" s="16"/>
      <c r="D229" s="16"/>
      <c r="E229" s="16"/>
      <c r="F229" s="16"/>
      <c r="G229" s="16"/>
      <c r="H229" s="16"/>
      <c r="I229" s="16"/>
      <c r="J229" s="16"/>
      <c r="K229" s="16"/>
      <c r="L229" s="16"/>
      <c r="M229" s="735"/>
      <c r="N229" s="696"/>
      <c r="O229" s="696"/>
      <c r="P229" s="696"/>
      <c r="Q229" s="696"/>
      <c r="R229" s="696"/>
      <c r="S229" s="696"/>
      <c r="T229" s="696"/>
      <c r="U229" s="16"/>
      <c r="V229" s="16"/>
      <c r="W229" s="16"/>
      <c r="X229" s="16"/>
      <c r="Y229" s="16"/>
      <c r="Z229" s="16"/>
      <c r="AA229" s="16"/>
      <c r="AB229" s="16"/>
      <c r="AC229" s="16"/>
      <c r="AD229" s="16"/>
    </row>
    <row r="230" spans="1:30" ht="15.75" customHeight="1">
      <c r="A230" s="16"/>
      <c r="B230" s="16"/>
      <c r="C230" s="16"/>
      <c r="D230" s="16"/>
      <c r="E230" s="16"/>
      <c r="F230" s="16"/>
      <c r="G230" s="16"/>
      <c r="H230" s="16"/>
      <c r="I230" s="16"/>
      <c r="J230" s="16"/>
      <c r="K230" s="16"/>
      <c r="L230" s="16"/>
      <c r="M230" s="735"/>
      <c r="N230" s="696"/>
      <c r="O230" s="696"/>
      <c r="P230" s="696"/>
      <c r="Q230" s="696"/>
      <c r="R230" s="696"/>
      <c r="S230" s="696"/>
      <c r="T230" s="696"/>
      <c r="U230" s="16"/>
      <c r="V230" s="16"/>
      <c r="W230" s="16"/>
      <c r="X230" s="16"/>
      <c r="Y230" s="16"/>
      <c r="Z230" s="16"/>
      <c r="AA230" s="16"/>
      <c r="AB230" s="16"/>
      <c r="AC230" s="16"/>
      <c r="AD230" s="16"/>
    </row>
    <row r="231" spans="1:30" ht="15.75" customHeight="1">
      <c r="A231" s="16"/>
      <c r="B231" s="16"/>
      <c r="C231" s="16"/>
      <c r="D231" s="16"/>
      <c r="E231" s="16"/>
      <c r="F231" s="16"/>
      <c r="G231" s="16"/>
      <c r="H231" s="16"/>
      <c r="I231" s="16"/>
      <c r="J231" s="16"/>
      <c r="K231" s="16"/>
      <c r="L231" s="16"/>
      <c r="M231" s="735"/>
      <c r="N231" s="696"/>
      <c r="O231" s="696"/>
      <c r="P231" s="696"/>
      <c r="Q231" s="696"/>
      <c r="R231" s="696"/>
      <c r="S231" s="696"/>
      <c r="T231" s="696"/>
      <c r="U231" s="16"/>
      <c r="V231" s="16"/>
      <c r="W231" s="16"/>
      <c r="X231" s="16"/>
      <c r="Y231" s="16"/>
      <c r="Z231" s="16"/>
      <c r="AA231" s="16"/>
      <c r="AB231" s="16"/>
      <c r="AC231" s="16"/>
      <c r="AD231" s="16"/>
    </row>
    <row r="232" spans="1:30" ht="15.75" customHeight="1">
      <c r="A232" s="16"/>
      <c r="B232" s="16"/>
      <c r="C232" s="16"/>
      <c r="D232" s="16"/>
      <c r="E232" s="16"/>
      <c r="F232" s="16"/>
      <c r="G232" s="16"/>
      <c r="H232" s="16"/>
      <c r="I232" s="16"/>
      <c r="J232" s="16"/>
      <c r="K232" s="16"/>
      <c r="L232" s="16"/>
      <c r="M232" s="735"/>
      <c r="N232" s="696"/>
      <c r="O232" s="696"/>
      <c r="P232" s="696"/>
      <c r="Q232" s="696"/>
      <c r="R232" s="696"/>
      <c r="S232" s="696"/>
      <c r="T232" s="696"/>
      <c r="U232" s="16"/>
      <c r="V232" s="16"/>
      <c r="W232" s="16"/>
      <c r="X232" s="16"/>
      <c r="Y232" s="16"/>
      <c r="Z232" s="16"/>
      <c r="AA232" s="16"/>
      <c r="AB232" s="16"/>
      <c r="AC232" s="16"/>
      <c r="AD232" s="16"/>
    </row>
    <row r="233" spans="1:30" ht="15.75" customHeight="1">
      <c r="A233" s="16"/>
      <c r="B233" s="16"/>
      <c r="C233" s="16"/>
      <c r="D233" s="16"/>
      <c r="E233" s="16"/>
      <c r="F233" s="16"/>
      <c r="G233" s="16"/>
      <c r="H233" s="16"/>
      <c r="I233" s="16"/>
      <c r="J233" s="16"/>
      <c r="K233" s="16"/>
      <c r="L233" s="16"/>
      <c r="M233" s="735"/>
      <c r="N233" s="696"/>
      <c r="O233" s="696"/>
      <c r="P233" s="696"/>
      <c r="Q233" s="696"/>
      <c r="R233" s="696"/>
      <c r="S233" s="696"/>
      <c r="T233" s="696"/>
      <c r="U233" s="16"/>
      <c r="V233" s="16"/>
      <c r="W233" s="16"/>
      <c r="X233" s="16"/>
      <c r="Y233" s="16"/>
      <c r="Z233" s="16"/>
      <c r="AA233" s="16"/>
      <c r="AB233" s="16"/>
      <c r="AC233" s="16"/>
      <c r="AD233" s="16"/>
    </row>
    <row r="234" spans="1:30" ht="15.75" customHeight="1">
      <c r="A234" s="16"/>
      <c r="B234" s="16"/>
      <c r="C234" s="16"/>
      <c r="D234" s="16"/>
      <c r="E234" s="16"/>
      <c r="F234" s="16"/>
      <c r="G234" s="16"/>
      <c r="H234" s="16"/>
      <c r="I234" s="16"/>
      <c r="J234" s="16"/>
      <c r="K234" s="16"/>
      <c r="L234" s="16"/>
      <c r="M234" s="735"/>
      <c r="N234" s="696"/>
      <c r="O234" s="696"/>
      <c r="P234" s="696"/>
      <c r="Q234" s="696"/>
      <c r="R234" s="696"/>
      <c r="S234" s="696"/>
      <c r="T234" s="696"/>
      <c r="U234" s="16"/>
      <c r="V234" s="16"/>
      <c r="W234" s="16"/>
      <c r="X234" s="16"/>
      <c r="Y234" s="16"/>
      <c r="Z234" s="16"/>
      <c r="AA234" s="16"/>
      <c r="AB234" s="16"/>
      <c r="AC234" s="16"/>
      <c r="AD234" s="16"/>
    </row>
    <row r="235" spans="1:30" ht="15.75" customHeight="1">
      <c r="A235" s="16"/>
      <c r="B235" s="16"/>
      <c r="C235" s="16"/>
      <c r="D235" s="16"/>
      <c r="E235" s="16"/>
      <c r="F235" s="16"/>
      <c r="G235" s="16"/>
      <c r="H235" s="16"/>
      <c r="I235" s="16"/>
      <c r="J235" s="16"/>
      <c r="K235" s="16"/>
      <c r="L235" s="16"/>
      <c r="M235" s="735"/>
      <c r="N235" s="696"/>
      <c r="O235" s="696"/>
      <c r="P235" s="696"/>
      <c r="Q235" s="696"/>
      <c r="R235" s="696"/>
      <c r="S235" s="696"/>
      <c r="T235" s="696"/>
      <c r="U235" s="16"/>
      <c r="V235" s="16"/>
      <c r="W235" s="16"/>
      <c r="X235" s="16"/>
      <c r="Y235" s="16"/>
      <c r="Z235" s="16"/>
      <c r="AA235" s="16"/>
      <c r="AB235" s="16"/>
      <c r="AC235" s="16"/>
      <c r="AD235" s="16"/>
    </row>
    <row r="236" spans="1:30" ht="15.75" customHeight="1">
      <c r="A236" s="16"/>
      <c r="B236" s="16"/>
      <c r="C236" s="16"/>
      <c r="D236" s="16"/>
      <c r="E236" s="16"/>
      <c r="F236" s="16"/>
      <c r="G236" s="16"/>
      <c r="H236" s="16"/>
      <c r="I236" s="16"/>
      <c r="J236" s="16"/>
      <c r="K236" s="16"/>
      <c r="L236" s="16"/>
      <c r="M236" s="735"/>
      <c r="N236" s="696"/>
      <c r="O236" s="696"/>
      <c r="P236" s="696"/>
      <c r="Q236" s="696"/>
      <c r="R236" s="696"/>
      <c r="S236" s="696"/>
      <c r="T236" s="696"/>
      <c r="U236" s="16"/>
      <c r="V236" s="16"/>
      <c r="W236" s="16"/>
      <c r="X236" s="16"/>
      <c r="Y236" s="16"/>
      <c r="Z236" s="16"/>
      <c r="AA236" s="16"/>
      <c r="AB236" s="16"/>
      <c r="AC236" s="16"/>
      <c r="AD236" s="16"/>
    </row>
    <row r="237" spans="1:30" ht="15.75" customHeight="1">
      <c r="A237" s="16"/>
      <c r="B237" s="16"/>
      <c r="C237" s="16"/>
      <c r="D237" s="16"/>
      <c r="E237" s="16"/>
      <c r="F237" s="16"/>
      <c r="G237" s="16"/>
      <c r="H237" s="16"/>
      <c r="I237" s="16"/>
      <c r="J237" s="16"/>
      <c r="K237" s="16"/>
      <c r="L237" s="16"/>
      <c r="M237" s="735"/>
      <c r="N237" s="696"/>
      <c r="O237" s="696"/>
      <c r="P237" s="696"/>
      <c r="Q237" s="696"/>
      <c r="R237" s="696"/>
      <c r="S237" s="696"/>
      <c r="T237" s="696"/>
      <c r="U237" s="16"/>
      <c r="V237" s="16"/>
      <c r="W237" s="16"/>
      <c r="X237" s="16"/>
      <c r="Y237" s="16"/>
      <c r="Z237" s="16"/>
      <c r="AA237" s="16"/>
      <c r="AB237" s="16"/>
      <c r="AC237" s="16"/>
      <c r="AD237" s="16"/>
    </row>
    <row r="238" spans="1:30" ht="15.75" customHeight="1">
      <c r="A238" s="16"/>
      <c r="B238" s="16"/>
      <c r="C238" s="16"/>
      <c r="D238" s="16"/>
      <c r="E238" s="16"/>
      <c r="F238" s="16"/>
      <c r="G238" s="16"/>
      <c r="H238" s="16"/>
      <c r="I238" s="16"/>
      <c r="J238" s="16"/>
      <c r="K238" s="16"/>
      <c r="L238" s="16"/>
      <c r="M238" s="735"/>
      <c r="N238" s="696"/>
      <c r="O238" s="696"/>
      <c r="P238" s="696"/>
      <c r="Q238" s="696"/>
      <c r="R238" s="696"/>
      <c r="S238" s="696"/>
      <c r="T238" s="696"/>
      <c r="U238" s="16"/>
      <c r="V238" s="16"/>
      <c r="W238" s="16"/>
      <c r="X238" s="16"/>
      <c r="Y238" s="16"/>
      <c r="Z238" s="16"/>
      <c r="AA238" s="16"/>
      <c r="AB238" s="16"/>
      <c r="AC238" s="16"/>
      <c r="AD238" s="16"/>
    </row>
    <row r="239" spans="1:30" ht="15.75" customHeight="1">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c r="AD239" s="16"/>
    </row>
    <row r="240" spans="1:30" ht="15.75" customHeight="1">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c r="AD240" s="16"/>
    </row>
    <row r="241" spans="1:30" ht="15.75" customHeight="1">
      <c r="A241" s="16"/>
      <c r="B241" s="735"/>
      <c r="C241" s="696"/>
      <c r="D241" s="16"/>
      <c r="E241" s="16"/>
      <c r="F241" s="16"/>
      <c r="G241" s="16"/>
      <c r="H241" s="16"/>
      <c r="I241" s="16"/>
      <c r="J241" s="16"/>
      <c r="K241" s="16"/>
      <c r="L241" s="16"/>
      <c r="M241" s="735"/>
      <c r="N241" s="696"/>
      <c r="O241" s="696"/>
      <c r="P241" s="735"/>
      <c r="Q241" s="696"/>
      <c r="R241" s="696"/>
      <c r="S241" s="696"/>
      <c r="T241" s="696"/>
      <c r="U241" s="16"/>
      <c r="V241" s="16"/>
      <c r="W241" s="16"/>
      <c r="X241" s="16"/>
      <c r="Y241" s="16"/>
      <c r="Z241" s="16"/>
      <c r="AA241" s="16"/>
      <c r="AB241" s="16"/>
      <c r="AC241" s="16"/>
      <c r="AD241" s="16"/>
    </row>
    <row r="242" spans="1:30" ht="15.75" customHeight="1">
      <c r="A242" s="16"/>
      <c r="B242" s="735"/>
      <c r="C242" s="696"/>
      <c r="D242" s="16"/>
      <c r="E242" s="16"/>
      <c r="F242" s="16"/>
      <c r="G242" s="16"/>
      <c r="H242" s="16"/>
      <c r="I242" s="16"/>
      <c r="J242" s="16"/>
      <c r="K242" s="16"/>
      <c r="L242" s="16"/>
      <c r="M242" s="735"/>
      <c r="N242" s="696"/>
      <c r="O242" s="696"/>
      <c r="P242" s="735"/>
      <c r="Q242" s="696"/>
      <c r="R242" s="696"/>
      <c r="S242" s="696"/>
      <c r="T242" s="696"/>
      <c r="U242" s="16"/>
      <c r="V242" s="16"/>
      <c r="W242" s="16"/>
      <c r="X242" s="16"/>
      <c r="Y242" s="16"/>
      <c r="Z242" s="16"/>
      <c r="AA242" s="16"/>
      <c r="AB242" s="16"/>
      <c r="AC242" s="16"/>
      <c r="AD242" s="16"/>
    </row>
    <row r="243" spans="1:30" ht="15.75" customHeight="1">
      <c r="A243" s="16"/>
      <c r="B243" s="735"/>
      <c r="C243" s="696"/>
      <c r="D243" s="16"/>
      <c r="E243" s="16"/>
      <c r="F243" s="16"/>
      <c r="G243" s="16"/>
      <c r="H243" s="16"/>
      <c r="I243" s="16"/>
      <c r="J243" s="16"/>
      <c r="K243" s="16"/>
      <c r="L243" s="16"/>
      <c r="M243" s="735"/>
      <c r="N243" s="696"/>
      <c r="O243" s="696"/>
      <c r="P243" s="696"/>
      <c r="Q243" s="696"/>
      <c r="R243" s="696"/>
      <c r="S243" s="696"/>
      <c r="T243" s="696"/>
      <c r="U243" s="16"/>
      <c r="V243" s="16"/>
      <c r="W243" s="16"/>
      <c r="X243" s="16"/>
      <c r="Y243" s="16"/>
      <c r="Z243" s="16"/>
      <c r="AA243" s="16"/>
      <c r="AB243" s="16"/>
      <c r="AC243" s="16"/>
      <c r="AD243" s="16"/>
    </row>
    <row r="244" spans="1:30" ht="15.75" customHeight="1">
      <c r="A244" s="16"/>
      <c r="B244" s="735"/>
      <c r="C244" s="696"/>
      <c r="D244" s="16"/>
      <c r="E244" s="16"/>
      <c r="F244" s="16"/>
      <c r="G244" s="16"/>
      <c r="H244" s="16"/>
      <c r="I244" s="16"/>
      <c r="J244" s="16"/>
      <c r="K244" s="16"/>
      <c r="L244" s="16"/>
      <c r="M244" s="735"/>
      <c r="N244" s="696"/>
      <c r="O244" s="696"/>
      <c r="P244" s="696"/>
      <c r="Q244" s="696"/>
      <c r="R244" s="696"/>
      <c r="S244" s="696"/>
      <c r="T244" s="696"/>
      <c r="U244" s="16"/>
      <c r="V244" s="16"/>
      <c r="W244" s="16"/>
      <c r="X244" s="16"/>
      <c r="Y244" s="16"/>
      <c r="Z244" s="16"/>
      <c r="AA244" s="16"/>
      <c r="AB244" s="16"/>
      <c r="AC244" s="16"/>
      <c r="AD244" s="16"/>
    </row>
    <row r="245" spans="1:30" ht="15.75" customHeight="1">
      <c r="A245" s="16"/>
      <c r="B245" s="735"/>
      <c r="C245" s="696"/>
      <c r="D245" s="16"/>
      <c r="E245" s="16"/>
      <c r="F245" s="16"/>
      <c r="G245" s="16"/>
      <c r="H245" s="16"/>
      <c r="I245" s="16"/>
      <c r="J245" s="16"/>
      <c r="K245" s="16"/>
      <c r="L245" s="16"/>
      <c r="M245" s="735"/>
      <c r="N245" s="696"/>
      <c r="O245" s="696"/>
      <c r="P245" s="696"/>
      <c r="Q245" s="696"/>
      <c r="R245" s="696"/>
      <c r="S245" s="696"/>
      <c r="T245" s="696"/>
      <c r="U245" s="16"/>
      <c r="V245" s="16"/>
      <c r="W245" s="16"/>
      <c r="X245" s="16"/>
      <c r="Y245" s="16"/>
      <c r="Z245" s="16"/>
      <c r="AA245" s="16"/>
      <c r="AB245" s="16"/>
      <c r="AC245" s="16"/>
      <c r="AD245" s="16"/>
    </row>
    <row r="246" spans="1:30" ht="15.75" customHeight="1">
      <c r="A246" s="16"/>
      <c r="B246" s="735"/>
      <c r="C246" s="696"/>
      <c r="D246" s="16"/>
      <c r="E246" s="16"/>
      <c r="F246" s="16"/>
      <c r="G246" s="16"/>
      <c r="H246" s="16"/>
      <c r="I246" s="16"/>
      <c r="J246" s="16"/>
      <c r="K246" s="16"/>
      <c r="L246" s="16"/>
      <c r="M246" s="735"/>
      <c r="N246" s="696"/>
      <c r="O246" s="696"/>
      <c r="P246" s="696"/>
      <c r="Q246" s="696"/>
      <c r="R246" s="696"/>
      <c r="S246" s="696"/>
      <c r="T246" s="696"/>
      <c r="U246" s="16"/>
      <c r="V246" s="16"/>
      <c r="W246" s="16"/>
      <c r="X246" s="16"/>
      <c r="Y246" s="16"/>
      <c r="Z246" s="16"/>
      <c r="AA246" s="16"/>
      <c r="AB246" s="16"/>
      <c r="AC246" s="16"/>
      <c r="AD246" s="16"/>
    </row>
    <row r="247" spans="1:30" ht="15.75" customHeight="1">
      <c r="A247" s="16"/>
      <c r="B247" s="735"/>
      <c r="C247" s="696"/>
      <c r="D247" s="16"/>
      <c r="E247" s="16"/>
      <c r="F247" s="16"/>
      <c r="G247" s="16"/>
      <c r="H247" s="16"/>
      <c r="I247" s="16"/>
      <c r="J247" s="16"/>
      <c r="K247" s="16"/>
      <c r="L247" s="16"/>
      <c r="M247" s="735"/>
      <c r="N247" s="696"/>
      <c r="O247" s="696"/>
      <c r="P247" s="696"/>
      <c r="Q247" s="696"/>
      <c r="R247" s="696"/>
      <c r="S247" s="696"/>
      <c r="T247" s="696"/>
      <c r="U247" s="16"/>
      <c r="V247" s="16"/>
      <c r="W247" s="16"/>
      <c r="X247" s="16"/>
      <c r="Y247" s="16"/>
      <c r="Z247" s="16"/>
      <c r="AA247" s="16"/>
      <c r="AB247" s="16"/>
      <c r="AC247" s="16"/>
      <c r="AD247" s="16"/>
    </row>
    <row r="248" spans="1:30" ht="15.75" customHeight="1">
      <c r="A248" s="16"/>
      <c r="B248" s="735"/>
      <c r="C248" s="696"/>
      <c r="D248" s="16"/>
      <c r="E248" s="16"/>
      <c r="F248" s="16"/>
      <c r="G248" s="16"/>
      <c r="H248" s="16"/>
      <c r="I248" s="16"/>
      <c r="J248" s="16"/>
      <c r="K248" s="16"/>
      <c r="L248" s="16"/>
      <c r="M248" s="735"/>
      <c r="N248" s="696"/>
      <c r="O248" s="696"/>
      <c r="P248" s="696"/>
      <c r="Q248" s="696"/>
      <c r="R248" s="696"/>
      <c r="S248" s="696"/>
      <c r="T248" s="696"/>
      <c r="U248" s="16"/>
      <c r="V248" s="16"/>
      <c r="W248" s="16"/>
      <c r="X248" s="16"/>
      <c r="Y248" s="16"/>
      <c r="Z248" s="16"/>
      <c r="AA248" s="16"/>
      <c r="AB248" s="16"/>
      <c r="AC248" s="16"/>
      <c r="AD248" s="16"/>
    </row>
    <row r="249" spans="1:30" ht="15.75" customHeight="1">
      <c r="A249" s="16"/>
      <c r="B249" s="735"/>
      <c r="C249" s="696"/>
      <c r="D249" s="16"/>
      <c r="E249" s="16"/>
      <c r="F249" s="16"/>
      <c r="G249" s="16"/>
      <c r="H249" s="16"/>
      <c r="I249" s="16"/>
      <c r="J249" s="16"/>
      <c r="K249" s="16"/>
      <c r="L249" s="16"/>
      <c r="M249" s="735"/>
      <c r="N249" s="696"/>
      <c r="O249" s="696"/>
      <c r="P249" s="696"/>
      <c r="Q249" s="696"/>
      <c r="R249" s="696"/>
      <c r="S249" s="696"/>
      <c r="T249" s="696"/>
      <c r="U249" s="16"/>
      <c r="V249" s="16"/>
      <c r="W249" s="16"/>
      <c r="X249" s="16"/>
      <c r="Y249" s="16"/>
      <c r="Z249" s="16"/>
      <c r="AA249" s="16"/>
      <c r="AB249" s="16"/>
      <c r="AC249" s="16"/>
      <c r="AD249" s="16"/>
    </row>
    <row r="250" spans="1:30" ht="15.75" customHeight="1">
      <c r="A250" s="16"/>
      <c r="B250" s="735"/>
      <c r="C250" s="696"/>
      <c r="D250" s="16"/>
      <c r="E250" s="16"/>
      <c r="F250" s="16"/>
      <c r="G250" s="16"/>
      <c r="H250" s="16"/>
      <c r="I250" s="16"/>
      <c r="J250" s="16"/>
      <c r="K250" s="16"/>
      <c r="L250" s="16"/>
      <c r="M250" s="735"/>
      <c r="N250" s="696"/>
      <c r="O250" s="696"/>
      <c r="P250" s="696"/>
      <c r="Q250" s="696"/>
      <c r="R250" s="696"/>
      <c r="S250" s="696"/>
      <c r="T250" s="696"/>
      <c r="U250" s="16"/>
      <c r="V250" s="16"/>
      <c r="W250" s="16"/>
      <c r="X250" s="16"/>
      <c r="Y250" s="16"/>
      <c r="Z250" s="16"/>
      <c r="AA250" s="16"/>
      <c r="AB250" s="16"/>
      <c r="AC250" s="16"/>
      <c r="AD250" s="16"/>
    </row>
    <row r="251" spans="1:30" ht="15.75" customHeight="1">
      <c r="A251" s="16"/>
      <c r="B251" s="735"/>
      <c r="C251" s="696"/>
      <c r="D251" s="16"/>
      <c r="E251" s="16"/>
      <c r="F251" s="16"/>
      <c r="G251" s="16"/>
      <c r="H251" s="16"/>
      <c r="I251" s="16"/>
      <c r="J251" s="16"/>
      <c r="K251" s="16"/>
      <c r="L251" s="16"/>
      <c r="M251" s="735"/>
      <c r="N251" s="696"/>
      <c r="O251" s="696"/>
      <c r="P251" s="696"/>
      <c r="Q251" s="696"/>
      <c r="R251" s="696"/>
      <c r="S251" s="696"/>
      <c r="T251" s="696"/>
      <c r="U251" s="16"/>
      <c r="V251" s="16"/>
      <c r="W251" s="16"/>
      <c r="X251" s="16"/>
      <c r="Y251" s="16"/>
      <c r="Z251" s="16"/>
      <c r="AA251" s="16"/>
      <c r="AB251" s="16"/>
      <c r="AC251" s="16"/>
      <c r="AD251" s="16"/>
    </row>
    <row r="252" spans="1:30" ht="15.75" customHeight="1">
      <c r="A252" s="16"/>
      <c r="B252" s="735"/>
      <c r="C252" s="696"/>
      <c r="D252" s="16"/>
      <c r="E252" s="16"/>
      <c r="F252" s="16"/>
      <c r="G252" s="16"/>
      <c r="H252" s="16"/>
      <c r="I252" s="16"/>
      <c r="J252" s="16"/>
      <c r="K252" s="16"/>
      <c r="L252" s="16"/>
      <c r="M252" s="735"/>
      <c r="N252" s="696"/>
      <c r="O252" s="696"/>
      <c r="P252" s="696"/>
      <c r="Q252" s="696"/>
      <c r="R252" s="696"/>
      <c r="S252" s="696"/>
      <c r="T252" s="696"/>
      <c r="U252" s="16"/>
      <c r="V252" s="16"/>
      <c r="W252" s="16"/>
      <c r="X252" s="16"/>
      <c r="Y252" s="16"/>
      <c r="Z252" s="16"/>
      <c r="AA252" s="16"/>
      <c r="AB252" s="16"/>
      <c r="AC252" s="16"/>
      <c r="AD252" s="16"/>
    </row>
    <row r="253" spans="1:30" ht="15.75" customHeight="1">
      <c r="A253" s="16"/>
      <c r="B253" s="735"/>
      <c r="C253" s="696"/>
      <c r="D253" s="16"/>
      <c r="E253" s="16"/>
      <c r="F253" s="16"/>
      <c r="G253" s="16"/>
      <c r="H253" s="16"/>
      <c r="I253" s="16"/>
      <c r="J253" s="16"/>
      <c r="K253" s="16"/>
      <c r="L253" s="16"/>
      <c r="M253" s="735"/>
      <c r="N253" s="696"/>
      <c r="O253" s="696"/>
      <c r="P253" s="696"/>
      <c r="Q253" s="696"/>
      <c r="R253" s="696"/>
      <c r="S253" s="696"/>
      <c r="T253" s="696"/>
      <c r="U253" s="16"/>
      <c r="V253" s="16"/>
      <c r="W253" s="16"/>
      <c r="X253" s="16"/>
      <c r="Y253" s="16"/>
      <c r="Z253" s="16"/>
      <c r="AA253" s="16"/>
      <c r="AB253" s="16"/>
      <c r="AC253" s="16"/>
      <c r="AD253" s="16"/>
    </row>
    <row r="254" spans="1:30" ht="15.75" customHeight="1">
      <c r="A254" s="16"/>
      <c r="B254" s="735"/>
      <c r="C254" s="696"/>
      <c r="D254" s="16"/>
      <c r="E254" s="16"/>
      <c r="F254" s="16"/>
      <c r="G254" s="16"/>
      <c r="H254" s="16"/>
      <c r="I254" s="16"/>
      <c r="J254" s="16"/>
      <c r="K254" s="16"/>
      <c r="L254" s="16"/>
      <c r="M254" s="735"/>
      <c r="N254" s="696"/>
      <c r="O254" s="696"/>
      <c r="P254" s="696"/>
      <c r="Q254" s="696"/>
      <c r="R254" s="696"/>
      <c r="S254" s="696"/>
      <c r="T254" s="696"/>
      <c r="U254" s="16"/>
      <c r="V254" s="16"/>
      <c r="W254" s="16"/>
      <c r="X254" s="16"/>
      <c r="Y254" s="16"/>
      <c r="Z254" s="16"/>
      <c r="AA254" s="16"/>
      <c r="AB254" s="16"/>
      <c r="AC254" s="16"/>
      <c r="AD254" s="16"/>
    </row>
    <row r="255" spans="1:30" ht="15.75" customHeight="1">
      <c r="A255" s="16"/>
      <c r="B255" s="735"/>
      <c r="C255" s="696"/>
      <c r="D255" s="16"/>
      <c r="E255" s="16"/>
      <c r="F255" s="16"/>
      <c r="G255" s="16"/>
      <c r="H255" s="16"/>
      <c r="I255" s="16"/>
      <c r="J255" s="16"/>
      <c r="K255" s="16"/>
      <c r="L255" s="16"/>
      <c r="M255" s="735"/>
      <c r="N255" s="696"/>
      <c r="O255" s="696"/>
      <c r="P255" s="696"/>
      <c r="Q255" s="696"/>
      <c r="R255" s="696"/>
      <c r="S255" s="696"/>
      <c r="T255" s="696"/>
      <c r="U255" s="16"/>
      <c r="V255" s="16"/>
      <c r="W255" s="16"/>
      <c r="X255" s="16"/>
      <c r="Y255" s="16"/>
      <c r="Z255" s="16"/>
      <c r="AA255" s="16"/>
      <c r="AB255" s="16"/>
      <c r="AC255" s="16"/>
      <c r="AD255" s="16"/>
    </row>
    <row r="256" spans="1:30" ht="15.75" customHeight="1">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row>
    <row r="257" spans="1:30" ht="15.75" customHeight="1">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c r="AD257" s="16"/>
    </row>
    <row r="258" spans="1:30" ht="15.75" customHeight="1">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c r="AD258" s="16"/>
    </row>
    <row r="259" spans="1:30" ht="15.75" customHeight="1">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row>
    <row r="260" spans="1:30" ht="15.75" customHeight="1">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row>
    <row r="261" spans="1:30" ht="15.75" customHeight="1">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c r="AD261" s="16"/>
    </row>
    <row r="262" spans="1:30" ht="15.75" customHeight="1">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row>
    <row r="263" spans="1:30" ht="15.75" customHeight="1">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row>
    <row r="264" spans="1:30" ht="15.75" customHeight="1">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c r="AD264" s="16"/>
    </row>
    <row r="265" spans="1:30" ht="15.75" customHeight="1">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row>
    <row r="266" spans="1:30" ht="15.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row>
    <row r="267" spans="1:30" ht="15.75" customHeight="1">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row>
    <row r="268" spans="1:30" ht="15.75" customHeight="1">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c r="AD268" s="16"/>
    </row>
    <row r="269" spans="1:30" ht="15.75" customHeight="1">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row>
    <row r="270" spans="1:30" ht="15.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row>
    <row r="271" spans="1:30" ht="15.75" customHeight="1">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c r="AD271" s="16"/>
    </row>
    <row r="272" spans="1:30" ht="15.75" customHeight="1">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c r="AD272" s="16"/>
    </row>
    <row r="273" spans="1:30" ht="15.75" customHeight="1">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c r="AD273" s="16"/>
    </row>
    <row r="274" spans="1:30" ht="15.75" customHeight="1">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c r="AD274" s="16"/>
    </row>
    <row r="275" spans="1:30" ht="15.75" customHeight="1">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c r="AD275" s="16"/>
    </row>
    <row r="276" spans="1:30" ht="15.75" customHeight="1">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row>
    <row r="277" spans="1:30" ht="15.75" customHeight="1">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16"/>
    </row>
    <row r="278" spans="1:30" ht="15.75" customHeight="1">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row>
    <row r="279" spans="1:30" ht="15.75" customHeight="1">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16"/>
    </row>
    <row r="280" spans="1:30" ht="15.75" customHeight="1">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c r="AD280" s="16"/>
    </row>
    <row r="281" spans="1:30" ht="15.75" customHeight="1">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c r="AD281" s="16"/>
    </row>
    <row r="282" spans="1:30" ht="15.75" customHeight="1">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c r="AD282" s="16"/>
    </row>
    <row r="283" spans="1:30" ht="15.75" customHeight="1">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c r="AD283" s="16"/>
    </row>
    <row r="284" spans="1:30" ht="15.75" customHeight="1">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c r="AD284" s="16"/>
    </row>
    <row r="285" spans="1:30" ht="15.75" customHeight="1">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c r="AD285" s="16"/>
    </row>
    <row r="286" spans="1:30" ht="15.75" customHeight="1">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row>
    <row r="287" spans="1:30" ht="15.75" customHeight="1">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row>
    <row r="288" spans="1:30" ht="15.75" customHeight="1">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row>
    <row r="289" spans="1:30" ht="15.75" customHeight="1">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row>
    <row r="290" spans="1:30" ht="15.75" customHeight="1">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row>
    <row r="291" spans="1:30" ht="15.75" customHeight="1">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c r="AD291" s="16"/>
    </row>
    <row r="292" spans="1:30" ht="15.75" customHeight="1">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row>
    <row r="293" spans="1:30" ht="15.75" customHeight="1">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row>
    <row r="294" spans="1:30" ht="15.75" customHeight="1">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row>
    <row r="295" spans="1:30" ht="15.75" customHeight="1">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row>
    <row r="296" spans="1:30" ht="15.75" customHeight="1">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row>
    <row r="297" spans="1:30" ht="15.75" customHeight="1">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row>
    <row r="298" spans="1:30" ht="15.75" customHeight="1">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row>
    <row r="299" spans="1:30" ht="15.75" customHeight="1">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row>
    <row r="300" spans="1:30" ht="15.75" customHeight="1">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row>
    <row r="301" spans="1:30" ht="15.75" customHeight="1">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c r="AD301" s="16"/>
    </row>
    <row r="302" spans="1:30" ht="15.75" customHeight="1">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c r="AD302" s="16"/>
    </row>
    <row r="303" spans="1:30" ht="15.75" customHeight="1">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row>
    <row r="304" spans="1:30" ht="15.75" customHeight="1">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c r="AD304" s="16"/>
    </row>
    <row r="305" spans="1:30" ht="15.75" customHeight="1">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c r="AD305" s="16"/>
    </row>
    <row r="306" spans="1:30" ht="15.75" customHeight="1">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c r="AA306" s="16"/>
      <c r="AB306" s="16"/>
      <c r="AC306" s="16"/>
      <c r="AD306" s="16"/>
    </row>
    <row r="307" spans="1:30" ht="15.75" customHeight="1">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c r="AA307" s="16"/>
      <c r="AB307" s="16"/>
      <c r="AC307" s="16"/>
      <c r="AD307" s="16"/>
    </row>
    <row r="308" spans="1:30" ht="15.75" customHeight="1">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c r="AA308" s="16"/>
      <c r="AB308" s="16"/>
      <c r="AC308" s="16"/>
      <c r="AD308" s="16"/>
    </row>
    <row r="309" spans="1:30" ht="15.75" customHeight="1">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c r="AA309" s="16"/>
      <c r="AB309" s="16"/>
      <c r="AC309" s="16"/>
      <c r="AD309" s="16"/>
    </row>
    <row r="310" spans="1:30" ht="15.75" customHeight="1">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c r="AA310" s="16"/>
      <c r="AB310" s="16"/>
      <c r="AC310" s="16"/>
      <c r="AD310" s="16"/>
    </row>
    <row r="311" spans="1:30" ht="15.75" customHeight="1">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c r="AA311" s="16"/>
      <c r="AB311" s="16"/>
      <c r="AC311" s="16"/>
      <c r="AD311" s="16"/>
    </row>
    <row r="312" spans="1:30" ht="15.75" customHeight="1">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c r="AA312" s="16"/>
      <c r="AB312" s="16"/>
      <c r="AC312" s="16"/>
      <c r="AD312" s="16"/>
    </row>
    <row r="313" spans="1:30" ht="15.75" customHeight="1">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c r="AA313" s="16"/>
      <c r="AB313" s="16"/>
      <c r="AC313" s="16"/>
      <c r="AD313" s="16"/>
    </row>
    <row r="314" spans="1:30" ht="15.75" customHeight="1">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c r="AA314" s="16"/>
      <c r="AB314" s="16"/>
      <c r="AC314" s="16"/>
      <c r="AD314" s="16"/>
    </row>
    <row r="315" spans="1:30" ht="15.75" customHeight="1">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c r="AA315" s="16"/>
      <c r="AB315" s="16"/>
      <c r="AC315" s="16"/>
      <c r="AD315" s="16"/>
    </row>
    <row r="316" spans="1:30" ht="15.75" customHeight="1">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c r="AA316" s="16"/>
      <c r="AB316" s="16"/>
      <c r="AC316" s="16"/>
      <c r="AD316" s="16"/>
    </row>
    <row r="317" spans="1:30" ht="15.75" customHeight="1">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c r="AA317" s="16"/>
      <c r="AB317" s="16"/>
      <c r="AC317" s="16"/>
      <c r="AD317" s="16"/>
    </row>
    <row r="318" spans="1:30" ht="15.75" customHeight="1">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c r="AA318" s="16"/>
      <c r="AB318" s="16"/>
      <c r="AC318" s="16"/>
      <c r="AD318" s="16"/>
    </row>
    <row r="319" spans="1:30" ht="15.75" customHeight="1">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c r="AA319" s="16"/>
      <c r="AB319" s="16"/>
      <c r="AC319" s="16"/>
      <c r="AD319" s="16"/>
    </row>
    <row r="320" spans="1:30" ht="15.75" customHeight="1">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c r="AA320" s="16"/>
      <c r="AB320" s="16"/>
      <c r="AC320" s="16"/>
      <c r="AD320" s="16"/>
    </row>
    <row r="321" spans="1:30" ht="15.75" customHeight="1">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c r="AA321" s="16"/>
      <c r="AB321" s="16"/>
      <c r="AC321" s="16"/>
      <c r="AD321" s="16"/>
    </row>
    <row r="322" spans="1:30" ht="15.75" customHeight="1">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c r="AA322" s="16"/>
      <c r="AB322" s="16"/>
      <c r="AC322" s="16"/>
      <c r="AD322" s="16"/>
    </row>
    <row r="323" spans="1:30" ht="15.75" customHeight="1">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c r="AA323" s="16"/>
      <c r="AB323" s="16"/>
      <c r="AC323" s="16"/>
      <c r="AD323" s="16"/>
    </row>
    <row r="324" spans="1:30" ht="15.75" customHeight="1">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c r="AA324" s="16"/>
      <c r="AB324" s="16"/>
      <c r="AC324" s="16"/>
      <c r="AD324" s="16"/>
    </row>
    <row r="325" spans="1:30" ht="15.75" customHeight="1">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c r="AA325" s="16"/>
      <c r="AB325" s="16"/>
      <c r="AC325" s="16"/>
      <c r="AD325" s="16"/>
    </row>
    <row r="326" spans="1:30" ht="15.75" customHeight="1">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c r="AA326" s="16"/>
      <c r="AB326" s="16"/>
      <c r="AC326" s="16"/>
      <c r="AD326" s="16"/>
    </row>
    <row r="327" spans="1:30" ht="15.75" customHeight="1">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c r="AA327" s="16"/>
      <c r="AB327" s="16"/>
      <c r="AC327" s="16"/>
      <c r="AD327" s="16"/>
    </row>
    <row r="328" spans="1:30" ht="15.75" customHeight="1">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c r="AA328" s="16"/>
      <c r="AB328" s="16"/>
      <c r="AC328" s="16"/>
      <c r="AD328" s="16"/>
    </row>
    <row r="329" spans="1:30" ht="15.75" customHeight="1">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c r="AA329" s="16"/>
      <c r="AB329" s="16"/>
      <c r="AC329" s="16"/>
      <c r="AD329" s="16"/>
    </row>
    <row r="330" spans="1:30" ht="15.75" customHeight="1">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c r="AA330" s="16"/>
      <c r="AB330" s="16"/>
      <c r="AC330" s="16"/>
      <c r="AD330" s="16"/>
    </row>
    <row r="331" spans="1:30" ht="15.75" customHeight="1">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c r="AA331" s="16"/>
      <c r="AB331" s="16"/>
      <c r="AC331" s="16"/>
      <c r="AD331" s="16"/>
    </row>
    <row r="332" spans="1:30" ht="15.75" customHeight="1">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c r="AA332" s="16"/>
      <c r="AB332" s="16"/>
      <c r="AC332" s="16"/>
      <c r="AD332" s="16"/>
    </row>
    <row r="333" spans="1:30" ht="15.75" customHeight="1">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c r="AA333" s="16"/>
      <c r="AB333" s="16"/>
      <c r="AC333" s="16"/>
      <c r="AD333" s="16"/>
    </row>
    <row r="334" spans="1:30" ht="15.75" customHeight="1">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c r="AA334" s="16"/>
      <c r="AB334" s="16"/>
      <c r="AC334" s="16"/>
      <c r="AD334" s="16"/>
    </row>
    <row r="335" spans="1:30" ht="15.75" customHeight="1">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c r="AA335" s="16"/>
      <c r="AB335" s="16"/>
      <c r="AC335" s="16"/>
      <c r="AD335" s="16"/>
    </row>
    <row r="336" spans="1:30" ht="15.75" customHeight="1">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c r="AA336" s="16"/>
      <c r="AB336" s="16"/>
      <c r="AC336" s="16"/>
      <c r="AD336" s="16"/>
    </row>
    <row r="337" spans="1:30" ht="15.75" customHeight="1">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c r="AA337" s="16"/>
      <c r="AB337" s="16"/>
      <c r="AC337" s="16"/>
      <c r="AD337" s="16"/>
    </row>
    <row r="338" spans="1:30" ht="15.75" customHeight="1">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c r="AA338" s="16"/>
      <c r="AB338" s="16"/>
      <c r="AC338" s="16"/>
      <c r="AD338" s="16"/>
    </row>
    <row r="339" spans="1:30" ht="15.75" customHeight="1">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c r="AA339" s="16"/>
      <c r="AB339" s="16"/>
      <c r="AC339" s="16"/>
      <c r="AD339" s="16"/>
    </row>
    <row r="340" spans="1:30" ht="15.75" customHeight="1">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c r="AA340" s="16"/>
      <c r="AB340" s="16"/>
      <c r="AC340" s="16"/>
      <c r="AD340" s="16"/>
    </row>
    <row r="341" spans="1:30" ht="15.75" customHeight="1">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c r="AA341" s="16"/>
      <c r="AB341" s="16"/>
      <c r="AC341" s="16"/>
      <c r="AD341" s="16"/>
    </row>
    <row r="342" spans="1:30" ht="15.75" customHeight="1">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c r="AA342" s="16"/>
      <c r="AB342" s="16"/>
      <c r="AC342" s="16"/>
      <c r="AD342" s="16"/>
    </row>
    <row r="343" spans="1:30" ht="15.75" customHeight="1">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c r="AA343" s="16"/>
      <c r="AB343" s="16"/>
      <c r="AC343" s="16"/>
      <c r="AD343" s="16"/>
    </row>
    <row r="344" spans="1:30" ht="15.75" customHeight="1">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c r="AA344" s="16"/>
      <c r="AB344" s="16"/>
      <c r="AC344" s="16"/>
      <c r="AD344" s="16"/>
    </row>
    <row r="345" spans="1:30" ht="15.75" customHeight="1">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c r="AA345" s="16"/>
      <c r="AB345" s="16"/>
      <c r="AC345" s="16"/>
      <c r="AD345" s="16"/>
    </row>
    <row r="346" spans="1:30" ht="15.75" customHeight="1">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c r="AA346" s="16"/>
      <c r="AB346" s="16"/>
      <c r="AC346" s="16"/>
      <c r="AD346" s="16"/>
    </row>
    <row r="347" spans="1:30" ht="15.75" customHeight="1">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c r="AA347" s="16"/>
      <c r="AB347" s="16"/>
      <c r="AC347" s="16"/>
      <c r="AD347" s="16"/>
    </row>
    <row r="348" spans="1:30" ht="15.75" customHeight="1">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c r="AA348" s="16"/>
      <c r="AB348" s="16"/>
      <c r="AC348" s="16"/>
      <c r="AD348" s="16"/>
    </row>
    <row r="349" spans="1:30" ht="15.75" customHeight="1">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c r="AA349" s="16"/>
      <c r="AB349" s="16"/>
      <c r="AC349" s="16"/>
      <c r="AD349" s="16"/>
    </row>
    <row r="350" spans="1:30" ht="15.75" customHeight="1">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c r="AA350" s="16"/>
      <c r="AB350" s="16"/>
      <c r="AC350" s="16"/>
      <c r="AD350" s="16"/>
    </row>
    <row r="351" spans="1:30" ht="15.75" customHeight="1">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c r="AA351" s="16"/>
      <c r="AB351" s="16"/>
      <c r="AC351" s="16"/>
      <c r="AD351" s="16"/>
    </row>
    <row r="352" spans="1:30" ht="15.75" customHeight="1">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c r="AA352" s="16"/>
      <c r="AB352" s="16"/>
      <c r="AC352" s="16"/>
      <c r="AD352" s="16"/>
    </row>
    <row r="353" spans="1:30" ht="15.75" customHeight="1">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c r="AA353" s="16"/>
      <c r="AB353" s="16"/>
      <c r="AC353" s="16"/>
      <c r="AD353" s="16"/>
    </row>
    <row r="354" spans="1:30" ht="15.75" customHeight="1">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c r="AA354" s="16"/>
      <c r="AB354" s="16"/>
      <c r="AC354" s="16"/>
      <c r="AD354" s="16"/>
    </row>
    <row r="355" spans="1:30" ht="15.75" customHeight="1">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c r="AA355" s="16"/>
      <c r="AB355" s="16"/>
      <c r="AC355" s="16"/>
      <c r="AD355" s="16"/>
    </row>
    <row r="356" spans="1:30" ht="15.75" customHeight="1">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c r="AA356" s="16"/>
      <c r="AB356" s="16"/>
      <c r="AC356" s="16"/>
      <c r="AD356" s="16"/>
    </row>
    <row r="357" spans="1:30" ht="15.75" customHeight="1">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c r="AA357" s="16"/>
      <c r="AB357" s="16"/>
      <c r="AC357" s="16"/>
      <c r="AD357" s="16"/>
    </row>
    <row r="358" spans="1:30" ht="15.75" customHeight="1">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c r="AA358" s="16"/>
      <c r="AB358" s="16"/>
      <c r="AC358" s="16"/>
      <c r="AD358" s="16"/>
    </row>
    <row r="359" spans="1:30" ht="15.75" customHeight="1">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c r="AA359" s="16"/>
      <c r="AB359" s="16"/>
      <c r="AC359" s="16"/>
      <c r="AD359" s="16"/>
    </row>
    <row r="360" spans="1:30" ht="15.75" customHeight="1">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c r="AA360" s="16"/>
      <c r="AB360" s="16"/>
      <c r="AC360" s="16"/>
      <c r="AD360" s="16"/>
    </row>
    <row r="361" spans="1:30" ht="15.75" customHeight="1">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c r="AA361" s="16"/>
      <c r="AB361" s="16"/>
      <c r="AC361" s="16"/>
      <c r="AD361" s="16"/>
    </row>
    <row r="362" spans="1:30" ht="15.75" customHeight="1">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c r="AA362" s="16"/>
      <c r="AB362" s="16"/>
      <c r="AC362" s="16"/>
      <c r="AD362" s="16"/>
    </row>
    <row r="363" spans="1:30" ht="15.75" customHeight="1">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c r="AA363" s="16"/>
      <c r="AB363" s="16"/>
      <c r="AC363" s="16"/>
      <c r="AD363" s="16"/>
    </row>
    <row r="364" spans="1:30" ht="15.75" customHeight="1">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c r="AA364" s="16"/>
      <c r="AB364" s="16"/>
      <c r="AC364" s="16"/>
      <c r="AD364" s="16"/>
    </row>
    <row r="365" spans="1:30" ht="15.75" customHeight="1">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c r="AA365" s="16"/>
      <c r="AB365" s="16"/>
      <c r="AC365" s="16"/>
      <c r="AD365" s="16"/>
    </row>
    <row r="366" spans="1:30" ht="15.75" customHeight="1">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c r="AA366" s="16"/>
      <c r="AB366" s="16"/>
      <c r="AC366" s="16"/>
      <c r="AD366" s="16"/>
    </row>
    <row r="367" spans="1:30" ht="15.75" customHeight="1">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c r="AA367" s="16"/>
      <c r="AB367" s="16"/>
      <c r="AC367" s="16"/>
      <c r="AD367" s="16"/>
    </row>
    <row r="368" spans="1:30" ht="15.75" customHeight="1">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c r="AA368" s="16"/>
      <c r="AB368" s="16"/>
      <c r="AC368" s="16"/>
      <c r="AD368" s="16"/>
    </row>
    <row r="369" spans="1:30" ht="15.75" customHeight="1">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c r="AA369" s="16"/>
      <c r="AB369" s="16"/>
      <c r="AC369" s="16"/>
      <c r="AD369" s="16"/>
    </row>
    <row r="370" spans="1:30" ht="15.75" customHeight="1">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c r="AA370" s="16"/>
      <c r="AB370" s="16"/>
      <c r="AC370" s="16"/>
      <c r="AD370" s="16"/>
    </row>
    <row r="371" spans="1:30" ht="15.75" customHeight="1">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c r="AA371" s="16"/>
      <c r="AB371" s="16"/>
      <c r="AC371" s="16"/>
      <c r="AD371" s="16"/>
    </row>
    <row r="372" spans="1:30" ht="15.75" customHeight="1">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c r="AA372" s="16"/>
      <c r="AB372" s="16"/>
      <c r="AC372" s="16"/>
      <c r="AD372" s="16"/>
    </row>
    <row r="373" spans="1:30" ht="15.75" customHeight="1">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c r="AA373" s="16"/>
      <c r="AB373" s="16"/>
      <c r="AC373" s="16"/>
      <c r="AD373" s="16"/>
    </row>
    <row r="374" spans="1:30" ht="15.75" customHeight="1">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c r="AA374" s="16"/>
      <c r="AB374" s="16"/>
      <c r="AC374" s="16"/>
      <c r="AD374" s="16"/>
    </row>
    <row r="375" spans="1:30" ht="15.75" customHeight="1">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c r="AA375" s="16"/>
      <c r="AB375" s="16"/>
      <c r="AC375" s="16"/>
      <c r="AD375" s="16"/>
    </row>
    <row r="376" spans="1:30" ht="15.75" customHeight="1">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c r="AA376" s="16"/>
      <c r="AB376" s="16"/>
      <c r="AC376" s="16"/>
      <c r="AD376" s="16"/>
    </row>
    <row r="377" spans="1:30" ht="15.75" customHeight="1">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c r="AA377" s="16"/>
      <c r="AB377" s="16"/>
      <c r="AC377" s="16"/>
      <c r="AD377" s="16"/>
    </row>
    <row r="378" spans="1:30" ht="15.75" customHeight="1">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c r="AA378" s="16"/>
      <c r="AB378" s="16"/>
      <c r="AC378" s="16"/>
      <c r="AD378" s="16"/>
    </row>
    <row r="379" spans="1:30" ht="15.75" customHeight="1">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c r="AA379" s="16"/>
      <c r="AB379" s="16"/>
      <c r="AC379" s="16"/>
      <c r="AD379" s="16"/>
    </row>
    <row r="380" spans="1:30" ht="15.75" customHeight="1">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c r="AA380" s="16"/>
      <c r="AB380" s="16"/>
      <c r="AC380" s="16"/>
      <c r="AD380" s="16"/>
    </row>
    <row r="381" spans="1:30" ht="15.75" customHeight="1">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c r="AA381" s="16"/>
      <c r="AB381" s="16"/>
      <c r="AC381" s="16"/>
      <c r="AD381" s="16"/>
    </row>
    <row r="382" spans="1:30" ht="15.75" customHeight="1">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c r="AA382" s="16"/>
      <c r="AB382" s="16"/>
      <c r="AC382" s="16"/>
      <c r="AD382" s="16"/>
    </row>
    <row r="383" spans="1:30" ht="15.75" customHeight="1">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c r="AA383" s="16"/>
      <c r="AB383" s="16"/>
      <c r="AC383" s="16"/>
      <c r="AD383" s="16"/>
    </row>
    <row r="384" spans="1:30" ht="15.75" customHeight="1">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c r="AA384" s="16"/>
      <c r="AB384" s="16"/>
      <c r="AC384" s="16"/>
      <c r="AD384" s="16"/>
    </row>
    <row r="385" spans="1:30" ht="15.75" customHeight="1">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c r="AA385" s="16"/>
      <c r="AB385" s="16"/>
      <c r="AC385" s="16"/>
      <c r="AD385" s="16"/>
    </row>
    <row r="386" spans="1:30" ht="15.75" customHeight="1">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c r="AA386" s="16"/>
      <c r="AB386" s="16"/>
      <c r="AC386" s="16"/>
      <c r="AD386" s="16"/>
    </row>
    <row r="387" spans="1:30" ht="15.75" customHeight="1">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c r="AA387" s="16"/>
      <c r="AB387" s="16"/>
      <c r="AC387" s="16"/>
      <c r="AD387" s="16"/>
    </row>
    <row r="388" spans="1:30" ht="15.75" customHeight="1">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row>
    <row r="389" spans="1:30" ht="15.75" customHeight="1">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row>
    <row r="390" spans="1:30" ht="15.75" customHeight="1">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row>
    <row r="391" spans="1:30" ht="15.75" customHeight="1">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c r="AA391" s="16"/>
      <c r="AB391" s="16"/>
      <c r="AC391" s="16"/>
      <c r="AD391" s="16"/>
    </row>
    <row r="392" spans="1:30" ht="15.75" customHeight="1"/>
    <row r="393" spans="1:30" ht="15.75" customHeight="1"/>
    <row r="394" spans="1:30" ht="15.75" customHeight="1"/>
    <row r="395" spans="1:30" ht="15.75" customHeight="1"/>
    <row r="396" spans="1:30" ht="15.75" customHeight="1"/>
    <row r="397" spans="1:30" ht="15.75" customHeight="1"/>
    <row r="398" spans="1:30" ht="15.75" customHeight="1"/>
    <row r="399" spans="1:30" ht="15.75" customHeight="1"/>
    <row r="400" spans="1:3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row r="1068" ht="15.75" customHeight="1"/>
    <row r="1069" ht="15.75" customHeight="1"/>
    <row r="1070" ht="15.75" customHeight="1"/>
    <row r="1071" ht="15.75" customHeight="1"/>
    <row r="1072" ht="15.75" customHeight="1"/>
    <row r="1073" ht="15.75" customHeight="1"/>
    <row r="1074" ht="15.75" customHeight="1"/>
    <row r="1075" ht="15.75" customHeight="1"/>
    <row r="1076" ht="15.75" customHeight="1"/>
    <row r="1077" ht="15.75" customHeight="1"/>
    <row r="1078" ht="15.75" customHeight="1"/>
    <row r="1079" ht="15.75" customHeight="1"/>
    <row r="1080" ht="15.75" customHeight="1"/>
    <row r="1081" ht="15.75" customHeight="1"/>
    <row r="1082" ht="15.75" customHeight="1"/>
    <row r="1083" ht="15.75" customHeight="1"/>
    <row r="1084" ht="15.75" customHeight="1"/>
    <row r="1085" ht="15.75" customHeight="1"/>
    <row r="1086" ht="15.75" customHeight="1"/>
    <row r="1087" ht="15.75" customHeight="1"/>
    <row r="1088" ht="15.75" customHeight="1"/>
    <row r="1089" ht="15.75" customHeight="1"/>
  </sheetData>
  <mergeCells count="99">
    <mergeCell ref="M250:O250"/>
    <mergeCell ref="B254:C254"/>
    <mergeCell ref="M254:O254"/>
    <mergeCell ref="B255:C255"/>
    <mergeCell ref="M255:O255"/>
    <mergeCell ref="B251:C251"/>
    <mergeCell ref="M251:O251"/>
    <mergeCell ref="B252:C252"/>
    <mergeCell ref="M252:O252"/>
    <mergeCell ref="B253:C253"/>
    <mergeCell ref="M253:O253"/>
    <mergeCell ref="M238:O238"/>
    <mergeCell ref="B241:C241"/>
    <mergeCell ref="M241:O241"/>
    <mergeCell ref="M244:O244"/>
    <mergeCell ref="B245:C245"/>
    <mergeCell ref="M245:O245"/>
    <mergeCell ref="P241:T241"/>
    <mergeCell ref="B242:C242"/>
    <mergeCell ref="M242:O242"/>
    <mergeCell ref="P242:T255"/>
    <mergeCell ref="B243:C243"/>
    <mergeCell ref="M243:O243"/>
    <mergeCell ref="B244:C244"/>
    <mergeCell ref="B247:C247"/>
    <mergeCell ref="M247:O247"/>
    <mergeCell ref="B246:C246"/>
    <mergeCell ref="M246:O246"/>
    <mergeCell ref="B248:C248"/>
    <mergeCell ref="M248:O248"/>
    <mergeCell ref="B249:C249"/>
    <mergeCell ref="M249:O249"/>
    <mergeCell ref="B250:C250"/>
    <mergeCell ref="M237:O237"/>
    <mergeCell ref="M224:O224"/>
    <mergeCell ref="P224:T224"/>
    <mergeCell ref="M225:O225"/>
    <mergeCell ref="P225:T238"/>
    <mergeCell ref="M226:O226"/>
    <mergeCell ref="M227:O227"/>
    <mergeCell ref="M228:O228"/>
    <mergeCell ref="M229:O229"/>
    <mergeCell ref="M230:O230"/>
    <mergeCell ref="M231:O231"/>
    <mergeCell ref="M232:O232"/>
    <mergeCell ref="M233:O233"/>
    <mergeCell ref="M234:O234"/>
    <mergeCell ref="M235:O235"/>
    <mergeCell ref="M236:O236"/>
    <mergeCell ref="M221:O221"/>
    <mergeCell ref="P207:R207"/>
    <mergeCell ref="M209:O209"/>
    <mergeCell ref="P209:T209"/>
    <mergeCell ref="M210:O210"/>
    <mergeCell ref="P210:T221"/>
    <mergeCell ref="M211:O211"/>
    <mergeCell ref="M212:O212"/>
    <mergeCell ref="M213:O213"/>
    <mergeCell ref="M214:O214"/>
    <mergeCell ref="M215:O215"/>
    <mergeCell ref="M216:O216"/>
    <mergeCell ref="M217:O217"/>
    <mergeCell ref="M218:O218"/>
    <mergeCell ref="M219:O219"/>
    <mergeCell ref="M220:O220"/>
    <mergeCell ref="AG29:AH29"/>
    <mergeCell ref="AI29:AJ29"/>
    <mergeCell ref="AG30:AH40"/>
    <mergeCell ref="AI30:AJ40"/>
    <mergeCell ref="P201:R201"/>
    <mergeCell ref="P146:Q173"/>
    <mergeCell ref="P145:Q145"/>
    <mergeCell ref="P202:R202"/>
    <mergeCell ref="P203:R203"/>
    <mergeCell ref="P204:R204"/>
    <mergeCell ref="P205:R205"/>
    <mergeCell ref="P206:R206"/>
    <mergeCell ref="H177:I177"/>
    <mergeCell ref="J177:K177"/>
    <mergeCell ref="H178:I191"/>
    <mergeCell ref="J178:K191"/>
    <mergeCell ref="K146:O173"/>
    <mergeCell ref="A30:F30"/>
    <mergeCell ref="A31:F31"/>
    <mergeCell ref="A32:F32"/>
    <mergeCell ref="A34:F34"/>
    <mergeCell ref="H37:J37"/>
    <mergeCell ref="I90:K90"/>
    <mergeCell ref="I91:K95"/>
    <mergeCell ref="K100:M100"/>
    <mergeCell ref="K145:O145"/>
    <mergeCell ref="H38:J87"/>
    <mergeCell ref="K101:M142"/>
    <mergeCell ref="A29:F29"/>
    <mergeCell ref="A1:C1"/>
    <mergeCell ref="E1:H1"/>
    <mergeCell ref="D7:I7"/>
    <mergeCell ref="D8:I8"/>
    <mergeCell ref="A28:F28"/>
  </mergeCells>
  <phoneticPr fontId="31" type="noConversion"/>
  <conditionalFormatting sqref="I101:I141">
    <cfRule type="containsText" dxfId="604" priority="4" operator="containsText" text="5">
      <formula>NOT(ISERROR(SEARCH(("5"),(I101))))</formula>
    </cfRule>
    <cfRule type="containsText" dxfId="603" priority="5" operator="containsText" text="42">
      <formula>NOT(ISERROR(SEARCH(("42"),(I101))))</formula>
    </cfRule>
    <cfRule type="containsText" dxfId="602" priority="6" operator="containsText" text="Please fill in">
      <formula>NOT(ISERROR(SEARCH(("Please fill in"),(I101))))</formula>
    </cfRule>
  </conditionalFormatting>
  <dataValidations count="7">
    <dataValidation type="list" allowBlank="1" showErrorMessage="1" sqref="H141:H142" xr:uid="{67E0F926-63D7-47A6-A3A3-9775BFF9D3BF}">
      <formula1>Harambee!TypesOfTrainers</formula1>
    </dataValidation>
    <dataValidation type="list" allowBlank="1" showErrorMessage="1" sqref="B9" xr:uid="{7698B8CE-0206-4C9E-A9E9-CEAFBAC5A757}">
      <formula1>"yes,no,partial"</formula1>
    </dataValidation>
    <dataValidation type="list" allowBlank="1" sqref="G91:G96" xr:uid="{B336AD1B-8306-4700-83C7-13EF02B688BC}">
      <formula1>"yes,no"</formula1>
    </dataValidation>
    <dataValidation type="list" allowBlank="1" showErrorMessage="1" sqref="D91:D96 H101:H140" xr:uid="{72676764-C8CC-4E2B-88D7-1C52FBD34BD4}">
      <formula1>'https://universiteittwente.sharepoint.com/sites/SportsCoordinatorsSUT/Gedeelde documenten/General/(WIP) FAM Sheets - Regulations 2025-28 - Version April 2025.xlsx'!TypesOfTrainers</formula1>
    </dataValidation>
    <dataValidation type="list" allowBlank="1" showErrorMessage="1" sqref="B152:B169 B146:B148 B150" xr:uid="{39CFA4C9-2661-4843-87E3-50193BD6EE7D}">
      <formula1>'https://universiteittwente.sharepoint.com/sites/SportsCoordinatorsSUT/Gedeelde documenten/General/(WIP) FAM Sheets - Regulations 2025-28 - Version April 2025.xlsx'!LocationNames</formula1>
    </dataValidation>
    <dataValidation allowBlank="1" showInputMessage="1" showErrorMessage="1" sqref="B151" xr:uid="{5EDA778E-7831-4D94-96B1-259DD301D906}"/>
    <dataValidation allowBlank="1" showErrorMessage="1" sqref="B149" xr:uid="{F7649585-E97A-4881-BAB1-A15D5D8BF2BC}"/>
  </dataValidations>
  <pageMargins left="0.7" right="0.7" top="0.75" bottom="0.75" header="0" footer="0"/>
  <pageSetup paperSize="9" orientation="portrait"/>
  <drawing r:id="rId1"/>
  <legacyDrawing r:id="rId2"/>
  <tableParts count="6">
    <tablePart r:id="rId3"/>
    <tablePart r:id="rId4"/>
    <tablePart r:id="rId5"/>
    <tablePart r:id="rId6"/>
    <tablePart r:id="rId7"/>
    <tablePart r:id="rId8"/>
  </tableParts>
  <extLst>
    <ext xmlns:x14="http://schemas.microsoft.com/office/spreadsheetml/2009/9/main" uri="{CCE6A557-97BC-4b89-ADB6-D9C93CAAB3DF}">
      <x14:dataValidations xmlns:xm="http://schemas.microsoft.com/office/excel/2006/main" count="4">
        <x14:dataValidation type="list" allowBlank="1" showInputMessage="1" showErrorMessage="1" xr:uid="{9050B604-AF39-461C-91D9-B4A2E41F9703}">
          <x14:formula1>
            <xm:f>Constants!$M$6:$M$7</xm:f>
          </x14:formula1>
          <xm:sqref>B181:B193</xm:sqref>
        </x14:dataValidation>
        <x14:dataValidation type="list" allowBlank="1" showInputMessage="1" showErrorMessage="1" xr:uid="{776F366F-E8BA-41D0-86C3-0638DE4AAFD0}">
          <x14:formula1>
            <xm:f>Constants!$C$55:$C$56</xm:f>
          </x14:formula1>
          <xm:sqref>B12</xm:sqref>
        </x14:dataValidation>
        <x14:dataValidation type="list" allowBlank="1" showErrorMessage="1" xr:uid="{0AD39854-2674-4419-AE28-BC0DC4DD1CF5}">
          <x14:formula1>
            <xm:f>Constants!$A$2:$AD$2</xm:f>
          </x14:formula1>
          <xm:sqref>B170:B173</xm:sqref>
        </x14:dataValidation>
        <x14:dataValidation type="list" allowBlank="1" showErrorMessage="1" xr:uid="{CA4B2BAF-ACD0-4757-9F51-50D0D84169A5}">
          <x14:formula1>
            <xm:f>Constants!$H$6:$H$13</xm:f>
          </x14:formula1>
          <xm:sqref>B101:B142</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32524-E010-4825-8DD1-0C24EEF233DC}">
  <dimension ref="A1:BG1031"/>
  <sheetViews>
    <sheetView topLeftCell="C51" workbookViewId="0">
      <selection activeCell="J59" sqref="J59"/>
    </sheetView>
  </sheetViews>
  <sheetFormatPr defaultColWidth="12.625" defaultRowHeight="15" customHeight="1"/>
  <cols>
    <col min="1" max="1" width="36.625" customWidth="1"/>
    <col min="2" max="2" width="28.125" customWidth="1"/>
    <col min="3" max="3" width="21" customWidth="1"/>
    <col min="4" max="4" width="17.5" customWidth="1"/>
    <col min="5" max="5" width="16.125" customWidth="1"/>
    <col min="6" max="6" width="21.5" customWidth="1"/>
    <col min="7" max="7" width="22.625" customWidth="1"/>
    <col min="8" max="8" width="18.625" customWidth="1"/>
    <col min="9" max="9" width="19.625" customWidth="1"/>
    <col min="10" max="10" width="18.875" customWidth="1"/>
    <col min="11" max="11" width="21.625" customWidth="1"/>
    <col min="12" max="12" width="17.375" customWidth="1"/>
    <col min="13" max="13" width="15.125" customWidth="1"/>
    <col min="14" max="14" width="15.625" customWidth="1"/>
    <col min="15" max="15" width="28.5" customWidth="1"/>
    <col min="16" max="16" width="13.125" customWidth="1"/>
    <col min="17" max="17" width="21.875" customWidth="1"/>
    <col min="18" max="18" width="27" customWidth="1"/>
    <col min="19" max="19" width="20.5" customWidth="1"/>
    <col min="20" max="22" width="7.625" customWidth="1"/>
    <col min="23" max="23" width="31.875" customWidth="1"/>
    <col min="24" max="24" width="7.625" customWidth="1"/>
    <col min="25" max="25" width="8.375" customWidth="1"/>
    <col min="26" max="26" width="21.625" customWidth="1"/>
    <col min="27" max="27" width="12" customWidth="1"/>
    <col min="28" max="28" width="16.5" customWidth="1"/>
    <col min="29" max="29" width="6" customWidth="1"/>
    <col min="30" max="30" width="13.625" customWidth="1"/>
  </cols>
  <sheetData>
    <row r="1" spans="1:59" ht="171" customHeight="1">
      <c r="A1" s="703"/>
      <c r="B1" s="704"/>
      <c r="C1" s="705"/>
      <c r="D1" s="16"/>
      <c r="E1" s="572" t="s">
        <v>1012</v>
      </c>
      <c r="F1" s="704"/>
      <c r="G1" s="704"/>
      <c r="H1" s="705"/>
      <c r="I1" s="16"/>
      <c r="J1" s="16"/>
      <c r="K1" s="16"/>
      <c r="L1" s="16"/>
      <c r="M1" s="16"/>
      <c r="N1" s="16"/>
      <c r="O1" s="16"/>
      <c r="P1" s="16"/>
      <c r="Q1" s="16"/>
      <c r="R1" s="16"/>
      <c r="S1" s="16"/>
      <c r="T1" s="16"/>
      <c r="U1" s="16"/>
      <c r="V1" s="16"/>
      <c r="W1" s="16"/>
      <c r="X1" s="16"/>
      <c r="Y1" s="16"/>
      <c r="Z1" s="16"/>
      <c r="AA1" s="16"/>
      <c r="AB1" s="16"/>
      <c r="AC1" s="16"/>
      <c r="AD1" s="16"/>
    </row>
    <row r="2" spans="1:59">
      <c r="A2" s="58" t="s">
        <v>404</v>
      </c>
      <c r="B2" s="152" t="s">
        <v>716</v>
      </c>
      <c r="C2" s="59"/>
      <c r="D2" s="16"/>
      <c r="E2" s="60" t="s">
        <v>406</v>
      </c>
      <c r="F2" s="153"/>
      <c r="G2" s="154"/>
      <c r="H2" s="61"/>
      <c r="I2" s="16"/>
      <c r="J2" s="16"/>
      <c r="K2" s="16"/>
      <c r="L2" s="16"/>
      <c r="M2" s="16"/>
      <c r="N2" s="16"/>
      <c r="O2" s="16"/>
      <c r="P2" s="16"/>
      <c r="Q2" s="16"/>
      <c r="R2" s="16"/>
      <c r="S2" s="16"/>
      <c r="T2" s="16"/>
      <c r="U2" s="16"/>
      <c r="V2" s="16"/>
      <c r="W2" s="16"/>
      <c r="X2" s="16"/>
      <c r="Y2" s="16"/>
      <c r="Z2" s="15"/>
      <c r="AA2" s="15"/>
      <c r="AB2" s="15"/>
      <c r="AC2" s="15"/>
      <c r="AD2" s="16"/>
      <c r="AE2" s="16"/>
      <c r="AF2" s="16"/>
      <c r="AG2" s="16"/>
      <c r="AH2" s="16"/>
      <c r="AI2" s="17"/>
      <c r="AJ2" s="17"/>
      <c r="AK2" s="17"/>
      <c r="AL2" s="17"/>
      <c r="AM2" s="17"/>
      <c r="AN2" s="17"/>
      <c r="AO2" s="17"/>
      <c r="AP2" s="17"/>
      <c r="AQ2" s="17"/>
      <c r="AR2" s="18"/>
      <c r="AS2" s="17"/>
      <c r="AT2" s="17"/>
      <c r="AU2" s="16"/>
      <c r="AV2" s="16"/>
      <c r="AW2" s="16"/>
      <c r="AX2" s="16"/>
      <c r="AY2" s="16"/>
      <c r="AZ2" s="16"/>
      <c r="BA2" s="16"/>
    </row>
    <row r="3" spans="1:59">
      <c r="A3" s="62" t="s">
        <v>408</v>
      </c>
      <c r="B3" s="155">
        <v>5</v>
      </c>
      <c r="C3" s="156"/>
      <c r="D3" s="16"/>
      <c r="E3" s="63" t="s">
        <v>409</v>
      </c>
      <c r="F3" s="189">
        <v>45771</v>
      </c>
      <c r="G3" s="158"/>
      <c r="H3" s="159"/>
      <c r="I3" s="16"/>
      <c r="J3" s="16"/>
      <c r="K3" s="16"/>
      <c r="L3" s="16"/>
      <c r="M3" s="16"/>
      <c r="N3" s="16"/>
      <c r="O3" s="16"/>
      <c r="P3" s="16"/>
      <c r="Q3" s="16"/>
      <c r="R3" s="16"/>
      <c r="S3" s="16"/>
      <c r="T3" s="16"/>
      <c r="U3" s="16"/>
      <c r="V3" s="16"/>
      <c r="W3" s="16"/>
      <c r="X3" s="16"/>
      <c r="Y3" s="16"/>
      <c r="Z3" s="16"/>
      <c r="AA3" s="16"/>
      <c r="AB3" s="16"/>
      <c r="AC3" s="16"/>
      <c r="AD3" s="16"/>
    </row>
    <row r="4" spans="1:59">
      <c r="A4" s="160" t="s">
        <v>410</v>
      </c>
      <c r="B4" s="161">
        <v>45812</v>
      </c>
      <c r="C4" s="162"/>
      <c r="D4" s="16"/>
      <c r="E4" s="163"/>
      <c r="F4" s="164"/>
      <c r="G4" s="165"/>
      <c r="H4" s="166"/>
      <c r="I4" s="16"/>
      <c r="J4" s="16"/>
      <c r="K4" s="16"/>
      <c r="L4" s="16"/>
      <c r="M4" s="16"/>
      <c r="N4" s="16"/>
      <c r="O4" s="16"/>
      <c r="P4" s="16"/>
      <c r="Q4" s="16"/>
      <c r="R4" s="16"/>
      <c r="S4" s="16"/>
      <c r="T4" s="16"/>
      <c r="U4" s="16"/>
      <c r="V4" s="16"/>
      <c r="W4" s="16"/>
      <c r="X4" s="16"/>
      <c r="Y4" s="16"/>
      <c r="Z4" s="16"/>
      <c r="AA4" s="16"/>
      <c r="AB4" s="16"/>
      <c r="AC4" s="16"/>
      <c r="AD4" s="16"/>
    </row>
    <row r="5" spans="1:59">
      <c r="A5" s="167" t="s">
        <v>411</v>
      </c>
      <c r="B5" s="168"/>
      <c r="C5" s="167"/>
      <c r="D5" s="16"/>
      <c r="E5" s="169" t="s">
        <v>412</v>
      </c>
      <c r="F5" s="169"/>
      <c r="G5" s="158"/>
      <c r="H5" s="169"/>
      <c r="I5" s="16"/>
      <c r="J5" s="16"/>
      <c r="K5" s="16"/>
      <c r="L5" s="16"/>
      <c r="M5" s="16"/>
      <c r="N5" s="16"/>
      <c r="O5" s="16"/>
      <c r="P5" s="16"/>
      <c r="Q5" s="16"/>
      <c r="R5" s="16"/>
      <c r="S5" s="16"/>
      <c r="T5" s="16"/>
      <c r="U5" s="16"/>
      <c r="V5" s="16"/>
      <c r="W5" s="16"/>
      <c r="X5" s="16"/>
      <c r="Y5" s="16"/>
      <c r="Z5" s="16"/>
      <c r="AA5" s="16"/>
      <c r="AB5" s="16"/>
      <c r="AC5" s="16"/>
      <c r="AD5" s="16"/>
    </row>
    <row r="6" spans="1:59">
      <c r="A6" s="15"/>
      <c r="B6" s="64"/>
      <c r="C6" s="16"/>
      <c r="D6" s="16"/>
      <c r="E6" s="16"/>
      <c r="F6" s="16"/>
      <c r="G6" s="16"/>
      <c r="H6" s="16"/>
      <c r="I6" s="16"/>
      <c r="J6" s="64"/>
      <c r="K6" s="16"/>
      <c r="L6" s="16"/>
      <c r="M6" s="16"/>
      <c r="N6" s="16"/>
      <c r="O6" s="16"/>
      <c r="P6" s="16"/>
      <c r="Q6" s="16"/>
      <c r="R6" s="16"/>
      <c r="S6" s="16"/>
      <c r="T6" s="16"/>
      <c r="U6" s="16"/>
      <c r="V6" s="16"/>
      <c r="W6" s="16"/>
      <c r="X6" s="16"/>
      <c r="Y6" s="16"/>
      <c r="Z6" s="16"/>
      <c r="AA6" s="16"/>
      <c r="AB6" s="16"/>
      <c r="AC6" s="16"/>
      <c r="AD6" s="16"/>
    </row>
    <row r="7" spans="1:59">
      <c r="A7" s="170" t="s">
        <v>413</v>
      </c>
      <c r="B7" s="59">
        <v>130</v>
      </c>
      <c r="C7" s="16"/>
      <c r="D7" s="573" t="s">
        <v>414</v>
      </c>
      <c r="E7" s="701"/>
      <c r="F7" s="701"/>
      <c r="G7" s="701"/>
      <c r="H7" s="701"/>
      <c r="I7" s="701"/>
      <c r="J7" s="16"/>
      <c r="K7" s="16"/>
      <c r="L7" s="16"/>
      <c r="M7" s="16"/>
      <c r="N7" s="16"/>
      <c r="O7" s="16"/>
      <c r="P7" s="16"/>
      <c r="Q7" s="16"/>
      <c r="R7" s="16"/>
      <c r="S7" s="16"/>
      <c r="T7" s="16"/>
      <c r="U7" s="16"/>
      <c r="V7" s="16"/>
      <c r="W7" s="16"/>
      <c r="X7" s="16"/>
      <c r="Y7" s="16"/>
      <c r="Z7" s="16"/>
      <c r="AA7" s="16"/>
      <c r="AB7" s="16"/>
      <c r="AC7" s="16"/>
      <c r="AD7" s="16"/>
    </row>
    <row r="8" spans="1:59" ht="14.25" customHeight="1">
      <c r="A8" s="171" t="s">
        <v>415</v>
      </c>
      <c r="B8" s="172">
        <f ca="1">M21-M17</f>
        <v>6737.6329573487747</v>
      </c>
      <c r="C8" s="16" t="s">
        <v>416</v>
      </c>
      <c r="D8" s="574" t="s">
        <v>417</v>
      </c>
      <c r="E8" s="704"/>
      <c r="F8" s="704"/>
      <c r="G8" s="704"/>
      <c r="H8" s="704"/>
      <c r="I8" s="704"/>
      <c r="J8" s="16"/>
      <c r="K8" s="16"/>
      <c r="L8" s="16"/>
      <c r="M8" s="16"/>
      <c r="N8" s="16"/>
      <c r="O8" s="16"/>
      <c r="P8" s="16"/>
      <c r="Q8" s="16"/>
      <c r="R8" s="16"/>
      <c r="S8" s="16"/>
      <c r="T8" s="16"/>
      <c r="U8" s="16"/>
      <c r="V8" s="16"/>
      <c r="W8" s="16"/>
      <c r="X8" s="16"/>
      <c r="Y8" s="16"/>
      <c r="Z8" s="16"/>
      <c r="AA8" s="16"/>
      <c r="AB8" s="16"/>
      <c r="AC8" s="16"/>
    </row>
    <row r="9" spans="1:59">
      <c r="A9" s="65" t="s">
        <v>418</v>
      </c>
      <c r="B9" s="173" t="s">
        <v>717</v>
      </c>
      <c r="C9" s="16" t="s">
        <v>1013</v>
      </c>
      <c r="D9" s="16"/>
      <c r="E9" s="17"/>
      <c r="F9" s="17"/>
      <c r="G9" s="17"/>
      <c r="H9" s="17"/>
      <c r="I9" s="17"/>
      <c r="J9" s="17"/>
      <c r="K9" s="17"/>
      <c r="L9" s="17"/>
      <c r="M9" s="17"/>
      <c r="N9" s="17"/>
      <c r="O9" s="17"/>
      <c r="P9" s="17"/>
      <c r="Q9" s="16"/>
      <c r="R9" s="17"/>
      <c r="S9" s="17"/>
      <c r="T9" s="17"/>
      <c r="U9" s="17"/>
      <c r="V9" s="17"/>
      <c r="W9" s="17"/>
      <c r="X9" s="17"/>
      <c r="Y9" s="17"/>
      <c r="Z9" s="17"/>
      <c r="AA9" s="17"/>
      <c r="AB9" s="17"/>
      <c r="AC9" s="17"/>
      <c r="AD9" s="18" t="s">
        <v>242</v>
      </c>
    </row>
    <row r="10" spans="1:59">
      <c r="A10" s="174" t="s">
        <v>420</v>
      </c>
      <c r="B10" s="66">
        <f>COUNTA(A38:A42)+COUNTA(A46:A50)</f>
        <v>0</v>
      </c>
      <c r="C10" s="16"/>
      <c r="D10" s="16"/>
      <c r="E10" s="17"/>
      <c r="F10" s="17"/>
      <c r="G10" s="17"/>
      <c r="H10" s="17"/>
      <c r="I10" s="17"/>
      <c r="J10" s="17"/>
      <c r="K10" s="17"/>
      <c r="L10" s="17"/>
      <c r="M10" s="17"/>
      <c r="N10" s="17"/>
      <c r="O10" s="17"/>
      <c r="P10" s="17"/>
      <c r="Q10" s="16"/>
      <c r="R10" s="17"/>
      <c r="S10" s="17"/>
      <c r="T10" s="17"/>
      <c r="U10" s="17"/>
      <c r="V10" s="17"/>
      <c r="W10" s="17"/>
      <c r="X10" s="17"/>
      <c r="Y10" s="17"/>
      <c r="Z10" s="17"/>
      <c r="AA10" s="17"/>
      <c r="AB10" s="17"/>
      <c r="AC10" s="17"/>
      <c r="AD10" s="18"/>
    </row>
    <row r="11" spans="1:59">
      <c r="A11" s="171" t="s">
        <v>421</v>
      </c>
      <c r="B11" s="238">
        <f>SUM(B38:B42)+SUM(B46:B50)</f>
        <v>0</v>
      </c>
      <c r="C11" s="16"/>
      <c r="D11" s="16"/>
      <c r="E11" s="17"/>
      <c r="F11" s="17"/>
      <c r="G11" s="17"/>
      <c r="H11" s="17"/>
      <c r="I11" s="17"/>
      <c r="J11" s="17"/>
      <c r="K11" s="17"/>
      <c r="L11" s="17"/>
      <c r="M11" s="17"/>
      <c r="N11" s="17"/>
      <c r="O11" s="17"/>
      <c r="P11" s="17"/>
      <c r="Q11" s="16"/>
      <c r="R11" s="17"/>
      <c r="S11" s="17"/>
      <c r="T11" s="17"/>
      <c r="U11" s="17"/>
      <c r="V11" s="17"/>
      <c r="W11" s="17"/>
      <c r="X11" s="17"/>
      <c r="Y11" s="17"/>
      <c r="Z11" s="17"/>
      <c r="AA11" s="17"/>
      <c r="AB11" s="17"/>
      <c r="AC11" s="17"/>
      <c r="AD11" s="18"/>
    </row>
    <row r="12" spans="1:59">
      <c r="A12" s="239" t="s">
        <v>422</v>
      </c>
      <c r="B12" s="240" t="s">
        <v>317</v>
      </c>
      <c r="C12" s="16"/>
      <c r="D12" s="16"/>
      <c r="E12" s="17"/>
      <c r="F12" s="17"/>
      <c r="G12" s="17"/>
      <c r="H12" s="17"/>
      <c r="I12" s="17"/>
      <c r="J12" s="17"/>
      <c r="K12" s="17"/>
      <c r="L12" s="17"/>
      <c r="M12" s="17"/>
      <c r="N12" s="17"/>
      <c r="O12" s="17"/>
      <c r="P12" s="17"/>
      <c r="Q12" s="16"/>
      <c r="R12" s="17"/>
      <c r="S12" s="17"/>
      <c r="T12" s="17"/>
      <c r="U12" s="17"/>
      <c r="V12" s="17"/>
      <c r="W12" s="17"/>
      <c r="X12" s="17"/>
      <c r="Y12" s="17"/>
      <c r="Z12" s="17"/>
      <c r="AA12" s="17"/>
      <c r="AB12" s="17"/>
      <c r="AC12" s="17"/>
      <c r="AD12" s="18"/>
    </row>
    <row r="13" spans="1:59">
      <c r="A13" s="16"/>
      <c r="B13" s="16"/>
      <c r="C13" s="16"/>
      <c r="D13" s="16"/>
      <c r="E13" s="17"/>
      <c r="F13" s="17"/>
      <c r="G13" s="17"/>
      <c r="H13" s="17"/>
      <c r="I13" s="17"/>
      <c r="J13" s="17"/>
      <c r="K13" s="17"/>
      <c r="L13" s="17"/>
      <c r="M13" s="17"/>
      <c r="N13" s="17"/>
      <c r="O13" s="17"/>
      <c r="P13" s="17"/>
      <c r="Q13" s="16"/>
      <c r="R13" s="17"/>
      <c r="S13" s="17"/>
      <c r="T13" s="17"/>
      <c r="U13" s="17"/>
      <c r="V13" s="17"/>
      <c r="W13" s="17"/>
      <c r="X13" s="17"/>
      <c r="Y13" s="17"/>
      <c r="Z13" s="17"/>
      <c r="AA13" s="17"/>
      <c r="AB13" s="17"/>
      <c r="AC13" s="17"/>
      <c r="AD13" s="17" t="str" cm="1">
        <f t="array" ref="AD13:BF14">Constants!A2:AC3</f>
        <v>SC1</v>
      </c>
      <c r="AE13" s="17" t="str">
        <v>SC1 - Half</v>
      </c>
      <c r="AF13" s="17" t="str">
        <v>SC2</v>
      </c>
      <c r="AG13" s="17" t="str">
        <v>SC2 - Half</v>
      </c>
      <c r="AH13" s="17" t="str">
        <v>SC3</v>
      </c>
      <c r="AI13" s="17" t="str">
        <v>SC4</v>
      </c>
      <c r="AJ13" s="17" t="str">
        <v>SC5</v>
      </c>
      <c r="AK13" s="17" t="str">
        <v>SC6</v>
      </c>
      <c r="AL13" s="17" t="str">
        <v>Dojo</v>
      </c>
      <c r="AM13" s="17" t="str">
        <v>Boulder Wall</v>
      </c>
      <c r="AN13" s="17" t="str">
        <v>Climbing Wall</v>
      </c>
      <c r="AO13" s="17" t="str">
        <v>Artificial Hockey field</v>
      </c>
      <c r="AP13" s="17" t="str">
        <v>Artificial Hockey field - Half</v>
      </c>
      <c r="AQ13" s="17" t="str">
        <v>Artificial Soccer field</v>
      </c>
      <c r="AR13" s="17" t="str">
        <v>Artificial Soccer field - Half</v>
      </c>
      <c r="AS13" s="17" t="str">
        <v>Basketball</v>
      </c>
      <c r="AT13" s="17" t="str">
        <v>Bastille field</v>
      </c>
      <c r="AU13" s="17" t="str">
        <v>Beach fields</v>
      </c>
      <c r="AV13" s="17" t="str">
        <v>Shooting range</v>
      </c>
      <c r="AW13" s="17" t="str">
        <v>Multi/Lacrosse field</v>
      </c>
      <c r="AX13" s="17" t="str">
        <v>Multi/Lacrosse field - Half</v>
      </c>
      <c r="AY13" s="17" t="str">
        <v>Bootcamp field</v>
      </c>
      <c r="AZ13" s="17" t="str">
        <v>Multi/Baseball field</v>
      </c>
      <c r="BA13" s="17" t="str">
        <v>Tennis court</v>
      </c>
      <c r="BB13" s="17" t="str">
        <v>Utrack</v>
      </c>
      <c r="BC13" s="22" t="str">
        <v>Verreveld</v>
      </c>
      <c r="BD13" s="22" t="str">
        <v>Wsc</v>
      </c>
      <c r="BE13" s="22" t="str">
        <v>Indoor pool</v>
      </c>
      <c r="BF13" s="22" t="str">
        <v>Outdoor pool</v>
      </c>
      <c r="BG13" s="22"/>
    </row>
    <row r="14" spans="1:59">
      <c r="A14" s="175" t="s">
        <v>423</v>
      </c>
      <c r="B14" s="16"/>
      <c r="C14" s="16"/>
      <c r="D14" s="16"/>
      <c r="E14" s="16"/>
      <c r="F14" s="16"/>
      <c r="G14" s="175" t="s">
        <v>424</v>
      </c>
      <c r="I14" s="17"/>
      <c r="J14" s="17"/>
      <c r="K14" s="176" t="s">
        <v>425</v>
      </c>
      <c r="L14" s="17"/>
      <c r="M14" s="176" t="s">
        <v>426</v>
      </c>
      <c r="N14" s="17"/>
      <c r="O14" s="17"/>
      <c r="P14" s="17"/>
      <c r="Q14" s="17"/>
      <c r="R14" s="17"/>
      <c r="S14" s="16"/>
      <c r="T14" s="17"/>
      <c r="U14" s="17"/>
      <c r="V14" s="17"/>
      <c r="W14" s="17"/>
      <c r="X14" s="17"/>
      <c r="Y14" s="17"/>
      <c r="Z14" s="17"/>
      <c r="AA14" s="17"/>
      <c r="AB14" s="17"/>
      <c r="AC14" s="17"/>
      <c r="AD14" s="19">
        <v>67.5</v>
      </c>
      <c r="AE14" s="19">
        <v>35</v>
      </c>
      <c r="AF14" s="19">
        <v>67.5</v>
      </c>
      <c r="AG14" s="19">
        <v>35</v>
      </c>
      <c r="AH14" s="19">
        <v>40</v>
      </c>
      <c r="AI14" s="19">
        <v>40</v>
      </c>
      <c r="AJ14" s="19">
        <v>35</v>
      </c>
      <c r="AK14" s="19">
        <v>35</v>
      </c>
      <c r="AL14" s="19">
        <v>40</v>
      </c>
      <c r="AM14" s="19">
        <v>27.5</v>
      </c>
      <c r="AN14" s="19">
        <v>45</v>
      </c>
      <c r="AO14" s="19">
        <v>75</v>
      </c>
      <c r="AP14" s="19">
        <v>40</v>
      </c>
      <c r="AQ14" s="19">
        <v>75</v>
      </c>
      <c r="AR14" s="19">
        <v>40</v>
      </c>
      <c r="AS14" s="19">
        <v>30</v>
      </c>
      <c r="AT14" s="19">
        <v>50</v>
      </c>
      <c r="AU14" s="19">
        <v>75</v>
      </c>
      <c r="AV14" s="19">
        <v>40</v>
      </c>
      <c r="AW14" s="19">
        <v>75</v>
      </c>
      <c r="AX14" s="19">
        <v>40</v>
      </c>
      <c r="AY14" s="19">
        <v>50</v>
      </c>
      <c r="AZ14" s="19">
        <v>65</v>
      </c>
      <c r="BA14" s="19">
        <v>35</v>
      </c>
      <c r="BB14" s="19">
        <v>45</v>
      </c>
      <c r="BC14" s="19">
        <v>50</v>
      </c>
      <c r="BD14" s="19">
        <v>0</v>
      </c>
      <c r="BE14" s="19">
        <v>65</v>
      </c>
      <c r="BF14" s="20">
        <v>70</v>
      </c>
      <c r="BG14" s="20"/>
    </row>
    <row r="15" spans="1:59">
      <c r="A15" s="67"/>
      <c r="B15" s="68" t="str">
        <f>Constants!H6</f>
        <v>Performance training</v>
      </c>
      <c r="C15" s="68" t="str">
        <f>Constants!H7</f>
        <v>Performance coaching</v>
      </c>
      <c r="D15" s="68" t="str">
        <f>Constants!H8</f>
        <v>Dangerous</v>
      </c>
      <c r="E15" s="69" t="str">
        <f>Constants!H9</f>
        <v>Recreational</v>
      </c>
      <c r="F15" s="69" t="s">
        <v>290</v>
      </c>
      <c r="G15" s="70"/>
      <c r="H15" s="71" t="s">
        <v>427</v>
      </c>
      <c r="I15" s="72" t="s">
        <v>272</v>
      </c>
      <c r="J15" s="70" t="s">
        <v>5</v>
      </c>
      <c r="K15" s="72" t="s">
        <v>428</v>
      </c>
      <c r="L15" s="70" t="s">
        <v>429</v>
      </c>
      <c r="M15" s="73" cm="1">
        <f t="array" ref="M15">(SUM(IF($D$46:$D$50="PT",($F$46:$F$50)/1.5+IF($G$46:$G$50="yes",1)))+SUM(IF($D$46:$D$50="Extern",($F$46:$F$50)/1.5+IF($G$46:$G$50="yes",1)))+SUM(IF($D$46:$D$50="PT-ZZP",($F$46:$F$50)/1.5+IF($G$46:$G$50="yes",1))))*Constants!B10</f>
        <v>0</v>
      </c>
      <c r="N15" s="17"/>
      <c r="O15" s="17"/>
      <c r="P15" s="17"/>
      <c r="Q15" s="17"/>
      <c r="R15" s="16"/>
      <c r="S15" s="17"/>
      <c r="T15" s="17"/>
      <c r="U15" s="17"/>
      <c r="V15" s="17"/>
      <c r="W15" s="17"/>
      <c r="X15" s="17"/>
      <c r="Y15" s="17"/>
      <c r="Z15" s="17"/>
      <c r="AA15" s="17"/>
      <c r="AB15" s="17"/>
      <c r="AC15" s="17"/>
      <c r="AD15" s="16">
        <f t="shared" ref="AD15:BF15" si="0">SUMIF($B$71:$B$88,AD13,$F$71:$F$88)</f>
        <v>0</v>
      </c>
      <c r="AE15" s="16">
        <f t="shared" si="0"/>
        <v>0</v>
      </c>
      <c r="AF15" s="16">
        <f t="shared" si="0"/>
        <v>0</v>
      </c>
      <c r="AG15" s="16">
        <f t="shared" si="0"/>
        <v>0</v>
      </c>
      <c r="AH15" s="16">
        <f t="shared" si="0"/>
        <v>0</v>
      </c>
      <c r="AI15" s="16">
        <f t="shared" si="0"/>
        <v>0</v>
      </c>
      <c r="AJ15" s="16">
        <f t="shared" si="0"/>
        <v>0</v>
      </c>
      <c r="AK15" s="16">
        <f t="shared" si="0"/>
        <v>0</v>
      </c>
      <c r="AL15" s="16">
        <f t="shared" si="0"/>
        <v>0</v>
      </c>
      <c r="AM15" s="16">
        <f t="shared" si="0"/>
        <v>0</v>
      </c>
      <c r="AN15" s="16">
        <f t="shared" si="0"/>
        <v>0</v>
      </c>
      <c r="AO15" s="16">
        <f t="shared" si="0"/>
        <v>0</v>
      </c>
      <c r="AP15" s="16">
        <f t="shared" si="0"/>
        <v>0</v>
      </c>
      <c r="AQ15" s="16">
        <f t="shared" si="0"/>
        <v>0</v>
      </c>
      <c r="AR15" s="16">
        <f t="shared" si="0"/>
        <v>0</v>
      </c>
      <c r="AS15" s="16">
        <f t="shared" si="0"/>
        <v>0</v>
      </c>
      <c r="AT15" s="16">
        <f t="shared" si="0"/>
        <v>0</v>
      </c>
      <c r="AU15" s="16">
        <f t="shared" si="0"/>
        <v>0</v>
      </c>
      <c r="AV15" s="16">
        <f t="shared" si="0"/>
        <v>0</v>
      </c>
      <c r="AW15" s="16">
        <f t="shared" si="0"/>
        <v>0</v>
      </c>
      <c r="AX15" s="16">
        <f t="shared" si="0"/>
        <v>0</v>
      </c>
      <c r="AY15" s="16">
        <f t="shared" si="0"/>
        <v>0</v>
      </c>
      <c r="AZ15" s="16">
        <f t="shared" si="0"/>
        <v>0</v>
      </c>
      <c r="BA15" s="16">
        <f t="shared" si="0"/>
        <v>0</v>
      </c>
      <c r="BB15" s="16">
        <f t="shared" si="0"/>
        <v>0</v>
      </c>
      <c r="BC15" s="16">
        <f t="shared" si="0"/>
        <v>0</v>
      </c>
      <c r="BD15" s="16">
        <f t="shared" si="0"/>
        <v>0</v>
      </c>
      <c r="BE15" s="16">
        <f t="shared" si="0"/>
        <v>0</v>
      </c>
      <c r="BF15" s="16">
        <f t="shared" si="0"/>
        <v>0</v>
      </c>
    </row>
    <row r="16" spans="1:59">
      <c r="A16" s="74" t="str">
        <f>Constants!E6</f>
        <v>PT</v>
      </c>
      <c r="B16" s="16">
        <f>SUMIFS(Hardboard!$F$55:$F$67,Hardboard!$B$55:$B$67, B$15,Hardboard!$H$55:$H$67,$A16)*(1+Constants!$B$7)</f>
        <v>0</v>
      </c>
      <c r="C16" s="16">
        <f>SUMIFS(Hardboard!$F$55:$F$67,Hardboard!$B$55:$B$67, C$15,Hardboard!$H$55:$H$67,$A16)</f>
        <v>0</v>
      </c>
      <c r="D16" s="16">
        <f>SUMIFS(Hardboard!$F$55:$F$67,Hardboard!$B$55:$B$67, D$15,Hardboard!$H$55:$H$67,$A16)*(1+Constants!$B$7)</f>
        <v>0</v>
      </c>
      <c r="E16" s="16">
        <f>SUMIFS(Hardboard!$F$55:$F$67,Hardboard!$B$55:$B$67, E$15,Hardboard!$H$55:$H$67,$A16)*(1+Constants!$B$7)</f>
        <v>0</v>
      </c>
      <c r="F16" s="16">
        <f>SUMIFS(Hardboard!$F$55:$F$67,Hardboard!$B$55:$B$67, F$15,Hardboard!$H$55:$H$67,$A16)*(1+Constants!$B$7)</f>
        <v>0</v>
      </c>
      <c r="G16" s="74" t="s">
        <v>430</v>
      </c>
      <c r="H16" s="16">
        <f>SUMIF(Hardboard!$B$71:$B$89,"&lt;&gt;External",Hardboard!$F$71:$F$89)</f>
        <v>0</v>
      </c>
      <c r="I16" s="75">
        <f>SUMIF(Hardboard!$B$71:$B$89,"External",Hardboard!$F$71:$F$89)</f>
        <v>128</v>
      </c>
      <c r="J16" s="234">
        <f>SUM($F$92:$F$133)</f>
        <v>17904.5</v>
      </c>
      <c r="K16" s="76">
        <f>IF(OR(ISBLANK(B7),ISBLANK(B9)), "ERROR",MAX(MIN(J16,B7*Constants!B15)-Constants!B14*B7,0)*IF(B9="yes",Constants!B16,IF(B9="partial",Constants!B17,0)))</f>
        <v>8125</v>
      </c>
      <c r="L16" s="77" t="s">
        <v>360</v>
      </c>
      <c r="M16" s="76">
        <f>E16*Constants!B6+E17*Constants!B8+E22+E21</f>
        <v>0</v>
      </c>
      <c r="N16" s="17"/>
      <c r="O16" s="17"/>
      <c r="P16" s="17"/>
      <c r="Q16" s="17"/>
      <c r="R16" s="16"/>
      <c r="S16" s="17"/>
      <c r="T16" s="17"/>
      <c r="U16" s="17"/>
      <c r="V16" s="17"/>
      <c r="W16" s="17"/>
      <c r="X16" s="17"/>
      <c r="Y16" s="17"/>
      <c r="Z16" s="17"/>
      <c r="AA16" s="17"/>
      <c r="AB16" s="17"/>
      <c r="AC16" s="17"/>
      <c r="AD16" s="19">
        <f t="shared" ref="AD16:BF16" si="1">AD14*AD15</f>
        <v>0</v>
      </c>
      <c r="AE16" s="19">
        <f t="shared" si="1"/>
        <v>0</v>
      </c>
      <c r="AF16" s="19">
        <f t="shared" si="1"/>
        <v>0</v>
      </c>
      <c r="AG16" s="19">
        <f t="shared" si="1"/>
        <v>0</v>
      </c>
      <c r="AH16" s="19">
        <f t="shared" si="1"/>
        <v>0</v>
      </c>
      <c r="AI16" s="19">
        <f t="shared" si="1"/>
        <v>0</v>
      </c>
      <c r="AJ16" s="19">
        <f t="shared" si="1"/>
        <v>0</v>
      </c>
      <c r="AK16" s="19">
        <f t="shared" si="1"/>
        <v>0</v>
      </c>
      <c r="AL16" s="19">
        <f t="shared" si="1"/>
        <v>0</v>
      </c>
      <c r="AM16" s="19">
        <f t="shared" si="1"/>
        <v>0</v>
      </c>
      <c r="AN16" s="19">
        <f t="shared" si="1"/>
        <v>0</v>
      </c>
      <c r="AO16" s="19">
        <f t="shared" si="1"/>
        <v>0</v>
      </c>
      <c r="AP16" s="19">
        <f t="shared" si="1"/>
        <v>0</v>
      </c>
      <c r="AQ16" s="19">
        <f t="shared" si="1"/>
        <v>0</v>
      </c>
      <c r="AR16" s="19">
        <f t="shared" si="1"/>
        <v>0</v>
      </c>
      <c r="AS16" s="19">
        <f t="shared" si="1"/>
        <v>0</v>
      </c>
      <c r="AT16" s="19">
        <f t="shared" si="1"/>
        <v>0</v>
      </c>
      <c r="AU16" s="19">
        <f t="shared" si="1"/>
        <v>0</v>
      </c>
      <c r="AV16" s="19">
        <f t="shared" si="1"/>
        <v>0</v>
      </c>
      <c r="AW16" s="19">
        <f t="shared" si="1"/>
        <v>0</v>
      </c>
      <c r="AX16" s="19">
        <f t="shared" si="1"/>
        <v>0</v>
      </c>
      <c r="AY16" s="19">
        <f t="shared" si="1"/>
        <v>0</v>
      </c>
      <c r="AZ16" s="19">
        <f t="shared" si="1"/>
        <v>0</v>
      </c>
      <c r="BA16" s="19">
        <f t="shared" si="1"/>
        <v>0</v>
      </c>
      <c r="BB16" s="19">
        <f t="shared" si="1"/>
        <v>0</v>
      </c>
      <c r="BC16" s="19">
        <f t="shared" si="1"/>
        <v>0</v>
      </c>
      <c r="BD16" s="19">
        <f t="shared" si="1"/>
        <v>0</v>
      </c>
      <c r="BE16" s="19">
        <f t="shared" si="1"/>
        <v>0</v>
      </c>
      <c r="BF16" s="19">
        <f t="shared" si="1"/>
        <v>0</v>
      </c>
    </row>
    <row r="17" spans="1:36">
      <c r="A17" s="74" t="str">
        <f>Constants!E7</f>
        <v>PT-V</v>
      </c>
      <c r="B17" s="16">
        <f>SUMIFS(Hardboard!$F$55:$F$67,Hardboard!$B$55:$B$67, B$15,Hardboard!$H$55:$H$67,$A17)*(1+Constants!$B$9)</f>
        <v>0</v>
      </c>
      <c r="C17" s="16">
        <f>SUMIFS(Hardboard!$F$55:$F$67,Hardboard!$B$55:$B$67, C$15,Hardboard!$H$55:$H$67,$A17)</f>
        <v>0</v>
      </c>
      <c r="D17" s="16">
        <f>SUMIFS(Hardboard!$F$55:$F$67,Hardboard!$B$55:$B$67, D$15,Hardboard!$H$55:$H$67,$A17)*(1+Constants!$B$9)</f>
        <v>0</v>
      </c>
      <c r="E17" s="16">
        <f>SUMIFS(Hardboard!$F$55:$F$67,Hardboard!$B$55:$B$67, E$15,Hardboard!$H$55:$H$67,$A17)*(1+Constants!$B$9)</f>
        <v>0</v>
      </c>
      <c r="F17" s="16">
        <f>SUMIFS(Hardboard!$F$55:$F$67,Hardboard!$B$55:$B$67, F$15,Hardboard!$H$55:$H$67,$A17)</f>
        <v>0</v>
      </c>
      <c r="G17" s="74" t="s">
        <v>38</v>
      </c>
      <c r="H17" s="78">
        <f>SUM(AD16:BZ16)</f>
        <v>0</v>
      </c>
      <c r="I17" s="76" cm="1">
        <f t="array" ref="I17">SUM(IF($B$71:$B$87="External",$F$71:$F$87*$H$71:$H$87,0))</f>
        <v>7350.17</v>
      </c>
      <c r="J17" s="535"/>
      <c r="K17" s="80"/>
      <c r="L17" s="77" t="s">
        <v>63</v>
      </c>
      <c r="M17" s="76">
        <f>J16-K16</f>
        <v>9779.5</v>
      </c>
      <c r="N17" s="17"/>
      <c r="O17" s="17"/>
      <c r="P17" s="17"/>
      <c r="Q17" s="17"/>
      <c r="R17" s="16"/>
      <c r="S17" s="17"/>
      <c r="T17" s="17"/>
      <c r="U17" s="17"/>
      <c r="V17" s="17"/>
      <c r="W17" s="17"/>
      <c r="X17" s="17"/>
      <c r="Y17" s="17"/>
      <c r="Z17" s="17"/>
      <c r="AA17" s="17"/>
      <c r="AB17" s="17"/>
      <c r="AC17" s="17"/>
      <c r="AD17" s="17"/>
      <c r="AE17" s="17"/>
    </row>
    <row r="18" spans="1:36">
      <c r="A18" s="74" t="str">
        <f>Constants!E8</f>
        <v>PT-ZZP</v>
      </c>
      <c r="B18" s="16">
        <f>SUMIFS(Hardboard!$F$55:$F$67,Hardboard!$B$55:$B$67, B$15,Hardboard!$H$55:$H$67,$A18)*(1+Constants!$B$7)</f>
        <v>0</v>
      </c>
      <c r="C18" s="16">
        <f>SUMIFS(Hardboard!$F$55:$F$67,Hardboard!$B$55:$B$67, C$15,Hardboard!$H$55:$H$67,$A18)</f>
        <v>0</v>
      </c>
      <c r="D18" s="16">
        <f>SUMIFS(Hardboard!$F$55:$F$67,Hardboard!$B$55:$B$67, D$15,Hardboard!$H$55:$H$67,$A18)*(1+Constants!$B$7)</f>
        <v>0</v>
      </c>
      <c r="E18" s="16">
        <f>SUMIFS(Hardboard!$F$55:$F$67,Hardboard!$B$55:$B$67, E$15,Hardboard!$H$55:$H$67,$A18)*(1+Constants!$B$7)</f>
        <v>0</v>
      </c>
      <c r="F18" s="16">
        <f>SUMIFS(Hardboard!$F$55:$F$67,Hardboard!$B$55:$B$67, F$15,Hardboard!$H$55:$H$67,$A18)*(1+Constants!$B$7)</f>
        <v>0</v>
      </c>
      <c r="G18" s="74"/>
      <c r="H18" s="78"/>
      <c r="I18" s="76"/>
      <c r="J18" s="536"/>
      <c r="K18" s="80"/>
      <c r="L18" s="77" t="s">
        <v>60</v>
      </c>
      <c r="M18" s="76" t="str">
        <f>IF(I17-Constants!I17*$B$7&gt;0,$I$17-Constants!I17*$B$7,"-")</f>
        <v>-</v>
      </c>
      <c r="N18" s="17"/>
      <c r="O18" s="17"/>
      <c r="P18" s="17"/>
      <c r="Q18" s="17"/>
      <c r="R18" s="16"/>
      <c r="S18" s="17"/>
      <c r="T18" s="17"/>
      <c r="U18" s="17"/>
      <c r="V18" s="17"/>
      <c r="W18" s="17"/>
      <c r="X18" s="17"/>
      <c r="Y18" s="17"/>
      <c r="Z18" s="17"/>
      <c r="AA18" s="17"/>
      <c r="AB18" s="17"/>
      <c r="AC18" s="17"/>
      <c r="AD18" s="17"/>
      <c r="AE18" s="17"/>
    </row>
    <row r="19" spans="1:36">
      <c r="A19" s="74" t="str">
        <f>Constants!E9</f>
        <v>RT</v>
      </c>
      <c r="B19" s="16">
        <f>SUMIFS(Hardboard!$F$55:$F$67,Hardboard!$B$55:$B$67, B$15,Hardboard!$H$55:$H$67,$A19)</f>
        <v>0</v>
      </c>
      <c r="C19" s="16">
        <f>SUMIFS(Hardboard!$F$55:$F$67,Hardboard!$B$55:$B$67, C$15,Hardboard!$H$55:$H$67,$A19)</f>
        <v>0</v>
      </c>
      <c r="D19" s="16">
        <f>SUMIFS(Hardboard!$F$55:$F$67,Hardboard!$B$55:$B$67, D$15,Hardboard!$H$55:$H$67,$A19)</f>
        <v>0</v>
      </c>
      <c r="E19" s="16">
        <f>SUMIFS(Hardboard!$F$55:$F$67,Hardboard!$B$55:$B$67, E$15,Hardboard!$H$55:$H$67,$A19)</f>
        <v>277</v>
      </c>
      <c r="F19" s="16">
        <f>SUMIFS(Hardboard!$F$55:$F$67,Hardboard!$B$55:$B$67, F$15,Hardboard!$H$55:$H$67,$A19)</f>
        <v>0</v>
      </c>
      <c r="G19" s="74" t="s">
        <v>396</v>
      </c>
      <c r="H19" s="78"/>
      <c r="I19" s="76">
        <f>IF(B7*Constants!I17&lt;I17,B7*Constants!I17,I17)</f>
        <v>7350.17</v>
      </c>
      <c r="J19" s="79"/>
      <c r="K19" s="80"/>
      <c r="L19" s="77" t="s">
        <v>431</v>
      </c>
      <c r="M19" s="255">
        <f ca="1">Constants!C31*B7+Data!L14</f>
        <v>6737.6329573487765</v>
      </c>
      <c r="N19" s="17"/>
      <c r="O19" s="17"/>
      <c r="P19" s="17"/>
      <c r="Q19" s="17"/>
      <c r="R19" s="16"/>
      <c r="S19" s="17"/>
      <c r="T19" s="17"/>
      <c r="U19" s="17"/>
      <c r="V19" s="17"/>
      <c r="W19" s="17"/>
      <c r="X19" s="17"/>
      <c r="Y19" s="17"/>
      <c r="Z19" s="17"/>
      <c r="AA19" s="17"/>
      <c r="AB19" s="17"/>
      <c r="AC19" s="17"/>
      <c r="AD19" s="17"/>
      <c r="AE19" s="17"/>
    </row>
    <row r="20" spans="1:36">
      <c r="A20" s="74" t="str">
        <f>Constants!E10</f>
        <v>Extern</v>
      </c>
      <c r="B20" s="16">
        <f>SUMIFS(Hardboard!$F$55:$F$67,Hardboard!$B$55:$B$67, B$15,Hardboard!$H$55:$H$67,$A20)</f>
        <v>0</v>
      </c>
      <c r="C20" s="16">
        <f>SUMIFS(Hardboard!$F$55:$F$67,Hardboard!$B$55:$B$67, C$15,Hardboard!$H$55:$H$67,$A20)</f>
        <v>0</v>
      </c>
      <c r="D20" s="16">
        <f>SUMIFS(Hardboard!$F$55:$F$67,Hardboard!$B$55:$B$67, D$15,Hardboard!$H$55:$H$67,$A20)</f>
        <v>7</v>
      </c>
      <c r="E20" s="16">
        <f>SUMIFS(Hardboard!$F$55:$F$67,Hardboard!$B$55:$B$67, E$15,Hardboard!$H$55:$H$67,$A20)</f>
        <v>0</v>
      </c>
      <c r="F20" s="16">
        <f>SUMIFS(Hardboard!$F$55:$F$67,Hardboard!$B$55:$B$67, F$15,Hardboard!$H$55:$H$67,$A20)</f>
        <v>0</v>
      </c>
      <c r="G20" s="81"/>
      <c r="H20" s="16"/>
      <c r="I20" s="75"/>
      <c r="J20" s="79"/>
      <c r="K20" s="82"/>
      <c r="L20" s="83"/>
      <c r="M20" s="84"/>
      <c r="N20" s="17"/>
      <c r="O20" s="17"/>
      <c r="P20" s="17"/>
      <c r="Q20" s="17"/>
      <c r="R20" s="16"/>
      <c r="S20" s="17"/>
      <c r="T20" s="17"/>
      <c r="U20" s="17"/>
      <c r="V20" s="17"/>
      <c r="W20" s="17"/>
      <c r="X20" s="17"/>
      <c r="Y20" s="17"/>
      <c r="Z20" s="17"/>
      <c r="AA20" s="17"/>
      <c r="AB20" s="17"/>
      <c r="AC20" s="17"/>
      <c r="AD20" s="17"/>
      <c r="AE20" s="17"/>
    </row>
    <row r="21" spans="1:36">
      <c r="A21" s="74" t="str">
        <f>CONCATENATE(A18," Costs")</f>
        <v>PT-ZZP Costs</v>
      </c>
      <c r="B21" s="78">
        <f t="array" ref="B21">SUM(IF(Hardboard!$B$55:$B$67=B$15,IF(Hardboard!$H$55:$H$67="PT-ZZP",Hardboard!$F$55:$F$67*Hardboard!$I$55:$I$67*(1+Constants!$B$7),0),0))</f>
        <v>0</v>
      </c>
      <c r="C21" s="78">
        <f t="array" ref="C21">SUM(IF(Hardboard!$B$55:$B$67=C$15,IF(Hardboard!$H$55:$H$67="PT-ZZP",Hardboard!$F$55:$F$67*Hardboard!$I$55:$I$67,0),0))</f>
        <v>0</v>
      </c>
      <c r="D21" s="78">
        <f t="array" ref="D21">SUM(IF(Hardboard!$B$55:$B$67=D$15,IF(Hardboard!$H$55:$H$67="PT-ZZP",Hardboard!$F$55:$F$67*Hardboard!$I$55:$I$67*(1+Constants!$B$7),0),0))</f>
        <v>0</v>
      </c>
      <c r="E21" s="78">
        <f t="array" ref="E21">SUM(IF(Hardboard!$B$55:$B$67=E$15,IF(Hardboard!$H$55:$H$67="PT-ZZP",Hardboard!$F$55:$F$67*Hardboard!$I$55:$I$67*(1+Constants!$B$7),0),0))</f>
        <v>0</v>
      </c>
      <c r="F21" s="78">
        <f t="array" ref="F21">SUM(IF(Hardboard!$B$55:$B$67=F$15,IF(Hardboard!$H$55:$H$67="PT-ZZP",Hardboard!$F$55:$F$67*Hardboard!$I$55:$I$67*(1+Constants!$B$7),0),0))</f>
        <v>0</v>
      </c>
      <c r="G21" s="81"/>
      <c r="H21" s="16"/>
      <c r="I21" s="75"/>
      <c r="J21" s="79"/>
      <c r="K21" s="82"/>
      <c r="L21" s="77" t="s">
        <v>5</v>
      </c>
      <c r="M21" s="76">
        <f ca="1">SUM(M15:M20)</f>
        <v>16517.132957348775</v>
      </c>
      <c r="N21" s="17"/>
      <c r="O21" s="17"/>
      <c r="P21" s="17"/>
      <c r="Q21" s="17"/>
      <c r="R21" s="16"/>
      <c r="S21" s="17"/>
      <c r="T21" s="17"/>
      <c r="U21" s="17"/>
      <c r="V21" s="17"/>
      <c r="W21" s="17"/>
      <c r="X21" s="17"/>
      <c r="Y21" s="17"/>
      <c r="Z21" s="17"/>
      <c r="AA21" s="17"/>
      <c r="AB21" s="17"/>
      <c r="AC21" s="17"/>
      <c r="AD21" s="17"/>
      <c r="AE21" s="17"/>
    </row>
    <row r="22" spans="1:36" ht="15.75" customHeight="1">
      <c r="A22" s="74" t="str">
        <f>CONCATENATE(A20," Costs")</f>
        <v>Extern Costs</v>
      </c>
      <c r="B22" s="78">
        <f t="array" ref="B22">SUM(IF(Hardboard!$B$55:$B$67=B$15,IF(Hardboard!$H$55:$H$67="Extern",Hardboard!$F$55:$F$67*Hardboard!$I$55:$I$67,0),0))</f>
        <v>0</v>
      </c>
      <c r="C22" s="78">
        <f t="array" ref="C22">SUM(IF(Hardboard!$B$55:$B$67=C$15,IF(Hardboard!$H$55:$H$67="Extern",Hardboard!$F$55:$F$67*Hardboard!$I$55:$I$67,0),0))</f>
        <v>0</v>
      </c>
      <c r="D22" s="78">
        <f t="array" ref="D22">SUM(IF(Hardboard!$B$55:$B$67=D$15,IF(Hardboard!$H$55:$H$67="Extern",Hardboard!$F$55:$F$67*Hardboard!$I$55:$I$67,0),0))</f>
        <v>1750</v>
      </c>
      <c r="E22" s="78">
        <f t="array" ref="E22">SUM(IF(Hardboard!$B$55:$B$67=E$15,IF(Hardboard!$H$55:$H$67="Extern",Hardboard!$F$55:$F$67*Hardboard!$I$55:$I$67,0),0))</f>
        <v>0</v>
      </c>
      <c r="F22" s="76">
        <f t="array" ref="F22">SUM(IF(Hardboard!$B$55:$B$67=F$15,IF(Hardboard!$H$55:$H$67="Extern",Hardboard!$F$55:$F$67*Hardboard!$I$55:$I$67,0),0))</f>
        <v>0</v>
      </c>
      <c r="G22" s="85"/>
      <c r="H22" s="177"/>
      <c r="I22" s="86"/>
      <c r="J22" s="87"/>
      <c r="K22" s="88"/>
      <c r="L22" s="87"/>
      <c r="M22" s="88"/>
      <c r="N22" s="17"/>
      <c r="O22" s="17"/>
      <c r="P22" s="17"/>
      <c r="Q22" s="17"/>
      <c r="R22" s="16"/>
      <c r="S22" s="17"/>
      <c r="T22" s="17"/>
      <c r="U22" s="17"/>
      <c r="V22" s="17"/>
      <c r="W22" s="17"/>
      <c r="X22" s="17"/>
      <c r="Y22" s="17"/>
      <c r="Z22" s="17"/>
      <c r="AA22" s="17"/>
      <c r="AB22" s="17"/>
      <c r="AC22" s="17"/>
      <c r="AD22" s="17"/>
      <c r="AE22" s="17"/>
    </row>
    <row r="23" spans="1:36" ht="15" customHeight="1">
      <c r="A23" s="74" t="s">
        <v>432</v>
      </c>
      <c r="B23" s="78"/>
      <c r="C23" s="78"/>
      <c r="D23" s="78"/>
      <c r="E23" s="78"/>
      <c r="F23" s="76">
        <f t="array" ref="F23">SUMIFS(Hardboard!$F$55:$F$67,Hardboard!$B$55:$B$67,"Mentorship",Hardboard!$H$55:$H$67,"PT-V")*Constants!B8+SUMIFS(Hardboard!$F$55:$F$67,Hardboard!$B$55:$B$67,"Mentorship",Hardboard!$H$55:$H$67,"PT")*Constants!B6+SUMPRODUCT(IF(Hardboard!$B$55:$B$67="Mentorship",IF(Hardboard!$H$55:$H$67="PT-ZZP",Hardboard!$F$55:$F$67*Hardboard!$I$55:$I$67,0)))</f>
        <v>0</v>
      </c>
    </row>
    <row r="24" spans="1:36" ht="15" customHeight="1">
      <c r="A24" s="89" t="s">
        <v>433</v>
      </c>
      <c r="B24" s="178"/>
      <c r="C24" s="178"/>
      <c r="D24" s="178"/>
      <c r="E24" s="178">
        <f>SUMIF(Hardboard!$B$55:$B$67,"External Trainer Course",Hardboard!$I$55:$I$67)</f>
        <v>2280</v>
      </c>
      <c r="F24" s="90"/>
    </row>
    <row r="25" spans="1:36" ht="15.75" customHeight="1">
      <c r="A25" s="16"/>
      <c r="B25" s="16"/>
      <c r="C25" s="16"/>
      <c r="D25" s="16"/>
      <c r="E25" s="17"/>
      <c r="F25" s="17"/>
      <c r="G25" s="17"/>
      <c r="H25" s="17"/>
      <c r="I25" s="17"/>
      <c r="J25" s="17"/>
      <c r="K25" s="17"/>
      <c r="L25" s="17"/>
      <c r="M25" s="17"/>
      <c r="N25" s="17"/>
      <c r="O25" s="17"/>
      <c r="P25" s="17"/>
      <c r="Q25" s="16"/>
      <c r="R25" s="17"/>
      <c r="S25" s="17"/>
      <c r="T25" s="17"/>
      <c r="U25" s="17"/>
      <c r="V25" s="17"/>
      <c r="W25" s="17"/>
      <c r="X25" s="17"/>
      <c r="Y25" s="17"/>
      <c r="Z25" s="17"/>
      <c r="AA25" s="17"/>
      <c r="AB25" s="17"/>
      <c r="AC25" s="17"/>
      <c r="AD25" s="17"/>
    </row>
    <row r="26" spans="1:36" ht="15.75" customHeight="1">
      <c r="A26" s="16"/>
      <c r="B26" s="16"/>
      <c r="C26" s="16"/>
      <c r="D26" s="16"/>
      <c r="E26" s="17"/>
      <c r="F26" s="17"/>
      <c r="G26" s="17"/>
      <c r="H26" s="17"/>
      <c r="I26" s="17"/>
      <c r="J26" s="17"/>
      <c r="K26" s="17"/>
      <c r="L26" s="17"/>
      <c r="M26" s="17"/>
      <c r="N26" s="17"/>
      <c r="O26" s="17"/>
      <c r="P26" s="17"/>
      <c r="Q26" s="16"/>
      <c r="R26" s="17"/>
      <c r="S26" s="17"/>
      <c r="T26" s="17"/>
      <c r="U26" s="17"/>
      <c r="V26" s="17"/>
      <c r="W26" s="17"/>
      <c r="X26" s="17"/>
      <c r="Y26" s="17"/>
      <c r="Z26" s="17"/>
      <c r="AA26" s="17"/>
      <c r="AB26" s="17"/>
      <c r="AC26" s="17"/>
      <c r="AD26" s="17"/>
    </row>
    <row r="27" spans="1:36" ht="15.75" customHeight="1" thickBot="1">
      <c r="A27" s="91" t="s">
        <v>434</v>
      </c>
      <c r="B27" s="17"/>
      <c r="C27" s="17"/>
      <c r="D27" s="17"/>
      <c r="E27" s="17"/>
      <c r="F27" s="17"/>
      <c r="G27" s="92"/>
      <c r="H27" s="19"/>
      <c r="I27" s="17"/>
      <c r="J27" s="17"/>
      <c r="K27" s="17"/>
      <c r="L27" s="17"/>
      <c r="M27" s="17"/>
      <c r="N27" s="17"/>
      <c r="O27" s="17"/>
      <c r="P27" s="17"/>
      <c r="Q27" s="16"/>
      <c r="R27" s="17"/>
      <c r="S27" s="17"/>
      <c r="T27" s="17"/>
      <c r="U27" s="17"/>
      <c r="V27" s="17"/>
      <c r="W27" s="17"/>
      <c r="X27" s="17"/>
      <c r="Y27" s="17"/>
      <c r="Z27" s="17"/>
      <c r="AA27" s="17"/>
      <c r="AB27" s="17"/>
      <c r="AC27" s="17"/>
      <c r="AD27" s="17"/>
    </row>
    <row r="28" spans="1:36" ht="15.75" customHeight="1" thickTop="1" thickBot="1">
      <c r="A28" s="706" t="s">
        <v>435</v>
      </c>
      <c r="B28" s="707"/>
      <c r="C28" s="707"/>
      <c r="D28" s="707"/>
      <c r="E28" s="707"/>
      <c r="F28" s="708"/>
      <c r="G28" s="15"/>
      <c r="H28" s="17"/>
      <c r="I28" s="17"/>
      <c r="J28" s="17"/>
      <c r="K28" s="17"/>
      <c r="L28" s="17"/>
      <c r="M28" s="17"/>
      <c r="N28" s="17"/>
      <c r="O28" s="17"/>
      <c r="P28" s="17"/>
      <c r="Q28" s="16"/>
      <c r="R28" s="17"/>
      <c r="S28" s="17"/>
      <c r="T28" s="17"/>
      <c r="U28" s="17"/>
      <c r="V28" s="17"/>
      <c r="W28" s="17"/>
      <c r="X28" s="17"/>
      <c r="Y28" s="17"/>
      <c r="Z28" s="17"/>
      <c r="AA28" s="17"/>
      <c r="AB28" s="17"/>
      <c r="AC28" s="17"/>
      <c r="AD28" s="242" t="s">
        <v>436</v>
      </c>
      <c r="AE28" s="16"/>
      <c r="AF28" s="128"/>
      <c r="AG28" s="51"/>
      <c r="AH28" s="51"/>
      <c r="AI28" s="51"/>
      <c r="AJ28" s="51"/>
    </row>
    <row r="29" spans="1:36" ht="15.75" customHeight="1" thickBot="1">
      <c r="A29" s="709" t="s">
        <v>437</v>
      </c>
      <c r="B29" s="696"/>
      <c r="C29" s="696"/>
      <c r="D29" s="696"/>
      <c r="E29" s="696"/>
      <c r="F29" s="710"/>
      <c r="G29" s="17"/>
      <c r="H29" s="17"/>
      <c r="I29" s="17"/>
      <c r="J29" s="17"/>
      <c r="K29" s="17"/>
      <c r="L29" s="17"/>
      <c r="M29" s="17"/>
      <c r="N29" s="17"/>
      <c r="O29" s="17"/>
      <c r="P29" s="17"/>
      <c r="Q29" s="16"/>
      <c r="R29" s="17"/>
      <c r="S29" s="17"/>
      <c r="T29" s="17"/>
      <c r="U29" s="17"/>
      <c r="V29" s="17"/>
      <c r="W29" s="17"/>
      <c r="X29" s="17"/>
      <c r="Y29" s="17"/>
      <c r="Z29" s="17"/>
      <c r="AA29" s="17"/>
      <c r="AB29" s="17"/>
      <c r="AC29" s="17"/>
      <c r="AD29" s="243" t="s">
        <v>438</v>
      </c>
      <c r="AE29" s="243" t="s">
        <v>439</v>
      </c>
      <c r="AF29" s="243" t="s">
        <v>440</v>
      </c>
      <c r="AG29" s="711" t="s">
        <v>441</v>
      </c>
      <c r="AH29" s="712"/>
      <c r="AI29" s="711" t="s">
        <v>434</v>
      </c>
      <c r="AJ29" s="712"/>
    </row>
    <row r="30" spans="1:36" ht="15.75" customHeight="1" thickBot="1">
      <c r="A30" s="709" t="s">
        <v>442</v>
      </c>
      <c r="B30" s="696"/>
      <c r="C30" s="696"/>
      <c r="D30" s="696"/>
      <c r="E30" s="696"/>
      <c r="F30" s="710"/>
      <c r="G30" s="17"/>
      <c r="H30" s="17"/>
      <c r="I30" s="17"/>
      <c r="J30" s="17"/>
      <c r="K30" s="17"/>
      <c r="L30" s="17"/>
      <c r="M30" s="17"/>
      <c r="N30" s="17"/>
      <c r="O30" s="17"/>
      <c r="P30" s="17"/>
      <c r="Q30" s="16"/>
      <c r="R30" s="17"/>
      <c r="S30" s="17"/>
      <c r="T30" s="17"/>
      <c r="U30" s="17"/>
      <c r="V30" s="17"/>
      <c r="W30" s="17"/>
      <c r="X30" s="17"/>
      <c r="Y30" s="17"/>
      <c r="Z30" s="17"/>
      <c r="AA30" s="17"/>
      <c r="AB30" s="17"/>
      <c r="AC30" s="17"/>
      <c r="AD30" s="244" t="str">
        <f>IF($B$12="individual",Constants!F55,Constants!L55)</f>
        <v>member count</v>
      </c>
      <c r="AE30" s="244">
        <f>B7</f>
        <v>130</v>
      </c>
      <c r="AF30" s="269">
        <f>IF(AE30&gt;=301,5,IF(AE30&gt;=176,4,IF(AE30&gt;=101,3,IF(AE30&gt;=51,2,1))))</f>
        <v>3</v>
      </c>
      <c r="AG30" s="560"/>
      <c r="AH30" s="560"/>
      <c r="AI30" s="560" t="s">
        <v>443</v>
      </c>
      <c r="AJ30" s="560"/>
    </row>
    <row r="31" spans="1:36" ht="15" customHeight="1" thickBot="1">
      <c r="A31" s="709" t="s">
        <v>444</v>
      </c>
      <c r="B31" s="696"/>
      <c r="C31" s="696"/>
      <c r="D31" s="696"/>
      <c r="E31" s="696"/>
      <c r="F31" s="710"/>
      <c r="G31" s="17"/>
      <c r="H31" s="17"/>
      <c r="I31" s="17"/>
      <c r="J31" s="17"/>
      <c r="K31" s="17"/>
      <c r="L31" s="17"/>
      <c r="M31" s="17"/>
      <c r="N31" s="17"/>
      <c r="O31" s="17"/>
      <c r="P31" s="17"/>
      <c r="Q31" s="16"/>
      <c r="R31" s="17"/>
      <c r="S31" s="17"/>
      <c r="T31" s="17"/>
      <c r="U31" s="17"/>
      <c r="V31" s="17"/>
      <c r="W31" s="17"/>
      <c r="X31" s="17"/>
      <c r="Y31" s="17"/>
      <c r="Z31" s="17"/>
      <c r="AA31" s="17"/>
      <c r="AB31" s="17"/>
      <c r="AC31" s="17"/>
      <c r="AD31" s="244" t="str">
        <f>IF($B$12="individual",Constants!F56,Constants!L56)</f>
        <v>number of trainings per week</v>
      </c>
      <c r="AE31" s="244" cm="1">
        <f t="array" ref="AE31">SUMPRODUCT(C55:C67*D55:D67)/42</f>
        <v>0.7142857142857143</v>
      </c>
      <c r="AF31" s="270">
        <f>IF(AE31&gt;=4,3,IF(AE31&gt;=3,2,IF(AE31&gt;=2,1,0)))</f>
        <v>0</v>
      </c>
      <c r="AG31" s="560"/>
      <c r="AH31" s="560"/>
      <c r="AI31" s="560"/>
      <c r="AJ31" s="560"/>
    </row>
    <row r="32" spans="1:36" ht="15.75" customHeight="1" thickBot="1">
      <c r="A32" s="709" t="s">
        <v>445</v>
      </c>
      <c r="B32" s="696"/>
      <c r="C32" s="696"/>
      <c r="D32" s="696"/>
      <c r="E32" s="696"/>
      <c r="F32" s="710"/>
      <c r="G32" s="17"/>
      <c r="H32" s="16"/>
      <c r="I32" s="16"/>
      <c r="J32" s="16"/>
      <c r="K32" s="17"/>
      <c r="L32" s="17"/>
      <c r="M32" s="17"/>
      <c r="N32" s="17"/>
      <c r="O32" s="17"/>
      <c r="P32" s="17"/>
      <c r="Q32" s="16"/>
      <c r="R32" s="17"/>
      <c r="S32" s="17"/>
      <c r="T32" s="17"/>
      <c r="U32" s="17"/>
      <c r="V32" s="17"/>
      <c r="W32" s="17"/>
      <c r="X32" s="17"/>
      <c r="Y32" s="17"/>
      <c r="Z32" s="17"/>
      <c r="AA32" s="17"/>
      <c r="AB32" s="17"/>
      <c r="AC32" s="17"/>
      <c r="AD32" s="244" t="str">
        <f>IF($B$12="individual",Constants!F57,Constants!L57)</f>
        <v>number of trainings weeks per year</v>
      </c>
      <c r="AE32" s="252">
        <f>MAX(C55:C67)</f>
        <v>18</v>
      </c>
      <c r="AF32" s="250">
        <f>IF(AE32&gt;=40,3,IF(AE32&gt;=35,2,1))</f>
        <v>1</v>
      </c>
      <c r="AG32" s="560"/>
      <c r="AH32" s="560"/>
      <c r="AI32" s="560"/>
      <c r="AJ32" s="560"/>
    </row>
    <row r="33" spans="1:58" ht="15.75" customHeight="1" thickBot="1">
      <c r="A33" s="93" t="s">
        <v>446</v>
      </c>
      <c r="F33" s="94"/>
      <c r="G33" s="17"/>
      <c r="H33" s="16"/>
      <c r="I33" s="16"/>
      <c r="J33" s="16"/>
      <c r="K33" s="17"/>
      <c r="L33" s="17"/>
      <c r="M33" s="17"/>
      <c r="N33" s="17"/>
      <c r="O33" s="17"/>
      <c r="P33" s="17"/>
      <c r="Q33" s="16"/>
      <c r="R33" s="17"/>
      <c r="S33" s="17"/>
      <c r="T33" s="17"/>
      <c r="U33" s="17"/>
      <c r="V33" s="17"/>
      <c r="W33" s="17"/>
      <c r="X33" s="17"/>
      <c r="Y33" s="17"/>
      <c r="Z33" s="17"/>
      <c r="AA33" s="17"/>
      <c r="AB33" s="17"/>
      <c r="AC33" s="17"/>
      <c r="AD33" s="244" t="str">
        <f>IF($B$12="individual",Constants!F58,Constants!L58)</f>
        <v>number of training hours by RT / PT-V</v>
      </c>
      <c r="AE33" s="251">
        <f>(SUMIF(H55:H67,"RT",F55:F67)+SUMIF(H55:H67,"PT-V",F55:F67))/SUM(F55:F67)</f>
        <v>0.95847750865051906</v>
      </c>
      <c r="AF33" s="270">
        <f>IF(AE33&gt;0.9,3,IF(AE33&gt;0.6,2,IF(AE33&gt;0.3,1,0)))</f>
        <v>3</v>
      </c>
      <c r="AG33" s="560"/>
      <c r="AH33" s="560"/>
      <c r="AI33" s="560"/>
      <c r="AJ33" s="560"/>
    </row>
    <row r="34" spans="1:58" ht="15.75" customHeight="1" thickBot="1">
      <c r="A34" s="713" t="s">
        <v>447</v>
      </c>
      <c r="B34" s="714"/>
      <c r="C34" s="714"/>
      <c r="D34" s="714"/>
      <c r="E34" s="714"/>
      <c r="F34" s="715"/>
      <c r="G34" s="17"/>
      <c r="H34" s="16"/>
      <c r="I34" s="16"/>
      <c r="J34" s="16"/>
      <c r="K34" s="17"/>
      <c r="L34" s="17"/>
      <c r="M34" s="17"/>
      <c r="N34" s="17"/>
      <c r="O34" s="17"/>
      <c r="P34" s="17"/>
      <c r="Q34" s="16"/>
      <c r="R34" s="17"/>
      <c r="S34" s="17"/>
      <c r="T34" s="17"/>
      <c r="U34" s="17"/>
      <c r="V34" s="17"/>
      <c r="W34" s="17"/>
      <c r="X34" s="17"/>
      <c r="Y34" s="17"/>
      <c r="Z34" s="17"/>
      <c r="AA34" s="17"/>
      <c r="AB34" s="17"/>
      <c r="AC34" s="17"/>
      <c r="AD34" s="244" t="str">
        <f>IF($B$12="individual",Constants!F59,Constants!L59)</f>
        <v>number of training groups / teams</v>
      </c>
      <c r="AE34" s="244">
        <f>B10</f>
        <v>0</v>
      </c>
      <c r="AF34" s="271">
        <f>IF(AE34&gt;9,3,IF(AE34&gt;4,2,IF(AE34&gt;2,1,0)))</f>
        <v>0</v>
      </c>
      <c r="AG34" s="560"/>
      <c r="AH34" s="560"/>
      <c r="AI34" s="560"/>
      <c r="AJ34" s="560"/>
    </row>
    <row r="35" spans="1:58" ht="15.75" customHeight="1" thickTop="1" thickBot="1">
      <c r="A35" s="16"/>
      <c r="G35" s="17"/>
      <c r="H35" s="16"/>
      <c r="I35" s="16"/>
      <c r="J35" s="16"/>
      <c r="K35" s="17"/>
      <c r="L35" s="17"/>
      <c r="M35" s="17"/>
      <c r="N35" s="17"/>
      <c r="O35" s="17"/>
      <c r="P35" s="17"/>
      <c r="Q35" s="16"/>
      <c r="R35" s="17"/>
      <c r="S35" s="17"/>
      <c r="T35" s="17"/>
      <c r="U35" s="17"/>
      <c r="V35" s="17"/>
      <c r="W35" s="17"/>
      <c r="X35" s="17"/>
      <c r="Y35" s="17"/>
      <c r="Z35" s="17"/>
      <c r="AA35" s="17"/>
      <c r="AB35" s="17"/>
      <c r="AC35" s="17"/>
      <c r="AD35" s="244" t="str">
        <f>IF($B$12="individual",Constants!F60,Constants!L60)</f>
        <v>number of competitions organised</v>
      </c>
      <c r="AE35" s="249">
        <v>3</v>
      </c>
      <c r="AF35" s="271">
        <f>IF(AE35&gt;=4,5,IF(AE35&gt;=2,3,IF(AE35&gt;=1,1,0)))</f>
        <v>3</v>
      </c>
      <c r="AG35" s="560"/>
      <c r="AH35" s="560"/>
      <c r="AI35" s="560"/>
      <c r="AJ35" s="560"/>
    </row>
    <row r="36" spans="1:58" ht="15.75" customHeight="1" thickBot="1">
      <c r="A36" s="179" t="s">
        <v>448</v>
      </c>
      <c r="B36" s="16"/>
      <c r="C36" s="16"/>
      <c r="D36" s="16"/>
      <c r="E36" s="16"/>
      <c r="F36" s="16"/>
      <c r="G36" s="16"/>
      <c r="H36" s="16"/>
      <c r="I36" s="16"/>
      <c r="J36" s="16"/>
      <c r="K36" s="16"/>
      <c r="L36" s="16"/>
      <c r="M36" s="16"/>
      <c r="N36" s="16"/>
      <c r="O36" s="16"/>
      <c r="P36" s="16"/>
      <c r="Q36" s="16"/>
      <c r="R36" s="16"/>
      <c r="S36" s="16"/>
      <c r="T36" s="16"/>
      <c r="U36" s="16"/>
      <c r="V36" s="16"/>
      <c r="W36" s="16"/>
      <c r="X36" s="16"/>
      <c r="Y36" s="16"/>
      <c r="Z36" s="16"/>
      <c r="AA36" s="16"/>
      <c r="AB36" s="18"/>
      <c r="AC36" s="16"/>
      <c r="AD36" s="244" t="str">
        <f>IF($B$12="individual",Constants!F61,Constants!L61)</f>
        <v>number of social activities</v>
      </c>
      <c r="AE36" s="249">
        <v>42</v>
      </c>
      <c r="AF36" s="271">
        <f>IF(AE36&gt;=20,2,IF(AE36&gt;=10,1,0))</f>
        <v>2</v>
      </c>
      <c r="AG36" s="560"/>
      <c r="AH36" s="560"/>
      <c r="AI36" s="560"/>
      <c r="AJ36" s="560"/>
    </row>
    <row r="37" spans="1:58" ht="15" customHeight="1" thickTop="1" thickBot="1">
      <c r="A37" s="258" t="s">
        <v>449</v>
      </c>
      <c r="B37" s="259" t="s">
        <v>450</v>
      </c>
      <c r="C37" s="258" t="s">
        <v>451</v>
      </c>
      <c r="D37" s="258" t="s">
        <v>452</v>
      </c>
      <c r="E37" s="258" t="s">
        <v>453</v>
      </c>
      <c r="F37" s="258" t="s">
        <v>454</v>
      </c>
      <c r="G37" s="259" t="s">
        <v>455</v>
      </c>
      <c r="H37" s="561" t="s">
        <v>456</v>
      </c>
      <c r="I37" s="716"/>
      <c r="J37" s="717"/>
      <c r="K37" s="98"/>
      <c r="L37" s="98"/>
      <c r="M37" s="98"/>
      <c r="N37" s="98"/>
      <c r="O37" s="98"/>
      <c r="P37" s="98"/>
      <c r="Q37" s="98"/>
      <c r="R37" s="98"/>
      <c r="S37" s="98"/>
      <c r="T37" s="98"/>
      <c r="U37" s="96"/>
      <c r="V37" s="96"/>
      <c r="W37" s="96"/>
      <c r="X37" s="96"/>
      <c r="Y37" s="99"/>
      <c r="Z37" s="96"/>
      <c r="AA37" s="96"/>
      <c r="AB37" s="100"/>
      <c r="AC37" s="100"/>
      <c r="AD37" s="244" t="str">
        <f>IF($B$12="individual",Constants!F62,Constants!L62)</f>
        <v>number of bar days</v>
      </c>
      <c r="AE37" s="249">
        <v>14</v>
      </c>
      <c r="AF37" s="271">
        <f>IF(AE37&gt;=15,2,IF(AE37&gt;=8,1,0))</f>
        <v>1</v>
      </c>
      <c r="AG37" s="560"/>
      <c r="AH37" s="560"/>
      <c r="AI37" s="560"/>
      <c r="AJ37" s="560"/>
      <c r="AK37" s="100"/>
      <c r="AL37" s="100"/>
      <c r="AM37" s="100"/>
      <c r="AN37" s="100"/>
      <c r="AO37" s="100"/>
      <c r="AP37" s="100"/>
      <c r="AQ37" s="100"/>
      <c r="AR37" s="100"/>
      <c r="AS37" s="100"/>
      <c r="AT37" s="100"/>
      <c r="AU37" s="100"/>
      <c r="AV37" s="100"/>
      <c r="AW37" s="100"/>
      <c r="AX37" s="100"/>
      <c r="AY37" s="100"/>
      <c r="AZ37" s="100"/>
      <c r="BA37" s="100"/>
      <c r="BB37" s="100"/>
      <c r="BC37" s="100"/>
      <c r="BD37" s="100"/>
      <c r="BE37" s="100"/>
      <c r="BF37" s="100"/>
    </row>
    <row r="38" spans="1:58" ht="14.25" customHeight="1" thickTop="1" thickBot="1">
      <c r="A38" s="312"/>
      <c r="B38" s="232"/>
      <c r="C38" s="312"/>
      <c r="D38" s="313"/>
      <c r="E38" s="312"/>
      <c r="F38" s="324"/>
      <c r="G38" s="323"/>
      <c r="H38" s="618"/>
      <c r="I38" s="741"/>
      <c r="J38" s="742"/>
      <c r="K38" s="16"/>
      <c r="L38" s="16"/>
      <c r="M38" s="16"/>
      <c r="N38" s="16"/>
      <c r="O38" s="16"/>
      <c r="P38" s="16"/>
      <c r="Q38" s="16"/>
      <c r="R38" s="16"/>
      <c r="S38" s="16"/>
      <c r="T38" s="16"/>
      <c r="U38" s="16"/>
      <c r="V38" s="16"/>
      <c r="W38" s="16"/>
      <c r="X38" s="16"/>
      <c r="Y38" s="17"/>
      <c r="Z38" s="16"/>
      <c r="AA38" s="16"/>
      <c r="AD38" s="244" t="str">
        <f>IF($B$12="individual",Constants!F63,Constants!L63)</f>
        <v>own bar / extra location</v>
      </c>
      <c r="AE38" s="249">
        <v>0</v>
      </c>
      <c r="AF38" s="271">
        <f>IF(AE38&gt;=15,2,IF(AE38&gt;=8,1,0))</f>
        <v>0</v>
      </c>
      <c r="AG38" s="560"/>
      <c r="AH38" s="560"/>
      <c r="AI38" s="560"/>
      <c r="AJ38" s="560"/>
    </row>
    <row r="39" spans="1:58" ht="14.25" customHeight="1" thickBot="1">
      <c r="A39" s="312"/>
      <c r="B39" s="232"/>
      <c r="C39" s="269"/>
      <c r="D39" s="313"/>
      <c r="E39" s="245"/>
      <c r="F39" s="261"/>
      <c r="G39" s="325"/>
      <c r="H39" s="743"/>
      <c r="I39" s="744"/>
      <c r="J39" s="745"/>
      <c r="K39" s="16"/>
      <c r="L39" s="16"/>
      <c r="M39" s="16"/>
      <c r="N39" s="16"/>
      <c r="O39" s="16"/>
      <c r="P39" s="16"/>
      <c r="Q39" s="16"/>
      <c r="R39" s="16"/>
      <c r="S39" s="16"/>
      <c r="T39" s="16"/>
      <c r="U39" s="16"/>
      <c r="V39" s="16"/>
      <c r="W39" s="16"/>
      <c r="X39" s="16"/>
      <c r="Y39" s="17"/>
      <c r="Z39" s="16"/>
      <c r="AA39" s="16"/>
      <c r="AD39" s="244" t="str">
        <f>IF($B$12="individual",Constants!F65,Constants!L64)</f>
        <v>number of competitions attended</v>
      </c>
      <c r="AE39" s="249">
        <v>4</v>
      </c>
      <c r="AF39" s="273">
        <f>IF(B40="individual", IF(AE39&gt;10, 5, IF(AE39&gt;6, 3, IF(AE39&gt;2, 1, 0))), IF(AE39&gt;3, 3, IF(AE39&gt;1, 2, 1)))</f>
        <v>3</v>
      </c>
      <c r="AG39" s="560"/>
      <c r="AH39" s="560"/>
      <c r="AI39" s="560"/>
      <c r="AJ39" s="560"/>
    </row>
    <row r="40" spans="1:58" ht="15.75" customHeight="1" thickBot="1">
      <c r="A40" s="231"/>
      <c r="B40" s="232"/>
      <c r="C40" s="231"/>
      <c r="D40" s="232"/>
      <c r="E40" s="245"/>
      <c r="F40" s="261"/>
      <c r="G40" s="231"/>
      <c r="H40" s="743"/>
      <c r="I40" s="744"/>
      <c r="J40" s="745"/>
      <c r="K40" s="16"/>
      <c r="L40" s="16"/>
      <c r="M40" s="16"/>
      <c r="N40" s="16"/>
      <c r="O40" s="16"/>
      <c r="P40" s="16"/>
      <c r="Q40" s="16"/>
      <c r="R40" s="16"/>
      <c r="S40" s="16"/>
      <c r="T40" s="16"/>
      <c r="U40" s="16"/>
      <c r="V40" s="16"/>
      <c r="W40" s="16"/>
      <c r="X40" s="16"/>
      <c r="Y40" s="16"/>
      <c r="Z40" s="16"/>
      <c r="AA40" s="16"/>
      <c r="AD40" s="231" t="str">
        <f>IF($B$12="individual",Constants!F64,Constants!L65)</f>
        <v>n/a</v>
      </c>
      <c r="AE40" s="231" t="str">
        <f>IF(AD40="n/a","",COUNTA(A46:A50)/COUNTA(A38:A42))</f>
        <v/>
      </c>
      <c r="AF40" s="272" t="str">
        <f>IF(B40="group", IF(AE40&gt;0.15, 5, IF(AE40&gt;0.1, 3, IF(AE40&gt;0.05, 1, 0))), " ")</f>
        <v xml:space="preserve"> </v>
      </c>
      <c r="AG40" s="560"/>
      <c r="AH40" s="560"/>
      <c r="AI40" s="560"/>
      <c r="AJ40" s="560"/>
    </row>
    <row r="41" spans="1:58" ht="15.75" customHeight="1" thickBot="1">
      <c r="A41" s="231"/>
      <c r="B41" s="232"/>
      <c r="C41" s="231"/>
      <c r="D41" s="232"/>
      <c r="E41" s="245"/>
      <c r="F41" s="261"/>
      <c r="G41" s="231"/>
      <c r="H41" s="743"/>
      <c r="I41" s="744"/>
      <c r="J41" s="745"/>
      <c r="K41" s="16"/>
      <c r="L41" s="16"/>
      <c r="M41" s="16"/>
      <c r="N41" s="16"/>
      <c r="O41" s="16"/>
      <c r="P41" s="16"/>
      <c r="Q41" s="16"/>
      <c r="R41" s="16"/>
      <c r="S41" s="16"/>
      <c r="T41" s="16"/>
      <c r="U41" s="16"/>
      <c r="V41" s="16"/>
      <c r="W41" s="16"/>
      <c r="X41" s="16"/>
      <c r="Y41" s="16"/>
      <c r="Z41" s="16"/>
      <c r="AA41" s="16"/>
      <c r="AD41" s="231">
        <f>IF($B$12="individual",Constants!F66,Constants!L66)</f>
        <v>0</v>
      </c>
      <c r="AE41" s="231">
        <f>B18</f>
        <v>0</v>
      </c>
      <c r="AF41" s="307">
        <f>SUM(AF30:AF40)</f>
        <v>16</v>
      </c>
      <c r="AG41" s="247"/>
      <c r="AH41" s="245"/>
      <c r="AI41" s="246"/>
      <c r="AJ41" s="247"/>
    </row>
    <row r="42" spans="1:58" ht="15.75" customHeight="1" thickBot="1">
      <c r="A42" s="231"/>
      <c r="B42" s="326"/>
      <c r="C42" s="245"/>
      <c r="D42" s="232"/>
      <c r="E42" s="261"/>
      <c r="F42" s="261"/>
      <c r="G42" s="231"/>
      <c r="H42" s="746"/>
      <c r="I42" s="747"/>
      <c r="J42" s="748"/>
      <c r="K42" s="16"/>
      <c r="L42" s="16"/>
      <c r="M42" s="16"/>
      <c r="N42" s="16"/>
      <c r="O42" s="16"/>
      <c r="P42" s="16"/>
      <c r="Q42" s="16"/>
      <c r="R42" s="16"/>
      <c r="S42" s="16"/>
      <c r="T42" s="16"/>
      <c r="U42" s="16"/>
      <c r="V42" s="16"/>
      <c r="W42" s="16"/>
      <c r="X42" s="16"/>
      <c r="Y42" s="16"/>
      <c r="Z42" s="16"/>
      <c r="AA42" s="16"/>
    </row>
    <row r="43" spans="1:58" ht="15.75" customHeight="1" thickTop="1">
      <c r="A43" s="18"/>
      <c r="B43" s="18"/>
      <c r="C43" s="18"/>
      <c r="D43" s="18"/>
      <c r="E43" s="18"/>
      <c r="F43" s="18"/>
      <c r="G43" s="17"/>
      <c r="H43" s="17"/>
      <c r="I43" s="17"/>
      <c r="J43" s="17"/>
      <c r="K43" s="17"/>
      <c r="L43" s="17"/>
      <c r="M43" s="17"/>
      <c r="N43" s="17"/>
      <c r="O43" s="17"/>
      <c r="P43" s="17"/>
      <c r="Q43" s="16"/>
      <c r="R43" s="17"/>
      <c r="S43" s="17"/>
      <c r="T43" s="17"/>
      <c r="U43" s="17"/>
      <c r="V43" s="17"/>
      <c r="W43" s="17"/>
      <c r="X43" s="17"/>
      <c r="Y43" s="17"/>
      <c r="Z43" s="17"/>
      <c r="AA43" s="17"/>
      <c r="AB43" s="17"/>
      <c r="AC43" s="17"/>
      <c r="AD43" s="17"/>
    </row>
    <row r="44" spans="1:58" ht="15.75" customHeight="1" thickBot="1">
      <c r="A44" s="179" t="s">
        <v>462</v>
      </c>
      <c r="B44" s="169"/>
      <c r="C44" s="16"/>
      <c r="D44" s="16"/>
      <c r="E44" s="16"/>
      <c r="F44" s="16"/>
      <c r="G44" s="16"/>
      <c r="H44" s="16"/>
      <c r="I44" s="16"/>
      <c r="J44" s="16"/>
      <c r="K44" s="16"/>
      <c r="L44" s="16"/>
      <c r="M44" s="16"/>
      <c r="N44" s="16"/>
      <c r="O44" s="16"/>
      <c r="P44" s="16"/>
      <c r="Q44" s="16"/>
      <c r="R44" s="16"/>
      <c r="S44" s="16"/>
      <c r="T44" s="16"/>
      <c r="U44" s="16"/>
      <c r="V44" s="16"/>
      <c r="W44" s="16"/>
      <c r="X44" s="16"/>
      <c r="Y44" s="16"/>
      <c r="Z44" s="16"/>
      <c r="AA44" s="16"/>
      <c r="AB44" s="18"/>
      <c r="AC44" s="16"/>
      <c r="AD44" s="16"/>
    </row>
    <row r="45" spans="1:58" ht="15" customHeight="1" thickTop="1" thickBot="1">
      <c r="A45" s="258" t="s">
        <v>449</v>
      </c>
      <c r="B45" s="259" t="s">
        <v>450</v>
      </c>
      <c r="C45" s="258" t="s">
        <v>463</v>
      </c>
      <c r="D45" s="258" t="s">
        <v>464</v>
      </c>
      <c r="E45" s="258" t="s">
        <v>465</v>
      </c>
      <c r="F45" s="258" t="s">
        <v>466</v>
      </c>
      <c r="G45" s="258" t="s">
        <v>467</v>
      </c>
      <c r="H45" s="259" t="s">
        <v>455</v>
      </c>
      <c r="I45" s="561" t="s">
        <v>456</v>
      </c>
      <c r="J45" s="716"/>
      <c r="K45" s="717"/>
      <c r="L45" s="98"/>
      <c r="M45" s="98"/>
      <c r="N45" s="98"/>
      <c r="O45" s="98"/>
      <c r="P45" s="98"/>
      <c r="Q45" s="98"/>
      <c r="R45" s="98"/>
      <c r="S45" s="98"/>
      <c r="T45" s="98"/>
      <c r="U45" s="98"/>
      <c r="V45" s="96"/>
      <c r="W45" s="96"/>
      <c r="X45" s="96"/>
      <c r="Y45" s="96"/>
      <c r="Z45" s="99"/>
      <c r="AA45" s="96"/>
      <c r="AB45" s="96"/>
      <c r="AC45" s="100"/>
      <c r="AD45" s="100"/>
      <c r="AE45" s="100"/>
      <c r="AF45" s="100"/>
      <c r="AG45" s="100"/>
      <c r="AH45" s="100"/>
      <c r="AI45" s="100"/>
      <c r="AJ45" s="100"/>
      <c r="AK45" s="100"/>
      <c r="AL45" s="100"/>
      <c r="AM45" s="100"/>
      <c r="AN45" s="100"/>
      <c r="AO45" s="100"/>
      <c r="AP45" s="100"/>
      <c r="AQ45" s="100"/>
      <c r="AR45" s="100"/>
      <c r="AS45" s="100"/>
      <c r="AT45" s="100"/>
      <c r="AU45" s="100"/>
      <c r="AV45" s="100"/>
      <c r="AW45" s="100"/>
      <c r="AX45" s="100"/>
      <c r="AY45" s="100"/>
      <c r="AZ45" s="100"/>
      <c r="BA45" s="100"/>
      <c r="BB45" s="100"/>
      <c r="BC45" s="100"/>
      <c r="BD45" s="100"/>
      <c r="BE45" s="100"/>
      <c r="BF45" s="100"/>
    </row>
    <row r="46" spans="1:58" ht="14.25" customHeight="1" thickTop="1">
      <c r="A46" s="312"/>
      <c r="B46" s="323"/>
      <c r="C46" s="312"/>
      <c r="D46" s="312"/>
      <c r="E46" s="327"/>
      <c r="F46" s="327"/>
      <c r="G46" s="323"/>
      <c r="H46" s="323"/>
      <c r="I46" s="618"/>
      <c r="J46" s="741"/>
      <c r="K46" s="742"/>
      <c r="L46" s="16"/>
      <c r="M46" s="16"/>
      <c r="N46" s="16"/>
      <c r="O46" s="16"/>
      <c r="P46" s="16"/>
      <c r="Q46" s="16"/>
      <c r="R46" s="16"/>
      <c r="S46" s="16"/>
      <c r="T46" s="16"/>
      <c r="U46" s="16"/>
      <c r="V46" s="16"/>
      <c r="W46" s="16"/>
      <c r="X46" s="16"/>
      <c r="Y46" s="16"/>
      <c r="Z46" s="17"/>
      <c r="AA46" s="16"/>
      <c r="AB46" s="16"/>
    </row>
    <row r="47" spans="1:58" ht="14.25" customHeight="1">
      <c r="A47" s="312"/>
      <c r="B47" s="323"/>
      <c r="C47" s="312"/>
      <c r="D47" s="312"/>
      <c r="E47" s="328"/>
      <c r="F47" s="327"/>
      <c r="G47" s="323"/>
      <c r="H47" s="323"/>
      <c r="I47" s="743"/>
      <c r="J47" s="744"/>
      <c r="K47" s="745"/>
      <c r="L47" s="16"/>
      <c r="M47" s="16"/>
      <c r="N47" s="16"/>
      <c r="O47" s="16"/>
      <c r="P47" s="16"/>
      <c r="Q47" s="16"/>
      <c r="R47" s="16"/>
      <c r="S47" s="16"/>
      <c r="T47" s="16"/>
      <c r="U47" s="16"/>
      <c r="V47" s="16"/>
      <c r="W47" s="16"/>
      <c r="X47" s="16"/>
      <c r="Y47" s="16"/>
      <c r="Z47" s="17"/>
      <c r="AA47" s="16"/>
      <c r="AB47" s="16"/>
    </row>
    <row r="48" spans="1:58" ht="15.75" customHeight="1">
      <c r="A48" s="323"/>
      <c r="B48" s="323"/>
      <c r="C48" s="323"/>
      <c r="D48" s="312"/>
      <c r="E48" s="328"/>
      <c r="F48" s="327"/>
      <c r="G48" s="329"/>
      <c r="H48" s="323"/>
      <c r="I48" s="743"/>
      <c r="J48" s="744"/>
      <c r="K48" s="745"/>
      <c r="L48" s="16"/>
      <c r="M48" s="16"/>
      <c r="N48" s="16"/>
      <c r="O48" s="16"/>
      <c r="P48" s="16"/>
      <c r="Q48" s="16"/>
      <c r="R48" s="16"/>
      <c r="S48" s="16"/>
      <c r="T48" s="16"/>
      <c r="U48" s="16"/>
      <c r="V48" s="16"/>
      <c r="W48" s="16"/>
      <c r="X48" s="16"/>
      <c r="Y48" s="16"/>
      <c r="Z48" s="16"/>
      <c r="AA48" s="16"/>
      <c r="AB48" s="16"/>
    </row>
    <row r="49" spans="1:30" ht="15.75" customHeight="1">
      <c r="A49" s="231"/>
      <c r="B49" s="232"/>
      <c r="C49" s="231"/>
      <c r="D49" s="269"/>
      <c r="E49" s="245"/>
      <c r="F49" s="261"/>
      <c r="G49" s="263"/>
      <c r="H49" s="231"/>
      <c r="I49" s="743"/>
      <c r="J49" s="744"/>
      <c r="K49" s="745"/>
      <c r="L49" s="16"/>
      <c r="M49" s="16"/>
      <c r="N49" s="16"/>
      <c r="O49" s="16"/>
      <c r="P49" s="16"/>
      <c r="Q49" s="16"/>
      <c r="R49" s="16"/>
      <c r="S49" s="16"/>
      <c r="T49" s="16"/>
      <c r="U49" s="16"/>
      <c r="V49" s="16"/>
      <c r="W49" s="16"/>
      <c r="X49" s="16"/>
      <c r="Y49" s="16"/>
      <c r="Z49" s="16"/>
      <c r="AA49" s="16"/>
      <c r="AB49" s="16"/>
    </row>
    <row r="50" spans="1:30" ht="15.75" customHeight="1" thickBot="1">
      <c r="A50" s="231"/>
      <c r="B50" s="326"/>
      <c r="C50" s="245"/>
      <c r="D50" s="245"/>
      <c r="E50" s="261"/>
      <c r="F50" s="261"/>
      <c r="G50" s="263"/>
      <c r="H50" s="231"/>
      <c r="I50" s="746"/>
      <c r="J50" s="747"/>
      <c r="K50" s="748"/>
      <c r="L50" s="16"/>
      <c r="M50" s="16"/>
      <c r="N50" s="16"/>
      <c r="O50" s="16"/>
      <c r="P50" s="16"/>
      <c r="Q50" s="16"/>
      <c r="R50" s="16"/>
      <c r="S50" s="16"/>
      <c r="T50" s="16"/>
      <c r="U50" s="16"/>
      <c r="V50" s="16"/>
      <c r="W50" s="16"/>
      <c r="X50" s="16"/>
      <c r="Y50" s="16"/>
      <c r="Z50" s="16"/>
      <c r="AA50" s="16"/>
      <c r="AB50" s="16"/>
    </row>
    <row r="51" spans="1:30" ht="15.75" customHeight="1" thickTop="1">
      <c r="A51" s="15"/>
      <c r="B51" s="16"/>
      <c r="C51" s="16"/>
      <c r="D51" s="16"/>
      <c r="E51" s="16"/>
      <c r="F51" s="16"/>
      <c r="G51" s="16"/>
      <c r="H51" s="16"/>
      <c r="I51" s="16"/>
      <c r="J51" s="16"/>
      <c r="K51" s="16"/>
      <c r="L51" s="16"/>
      <c r="M51" s="16"/>
      <c r="N51" s="16"/>
      <c r="O51" s="16"/>
      <c r="P51" s="16"/>
      <c r="Q51" s="16"/>
      <c r="R51" s="16"/>
      <c r="S51" s="16"/>
      <c r="T51" s="16"/>
      <c r="U51" s="16"/>
      <c r="V51" s="16"/>
      <c r="W51" s="16"/>
      <c r="X51" s="16"/>
      <c r="Y51" s="16"/>
      <c r="Z51" s="16"/>
      <c r="AA51" s="16"/>
      <c r="AB51" s="16"/>
      <c r="AC51" s="16"/>
      <c r="AD51" s="16"/>
    </row>
    <row r="52" spans="1:30" ht="15.75" customHeight="1">
      <c r="A52" s="15"/>
      <c r="B52" s="16"/>
      <c r="C52" s="16"/>
      <c r="D52" s="16"/>
      <c r="E52" s="16"/>
      <c r="F52" s="16"/>
      <c r="G52" s="16"/>
      <c r="H52" s="16"/>
      <c r="I52" s="16"/>
      <c r="J52" s="16"/>
      <c r="K52" s="16"/>
      <c r="L52" s="16"/>
      <c r="M52" s="16"/>
      <c r="N52" s="16"/>
      <c r="O52" s="16"/>
      <c r="P52" s="16"/>
      <c r="Q52" s="16"/>
      <c r="W52" s="16"/>
      <c r="X52" s="16"/>
      <c r="Y52" s="16"/>
      <c r="Z52" s="16"/>
      <c r="AA52" s="16"/>
      <c r="AB52" s="16"/>
      <c r="AC52" s="16"/>
      <c r="AD52" s="16"/>
    </row>
    <row r="53" spans="1:30" ht="15.75" customHeight="1" thickBot="1">
      <c r="A53" s="186" t="s">
        <v>475</v>
      </c>
      <c r="B53" s="231"/>
      <c r="C53" s="231"/>
      <c r="D53" s="231"/>
      <c r="E53" s="231"/>
      <c r="F53" s="231"/>
      <c r="G53" s="231"/>
      <c r="H53" s="231"/>
      <c r="I53" s="231"/>
      <c r="J53" s="231"/>
      <c r="K53" s="16"/>
      <c r="L53" s="16"/>
      <c r="M53" s="16"/>
      <c r="N53" s="16"/>
      <c r="O53" s="16"/>
      <c r="P53" s="16"/>
      <c r="Q53" s="16"/>
      <c r="W53" s="16"/>
      <c r="X53" s="16"/>
      <c r="Y53" s="16"/>
      <c r="Z53" s="16"/>
      <c r="AA53" s="16"/>
      <c r="AB53" s="16"/>
      <c r="AC53" s="16"/>
      <c r="AD53" s="16"/>
    </row>
    <row r="54" spans="1:30" ht="15.75" customHeight="1" thickTop="1" thickBot="1">
      <c r="A54" s="230" t="s">
        <v>476</v>
      </c>
      <c r="B54" s="230" t="s">
        <v>477</v>
      </c>
      <c r="C54" s="230" t="s">
        <v>478</v>
      </c>
      <c r="D54" s="230" t="s">
        <v>479</v>
      </c>
      <c r="E54" s="230" t="s">
        <v>480</v>
      </c>
      <c r="F54" s="230" t="s">
        <v>481</v>
      </c>
      <c r="G54" s="230" t="s">
        <v>482</v>
      </c>
      <c r="H54" s="230" t="s">
        <v>453</v>
      </c>
      <c r="I54" s="230" t="s">
        <v>483</v>
      </c>
      <c r="J54" s="230" t="s">
        <v>484</v>
      </c>
      <c r="K54" s="721" t="s">
        <v>485</v>
      </c>
      <c r="L54" s="716"/>
      <c r="M54" s="722"/>
      <c r="N54" s="15"/>
      <c r="O54" s="16"/>
      <c r="P54" s="16"/>
      <c r="Q54" s="16"/>
      <c r="W54" s="16"/>
      <c r="X54" s="16"/>
      <c r="Y54" s="16"/>
      <c r="Z54" s="16"/>
      <c r="AA54" s="16"/>
      <c r="AB54" s="16"/>
    </row>
    <row r="55" spans="1:30" ht="15" customHeight="1" thickTop="1">
      <c r="A55" s="231" t="s">
        <v>1014</v>
      </c>
      <c r="B55" s="319" t="s">
        <v>287</v>
      </c>
      <c r="C55" s="231">
        <v>18</v>
      </c>
      <c r="D55" s="231">
        <v>1</v>
      </c>
      <c r="E55" s="231">
        <v>4.5</v>
      </c>
      <c r="F55" s="231">
        <f>Table_416874[[#This Row],['# Weeks]]*Table_416874[[#This Row],[Total hours/week]]</f>
        <v>81</v>
      </c>
      <c r="G55" s="330" t="s">
        <v>570</v>
      </c>
      <c r="H55" s="319" t="s">
        <v>55</v>
      </c>
      <c r="I55" s="331"/>
      <c r="J55" s="231"/>
      <c r="K55" s="564"/>
      <c r="L55" s="741"/>
      <c r="M55" s="742"/>
      <c r="N55" s="16"/>
      <c r="O55" s="16"/>
      <c r="P55" s="16"/>
      <c r="Q55" s="16"/>
      <c r="W55" s="16"/>
      <c r="X55" s="16"/>
      <c r="Y55" s="16"/>
      <c r="Z55" s="16"/>
      <c r="AA55" s="16"/>
      <c r="AB55" s="16"/>
    </row>
    <row r="56" spans="1:30" ht="15.75" customHeight="1">
      <c r="A56" s="319" t="s">
        <v>1015</v>
      </c>
      <c r="B56" s="319" t="s">
        <v>293</v>
      </c>
      <c r="C56" s="231"/>
      <c r="D56" s="231"/>
      <c r="E56" s="231"/>
      <c r="F56" s="231">
        <f>Table_416874[[#This Row],['# Weeks]]*Table_416874[[#This Row],[Total hours/week]]</f>
        <v>0</v>
      </c>
      <c r="G56" s="231"/>
      <c r="H56" s="319"/>
      <c r="I56" s="331">
        <v>300</v>
      </c>
      <c r="J56" s="231"/>
      <c r="K56" s="749"/>
      <c r="L56" s="744"/>
      <c r="M56" s="745"/>
      <c r="N56" s="16"/>
      <c r="O56" s="16"/>
      <c r="P56" s="16"/>
      <c r="Q56" s="16"/>
      <c r="W56" s="16"/>
      <c r="X56" s="16"/>
      <c r="Y56" s="16"/>
      <c r="Z56" s="16"/>
      <c r="AA56" s="16"/>
      <c r="AB56" s="16"/>
    </row>
    <row r="57" spans="1:30" ht="14.25" customHeight="1">
      <c r="A57" s="319" t="s">
        <v>1016</v>
      </c>
      <c r="B57" s="319" t="s">
        <v>287</v>
      </c>
      <c r="C57" s="231">
        <v>1</v>
      </c>
      <c r="D57" s="231">
        <v>2</v>
      </c>
      <c r="E57" s="231">
        <v>56</v>
      </c>
      <c r="F57" s="231">
        <f>Table_416874[[#This Row],['# Weeks]]*Table_416874[[#This Row],[Total hours/week]]</f>
        <v>56</v>
      </c>
      <c r="G57" s="248" t="s">
        <v>570</v>
      </c>
      <c r="H57" s="319" t="s">
        <v>55</v>
      </c>
      <c r="I57" s="331"/>
      <c r="J57" s="231"/>
      <c r="K57" s="749"/>
      <c r="L57" s="744"/>
      <c r="M57" s="745"/>
      <c r="N57" s="16"/>
      <c r="O57" s="16"/>
      <c r="P57" s="16"/>
      <c r="Q57" s="16"/>
      <c r="W57" s="16"/>
      <c r="X57" s="16"/>
      <c r="Y57" s="16"/>
      <c r="Z57" s="16"/>
      <c r="AA57" s="16"/>
      <c r="AB57" s="16"/>
    </row>
    <row r="58" spans="1:30" ht="15.75" customHeight="1">
      <c r="A58" s="231" t="s">
        <v>1017</v>
      </c>
      <c r="B58" s="319" t="s">
        <v>287</v>
      </c>
      <c r="C58" s="231">
        <v>1</v>
      </c>
      <c r="D58" s="231">
        <v>2</v>
      </c>
      <c r="E58" s="231">
        <v>70</v>
      </c>
      <c r="F58" s="231">
        <f>Table_416874[[#This Row],['# Weeks]]*Table_416874[[#This Row],[Total hours/week]]</f>
        <v>70</v>
      </c>
      <c r="G58" s="231" t="s">
        <v>570</v>
      </c>
      <c r="H58" s="319" t="s">
        <v>55</v>
      </c>
      <c r="I58" s="331"/>
      <c r="J58" s="231"/>
      <c r="K58" s="749"/>
      <c r="L58" s="744"/>
      <c r="M58" s="745"/>
      <c r="N58" s="16"/>
      <c r="O58" s="16"/>
      <c r="P58" s="16"/>
      <c r="Q58" s="16"/>
      <c r="W58" s="16"/>
      <c r="X58" s="16"/>
      <c r="Y58" s="16"/>
      <c r="Z58" s="16"/>
      <c r="AA58" s="16"/>
      <c r="AB58" s="16"/>
    </row>
    <row r="59" spans="1:30" ht="15.75" customHeight="1">
      <c r="A59" s="319" t="s">
        <v>1018</v>
      </c>
      <c r="B59" s="319" t="s">
        <v>293</v>
      </c>
      <c r="C59" s="231"/>
      <c r="D59" s="231"/>
      <c r="E59" s="231"/>
      <c r="F59" s="231">
        <f>Table_416874[[#This Row],['# Weeks]]*Table_416874[[#This Row],[Total hours/week]]</f>
        <v>0</v>
      </c>
      <c r="G59" s="231"/>
      <c r="H59" s="319"/>
      <c r="I59" s="331">
        <v>450</v>
      </c>
      <c r="J59" s="231"/>
      <c r="K59" s="749"/>
      <c r="L59" s="744"/>
      <c r="M59" s="745"/>
      <c r="N59" s="16"/>
      <c r="O59" s="16"/>
      <c r="P59" s="16"/>
      <c r="Q59" s="16"/>
      <c r="W59" s="16"/>
      <c r="X59" s="16"/>
      <c r="Y59" s="16"/>
      <c r="Z59" s="16"/>
      <c r="AA59" s="16"/>
      <c r="AB59" s="16"/>
    </row>
    <row r="60" spans="1:30" ht="15.75" customHeight="1">
      <c r="A60" s="319" t="s">
        <v>1019</v>
      </c>
      <c r="B60" s="319" t="s">
        <v>287</v>
      </c>
      <c r="C60" s="231">
        <v>1</v>
      </c>
      <c r="D60" s="231">
        <v>2</v>
      </c>
      <c r="E60" s="231">
        <v>70</v>
      </c>
      <c r="F60" s="231">
        <f>Table_416874[[#This Row],['# Weeks]]*Table_416874[[#This Row],[Total hours/week]]</f>
        <v>70</v>
      </c>
      <c r="G60" s="319" t="s">
        <v>570</v>
      </c>
      <c r="H60" s="319" t="s">
        <v>55</v>
      </c>
      <c r="I60" s="331"/>
      <c r="J60" s="231"/>
      <c r="K60" s="749"/>
      <c r="L60" s="744"/>
      <c r="M60" s="745"/>
      <c r="N60" s="16"/>
      <c r="O60" s="16"/>
      <c r="P60" s="16"/>
      <c r="Q60" s="16"/>
      <c r="W60" s="16"/>
      <c r="X60" s="16"/>
      <c r="Y60" s="16"/>
      <c r="Z60" s="16"/>
      <c r="AA60" s="16"/>
      <c r="AB60" s="16"/>
    </row>
    <row r="61" spans="1:30" ht="15.75" customHeight="1">
      <c r="A61" s="231" t="s">
        <v>1020</v>
      </c>
      <c r="B61" s="319" t="s">
        <v>285</v>
      </c>
      <c r="C61" s="231">
        <v>1</v>
      </c>
      <c r="D61" s="231">
        <v>1</v>
      </c>
      <c r="E61" s="231">
        <v>7</v>
      </c>
      <c r="F61" s="231">
        <f>Table_416874[[#This Row],['# Weeks]]*Table_416874[[#This Row],[Total hours/week]]</f>
        <v>7</v>
      </c>
      <c r="G61" s="319"/>
      <c r="H61" s="319" t="s">
        <v>289</v>
      </c>
      <c r="I61" s="331">
        <v>250</v>
      </c>
      <c r="J61" s="167" t="s">
        <v>1021</v>
      </c>
      <c r="K61" s="749"/>
      <c r="L61" s="744"/>
      <c r="M61" s="745"/>
      <c r="N61" s="16"/>
      <c r="O61" s="16"/>
      <c r="P61" s="16"/>
      <c r="Q61" s="16"/>
      <c r="W61" s="16"/>
      <c r="X61" s="16"/>
      <c r="Y61" s="16"/>
      <c r="Z61" s="16"/>
      <c r="AA61" s="16"/>
      <c r="AB61" s="16"/>
    </row>
    <row r="62" spans="1:30" ht="15.75" customHeight="1">
      <c r="A62" s="231" t="s">
        <v>1022</v>
      </c>
      <c r="B62" s="319" t="s">
        <v>293</v>
      </c>
      <c r="C62" s="261">
        <v>1</v>
      </c>
      <c r="D62" s="261">
        <v>1</v>
      </c>
      <c r="E62" s="261">
        <v>1</v>
      </c>
      <c r="F62" s="262">
        <f>Table_416874[[#This Row],['# Weeks]]*Table_416874[[#This Row],[Total hours/week]]</f>
        <v>1</v>
      </c>
      <c r="G62" s="319"/>
      <c r="H62" s="319"/>
      <c r="I62" s="403">
        <v>500</v>
      </c>
      <c r="J62" s="231" t="s">
        <v>1023</v>
      </c>
      <c r="K62" s="749"/>
      <c r="L62" s="744"/>
      <c r="M62" s="745"/>
      <c r="N62" s="16"/>
      <c r="O62" s="16"/>
      <c r="P62" s="16"/>
      <c r="Q62" s="16"/>
      <c r="W62" s="16"/>
      <c r="X62" s="16"/>
      <c r="Y62" s="16"/>
      <c r="Z62" s="16"/>
      <c r="AA62" s="16"/>
      <c r="AB62" s="16"/>
    </row>
    <row r="63" spans="1:30" ht="15.75" customHeight="1">
      <c r="A63" s="231" t="s">
        <v>1024</v>
      </c>
      <c r="B63" s="319" t="s">
        <v>293</v>
      </c>
      <c r="C63" s="261">
        <v>1</v>
      </c>
      <c r="D63" s="261">
        <v>1</v>
      </c>
      <c r="E63" s="261">
        <v>1</v>
      </c>
      <c r="F63" s="262">
        <f>Table_416874[[#This Row],['# Weeks]]*Table_416874[[#This Row],[Total hours/week]]</f>
        <v>1</v>
      </c>
      <c r="G63" s="319"/>
      <c r="H63" s="319"/>
      <c r="I63" s="403">
        <v>480</v>
      </c>
      <c r="J63" s="231" t="s">
        <v>1025</v>
      </c>
      <c r="K63" s="749"/>
      <c r="L63" s="744"/>
      <c r="M63" s="745"/>
      <c r="N63" s="16"/>
      <c r="O63" s="16"/>
      <c r="P63" s="16"/>
      <c r="Q63" s="16"/>
      <c r="W63" s="16"/>
      <c r="X63" s="16"/>
      <c r="Y63" s="16"/>
      <c r="Z63" s="16"/>
      <c r="AA63" s="16"/>
      <c r="AB63" s="16"/>
    </row>
    <row r="64" spans="1:30" ht="15.75" customHeight="1">
      <c r="A64" s="231" t="s">
        <v>1026</v>
      </c>
      <c r="B64" s="319" t="s">
        <v>293</v>
      </c>
      <c r="C64" s="232">
        <v>1</v>
      </c>
      <c r="D64" s="232">
        <v>1</v>
      </c>
      <c r="E64" s="261">
        <v>1</v>
      </c>
      <c r="F64" s="262">
        <f>Table_416874[[#This Row],['# Weeks]]*Table_416874[[#This Row],[Total hours/week]]</f>
        <v>1</v>
      </c>
      <c r="G64" s="231"/>
      <c r="H64" s="319"/>
      <c r="I64" s="403">
        <v>100</v>
      </c>
      <c r="J64" s="231" t="s">
        <v>1027</v>
      </c>
      <c r="K64" s="749"/>
      <c r="L64" s="744"/>
      <c r="M64" s="745"/>
      <c r="N64" s="16"/>
      <c r="O64" s="16"/>
      <c r="P64" s="16"/>
      <c r="Q64" s="16"/>
      <c r="W64" s="16"/>
      <c r="X64" s="16"/>
      <c r="Y64" s="16"/>
      <c r="Z64" s="16"/>
      <c r="AA64" s="16"/>
      <c r="AB64" s="16"/>
    </row>
    <row r="65" spans="1:30" ht="15.75" customHeight="1">
      <c r="A65" s="231" t="s">
        <v>1028</v>
      </c>
      <c r="B65" s="319" t="s">
        <v>293</v>
      </c>
      <c r="C65" s="232">
        <v>1</v>
      </c>
      <c r="D65" s="232">
        <v>1</v>
      </c>
      <c r="E65" s="261">
        <v>1</v>
      </c>
      <c r="F65" s="262">
        <f>Table_416874[[#This Row],['# Weeks]]*Table_416874[[#This Row],[Total hours/week]]</f>
        <v>1</v>
      </c>
      <c r="G65" s="231"/>
      <c r="H65" s="319"/>
      <c r="I65" s="403">
        <v>450</v>
      </c>
      <c r="J65" s="231" t="s">
        <v>1029</v>
      </c>
      <c r="K65" s="749"/>
      <c r="L65" s="744"/>
      <c r="M65" s="745"/>
      <c r="N65" s="16"/>
      <c r="O65" s="16"/>
      <c r="P65" s="16"/>
      <c r="Q65" s="16"/>
      <c r="W65" s="16"/>
      <c r="X65" s="16"/>
      <c r="Y65" s="16"/>
      <c r="Z65" s="16"/>
      <c r="AA65" s="16"/>
      <c r="AB65" s="16"/>
    </row>
    <row r="66" spans="1:30" ht="15.75" customHeight="1">
      <c r="A66" s="231"/>
      <c r="B66" s="319"/>
      <c r="C66" s="232">
        <v>1</v>
      </c>
      <c r="D66" s="232">
        <v>1</v>
      </c>
      <c r="E66" s="261">
        <v>1</v>
      </c>
      <c r="F66" s="262">
        <f>Table_416874[[#This Row],['# Weeks]]*Table_416874[[#This Row],[Total hours/week]]</f>
        <v>1</v>
      </c>
      <c r="G66" s="231"/>
      <c r="H66" s="319"/>
      <c r="I66" s="331"/>
      <c r="J66" s="231"/>
      <c r="K66" s="749"/>
      <c r="L66" s="744"/>
      <c r="M66" s="745"/>
      <c r="N66" s="16"/>
      <c r="O66" s="16"/>
      <c r="P66" s="16"/>
      <c r="Q66" s="16"/>
      <c r="W66" s="16"/>
      <c r="X66" s="16"/>
      <c r="Y66" s="16"/>
      <c r="Z66" s="16"/>
      <c r="AA66" s="16"/>
      <c r="AB66" s="16"/>
    </row>
    <row r="67" spans="1:30" ht="15.75" customHeight="1" thickBot="1">
      <c r="A67" s="231"/>
      <c r="B67" s="319"/>
      <c r="C67" s="245"/>
      <c r="D67" s="232"/>
      <c r="E67" s="261"/>
      <c r="F67" s="262">
        <f>Table_416874[[#This Row],['# Weeks]]*Table_416874[[#This Row],[Total hours/week]]</f>
        <v>0</v>
      </c>
      <c r="G67" s="263"/>
      <c r="H67" s="263"/>
      <c r="I67" s="264"/>
      <c r="J67" s="231"/>
      <c r="K67" s="746"/>
      <c r="L67" s="747"/>
      <c r="M67" s="748"/>
      <c r="N67" s="16"/>
      <c r="O67" s="16"/>
      <c r="P67" s="16"/>
      <c r="Q67" s="16"/>
      <c r="W67" s="16"/>
      <c r="X67" s="16"/>
      <c r="Y67" s="16"/>
      <c r="Z67" s="16"/>
      <c r="AA67" s="16"/>
      <c r="AB67" s="16"/>
    </row>
    <row r="68" spans="1:30" ht="15.75" customHeight="1" thickTop="1">
      <c r="A68" s="16"/>
      <c r="B68" s="16"/>
      <c r="C68" s="16"/>
      <c r="D68" s="16"/>
      <c r="E68" s="16"/>
      <c r="F68" s="16"/>
      <c r="G68" s="16"/>
      <c r="H68" s="16"/>
      <c r="I68" s="16"/>
      <c r="J68" s="16"/>
      <c r="K68" s="16"/>
      <c r="L68" s="16"/>
      <c r="M68" s="16"/>
      <c r="N68" s="16"/>
      <c r="O68" s="16"/>
      <c r="P68" s="16"/>
      <c r="Q68" s="16"/>
      <c r="W68" s="16"/>
      <c r="X68" s="16"/>
      <c r="Y68" s="16"/>
      <c r="Z68" s="16"/>
      <c r="AA68" s="16"/>
      <c r="AB68" s="16"/>
      <c r="AC68" s="16"/>
      <c r="AD68" s="16"/>
    </row>
    <row r="69" spans="1:30" ht="15.75" customHeight="1" thickBot="1">
      <c r="A69" s="186" t="s">
        <v>499</v>
      </c>
      <c r="B69" s="231"/>
      <c r="C69" s="231"/>
      <c r="D69" s="231"/>
      <c r="E69" s="231"/>
      <c r="F69" s="231"/>
      <c r="G69" s="231"/>
      <c r="H69" s="231"/>
      <c r="I69" s="231"/>
      <c r="J69" s="231"/>
      <c r="K69" s="123"/>
      <c r="L69" s="123"/>
      <c r="M69" s="16"/>
      <c r="N69" s="16"/>
      <c r="O69" s="16"/>
      <c r="P69" s="16"/>
      <c r="Q69" s="16"/>
      <c r="W69" s="16"/>
      <c r="X69" s="16"/>
      <c r="Y69" s="16"/>
      <c r="Z69" s="16"/>
      <c r="AA69" s="16"/>
      <c r="AB69" s="16"/>
      <c r="AC69" s="16"/>
      <c r="AD69" s="16"/>
    </row>
    <row r="70" spans="1:30" ht="15.75" customHeight="1" thickTop="1" thickBot="1">
      <c r="A70" s="230" t="s">
        <v>476</v>
      </c>
      <c r="B70" s="230" t="s">
        <v>500</v>
      </c>
      <c r="C70" s="230" t="s">
        <v>501</v>
      </c>
      <c r="D70" s="230" t="s">
        <v>502</v>
      </c>
      <c r="E70" s="230" t="s">
        <v>503</v>
      </c>
      <c r="F70" s="230" t="s">
        <v>504</v>
      </c>
      <c r="G70" s="230" t="s">
        <v>505</v>
      </c>
      <c r="H70" s="230" t="s">
        <v>506</v>
      </c>
      <c r="I70" s="230" t="s">
        <v>507</v>
      </c>
      <c r="J70" s="230" t="s">
        <v>508</v>
      </c>
      <c r="K70" s="561" t="s">
        <v>441</v>
      </c>
      <c r="L70" s="561"/>
      <c r="M70" s="561"/>
      <c r="N70" s="561"/>
      <c r="O70" s="570"/>
      <c r="P70" s="726" t="s">
        <v>434</v>
      </c>
      <c r="Q70" s="727"/>
      <c r="R70" s="16"/>
      <c r="S70" s="16"/>
      <c r="V70" s="16"/>
      <c r="W70" s="16"/>
      <c r="X70" s="16"/>
      <c r="Y70" s="16"/>
      <c r="Z70" s="16"/>
      <c r="AA70" s="16"/>
    </row>
    <row r="71" spans="1:30" ht="15.75" customHeight="1" thickTop="1">
      <c r="A71" s="319" t="s">
        <v>1030</v>
      </c>
      <c r="B71" s="231" t="s">
        <v>272</v>
      </c>
      <c r="C71" s="232" t="s">
        <v>515</v>
      </c>
      <c r="D71" s="261">
        <v>4.5</v>
      </c>
      <c r="E71" s="245">
        <v>17</v>
      </c>
      <c r="F71" s="326">
        <v>1</v>
      </c>
      <c r="G71" s="245">
        <v>3</v>
      </c>
      <c r="H71" s="247">
        <v>4082.17</v>
      </c>
      <c r="I71" s="247">
        <v>4082.1689999999999</v>
      </c>
      <c r="J71" s="247"/>
      <c r="K71" s="610"/>
      <c r="L71" s="611"/>
      <c r="M71" s="611"/>
      <c r="N71" s="611"/>
      <c r="O71" s="612"/>
      <c r="P71" s="564" t="s">
        <v>511</v>
      </c>
      <c r="Q71" s="565"/>
      <c r="R71" s="16"/>
      <c r="S71" s="16"/>
      <c r="V71" s="16"/>
      <c r="W71" s="16"/>
      <c r="X71" s="16"/>
      <c r="Y71" s="16"/>
      <c r="Z71" s="16"/>
      <c r="AA71" s="16"/>
    </row>
    <row r="72" spans="1:30" ht="15.75" customHeight="1">
      <c r="A72" s="231" t="s">
        <v>1031</v>
      </c>
      <c r="B72" s="231" t="s">
        <v>272</v>
      </c>
      <c r="C72" s="232" t="s">
        <v>515</v>
      </c>
      <c r="D72" s="261">
        <v>1</v>
      </c>
      <c r="E72" s="245">
        <v>1</v>
      </c>
      <c r="F72" s="326">
        <v>1</v>
      </c>
      <c r="G72" s="245">
        <v>3</v>
      </c>
      <c r="H72" s="247">
        <v>1000</v>
      </c>
      <c r="I72" s="333">
        <f>IF($H72="-","-",IF($H72="Specify location tariff","-",$H72*$F72))</f>
        <v>1000</v>
      </c>
      <c r="J72" s="247" t="s">
        <v>1032</v>
      </c>
      <c r="K72" s="613"/>
      <c r="L72" s="562"/>
      <c r="M72" s="562"/>
      <c r="N72" s="562"/>
      <c r="O72" s="614"/>
      <c r="P72" s="566"/>
      <c r="Q72" s="567"/>
      <c r="R72" s="16"/>
      <c r="S72" s="16"/>
      <c r="V72" s="16"/>
      <c r="W72" s="16"/>
      <c r="X72" s="16"/>
      <c r="Y72" s="16"/>
      <c r="Z72" s="16"/>
      <c r="AA72" s="16"/>
    </row>
    <row r="73" spans="1:30" ht="15.75" customHeight="1">
      <c r="A73" s="196" t="s">
        <v>1033</v>
      </c>
      <c r="B73" s="196" t="s">
        <v>272</v>
      </c>
      <c r="C73" s="197" t="s">
        <v>1034</v>
      </c>
      <c r="D73" s="198">
        <v>3.5</v>
      </c>
      <c r="E73" s="198">
        <v>36</v>
      </c>
      <c r="F73" s="198">
        <v>126</v>
      </c>
      <c r="G73" s="196">
        <v>3</v>
      </c>
      <c r="H73" s="247">
        <v>18</v>
      </c>
      <c r="I73" s="332">
        <v>2268</v>
      </c>
      <c r="J73" s="247"/>
      <c r="K73" s="613"/>
      <c r="L73" s="562"/>
      <c r="M73" s="562"/>
      <c r="N73" s="562"/>
      <c r="O73" s="614"/>
      <c r="P73" s="566"/>
      <c r="Q73" s="567"/>
      <c r="R73" s="16"/>
      <c r="S73" s="16"/>
      <c r="V73" s="16"/>
      <c r="W73" s="16"/>
      <c r="X73" s="16"/>
      <c r="Y73" s="16"/>
      <c r="Z73" s="16"/>
      <c r="AA73" s="16"/>
    </row>
    <row r="74" spans="1:30" ht="15.75" customHeight="1">
      <c r="A74" s="231"/>
      <c r="B74" s="231"/>
      <c r="C74" s="232"/>
      <c r="D74" s="261"/>
      <c r="E74" s="245"/>
      <c r="F74" s="326">
        <f>Hardboard!$D74*Hardboard!$E74</f>
        <v>0</v>
      </c>
      <c r="G74" s="245"/>
      <c r="H74" s="332" t="str">
        <f>IF($B74= "","-",IF($B74= "External","Specify location tariff", INDEX(Constants!$3:$3,MATCH($B74,Constants!$2:$2,0))))</f>
        <v>-</v>
      </c>
      <c r="I74" s="333" t="str">
        <f t="shared" ref="I74:I87" si="2">IF($H74="-","-",IF($H74="Specify location tariff","-",$H74*$F74))</f>
        <v>-</v>
      </c>
      <c r="J74" s="247"/>
      <c r="K74" s="613"/>
      <c r="L74" s="562"/>
      <c r="M74" s="562"/>
      <c r="N74" s="562"/>
      <c r="O74" s="614"/>
      <c r="P74" s="566"/>
      <c r="Q74" s="567"/>
      <c r="R74" s="16"/>
      <c r="S74" s="16"/>
      <c r="V74" s="16"/>
      <c r="W74" s="16"/>
      <c r="X74" s="16"/>
      <c r="Y74" s="16"/>
      <c r="Z74" s="16"/>
      <c r="AA74" s="16"/>
    </row>
    <row r="75" spans="1:30" ht="15.75" customHeight="1">
      <c r="A75" s="231"/>
      <c r="B75" s="231"/>
      <c r="C75" s="232"/>
      <c r="D75" s="261"/>
      <c r="E75" s="245"/>
      <c r="F75" s="326">
        <f>Hardboard!$D75*Hardboard!$E75</f>
        <v>0</v>
      </c>
      <c r="G75" s="245"/>
      <c r="H75" s="332" t="str">
        <f>IF($B75= "","-",IF($B75= "External","Specify location tariff", INDEX(Constants!$3:$3,MATCH($B75,Constants!$2:$2,0))))</f>
        <v>-</v>
      </c>
      <c r="I75" s="333" t="str">
        <f t="shared" si="2"/>
        <v>-</v>
      </c>
      <c r="J75" s="247"/>
      <c r="K75" s="613"/>
      <c r="L75" s="562"/>
      <c r="M75" s="562"/>
      <c r="N75" s="562"/>
      <c r="O75" s="614"/>
      <c r="P75" s="566"/>
      <c r="Q75" s="567"/>
      <c r="R75" s="16"/>
      <c r="S75" s="16"/>
      <c r="V75" s="16"/>
      <c r="W75" s="16"/>
      <c r="X75" s="16"/>
      <c r="Y75" s="16"/>
      <c r="Z75" s="16"/>
      <c r="AA75" s="16"/>
    </row>
    <row r="76" spans="1:30" ht="15.75" customHeight="1">
      <c r="A76" s="231"/>
      <c r="B76" s="231"/>
      <c r="C76" s="232"/>
      <c r="D76" s="261"/>
      <c r="E76" s="245"/>
      <c r="F76" s="326">
        <f>Hardboard!$D76*Hardboard!$E76</f>
        <v>0</v>
      </c>
      <c r="G76" s="245"/>
      <c r="H76" s="332" t="str">
        <f>IF($B76= "","-",IF($B76= "External","Specify location tariff", INDEX(Constants!$3:$3,MATCH($B76,Constants!$2:$2,0))))</f>
        <v>-</v>
      </c>
      <c r="I76" s="333" t="str">
        <f t="shared" si="2"/>
        <v>-</v>
      </c>
      <c r="J76" s="247"/>
      <c r="K76" s="613"/>
      <c r="L76" s="562"/>
      <c r="M76" s="562"/>
      <c r="N76" s="562"/>
      <c r="O76" s="614"/>
      <c r="P76" s="566"/>
      <c r="Q76" s="567"/>
      <c r="R76" s="16"/>
      <c r="S76" s="16"/>
      <c r="V76" s="16"/>
      <c r="W76" s="16"/>
      <c r="X76" s="16"/>
      <c r="Y76" s="16"/>
      <c r="Z76" s="16"/>
      <c r="AA76" s="16"/>
    </row>
    <row r="77" spans="1:30" ht="15.75" customHeight="1">
      <c r="A77" s="231"/>
      <c r="B77" s="231"/>
      <c r="C77" s="232"/>
      <c r="D77" s="261"/>
      <c r="E77" s="245"/>
      <c r="F77" s="326">
        <f>Hardboard!$D77*Hardboard!$E77</f>
        <v>0</v>
      </c>
      <c r="G77" s="245"/>
      <c r="H77" s="332" t="str">
        <f>IF($B77= "","-",IF($B77= "External","Specify location tariff", INDEX(Constants!$3:$3,MATCH($B77,Constants!$2:$2,0))))</f>
        <v>-</v>
      </c>
      <c r="I77" s="333" t="str">
        <f t="shared" si="2"/>
        <v>-</v>
      </c>
      <c r="J77" s="247"/>
      <c r="K77" s="613"/>
      <c r="L77" s="562"/>
      <c r="M77" s="562"/>
      <c r="N77" s="562"/>
      <c r="O77" s="614"/>
      <c r="P77" s="566"/>
      <c r="Q77" s="567"/>
      <c r="R77" s="16"/>
      <c r="S77" s="16"/>
      <c r="V77" s="16"/>
      <c r="W77" s="16"/>
      <c r="X77" s="16"/>
      <c r="Y77" s="16"/>
      <c r="Z77" s="16"/>
      <c r="AA77" s="16"/>
    </row>
    <row r="78" spans="1:30" ht="15.75" customHeight="1">
      <c r="A78" s="231"/>
      <c r="B78" s="231"/>
      <c r="C78" s="232"/>
      <c r="D78" s="261"/>
      <c r="E78" s="245"/>
      <c r="F78" s="326">
        <f>Hardboard!$D78*Hardboard!$E78</f>
        <v>0</v>
      </c>
      <c r="G78" s="245"/>
      <c r="H78" s="332" t="str">
        <f>IF($B78= "","-",IF($B78= "External","Specify location tariff", INDEX(Constants!$3:$3,MATCH($B78,Constants!$2:$2,0))))</f>
        <v>-</v>
      </c>
      <c r="I78" s="333" t="str">
        <f t="shared" si="2"/>
        <v>-</v>
      </c>
      <c r="J78" s="247"/>
      <c r="K78" s="613"/>
      <c r="L78" s="562"/>
      <c r="M78" s="562"/>
      <c r="N78" s="562"/>
      <c r="O78" s="614"/>
      <c r="P78" s="566"/>
      <c r="Q78" s="567"/>
      <c r="R78" s="16"/>
      <c r="S78" s="16"/>
      <c r="V78" s="16"/>
      <c r="W78" s="16"/>
      <c r="X78" s="16"/>
      <c r="Y78" s="16"/>
      <c r="Z78" s="16"/>
      <c r="AA78" s="16"/>
    </row>
    <row r="79" spans="1:30" ht="15.75" customHeight="1">
      <c r="A79" s="231"/>
      <c r="B79" s="231"/>
      <c r="C79" s="232"/>
      <c r="D79" s="261"/>
      <c r="E79" s="245"/>
      <c r="F79" s="326">
        <f>Hardboard!$D79*Hardboard!$E79</f>
        <v>0</v>
      </c>
      <c r="G79" s="245"/>
      <c r="H79" s="332" t="str">
        <f>IF($B79= "","-",IF($B79= "External","Specify location tariff", INDEX(Constants!$3:$3,MATCH($B79,Constants!$2:$2,0))))</f>
        <v>-</v>
      </c>
      <c r="I79" s="333" t="str">
        <f t="shared" si="2"/>
        <v>-</v>
      </c>
      <c r="J79" s="247"/>
      <c r="K79" s="613"/>
      <c r="L79" s="562"/>
      <c r="M79" s="562"/>
      <c r="N79" s="562"/>
      <c r="O79" s="614"/>
      <c r="P79" s="566"/>
      <c r="Q79" s="567"/>
      <c r="R79" s="16"/>
      <c r="S79" s="16"/>
      <c r="V79" s="16"/>
      <c r="W79" s="16"/>
      <c r="X79" s="16"/>
      <c r="Y79" s="16"/>
      <c r="Z79" s="16"/>
      <c r="AA79" s="16"/>
    </row>
    <row r="80" spans="1:30" ht="15.75" customHeight="1">
      <c r="A80" s="231"/>
      <c r="B80" s="231"/>
      <c r="C80" s="232"/>
      <c r="D80" s="261"/>
      <c r="E80" s="245"/>
      <c r="F80" s="326">
        <f>Hardboard!$D80*Hardboard!$E80</f>
        <v>0</v>
      </c>
      <c r="G80" s="245"/>
      <c r="H80" s="332" t="str">
        <f>IF($B80= "","-",IF($B80= "External","Specify location tariff", INDEX(Constants!$3:$3,MATCH($B80,Constants!$2:$2,0))))</f>
        <v>-</v>
      </c>
      <c r="I80" s="333" t="str">
        <f t="shared" si="2"/>
        <v>-</v>
      </c>
      <c r="J80" s="247"/>
      <c r="K80" s="613"/>
      <c r="L80" s="562"/>
      <c r="M80" s="562"/>
      <c r="N80" s="562"/>
      <c r="O80" s="614"/>
      <c r="P80" s="566"/>
      <c r="Q80" s="567"/>
      <c r="R80" s="16"/>
      <c r="S80" s="16"/>
      <c r="V80" s="16"/>
      <c r="W80" s="16"/>
      <c r="X80" s="16"/>
      <c r="Y80" s="16"/>
      <c r="Z80" s="16"/>
      <c r="AA80" s="16"/>
    </row>
    <row r="81" spans="1:30" ht="15.75" customHeight="1">
      <c r="A81" s="231"/>
      <c r="B81" s="231"/>
      <c r="C81" s="232"/>
      <c r="D81" s="261"/>
      <c r="E81" s="245"/>
      <c r="F81" s="326">
        <f>Hardboard!$D81*Hardboard!$E81</f>
        <v>0</v>
      </c>
      <c r="G81" s="245"/>
      <c r="H81" s="332" t="str">
        <f>IF($B81= "","-",IF($B81= "External","Specify location tariff", INDEX(Constants!$3:$3,MATCH($B81,Constants!$2:$2,0))))</f>
        <v>-</v>
      </c>
      <c r="I81" s="333" t="str">
        <f t="shared" si="2"/>
        <v>-</v>
      </c>
      <c r="J81" s="247"/>
      <c r="K81" s="613"/>
      <c r="L81" s="562"/>
      <c r="M81" s="562"/>
      <c r="N81" s="562"/>
      <c r="O81" s="614"/>
      <c r="P81" s="566"/>
      <c r="Q81" s="567"/>
      <c r="R81" s="16"/>
      <c r="S81" s="16"/>
      <c r="V81" s="16"/>
      <c r="W81" s="16"/>
      <c r="X81" s="16"/>
      <c r="Y81" s="16"/>
      <c r="Z81" s="16"/>
      <c r="AA81" s="16"/>
    </row>
    <row r="82" spans="1:30" ht="15.75" customHeight="1">
      <c r="A82" s="231"/>
      <c r="B82" s="231"/>
      <c r="C82" s="232"/>
      <c r="D82" s="261"/>
      <c r="E82" s="245"/>
      <c r="F82" s="326">
        <f>Hardboard!$D82*Hardboard!$E82</f>
        <v>0</v>
      </c>
      <c r="G82" s="245"/>
      <c r="H82" s="332" t="str">
        <f>IF($B82= "","-",IF($B82= "External","Specify location tariff", INDEX(Constants!$3:$3,MATCH($B82,Constants!$2:$2,0))))</f>
        <v>-</v>
      </c>
      <c r="I82" s="333" t="str">
        <f t="shared" si="2"/>
        <v>-</v>
      </c>
      <c r="J82" s="247"/>
      <c r="K82" s="613"/>
      <c r="L82" s="562"/>
      <c r="M82" s="562"/>
      <c r="N82" s="562"/>
      <c r="O82" s="614"/>
      <c r="P82" s="566"/>
      <c r="Q82" s="567"/>
      <c r="R82" s="16"/>
      <c r="S82" s="16"/>
      <c r="V82" s="16"/>
      <c r="W82" s="16"/>
      <c r="X82" s="16"/>
      <c r="Y82" s="16"/>
      <c r="Z82" s="16"/>
      <c r="AA82" s="16"/>
    </row>
    <row r="83" spans="1:30" ht="15.75" customHeight="1">
      <c r="A83" s="231"/>
      <c r="B83" s="231"/>
      <c r="C83" s="232"/>
      <c r="D83" s="261"/>
      <c r="E83" s="245"/>
      <c r="F83" s="326">
        <f>Hardboard!$D83*Hardboard!$E83</f>
        <v>0</v>
      </c>
      <c r="G83" s="245"/>
      <c r="H83" s="332" t="str">
        <f>IF($B83= "","-",IF($B83= "External","Specify location tariff", INDEX(Constants!$3:$3,MATCH($B83,Constants!$2:$2,0))))</f>
        <v>-</v>
      </c>
      <c r="I83" s="333" t="str">
        <f t="shared" si="2"/>
        <v>-</v>
      </c>
      <c r="J83" s="247"/>
      <c r="K83" s="613"/>
      <c r="L83" s="562"/>
      <c r="M83" s="562"/>
      <c r="N83" s="562"/>
      <c r="O83" s="614"/>
      <c r="P83" s="566"/>
      <c r="Q83" s="567"/>
      <c r="R83" s="16"/>
      <c r="S83" s="16"/>
      <c r="V83" s="16"/>
      <c r="W83" s="16"/>
      <c r="X83" s="16"/>
      <c r="Y83" s="16"/>
      <c r="Z83" s="16"/>
      <c r="AA83" s="16"/>
    </row>
    <row r="84" spans="1:30" ht="15.75" customHeight="1">
      <c r="A84" s="231"/>
      <c r="B84" s="231"/>
      <c r="C84" s="232"/>
      <c r="D84" s="261"/>
      <c r="E84" s="245"/>
      <c r="F84" s="326">
        <f>Hardboard!$D84*Hardboard!$E84</f>
        <v>0</v>
      </c>
      <c r="G84" s="245"/>
      <c r="H84" s="332" t="str">
        <f>IF($B84= "","-",IF($B84= "External","Specify location tariff", INDEX(Constants!$3:$3,MATCH($B84,Constants!$2:$2,0))))</f>
        <v>-</v>
      </c>
      <c r="I84" s="333" t="str">
        <f t="shared" si="2"/>
        <v>-</v>
      </c>
      <c r="J84" s="247"/>
      <c r="K84" s="613"/>
      <c r="L84" s="562"/>
      <c r="M84" s="562"/>
      <c r="N84" s="562"/>
      <c r="O84" s="614"/>
      <c r="P84" s="566"/>
      <c r="Q84" s="567"/>
      <c r="R84" s="16"/>
      <c r="S84" s="16"/>
      <c r="V84" s="16"/>
      <c r="W84" s="16"/>
      <c r="X84" s="16"/>
      <c r="Y84" s="16"/>
      <c r="Z84" s="16"/>
      <c r="AA84" s="16"/>
    </row>
    <row r="85" spans="1:30" ht="15.75" customHeight="1">
      <c r="A85" s="231"/>
      <c r="B85" s="231"/>
      <c r="C85" s="232"/>
      <c r="D85" s="261"/>
      <c r="E85" s="245"/>
      <c r="F85" s="326">
        <f>Hardboard!$D85*Hardboard!$E85</f>
        <v>0</v>
      </c>
      <c r="G85" s="245"/>
      <c r="H85" s="332" t="str">
        <f>IF($B85= "","-",IF($B85= "External","Specify location tariff", INDEX(Constants!$3:$3,MATCH($B85,Constants!$2:$2,0))))</f>
        <v>-</v>
      </c>
      <c r="I85" s="333" t="str">
        <f t="shared" si="2"/>
        <v>-</v>
      </c>
      <c r="J85" s="247"/>
      <c r="K85" s="613"/>
      <c r="L85" s="562"/>
      <c r="M85" s="562"/>
      <c r="N85" s="562"/>
      <c r="O85" s="614"/>
      <c r="P85" s="566"/>
      <c r="Q85" s="567"/>
      <c r="R85" s="16"/>
      <c r="S85" s="16"/>
      <c r="V85" s="16"/>
      <c r="W85" s="16"/>
      <c r="X85" s="16"/>
      <c r="Y85" s="16"/>
      <c r="Z85" s="16"/>
      <c r="AA85" s="16"/>
    </row>
    <row r="86" spans="1:30" ht="15.75" customHeight="1">
      <c r="A86" s="231"/>
      <c r="B86" s="231"/>
      <c r="C86" s="232"/>
      <c r="D86" s="261"/>
      <c r="E86" s="245"/>
      <c r="F86" s="326">
        <f>Hardboard!$D86*Hardboard!$E86</f>
        <v>0</v>
      </c>
      <c r="G86" s="245"/>
      <c r="H86" s="332" t="str">
        <f>IF($B86= "","-",IF($B86= "External","Specify location tariff", INDEX(Constants!$3:$3,MATCH($B86,Constants!$2:$2,0))))</f>
        <v>-</v>
      </c>
      <c r="I86" s="333" t="str">
        <f t="shared" si="2"/>
        <v>-</v>
      </c>
      <c r="J86" s="247"/>
      <c r="K86" s="613"/>
      <c r="L86" s="562"/>
      <c r="M86" s="562"/>
      <c r="N86" s="562"/>
      <c r="O86" s="614"/>
      <c r="P86" s="566"/>
      <c r="Q86" s="567"/>
      <c r="R86" s="16"/>
      <c r="S86" s="16"/>
      <c r="V86" s="16"/>
      <c r="W86" s="16"/>
      <c r="X86" s="16"/>
      <c r="Y86" s="16"/>
      <c r="Z86" s="16"/>
      <c r="AA86" s="16"/>
    </row>
    <row r="87" spans="1:30" ht="15.75" customHeight="1" thickBot="1">
      <c r="A87" s="231"/>
      <c r="B87" s="231"/>
      <c r="C87" s="232"/>
      <c r="D87" s="261"/>
      <c r="E87" s="245"/>
      <c r="F87" s="326">
        <f>Hardboard!$D87*Hardboard!$E87</f>
        <v>0</v>
      </c>
      <c r="G87" s="245"/>
      <c r="H87" s="332" t="str">
        <f>IF($B87= "","-",IF($B87= "External","Specify location tariff", INDEX(Constants!$3:$3,MATCH($B87,Constants!$2:$2,0))))</f>
        <v>-</v>
      </c>
      <c r="I87" s="333" t="str">
        <f t="shared" si="2"/>
        <v>-</v>
      </c>
      <c r="J87" s="247"/>
      <c r="K87" s="615"/>
      <c r="L87" s="616"/>
      <c r="M87" s="616"/>
      <c r="N87" s="616"/>
      <c r="O87" s="617"/>
      <c r="P87" s="568"/>
      <c r="Q87" s="569"/>
      <c r="R87" s="16"/>
      <c r="S87" s="16"/>
      <c r="V87" s="16"/>
      <c r="W87" s="16"/>
      <c r="X87" s="16"/>
      <c r="Y87" s="16"/>
      <c r="Z87" s="16"/>
      <c r="AA87" s="16"/>
    </row>
    <row r="88" spans="1:30" ht="15.75" customHeight="1" thickTop="1">
      <c r="A88" s="15"/>
      <c r="B88" s="16"/>
      <c r="C88" s="16"/>
      <c r="D88" s="16"/>
      <c r="E88" s="16"/>
      <c r="F88" s="16"/>
      <c r="G88" s="16"/>
      <c r="H88" s="16"/>
      <c r="I88" s="16"/>
      <c r="J88" s="16"/>
      <c r="K88" s="16"/>
      <c r="L88" s="16"/>
      <c r="M88" s="16"/>
      <c r="N88" s="16"/>
      <c r="O88" s="16"/>
      <c r="P88" s="16"/>
      <c r="Q88" s="16"/>
      <c r="R88" s="16"/>
      <c r="S88" s="16"/>
      <c r="T88" s="16"/>
      <c r="U88" s="16"/>
      <c r="V88" s="16"/>
      <c r="W88" s="16"/>
      <c r="X88" s="16"/>
      <c r="Y88" s="16"/>
      <c r="Z88" s="16"/>
      <c r="AA88" s="16"/>
      <c r="AB88" s="16"/>
      <c r="AC88" s="16"/>
      <c r="AD88" s="16"/>
    </row>
    <row r="89" spans="1:30" ht="15.75" customHeight="1">
      <c r="A89" s="15"/>
      <c r="B89" s="16"/>
      <c r="C89" s="16"/>
      <c r="D89" s="16"/>
      <c r="E89" s="16"/>
      <c r="F89" s="16"/>
      <c r="G89" s="16"/>
      <c r="H89" s="16"/>
      <c r="I89" s="16"/>
      <c r="J89" s="16"/>
      <c r="K89" s="16"/>
      <c r="L89" s="16"/>
      <c r="M89" s="16"/>
      <c r="N89" s="16"/>
      <c r="O89" s="16"/>
      <c r="P89" s="16"/>
      <c r="Q89" s="16"/>
      <c r="R89" s="16"/>
      <c r="S89" s="16"/>
      <c r="T89" s="16"/>
      <c r="U89" s="16"/>
      <c r="V89" s="16"/>
      <c r="W89" s="16"/>
      <c r="X89" s="16"/>
      <c r="Y89" s="16"/>
      <c r="Z89" s="16"/>
      <c r="AA89" s="16"/>
      <c r="AB89" s="16"/>
      <c r="AC89" s="16"/>
      <c r="AD89" s="16"/>
    </row>
    <row r="90" spans="1:30" ht="15.75" customHeight="1" thickBot="1">
      <c r="A90" s="186" t="s">
        <v>519</v>
      </c>
      <c r="B90" s="16"/>
      <c r="C90" s="128"/>
      <c r="D90" s="51"/>
      <c r="E90" s="51"/>
      <c r="F90" s="51"/>
      <c r="G90" s="51"/>
      <c r="H90" s="51"/>
      <c r="I90" s="51"/>
      <c r="J90" s="51"/>
      <c r="K90" s="51"/>
      <c r="L90" s="232"/>
      <c r="M90" s="231"/>
      <c r="N90" s="16"/>
      <c r="O90" s="16"/>
      <c r="P90" s="16"/>
      <c r="Q90" s="16"/>
      <c r="R90" s="16"/>
      <c r="S90" s="16"/>
      <c r="T90" s="16"/>
      <c r="U90" s="16"/>
      <c r="V90" s="16"/>
      <c r="W90" s="16"/>
      <c r="X90" s="16"/>
      <c r="Y90" s="16"/>
      <c r="Z90" s="16"/>
      <c r="AA90" s="16"/>
      <c r="AB90" s="16"/>
      <c r="AC90" s="16"/>
      <c r="AD90" s="16"/>
    </row>
    <row r="91" spans="1:30" ht="15" customHeight="1" thickTop="1" thickBot="1">
      <c r="A91" s="230" t="s">
        <v>438</v>
      </c>
      <c r="B91" s="230" t="s">
        <v>439</v>
      </c>
      <c r="C91" s="230" t="s">
        <v>520</v>
      </c>
      <c r="D91" s="230" t="s">
        <v>521</v>
      </c>
      <c r="E91" s="230" t="s">
        <v>522</v>
      </c>
      <c r="F91" s="230" t="s">
        <v>523</v>
      </c>
      <c r="G91" s="230" t="s">
        <v>508</v>
      </c>
      <c r="H91" s="721" t="s">
        <v>441</v>
      </c>
      <c r="I91" s="728"/>
      <c r="J91" s="729" t="s">
        <v>434</v>
      </c>
      <c r="K91" s="730"/>
      <c r="L91" s="16"/>
      <c r="M91" s="16"/>
      <c r="N91" s="16"/>
      <c r="O91" s="16"/>
      <c r="P91" s="117"/>
      <c r="Q91" s="15"/>
      <c r="R91" s="16"/>
      <c r="S91" s="130"/>
      <c r="T91" s="16"/>
      <c r="U91" s="16"/>
      <c r="V91" s="16"/>
      <c r="W91" s="241"/>
      <c r="X91" s="16"/>
      <c r="Y91" s="16"/>
      <c r="Z91" s="16"/>
      <c r="AA91" s="16"/>
      <c r="AB91" s="16"/>
    </row>
    <row r="92" spans="1:30" ht="15" customHeight="1" thickTop="1">
      <c r="A92" s="230" t="s">
        <v>1035</v>
      </c>
      <c r="B92" s="231"/>
      <c r="C92" s="246"/>
      <c r="D92" s="326"/>
      <c r="E92" s="245"/>
      <c r="F92" s="246"/>
      <c r="G92" s="247"/>
      <c r="H92" s="606"/>
      <c r="I92" s="595"/>
      <c r="J92" s="576" t="s">
        <v>526</v>
      </c>
      <c r="K92" s="577"/>
      <c r="L92" s="16"/>
      <c r="M92" s="16"/>
      <c r="N92" s="16"/>
      <c r="O92" s="16"/>
      <c r="P92" s="117"/>
      <c r="Q92" s="15"/>
      <c r="R92" s="16"/>
      <c r="S92" s="130"/>
      <c r="T92" s="16"/>
      <c r="U92" s="16"/>
      <c r="V92" s="16"/>
      <c r="W92" s="241"/>
      <c r="X92" s="16"/>
      <c r="Y92" s="16"/>
      <c r="Z92" s="16"/>
      <c r="AA92" s="16"/>
      <c r="AB92" s="16"/>
    </row>
    <row r="93" spans="1:30" ht="15" customHeight="1">
      <c r="A93" s="244" t="s">
        <v>1036</v>
      </c>
      <c r="B93" s="244" t="s">
        <v>687</v>
      </c>
      <c r="C93" s="339">
        <v>375</v>
      </c>
      <c r="D93" s="394">
        <v>5</v>
      </c>
      <c r="E93" s="338">
        <v>18</v>
      </c>
      <c r="F93" s="339">
        <v>1350</v>
      </c>
      <c r="G93" s="410" t="s">
        <v>1037</v>
      </c>
      <c r="H93" s="589"/>
      <c r="I93" s="597"/>
      <c r="J93" s="578"/>
      <c r="K93" s="579"/>
      <c r="L93" s="16"/>
      <c r="M93" s="16"/>
      <c r="N93" s="16"/>
      <c r="O93" s="16"/>
      <c r="P93" s="117"/>
      <c r="Q93" s="15"/>
      <c r="R93" s="16"/>
      <c r="S93" s="130"/>
      <c r="T93" s="16"/>
      <c r="U93" s="16"/>
      <c r="V93" s="16"/>
      <c r="W93" s="241"/>
      <c r="X93" s="16"/>
      <c r="Y93" s="16"/>
      <c r="Z93" s="16"/>
      <c r="AA93" s="16"/>
      <c r="AB93" s="16"/>
    </row>
    <row r="94" spans="1:30" ht="15" customHeight="1">
      <c r="A94" s="244" t="s">
        <v>1038</v>
      </c>
      <c r="B94" s="244" t="s">
        <v>687</v>
      </c>
      <c r="C94" s="339">
        <v>200</v>
      </c>
      <c r="D94" s="394">
        <v>2</v>
      </c>
      <c r="E94" s="338">
        <v>18</v>
      </c>
      <c r="F94" s="339">
        <v>1800</v>
      </c>
      <c r="G94" s="410"/>
      <c r="H94" s="589"/>
      <c r="I94" s="597"/>
      <c r="J94" s="578"/>
      <c r="K94" s="579"/>
      <c r="L94" s="16"/>
      <c r="M94" s="16"/>
      <c r="N94" s="16"/>
      <c r="O94" s="16"/>
      <c r="P94" s="117"/>
      <c r="Q94" s="15"/>
      <c r="R94" s="16"/>
      <c r="S94" s="130"/>
      <c r="T94" s="16"/>
      <c r="U94" s="16"/>
      <c r="V94" s="16"/>
      <c r="W94" s="241"/>
      <c r="X94" s="16"/>
      <c r="Y94" s="16"/>
      <c r="Z94" s="16"/>
      <c r="AA94" s="16"/>
      <c r="AB94" s="16"/>
    </row>
    <row r="95" spans="1:30" ht="15" customHeight="1">
      <c r="A95" s="244" t="s">
        <v>1039</v>
      </c>
      <c r="B95" s="244" t="s">
        <v>699</v>
      </c>
      <c r="C95" s="331"/>
      <c r="D95" s="404"/>
      <c r="E95" s="337"/>
      <c r="F95" s="339">
        <v>100</v>
      </c>
      <c r="G95" s="410"/>
      <c r="H95" s="589"/>
      <c r="I95" s="597"/>
      <c r="J95" s="578"/>
      <c r="K95" s="579"/>
      <c r="L95" s="16"/>
      <c r="M95" s="16"/>
      <c r="N95" s="16"/>
      <c r="O95" s="16"/>
      <c r="P95" s="117"/>
      <c r="Q95" s="15"/>
      <c r="R95" s="16"/>
      <c r="S95" s="130"/>
      <c r="T95" s="16"/>
      <c r="U95" s="16"/>
      <c r="V95" s="16"/>
      <c r="W95" s="241"/>
      <c r="X95" s="16"/>
      <c r="Y95" s="16"/>
      <c r="Z95" s="16"/>
      <c r="AA95" s="16"/>
      <c r="AB95" s="16"/>
    </row>
    <row r="96" spans="1:30" ht="15" customHeight="1">
      <c r="A96" s="230"/>
      <c r="B96" s="231"/>
      <c r="C96" s="246"/>
      <c r="D96" s="326"/>
      <c r="E96" s="245"/>
      <c r="F96" s="246"/>
      <c r="G96" s="410"/>
      <c r="H96" s="589"/>
      <c r="I96" s="597"/>
      <c r="J96" s="578"/>
      <c r="K96" s="579"/>
      <c r="L96" s="16"/>
      <c r="M96" s="16"/>
      <c r="N96" s="16"/>
      <c r="O96" s="16"/>
      <c r="P96" s="117"/>
      <c r="Q96" s="15"/>
      <c r="R96" s="16"/>
      <c r="S96" s="130"/>
      <c r="T96" s="16"/>
      <c r="U96" s="16"/>
      <c r="V96" s="16"/>
      <c r="W96" s="241"/>
      <c r="X96" s="16"/>
      <c r="Y96" s="16"/>
      <c r="Z96" s="16"/>
      <c r="AA96" s="16"/>
      <c r="AB96" s="16"/>
    </row>
    <row r="97" spans="1:28" ht="15" customHeight="1">
      <c r="A97" s="230" t="s">
        <v>1040</v>
      </c>
      <c r="B97" s="231"/>
      <c r="C97" s="246"/>
      <c r="D97" s="326"/>
      <c r="E97" s="245"/>
      <c r="F97" s="246"/>
      <c r="G97" s="410"/>
      <c r="H97" s="589"/>
      <c r="I97" s="597"/>
      <c r="J97" s="578"/>
      <c r="K97" s="579"/>
      <c r="L97" s="16"/>
      <c r="M97" s="16"/>
      <c r="N97" s="16"/>
      <c r="O97" s="16"/>
      <c r="P97" s="117"/>
      <c r="Q97" s="15"/>
      <c r="R97" s="16"/>
      <c r="S97" s="130"/>
      <c r="T97" s="16"/>
      <c r="U97" s="16"/>
      <c r="V97" s="16"/>
      <c r="W97" s="241"/>
      <c r="X97" s="16"/>
      <c r="Y97" s="16"/>
      <c r="Z97" s="16"/>
      <c r="AA97" s="16"/>
      <c r="AB97" s="16"/>
    </row>
    <row r="98" spans="1:28" ht="15" customHeight="1">
      <c r="A98" s="244" t="s">
        <v>1036</v>
      </c>
      <c r="B98" s="244" t="s">
        <v>687</v>
      </c>
      <c r="C98" s="339">
        <v>700</v>
      </c>
      <c r="D98" s="394">
        <v>5</v>
      </c>
      <c r="E98" s="338">
        <v>15</v>
      </c>
      <c r="F98" s="339">
        <v>2100</v>
      </c>
      <c r="G98" s="410" t="s">
        <v>1041</v>
      </c>
      <c r="H98" s="589"/>
      <c r="I98" s="597"/>
      <c r="J98" s="578"/>
      <c r="K98" s="579"/>
      <c r="L98" s="16"/>
      <c r="M98" s="16"/>
      <c r="N98" s="16"/>
      <c r="O98" s="16"/>
      <c r="P98" s="117"/>
      <c r="Q98" s="15"/>
      <c r="R98" s="16"/>
      <c r="S98" s="130"/>
      <c r="T98" s="16"/>
      <c r="U98" s="16"/>
      <c r="V98" s="16"/>
      <c r="W98" s="241"/>
      <c r="X98" s="16"/>
      <c r="Y98" s="16"/>
      <c r="Z98" s="16"/>
      <c r="AA98" s="16"/>
      <c r="AB98" s="16"/>
    </row>
    <row r="99" spans="1:28" ht="15" customHeight="1">
      <c r="A99" s="244" t="s">
        <v>1042</v>
      </c>
      <c r="B99" s="244" t="s">
        <v>687</v>
      </c>
      <c r="C99" s="339">
        <v>400</v>
      </c>
      <c r="D99" s="394">
        <v>5</v>
      </c>
      <c r="E99" s="338">
        <v>20</v>
      </c>
      <c r="F99" s="339">
        <v>1600</v>
      </c>
      <c r="G99" s="410"/>
      <c r="H99" s="589"/>
      <c r="I99" s="597"/>
      <c r="J99" s="578"/>
      <c r="K99" s="579"/>
      <c r="L99" s="16"/>
      <c r="M99" s="16"/>
      <c r="N99" s="16"/>
      <c r="O99" s="16"/>
      <c r="P99" s="117"/>
      <c r="Q99" s="15"/>
      <c r="R99" s="16"/>
      <c r="S99" s="130"/>
      <c r="T99" s="16"/>
      <c r="U99" s="16"/>
      <c r="V99" s="16"/>
      <c r="W99" s="241"/>
      <c r="X99" s="16"/>
      <c r="Y99" s="16"/>
      <c r="Z99" s="16"/>
      <c r="AA99" s="16"/>
      <c r="AB99" s="16"/>
    </row>
    <row r="100" spans="1:28" ht="15" customHeight="1">
      <c r="A100" s="244" t="s">
        <v>1043</v>
      </c>
      <c r="B100" s="244" t="s">
        <v>687</v>
      </c>
      <c r="C100" s="339">
        <v>200</v>
      </c>
      <c r="D100" s="394">
        <v>2</v>
      </c>
      <c r="E100" s="338">
        <v>10</v>
      </c>
      <c r="F100" s="339">
        <v>1000</v>
      </c>
      <c r="G100" s="410"/>
      <c r="H100" s="589"/>
      <c r="I100" s="597"/>
      <c r="J100" s="578"/>
      <c r="K100" s="579"/>
      <c r="L100" s="16"/>
      <c r="M100" s="16"/>
      <c r="N100" s="16"/>
      <c r="O100" s="16"/>
      <c r="P100" s="117"/>
      <c r="Q100" s="15"/>
      <c r="R100" s="16"/>
      <c r="S100" s="130"/>
      <c r="T100" s="16"/>
      <c r="U100" s="16"/>
      <c r="V100" s="16"/>
      <c r="W100" s="241"/>
      <c r="X100" s="16"/>
      <c r="Y100" s="16"/>
      <c r="Z100" s="16"/>
      <c r="AA100" s="16"/>
      <c r="AB100" s="16"/>
    </row>
    <row r="101" spans="1:28" ht="15" customHeight="1">
      <c r="A101" s="244" t="s">
        <v>1044</v>
      </c>
      <c r="B101" s="244" t="s">
        <v>687</v>
      </c>
      <c r="C101" s="339">
        <v>300</v>
      </c>
      <c r="D101" s="394">
        <v>7</v>
      </c>
      <c r="E101" s="338">
        <v>10</v>
      </c>
      <c r="F101" s="339">
        <v>428</v>
      </c>
      <c r="G101" s="410"/>
      <c r="H101" s="589"/>
      <c r="I101" s="597"/>
      <c r="J101" s="578"/>
      <c r="K101" s="579"/>
      <c r="L101" s="16"/>
      <c r="M101" s="16"/>
      <c r="N101" s="16"/>
      <c r="O101" s="16"/>
      <c r="P101" s="117"/>
      <c r="Q101" s="15"/>
      <c r="R101" s="16"/>
      <c r="S101" s="130"/>
      <c r="T101" s="16"/>
      <c r="U101" s="16"/>
      <c r="V101" s="16"/>
      <c r="W101" s="241"/>
      <c r="X101" s="16"/>
      <c r="Y101" s="16"/>
      <c r="Z101" s="16"/>
      <c r="AA101" s="16"/>
      <c r="AB101" s="16"/>
    </row>
    <row r="102" spans="1:28" ht="15" customHeight="1">
      <c r="A102" s="244" t="s">
        <v>1045</v>
      </c>
      <c r="B102" s="244" t="s">
        <v>687</v>
      </c>
      <c r="C102" s="339">
        <v>100</v>
      </c>
      <c r="D102" s="394">
        <v>3</v>
      </c>
      <c r="E102" s="338">
        <v>10</v>
      </c>
      <c r="F102" s="339">
        <v>333</v>
      </c>
      <c r="G102" s="410"/>
      <c r="H102" s="589"/>
      <c r="I102" s="597"/>
      <c r="J102" s="578"/>
      <c r="K102" s="579"/>
      <c r="L102" s="16"/>
      <c r="M102" s="16"/>
      <c r="N102" s="16"/>
      <c r="O102" s="16"/>
      <c r="P102" s="117"/>
      <c r="Q102" s="15"/>
      <c r="R102" s="16"/>
      <c r="S102" s="130"/>
      <c r="T102" s="16"/>
      <c r="U102" s="16"/>
      <c r="V102" s="16"/>
      <c r="W102" s="241"/>
      <c r="X102" s="16"/>
      <c r="Y102" s="16"/>
      <c r="Z102" s="16"/>
      <c r="AA102" s="16"/>
      <c r="AB102" s="16"/>
    </row>
    <row r="103" spans="1:28" ht="15" customHeight="1">
      <c r="A103" s="244" t="s">
        <v>1046</v>
      </c>
      <c r="B103" s="244" t="s">
        <v>687</v>
      </c>
      <c r="C103" s="339">
        <v>50</v>
      </c>
      <c r="D103" s="394">
        <v>3</v>
      </c>
      <c r="E103" s="338">
        <v>10</v>
      </c>
      <c r="F103" s="339">
        <v>167</v>
      </c>
      <c r="G103" s="410"/>
      <c r="H103" s="589"/>
      <c r="I103" s="597"/>
      <c r="J103" s="578"/>
      <c r="K103" s="579"/>
      <c r="L103" s="16"/>
      <c r="M103" s="16"/>
      <c r="N103" s="16"/>
      <c r="O103" s="16"/>
      <c r="P103" s="117"/>
      <c r="Q103" s="15"/>
      <c r="R103" s="16"/>
      <c r="S103" s="130"/>
      <c r="T103" s="16"/>
      <c r="U103" s="16"/>
      <c r="V103" s="16"/>
      <c r="W103" s="241"/>
      <c r="X103" s="16"/>
      <c r="Y103" s="16"/>
      <c r="Z103" s="16"/>
      <c r="AA103" s="16"/>
      <c r="AB103" s="16"/>
    </row>
    <row r="104" spans="1:28" ht="15" customHeight="1">
      <c r="A104" s="244" t="s">
        <v>1047</v>
      </c>
      <c r="B104" s="244" t="s">
        <v>687</v>
      </c>
      <c r="C104" s="339">
        <v>70</v>
      </c>
      <c r="D104" s="394">
        <v>3</v>
      </c>
      <c r="E104" s="338">
        <v>10</v>
      </c>
      <c r="F104" s="339">
        <v>233</v>
      </c>
      <c r="G104" s="410"/>
      <c r="H104" s="589"/>
      <c r="I104" s="597"/>
      <c r="J104" s="578"/>
      <c r="K104" s="579"/>
      <c r="L104" s="16"/>
      <c r="M104" s="16"/>
      <c r="N104" s="16"/>
      <c r="O104" s="16"/>
      <c r="P104" s="117"/>
      <c r="Q104" s="15"/>
      <c r="R104" s="16"/>
      <c r="S104" s="130"/>
      <c r="T104" s="16"/>
      <c r="U104" s="16"/>
      <c r="V104" s="16"/>
      <c r="W104" s="241"/>
      <c r="X104" s="16"/>
      <c r="Y104" s="16"/>
      <c r="Z104" s="16"/>
      <c r="AA104" s="16"/>
      <c r="AB104" s="16"/>
    </row>
    <row r="105" spans="1:28" ht="15" customHeight="1">
      <c r="A105" s="244" t="s">
        <v>1048</v>
      </c>
      <c r="B105" s="244" t="s">
        <v>699</v>
      </c>
      <c r="C105" s="339">
        <v>100</v>
      </c>
      <c r="D105" s="394">
        <v>1</v>
      </c>
      <c r="E105" s="338">
        <v>1</v>
      </c>
      <c r="F105" s="339">
        <v>100</v>
      </c>
      <c r="G105" s="410"/>
      <c r="H105" s="589"/>
      <c r="I105" s="597"/>
      <c r="J105" s="578"/>
      <c r="K105" s="579"/>
      <c r="L105" s="16"/>
      <c r="M105" s="16"/>
      <c r="N105" s="16"/>
      <c r="O105" s="16"/>
      <c r="P105" s="117"/>
      <c r="Q105" s="15"/>
      <c r="R105" s="16"/>
      <c r="S105" s="130"/>
      <c r="T105" s="16"/>
      <c r="U105" s="16"/>
      <c r="V105" s="16"/>
      <c r="W105" s="241"/>
      <c r="X105" s="16"/>
      <c r="Y105" s="16"/>
      <c r="Z105" s="16"/>
      <c r="AA105" s="16"/>
      <c r="AB105" s="16"/>
    </row>
    <row r="106" spans="1:28" ht="15" customHeight="1">
      <c r="A106" s="244" t="s">
        <v>1049</v>
      </c>
      <c r="B106" s="244" t="s">
        <v>699</v>
      </c>
      <c r="C106" s="339">
        <v>100</v>
      </c>
      <c r="D106" s="394">
        <v>1</v>
      </c>
      <c r="E106" s="338">
        <v>1</v>
      </c>
      <c r="F106" s="339">
        <v>100</v>
      </c>
      <c r="G106" s="410"/>
      <c r="H106" s="589"/>
      <c r="I106" s="597"/>
      <c r="J106" s="578"/>
      <c r="K106" s="579"/>
      <c r="L106" s="16"/>
      <c r="M106" s="16"/>
      <c r="N106" s="16"/>
      <c r="O106" s="16"/>
      <c r="P106" s="117"/>
      <c r="Q106" s="15"/>
      <c r="R106" s="16"/>
      <c r="S106" s="130"/>
      <c r="T106" s="16"/>
      <c r="U106" s="16"/>
      <c r="V106" s="16"/>
      <c r="W106" s="241"/>
      <c r="X106" s="16"/>
      <c r="Y106" s="16"/>
      <c r="Z106" s="16"/>
      <c r="AA106" s="16"/>
      <c r="AB106" s="16"/>
    </row>
    <row r="107" spans="1:28" ht="15" customHeight="1">
      <c r="A107" s="231"/>
      <c r="B107" s="231"/>
      <c r="C107" s="246"/>
      <c r="D107" s="326"/>
      <c r="E107" s="245"/>
      <c r="F107" s="246"/>
      <c r="G107" s="410"/>
      <c r="H107" s="589"/>
      <c r="I107" s="597"/>
      <c r="J107" s="578"/>
      <c r="K107" s="579"/>
      <c r="L107" s="16"/>
      <c r="M107" s="16"/>
      <c r="N107" s="16"/>
      <c r="O107" s="16"/>
      <c r="P107" s="117"/>
      <c r="Q107" s="15"/>
      <c r="R107" s="16"/>
      <c r="S107" s="130"/>
      <c r="T107" s="16"/>
      <c r="U107" s="16"/>
      <c r="V107" s="16"/>
      <c r="W107" s="241"/>
      <c r="X107" s="16"/>
      <c r="Y107" s="16"/>
      <c r="Z107" s="16"/>
      <c r="AA107" s="16"/>
      <c r="AB107" s="16"/>
    </row>
    <row r="108" spans="1:28" ht="15" customHeight="1">
      <c r="A108" s="230" t="s">
        <v>1050</v>
      </c>
      <c r="B108" s="231"/>
      <c r="C108" s="246"/>
      <c r="D108" s="326"/>
      <c r="E108" s="245"/>
      <c r="F108" s="246"/>
      <c r="G108" s="410"/>
      <c r="H108" s="589"/>
      <c r="I108" s="597"/>
      <c r="J108" s="578"/>
      <c r="K108" s="579"/>
      <c r="L108" s="16"/>
      <c r="M108" s="16"/>
      <c r="N108" s="16"/>
      <c r="O108" s="16"/>
      <c r="P108" s="117"/>
      <c r="Q108" s="15"/>
      <c r="R108" s="16"/>
      <c r="S108" s="130"/>
      <c r="T108" s="16"/>
      <c r="U108" s="16"/>
      <c r="V108" s="16"/>
      <c r="W108" s="241"/>
      <c r="X108" s="16"/>
      <c r="Y108" s="16"/>
      <c r="Z108" s="16"/>
      <c r="AA108" s="16"/>
      <c r="AB108" s="16"/>
    </row>
    <row r="109" spans="1:28" ht="15" customHeight="1">
      <c r="A109" s="244" t="s">
        <v>1036</v>
      </c>
      <c r="B109" s="244" t="s">
        <v>687</v>
      </c>
      <c r="C109" s="339">
        <v>400</v>
      </c>
      <c r="D109" s="394">
        <v>8</v>
      </c>
      <c r="E109" s="338">
        <v>18</v>
      </c>
      <c r="F109" s="339">
        <v>900</v>
      </c>
      <c r="G109" s="410" t="s">
        <v>1051</v>
      </c>
      <c r="H109" s="589"/>
      <c r="I109" s="597"/>
      <c r="J109" s="578"/>
      <c r="K109" s="579"/>
      <c r="L109" s="16"/>
      <c r="M109" s="16"/>
      <c r="N109" s="16"/>
      <c r="O109" s="16"/>
      <c r="P109" s="117"/>
      <c r="Q109" s="15"/>
      <c r="R109" s="16"/>
      <c r="S109" s="130"/>
      <c r="T109" s="16"/>
      <c r="U109" s="16"/>
      <c r="V109" s="16"/>
      <c r="W109" s="241"/>
      <c r="X109" s="16"/>
      <c r="Y109" s="16"/>
      <c r="Z109" s="16"/>
      <c r="AA109" s="16"/>
      <c r="AB109" s="16"/>
    </row>
    <row r="110" spans="1:28" ht="15" customHeight="1">
      <c r="A110" s="244" t="s">
        <v>1052</v>
      </c>
      <c r="B110" s="244" t="s">
        <v>687</v>
      </c>
      <c r="C110" s="339">
        <v>1000</v>
      </c>
      <c r="D110" s="394">
        <v>6</v>
      </c>
      <c r="E110" s="338">
        <v>33</v>
      </c>
      <c r="F110" s="339">
        <v>5500</v>
      </c>
      <c r="G110" s="247"/>
      <c r="H110" s="589"/>
      <c r="I110" s="597"/>
      <c r="J110" s="578"/>
      <c r="K110" s="579"/>
      <c r="L110" s="16"/>
      <c r="M110" s="16"/>
      <c r="N110" s="16"/>
      <c r="O110" s="16"/>
      <c r="P110" s="117"/>
      <c r="Q110" s="15"/>
      <c r="R110" s="16"/>
      <c r="S110" s="130"/>
      <c r="T110" s="16"/>
      <c r="U110" s="16"/>
      <c r="V110" s="16"/>
      <c r="W110" s="241"/>
      <c r="X110" s="16"/>
      <c r="Y110" s="16"/>
      <c r="Z110" s="16"/>
      <c r="AA110" s="16"/>
      <c r="AB110" s="16"/>
    </row>
    <row r="111" spans="1:28" ht="15" customHeight="1">
      <c r="A111" s="244" t="s">
        <v>1053</v>
      </c>
      <c r="B111" s="244" t="s">
        <v>687</v>
      </c>
      <c r="C111" s="339">
        <v>250</v>
      </c>
      <c r="D111" s="394">
        <v>1</v>
      </c>
      <c r="E111" s="338">
        <v>2</v>
      </c>
      <c r="F111" s="339">
        <v>500</v>
      </c>
      <c r="G111" s="247"/>
      <c r="H111" s="589"/>
      <c r="I111" s="597"/>
      <c r="J111" s="578"/>
      <c r="K111" s="579"/>
      <c r="L111" s="16"/>
      <c r="M111" s="16"/>
      <c r="N111" s="16"/>
      <c r="O111" s="16"/>
      <c r="P111" s="117"/>
      <c r="Q111" s="15"/>
      <c r="R111" s="16"/>
      <c r="S111" s="130"/>
      <c r="T111" s="16"/>
      <c r="U111" s="16"/>
      <c r="V111" s="16"/>
      <c r="W111" s="241"/>
      <c r="X111" s="16"/>
      <c r="Y111" s="16"/>
      <c r="Z111" s="16"/>
      <c r="AA111" s="16"/>
      <c r="AB111" s="16"/>
    </row>
    <row r="112" spans="1:28" ht="15" customHeight="1">
      <c r="A112" s="244" t="s">
        <v>1054</v>
      </c>
      <c r="B112" s="244" t="s">
        <v>687</v>
      </c>
      <c r="C112" s="339">
        <v>25</v>
      </c>
      <c r="D112" s="394">
        <v>4</v>
      </c>
      <c r="E112" s="338">
        <v>12</v>
      </c>
      <c r="F112" s="339">
        <v>75</v>
      </c>
      <c r="G112" s="247"/>
      <c r="H112" s="589"/>
      <c r="I112" s="597"/>
      <c r="J112" s="578"/>
      <c r="K112" s="579"/>
      <c r="L112" s="16"/>
      <c r="M112" s="16"/>
      <c r="N112" s="16"/>
      <c r="O112" s="16"/>
      <c r="P112" s="117"/>
      <c r="Q112" s="15"/>
      <c r="R112" s="16"/>
      <c r="S112" s="130"/>
      <c r="T112" s="16"/>
      <c r="U112" s="16"/>
      <c r="V112" s="16"/>
      <c r="W112" s="241"/>
      <c r="X112" s="16"/>
      <c r="Y112" s="16"/>
      <c r="Z112" s="16"/>
      <c r="AA112" s="16"/>
      <c r="AB112" s="16"/>
    </row>
    <row r="113" spans="1:28" ht="15" customHeight="1">
      <c r="A113" s="244" t="s">
        <v>1055</v>
      </c>
      <c r="B113" s="244" t="s">
        <v>687</v>
      </c>
      <c r="C113" s="339">
        <v>35</v>
      </c>
      <c r="D113" s="394">
        <v>2</v>
      </c>
      <c r="E113" s="338">
        <v>4</v>
      </c>
      <c r="F113" s="339">
        <v>70</v>
      </c>
      <c r="G113" s="247"/>
      <c r="H113" s="589"/>
      <c r="I113" s="597"/>
      <c r="J113" s="578"/>
      <c r="K113" s="579"/>
      <c r="L113" s="16"/>
      <c r="M113" s="16"/>
      <c r="N113" s="16"/>
      <c r="O113" s="16"/>
      <c r="P113" s="117"/>
      <c r="Q113" s="15"/>
      <c r="R113" s="16"/>
      <c r="S113" s="130"/>
      <c r="T113" s="16"/>
      <c r="U113" s="16"/>
      <c r="V113" s="16"/>
      <c r="W113" s="241"/>
      <c r="X113" s="16"/>
      <c r="Y113" s="16"/>
      <c r="Z113" s="16"/>
      <c r="AA113" s="16"/>
      <c r="AB113" s="16"/>
    </row>
    <row r="114" spans="1:28" ht="15" customHeight="1">
      <c r="A114" s="244" t="s">
        <v>1039</v>
      </c>
      <c r="B114" s="244" t="s">
        <v>699</v>
      </c>
      <c r="C114" s="339">
        <v>50</v>
      </c>
      <c r="D114" s="394">
        <v>1</v>
      </c>
      <c r="E114" s="338">
        <v>1</v>
      </c>
      <c r="F114" s="339">
        <v>50</v>
      </c>
      <c r="G114" s="247"/>
      <c r="H114" s="589"/>
      <c r="I114" s="597"/>
      <c r="J114" s="578"/>
      <c r="K114" s="579"/>
      <c r="L114" s="16"/>
      <c r="M114" s="16"/>
      <c r="N114" s="16"/>
      <c r="O114" s="16"/>
      <c r="P114" s="117"/>
      <c r="Q114" s="15"/>
      <c r="R114" s="16"/>
      <c r="S114" s="130"/>
      <c r="T114" s="16"/>
      <c r="U114" s="16"/>
      <c r="V114" s="16"/>
      <c r="W114" s="241"/>
      <c r="X114" s="16"/>
      <c r="Y114" s="16"/>
      <c r="Z114" s="16"/>
      <c r="AA114" s="16"/>
      <c r="AB114" s="16"/>
    </row>
    <row r="115" spans="1:28" ht="15" customHeight="1">
      <c r="A115" s="231"/>
      <c r="B115" s="231"/>
      <c r="C115" s="246"/>
      <c r="D115" s="326"/>
      <c r="E115" s="245"/>
      <c r="F115" s="246"/>
      <c r="G115" s="247"/>
      <c r="H115" s="589"/>
      <c r="I115" s="597"/>
      <c r="J115" s="578"/>
      <c r="K115" s="579"/>
      <c r="L115" s="16"/>
      <c r="M115" s="16"/>
      <c r="N115" s="16"/>
      <c r="O115" s="16"/>
      <c r="P115" s="117"/>
      <c r="Q115" s="15"/>
      <c r="R115" s="16"/>
      <c r="S115" s="130"/>
      <c r="T115" s="16"/>
      <c r="U115" s="16"/>
      <c r="V115" s="16"/>
      <c r="W115" s="241"/>
      <c r="X115" s="16"/>
      <c r="Y115" s="16"/>
      <c r="Z115" s="16"/>
      <c r="AA115" s="16"/>
      <c r="AB115" s="16"/>
    </row>
    <row r="116" spans="1:28" ht="15" customHeight="1">
      <c r="A116" s="230" t="s">
        <v>1056</v>
      </c>
      <c r="B116" s="231"/>
      <c r="C116" s="246"/>
      <c r="D116" s="326"/>
      <c r="E116" s="245"/>
      <c r="F116" s="246"/>
      <c r="G116" s="247"/>
      <c r="H116" s="589"/>
      <c r="I116" s="597"/>
      <c r="J116" s="578"/>
      <c r="K116" s="579"/>
      <c r="L116" s="16"/>
      <c r="M116" s="16"/>
      <c r="N116" s="16"/>
      <c r="O116" s="16"/>
      <c r="P116" s="117"/>
      <c r="Q116" s="15"/>
      <c r="R116" s="16"/>
      <c r="S116" s="130"/>
      <c r="T116" s="16"/>
      <c r="U116" s="16"/>
      <c r="V116" s="16"/>
      <c r="W116" s="241"/>
      <c r="X116" s="16"/>
      <c r="Y116" s="16"/>
      <c r="Z116" s="16"/>
      <c r="AA116" s="16"/>
      <c r="AB116" s="16"/>
    </row>
    <row r="117" spans="1:28" ht="15" customHeight="1">
      <c r="A117" s="244" t="s">
        <v>1057</v>
      </c>
      <c r="B117" s="244" t="s">
        <v>687</v>
      </c>
      <c r="C117" s="339">
        <v>600</v>
      </c>
      <c r="D117" s="394">
        <v>8</v>
      </c>
      <c r="E117" s="338">
        <v>10</v>
      </c>
      <c r="F117" s="339">
        <v>750</v>
      </c>
      <c r="G117" s="396" t="s">
        <v>1058</v>
      </c>
      <c r="H117" s="589"/>
      <c r="I117" s="597"/>
      <c r="J117" s="578"/>
      <c r="K117" s="579"/>
      <c r="L117" s="16"/>
      <c r="M117" s="16"/>
      <c r="N117" s="16"/>
      <c r="O117" s="16"/>
      <c r="P117" s="117"/>
      <c r="Q117" s="15"/>
      <c r="R117" s="16"/>
      <c r="S117" s="130"/>
      <c r="T117" s="16"/>
      <c r="U117" s="16"/>
      <c r="V117" s="16"/>
      <c r="W117" s="241"/>
      <c r="X117" s="16"/>
      <c r="Y117" s="16"/>
      <c r="Z117" s="16"/>
      <c r="AA117" s="16"/>
      <c r="AB117" s="16"/>
    </row>
    <row r="118" spans="1:28" ht="15" customHeight="1">
      <c r="A118" s="244" t="s">
        <v>1059</v>
      </c>
      <c r="B118" s="244" t="s">
        <v>687</v>
      </c>
      <c r="C118" s="339">
        <v>300</v>
      </c>
      <c r="D118" s="394">
        <v>5</v>
      </c>
      <c r="E118" s="338">
        <v>8</v>
      </c>
      <c r="F118" s="339">
        <v>480</v>
      </c>
      <c r="G118" s="247"/>
      <c r="H118" s="589"/>
      <c r="I118" s="597"/>
      <c r="J118" s="578"/>
      <c r="K118" s="579"/>
      <c r="L118" s="16"/>
      <c r="M118" s="16"/>
      <c r="N118" s="16"/>
      <c r="O118" s="16"/>
      <c r="P118" s="117"/>
      <c r="Q118" s="15"/>
      <c r="R118" s="16"/>
      <c r="S118" s="130"/>
      <c r="T118" s="16"/>
      <c r="U118" s="16"/>
      <c r="V118" s="16"/>
      <c r="W118" s="241"/>
      <c r="X118" s="16"/>
      <c r="Y118" s="16"/>
      <c r="Z118" s="16"/>
      <c r="AA118" s="16"/>
      <c r="AB118" s="16"/>
    </row>
    <row r="119" spans="1:28" ht="15" customHeight="1">
      <c r="A119" s="244" t="s">
        <v>1060</v>
      </c>
      <c r="B119" s="244" t="s">
        <v>687</v>
      </c>
      <c r="C119" s="339">
        <v>25</v>
      </c>
      <c r="D119" s="394">
        <v>8</v>
      </c>
      <c r="E119" s="338">
        <v>20</v>
      </c>
      <c r="F119" s="339">
        <v>62.5</v>
      </c>
      <c r="G119" s="247"/>
      <c r="H119" s="589"/>
      <c r="I119" s="597"/>
      <c r="J119" s="578"/>
      <c r="K119" s="579"/>
      <c r="L119" s="16"/>
      <c r="M119" s="16"/>
      <c r="N119" s="16"/>
      <c r="O119" s="16"/>
      <c r="P119" s="117"/>
      <c r="Q119" s="15"/>
      <c r="R119" s="16"/>
      <c r="S119" s="130"/>
      <c r="T119" s="16"/>
      <c r="U119" s="16"/>
      <c r="V119" s="16"/>
      <c r="W119" s="241"/>
      <c r="X119" s="16"/>
      <c r="Y119" s="16"/>
      <c r="Z119" s="16"/>
      <c r="AA119" s="16"/>
      <c r="AB119" s="16"/>
    </row>
    <row r="120" spans="1:28" ht="14.25" customHeight="1">
      <c r="A120" s="244" t="s">
        <v>1061</v>
      </c>
      <c r="B120" s="244" t="s">
        <v>699</v>
      </c>
      <c r="C120" s="339">
        <v>50</v>
      </c>
      <c r="D120" s="394">
        <v>1</v>
      </c>
      <c r="E120" s="338">
        <v>1</v>
      </c>
      <c r="F120" s="339">
        <v>50</v>
      </c>
      <c r="G120" s="247"/>
      <c r="H120" s="589"/>
      <c r="I120" s="597"/>
      <c r="J120" s="578"/>
      <c r="K120" s="579"/>
      <c r="L120" s="16"/>
      <c r="M120" s="16"/>
      <c r="N120" s="16"/>
      <c r="O120" s="16"/>
      <c r="P120" s="16"/>
      <c r="Q120" s="133"/>
      <c r="R120" s="16"/>
      <c r="S120" s="16"/>
      <c r="T120" s="16"/>
      <c r="U120" s="16"/>
      <c r="V120" s="16"/>
      <c r="W120" s="16"/>
      <c r="X120" s="16"/>
      <c r="Y120" s="16"/>
      <c r="Z120" s="16"/>
      <c r="AA120" s="16"/>
      <c r="AB120" s="16"/>
    </row>
    <row r="121" spans="1:28" ht="15.75" customHeight="1">
      <c r="A121" s="231"/>
      <c r="B121" s="231"/>
      <c r="C121" s="246"/>
      <c r="D121" s="326"/>
      <c r="E121" s="245"/>
      <c r="F121" s="246"/>
      <c r="G121" s="247"/>
      <c r="H121" s="589"/>
      <c r="I121" s="597"/>
      <c r="J121" s="578"/>
      <c r="K121" s="579"/>
      <c r="L121" s="16"/>
      <c r="M121" s="16"/>
      <c r="N121" s="16"/>
      <c r="O121" s="16"/>
      <c r="P121" s="16"/>
      <c r="Q121" s="16"/>
      <c r="R121" s="16"/>
      <c r="S121" s="16"/>
      <c r="T121" s="16"/>
      <c r="U121" s="16"/>
      <c r="V121" s="16"/>
      <c r="W121" s="16"/>
      <c r="X121" s="16"/>
      <c r="Y121" s="16"/>
      <c r="Z121" s="16"/>
      <c r="AA121" s="16"/>
      <c r="AB121" s="16"/>
    </row>
    <row r="122" spans="1:28" ht="15.75" customHeight="1">
      <c r="A122" s="411" t="s">
        <v>1062</v>
      </c>
      <c r="B122" s="244"/>
      <c r="C122" s="339"/>
      <c r="D122" s="394"/>
      <c r="E122" s="338"/>
      <c r="F122" s="339"/>
      <c r="G122" s="247"/>
      <c r="H122" s="589"/>
      <c r="I122" s="597"/>
      <c r="J122" s="578"/>
      <c r="K122" s="579"/>
      <c r="L122" s="16"/>
      <c r="M122" s="16"/>
      <c r="N122" s="16"/>
      <c r="O122" s="16"/>
      <c r="P122" s="16"/>
      <c r="Q122" s="16"/>
      <c r="R122" s="16"/>
      <c r="S122" s="16"/>
      <c r="T122" s="16"/>
      <c r="U122" s="16"/>
      <c r="V122" s="16"/>
      <c r="W122" s="16"/>
      <c r="X122" s="16"/>
      <c r="Y122" s="16"/>
      <c r="Z122" s="16"/>
      <c r="AA122" s="16"/>
      <c r="AB122" s="16"/>
    </row>
    <row r="123" spans="1:28" ht="15.75" customHeight="1">
      <c r="A123" s="244" t="s">
        <v>1063</v>
      </c>
      <c r="B123" s="244" t="s">
        <v>687</v>
      </c>
      <c r="C123" s="339">
        <v>90</v>
      </c>
      <c r="D123" s="394">
        <v>4</v>
      </c>
      <c r="E123" s="338">
        <v>4</v>
      </c>
      <c r="F123" s="339">
        <v>90</v>
      </c>
      <c r="G123" s="247"/>
      <c r="H123" s="589"/>
      <c r="I123" s="597"/>
      <c r="J123" s="578"/>
      <c r="K123" s="579"/>
      <c r="L123" s="16"/>
      <c r="M123" s="16"/>
      <c r="N123" s="16"/>
      <c r="O123" s="16"/>
      <c r="P123" s="16"/>
      <c r="Q123" s="16"/>
      <c r="R123" s="16"/>
      <c r="S123" s="16"/>
      <c r="T123" s="16"/>
      <c r="U123" s="16"/>
      <c r="V123" s="16"/>
      <c r="W123" s="16"/>
      <c r="X123" s="16"/>
      <c r="Y123" s="16"/>
      <c r="Z123" s="16"/>
      <c r="AA123" s="16"/>
      <c r="AB123" s="16"/>
    </row>
    <row r="124" spans="1:28" ht="15.75" customHeight="1">
      <c r="A124" s="244" t="s">
        <v>1064</v>
      </c>
      <c r="B124" s="244" t="s">
        <v>687</v>
      </c>
      <c r="C124" s="339">
        <v>180</v>
      </c>
      <c r="D124" s="394">
        <v>5</v>
      </c>
      <c r="E124" s="338">
        <v>1</v>
      </c>
      <c r="F124" s="339">
        <v>36</v>
      </c>
      <c r="G124" s="247"/>
      <c r="H124" s="589"/>
      <c r="I124" s="597"/>
      <c r="J124" s="578"/>
      <c r="K124" s="579"/>
      <c r="L124" s="16"/>
      <c r="M124" s="16"/>
      <c r="N124" s="16"/>
      <c r="O124" s="16"/>
      <c r="P124" s="16"/>
      <c r="Q124" s="16"/>
      <c r="R124" s="16"/>
      <c r="S124" s="16"/>
      <c r="T124" s="16"/>
      <c r="U124" s="16"/>
      <c r="V124" s="16"/>
      <c r="W124" s="16"/>
      <c r="X124" s="16"/>
      <c r="Y124" s="16"/>
      <c r="Z124" s="16"/>
      <c r="AA124" s="16"/>
      <c r="AB124" s="16"/>
    </row>
    <row r="125" spans="1:28" ht="15.75" customHeight="1">
      <c r="A125" s="244" t="s">
        <v>1065</v>
      </c>
      <c r="B125" s="244" t="s">
        <v>687</v>
      </c>
      <c r="C125" s="391">
        <v>15</v>
      </c>
      <c r="D125" s="250">
        <v>12</v>
      </c>
      <c r="E125" s="250">
        <v>4</v>
      </c>
      <c r="F125" s="391">
        <v>5</v>
      </c>
      <c r="G125" s="232"/>
      <c r="H125" s="589"/>
      <c r="I125" s="597"/>
      <c r="J125" s="578"/>
      <c r="K125" s="579"/>
      <c r="L125" s="16"/>
      <c r="M125" s="16"/>
      <c r="N125" s="16"/>
      <c r="O125" s="16"/>
      <c r="P125" s="16"/>
      <c r="Q125" s="16"/>
      <c r="R125" s="16"/>
      <c r="S125" s="16"/>
      <c r="T125" s="16"/>
      <c r="U125" s="16"/>
      <c r="V125" s="16"/>
      <c r="W125" s="16"/>
      <c r="X125" s="16"/>
      <c r="Y125" s="16"/>
      <c r="Z125" s="16"/>
      <c r="AA125" s="16"/>
      <c r="AB125" s="16"/>
    </row>
    <row r="126" spans="1:28" ht="15.75" customHeight="1">
      <c r="A126" s="244" t="s">
        <v>1066</v>
      </c>
      <c r="B126" s="244" t="s">
        <v>687</v>
      </c>
      <c r="C126" s="391">
        <v>20</v>
      </c>
      <c r="D126" s="250">
        <v>8</v>
      </c>
      <c r="E126" s="250">
        <v>4</v>
      </c>
      <c r="F126" s="391">
        <v>10</v>
      </c>
      <c r="G126" s="232"/>
      <c r="H126" s="589"/>
      <c r="I126" s="597"/>
      <c r="J126" s="578"/>
      <c r="K126" s="579"/>
      <c r="L126" s="16"/>
      <c r="M126" s="16"/>
      <c r="N126" s="16"/>
      <c r="O126" s="16"/>
      <c r="P126" s="16"/>
      <c r="Q126" s="16"/>
      <c r="R126" s="16"/>
      <c r="S126" s="16"/>
      <c r="T126" s="16"/>
      <c r="U126" s="16"/>
      <c r="V126" s="16"/>
      <c r="W126" s="16"/>
      <c r="X126" s="16"/>
      <c r="Y126" s="16"/>
      <c r="Z126" s="16"/>
      <c r="AA126" s="16"/>
      <c r="AB126" s="16"/>
    </row>
    <row r="127" spans="1:28" ht="15.75" customHeight="1">
      <c r="A127" s="244" t="s">
        <v>1049</v>
      </c>
      <c r="B127" s="244" t="s">
        <v>699</v>
      </c>
      <c r="C127" s="391">
        <v>30</v>
      </c>
      <c r="D127" s="250">
        <v>2</v>
      </c>
      <c r="E127" s="250">
        <v>1</v>
      </c>
      <c r="F127" s="391">
        <v>15</v>
      </c>
      <c r="G127" s="232"/>
      <c r="H127" s="589"/>
      <c r="I127" s="597"/>
      <c r="J127" s="578"/>
      <c r="K127" s="579"/>
      <c r="L127" s="16"/>
      <c r="M127" s="16"/>
      <c r="N127" s="16"/>
      <c r="O127" s="16"/>
      <c r="P127" s="16"/>
      <c r="Q127" s="16"/>
      <c r="R127" s="16"/>
      <c r="S127" s="16"/>
      <c r="T127" s="16"/>
      <c r="U127" s="16"/>
      <c r="V127" s="16"/>
      <c r="W127" s="16"/>
      <c r="X127" s="16"/>
      <c r="Y127" s="16"/>
      <c r="Z127" s="16"/>
      <c r="AA127" s="16"/>
      <c r="AB127" s="16"/>
    </row>
    <row r="128" spans="1:28" ht="15.75" customHeight="1">
      <c r="A128" s="231"/>
      <c r="B128" s="244"/>
      <c r="C128" s="246">
        <v>0</v>
      </c>
      <c r="D128" s="247"/>
      <c r="E128" s="245"/>
      <c r="F128" s="246">
        <v>0</v>
      </c>
      <c r="G128" s="247"/>
      <c r="H128" s="589"/>
      <c r="I128" s="597"/>
      <c r="J128" s="578"/>
      <c r="K128" s="579"/>
      <c r="L128" s="16"/>
      <c r="M128" s="16"/>
      <c r="N128" s="16"/>
      <c r="O128" s="16"/>
      <c r="P128" s="16"/>
      <c r="Q128" s="16"/>
      <c r="R128" s="16"/>
      <c r="S128" s="16"/>
      <c r="T128" s="16"/>
      <c r="U128" s="16"/>
      <c r="V128" s="16"/>
      <c r="W128" s="16"/>
      <c r="X128" s="16"/>
      <c r="Y128" s="16"/>
      <c r="Z128" s="16"/>
      <c r="AA128" s="16"/>
      <c r="AB128" s="16"/>
    </row>
    <row r="129" spans="1:30" ht="15.75" customHeight="1">
      <c r="A129" s="231"/>
      <c r="B129" s="244"/>
      <c r="C129" s="246">
        <v>0</v>
      </c>
      <c r="D129" s="247"/>
      <c r="E129" s="245"/>
      <c r="F129" s="246">
        <v>0</v>
      </c>
      <c r="G129" s="247"/>
      <c r="H129" s="589"/>
      <c r="I129" s="597"/>
      <c r="J129" s="578"/>
      <c r="K129" s="579"/>
      <c r="L129" s="16"/>
      <c r="M129" s="16"/>
      <c r="N129" s="16"/>
      <c r="O129" s="16"/>
      <c r="P129" s="16"/>
      <c r="Q129" s="16"/>
      <c r="R129" s="16"/>
      <c r="S129" s="16"/>
      <c r="T129" s="16"/>
      <c r="U129" s="16"/>
      <c r="V129" s="16"/>
      <c r="W129" s="16"/>
      <c r="X129" s="16"/>
      <c r="Y129" s="16"/>
      <c r="Z129" s="16"/>
      <c r="AA129" s="16"/>
      <c r="AB129" s="16"/>
    </row>
    <row r="130" spans="1:30" ht="15.75" customHeight="1">
      <c r="A130" s="231"/>
      <c r="B130" s="244"/>
      <c r="C130" s="246">
        <v>0</v>
      </c>
      <c r="D130" s="247"/>
      <c r="E130" s="245"/>
      <c r="F130" s="246">
        <v>0</v>
      </c>
      <c r="G130" s="247"/>
      <c r="H130" s="589"/>
      <c r="I130" s="597"/>
      <c r="J130" s="578"/>
      <c r="K130" s="579"/>
      <c r="L130" s="16"/>
      <c r="M130" s="16"/>
      <c r="N130" s="16"/>
      <c r="O130" s="16"/>
      <c r="P130" s="16"/>
      <c r="Q130" s="16"/>
      <c r="R130" s="16"/>
      <c r="S130" s="16"/>
      <c r="T130" s="16"/>
      <c r="U130" s="16"/>
      <c r="V130" s="16"/>
      <c r="W130" s="16"/>
      <c r="X130" s="16"/>
      <c r="Y130" s="16"/>
      <c r="Z130" s="16"/>
      <c r="AA130" s="16"/>
      <c r="AB130" s="16"/>
    </row>
    <row r="131" spans="1:30" ht="15.75" customHeight="1">
      <c r="A131" s="231"/>
      <c r="B131" s="244"/>
      <c r="C131" s="246">
        <v>0</v>
      </c>
      <c r="D131" s="247"/>
      <c r="E131" s="245"/>
      <c r="F131" s="246">
        <v>0</v>
      </c>
      <c r="G131" s="247"/>
      <c r="H131" s="589"/>
      <c r="I131" s="597"/>
      <c r="J131" s="578"/>
      <c r="K131" s="579"/>
      <c r="L131" s="16"/>
      <c r="M131" s="16"/>
      <c r="N131" s="16"/>
      <c r="O131" s="16"/>
      <c r="P131" s="16"/>
      <c r="Q131" s="16"/>
      <c r="R131" s="16"/>
      <c r="S131" s="16"/>
      <c r="T131" s="16"/>
      <c r="U131" s="16"/>
      <c r="V131" s="16"/>
      <c r="W131" s="16"/>
      <c r="X131" s="16"/>
      <c r="Y131" s="16"/>
      <c r="Z131" s="16"/>
      <c r="AA131" s="16"/>
      <c r="AB131" s="16"/>
    </row>
    <row r="132" spans="1:30" ht="15.75" customHeight="1">
      <c r="A132" s="231"/>
      <c r="B132" s="244"/>
      <c r="C132" s="246">
        <v>0</v>
      </c>
      <c r="D132" s="247"/>
      <c r="E132" s="245"/>
      <c r="F132" s="246">
        <v>0</v>
      </c>
      <c r="G132" s="247"/>
      <c r="H132" s="589"/>
      <c r="I132" s="597"/>
      <c r="J132" s="578"/>
      <c r="K132" s="579"/>
      <c r="L132" s="16"/>
      <c r="M132" s="16"/>
      <c r="N132" s="16"/>
      <c r="O132" s="16"/>
      <c r="P132" s="16"/>
      <c r="Q132" s="16"/>
      <c r="R132" s="16"/>
      <c r="S132" s="16"/>
      <c r="T132" s="16"/>
      <c r="U132" s="16"/>
      <c r="V132" s="16"/>
      <c r="W132" s="16"/>
      <c r="X132" s="16"/>
      <c r="Y132" s="16"/>
      <c r="Z132" s="16"/>
      <c r="AA132" s="16"/>
      <c r="AB132" s="16"/>
    </row>
    <row r="133" spans="1:30" ht="15.75" customHeight="1" thickBot="1">
      <c r="A133" s="231"/>
      <c r="B133" s="244"/>
      <c r="C133" s="246">
        <v>0</v>
      </c>
      <c r="D133" s="247"/>
      <c r="E133" s="245"/>
      <c r="F133" s="246">
        <v>0</v>
      </c>
      <c r="G133" s="247"/>
      <c r="H133" s="607"/>
      <c r="I133" s="599"/>
      <c r="J133" s="580"/>
      <c r="K133" s="581"/>
      <c r="L133" s="16"/>
      <c r="M133" s="16"/>
      <c r="N133" s="16"/>
      <c r="O133" s="16"/>
      <c r="P133" s="16"/>
      <c r="Q133" s="16"/>
      <c r="R133" s="16"/>
      <c r="S133" s="16"/>
      <c r="T133" s="16"/>
      <c r="U133" s="16"/>
      <c r="V133" s="16"/>
      <c r="W133" s="16"/>
      <c r="X133" s="16"/>
      <c r="Y133" s="16"/>
      <c r="Z133" s="16"/>
      <c r="AA133" s="16"/>
      <c r="AB133" s="16"/>
    </row>
    <row r="134" spans="1:30" ht="15.75" customHeight="1" thickTop="1">
      <c r="A134" s="15"/>
      <c r="B134" s="131"/>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c r="AA134" s="16"/>
      <c r="AB134" s="16"/>
      <c r="AC134" s="16"/>
      <c r="AD134" s="16"/>
    </row>
    <row r="135" spans="1:30" ht="15.75" customHeight="1">
      <c r="A135" s="15"/>
      <c r="B135" s="131"/>
      <c r="C135" s="16"/>
      <c r="D135" s="16"/>
      <c r="E135" s="16"/>
      <c r="F135" s="16"/>
      <c r="G135" s="16"/>
      <c r="I135" s="16"/>
      <c r="J135" s="16"/>
      <c r="K135" s="16"/>
      <c r="L135" s="16"/>
      <c r="M135" s="16"/>
      <c r="N135" s="16"/>
      <c r="O135" s="16"/>
      <c r="P135" s="16"/>
      <c r="Q135" s="16"/>
      <c r="R135" s="16"/>
      <c r="S135" s="16"/>
      <c r="T135" s="16"/>
      <c r="U135" s="16"/>
      <c r="V135" s="16"/>
      <c r="W135" s="16"/>
      <c r="X135" s="16"/>
      <c r="Y135" s="16"/>
      <c r="Z135" s="16"/>
      <c r="AA135" s="16"/>
      <c r="AB135" s="16"/>
      <c r="AC135" s="16"/>
      <c r="AD135" s="16"/>
    </row>
    <row r="136" spans="1:30" ht="15.75" customHeight="1">
      <c r="H136" s="51"/>
      <c r="I136" s="51"/>
      <c r="J136" s="51"/>
      <c r="K136" s="51"/>
      <c r="L136" s="16"/>
      <c r="M136" s="16"/>
      <c r="N136" s="16"/>
      <c r="O136" s="16"/>
      <c r="P136" s="16"/>
      <c r="Q136" s="16"/>
      <c r="R136" s="16"/>
      <c r="S136" s="16"/>
      <c r="T136" s="16"/>
      <c r="U136" s="16"/>
      <c r="V136" s="16"/>
      <c r="W136" s="16"/>
      <c r="X136" s="16"/>
      <c r="Y136" s="16"/>
      <c r="Z136" s="16"/>
      <c r="AA136" s="16"/>
      <c r="AB136" s="16"/>
      <c r="AC136" s="16"/>
      <c r="AD136" s="16"/>
    </row>
    <row r="137" spans="1:30" ht="15.75" customHeight="1">
      <c r="L137" s="16"/>
      <c r="M137" s="16"/>
      <c r="N137" s="16"/>
      <c r="O137" s="16"/>
      <c r="P137" s="16"/>
      <c r="Q137" s="16"/>
      <c r="R137" s="16"/>
      <c r="S137" s="16"/>
      <c r="T137" s="16"/>
      <c r="U137" s="16"/>
      <c r="V137" s="16"/>
      <c r="W137" s="16"/>
      <c r="X137" s="16"/>
      <c r="Y137" s="16"/>
      <c r="Z137" s="16"/>
      <c r="AA137" s="16"/>
      <c r="AB137" s="16"/>
      <c r="AC137" s="16"/>
      <c r="AD137" s="16"/>
    </row>
    <row r="138" spans="1:30" ht="15.75" customHeight="1">
      <c r="L138" s="16"/>
      <c r="M138" s="16"/>
      <c r="N138" s="16"/>
      <c r="O138" s="16"/>
      <c r="P138" s="16"/>
      <c r="Q138" s="16"/>
      <c r="R138" s="16"/>
      <c r="S138" s="16"/>
      <c r="T138" s="16"/>
      <c r="U138" s="16"/>
      <c r="V138" s="16"/>
      <c r="W138" s="16"/>
      <c r="X138" s="16"/>
      <c r="Y138" s="16"/>
      <c r="Z138" s="16"/>
      <c r="AA138" s="16"/>
      <c r="AB138" s="16"/>
      <c r="AC138" s="16"/>
      <c r="AD138" s="16"/>
    </row>
    <row r="139" spans="1:30" ht="15.75" customHeight="1">
      <c r="L139" s="16"/>
      <c r="M139" s="16"/>
      <c r="N139" s="16"/>
      <c r="O139" s="16"/>
      <c r="P139" s="16"/>
      <c r="Q139" s="16"/>
      <c r="R139" s="16"/>
      <c r="S139" s="16"/>
      <c r="T139" s="16"/>
      <c r="U139" s="16"/>
      <c r="V139" s="16"/>
      <c r="W139" s="16"/>
      <c r="X139" s="16"/>
      <c r="Y139" s="16"/>
      <c r="Z139" s="16"/>
      <c r="AA139" s="16"/>
      <c r="AB139" s="16"/>
      <c r="AC139" s="16"/>
      <c r="AD139" s="16"/>
    </row>
    <row r="140" spans="1:30" ht="15.75" customHeight="1">
      <c r="L140" s="16"/>
      <c r="M140" s="16"/>
      <c r="N140" s="16"/>
      <c r="O140" s="16"/>
      <c r="P140" s="16"/>
      <c r="Q140" s="16"/>
      <c r="R140" s="16"/>
      <c r="S140" s="16"/>
      <c r="T140" s="16"/>
      <c r="U140" s="16"/>
      <c r="V140" s="16"/>
      <c r="W140" s="16"/>
      <c r="X140" s="16"/>
      <c r="Y140" s="16"/>
      <c r="Z140" s="16"/>
      <c r="AA140" s="16"/>
      <c r="AB140" s="16"/>
      <c r="AC140" s="16"/>
      <c r="AD140" s="16"/>
    </row>
    <row r="141" spans="1:30" ht="15.75" customHeight="1">
      <c r="L141" s="16"/>
      <c r="M141" s="16"/>
      <c r="N141" s="16"/>
      <c r="O141" s="16"/>
      <c r="P141" s="16"/>
      <c r="Q141" s="16"/>
      <c r="R141" s="16"/>
      <c r="S141" s="16"/>
      <c r="T141" s="16"/>
      <c r="U141" s="16"/>
      <c r="V141" s="16"/>
      <c r="W141" s="16"/>
      <c r="X141" s="16"/>
      <c r="Y141" s="16"/>
      <c r="Z141" s="16"/>
      <c r="AA141" s="16"/>
      <c r="AB141" s="16"/>
      <c r="AC141" s="16"/>
      <c r="AD141" s="16"/>
    </row>
    <row r="142" spans="1:30" ht="15.75" customHeight="1">
      <c r="L142" s="16"/>
      <c r="M142" s="16"/>
      <c r="N142" s="16"/>
      <c r="O142" s="16"/>
      <c r="P142" s="16"/>
      <c r="Q142" s="16"/>
      <c r="R142" s="16"/>
      <c r="S142" s="16"/>
      <c r="T142" s="16"/>
      <c r="U142" s="16"/>
      <c r="V142" s="16"/>
      <c r="W142" s="16"/>
      <c r="X142" s="16"/>
      <c r="Y142" s="16"/>
      <c r="Z142" s="16"/>
      <c r="AA142" s="16"/>
      <c r="AB142" s="16"/>
      <c r="AC142" s="16"/>
      <c r="AD142" s="16"/>
    </row>
    <row r="143" spans="1:30" ht="15.75" customHeight="1">
      <c r="L143" s="16"/>
      <c r="M143" s="16"/>
      <c r="N143" s="16"/>
      <c r="O143" s="16"/>
      <c r="P143" s="735"/>
      <c r="Q143" s="696"/>
      <c r="R143" s="696"/>
      <c r="S143" s="16"/>
      <c r="T143" s="16"/>
      <c r="U143" s="16"/>
      <c r="V143" s="16"/>
      <c r="W143" s="16"/>
      <c r="X143" s="16"/>
      <c r="Y143" s="16"/>
      <c r="Z143" s="16"/>
      <c r="AA143" s="16"/>
      <c r="AB143" s="16"/>
      <c r="AC143" s="16"/>
      <c r="AD143" s="16"/>
    </row>
    <row r="144" spans="1:30" ht="15.75" customHeight="1">
      <c r="L144" s="16"/>
      <c r="M144" s="16"/>
      <c r="N144" s="16"/>
      <c r="O144" s="16"/>
      <c r="P144" s="735"/>
      <c r="Q144" s="696"/>
      <c r="R144" s="696"/>
      <c r="S144" s="16"/>
      <c r="T144" s="16"/>
      <c r="U144" s="16"/>
      <c r="V144" s="16"/>
      <c r="W144" s="16"/>
      <c r="X144" s="16"/>
      <c r="Y144" s="16"/>
      <c r="Z144" s="16"/>
      <c r="AA144" s="16"/>
      <c r="AB144" s="16"/>
      <c r="AC144" s="16"/>
      <c r="AD144" s="16"/>
    </row>
    <row r="145" spans="1:30" ht="15.75" customHeight="1">
      <c r="L145" s="16"/>
      <c r="M145" s="16"/>
      <c r="N145" s="16"/>
      <c r="O145" s="16"/>
      <c r="P145" s="735"/>
      <c r="Q145" s="696"/>
      <c r="R145" s="696"/>
      <c r="S145" s="16"/>
      <c r="T145" s="16"/>
      <c r="U145" s="16"/>
      <c r="V145" s="16"/>
      <c r="W145" s="16"/>
      <c r="X145" s="16"/>
      <c r="Y145" s="16"/>
      <c r="Z145" s="16"/>
      <c r="AA145" s="16"/>
      <c r="AB145" s="16"/>
      <c r="AC145" s="16"/>
      <c r="AD145" s="16"/>
    </row>
    <row r="146" spans="1:30" ht="15.75" customHeight="1">
      <c r="L146" s="16"/>
      <c r="M146" s="16"/>
      <c r="N146" s="16"/>
      <c r="O146" s="16"/>
      <c r="P146" s="735"/>
      <c r="Q146" s="696"/>
      <c r="R146" s="696"/>
      <c r="S146" s="16"/>
      <c r="T146" s="16"/>
      <c r="U146" s="16"/>
      <c r="V146" s="16"/>
      <c r="W146" s="16"/>
      <c r="X146" s="16"/>
      <c r="Y146" s="16"/>
      <c r="Z146" s="16"/>
      <c r="AA146" s="16"/>
      <c r="AB146" s="16"/>
      <c r="AC146" s="16"/>
      <c r="AD146" s="16"/>
    </row>
    <row r="147" spans="1:30" ht="15.75" customHeight="1">
      <c r="L147" s="16"/>
      <c r="M147" s="16"/>
      <c r="N147" s="16"/>
      <c r="O147" s="16"/>
      <c r="P147" s="735"/>
      <c r="Q147" s="696"/>
      <c r="R147" s="696"/>
      <c r="S147" s="16"/>
      <c r="T147" s="16"/>
      <c r="U147" s="16"/>
      <c r="V147" s="16"/>
      <c r="W147" s="16"/>
      <c r="X147" s="16"/>
      <c r="Y147" s="16"/>
      <c r="Z147" s="16"/>
      <c r="AA147" s="16"/>
      <c r="AB147" s="16"/>
      <c r="AC147" s="16"/>
      <c r="AD147" s="16"/>
    </row>
    <row r="148" spans="1:30" ht="15.75" customHeight="1">
      <c r="L148" s="16"/>
      <c r="M148" s="16"/>
      <c r="N148" s="16"/>
      <c r="O148" s="16"/>
      <c r="P148" s="735"/>
      <c r="Q148" s="696"/>
      <c r="R148" s="696"/>
      <c r="S148" s="16"/>
      <c r="T148" s="16"/>
      <c r="U148" s="16"/>
      <c r="V148" s="16"/>
      <c r="W148" s="16"/>
      <c r="X148" s="16"/>
      <c r="Y148" s="16"/>
      <c r="Z148" s="16"/>
      <c r="AA148" s="16"/>
      <c r="AB148" s="16"/>
      <c r="AC148" s="16"/>
      <c r="AD148" s="16"/>
    </row>
    <row r="149" spans="1:30" ht="15.75" customHeight="1">
      <c r="H149" s="248"/>
      <c r="I149" s="248"/>
      <c r="J149" s="228"/>
      <c r="K149" s="228"/>
      <c r="L149" s="16"/>
      <c r="M149" s="16"/>
      <c r="N149" s="16"/>
      <c r="O149" s="16"/>
      <c r="P149" s="735"/>
      <c r="Q149" s="696"/>
      <c r="R149" s="696"/>
      <c r="S149" s="16"/>
      <c r="T149" s="16"/>
      <c r="U149" s="16"/>
      <c r="V149" s="16"/>
      <c r="W149" s="16"/>
      <c r="X149" s="16"/>
      <c r="Y149" s="16"/>
      <c r="Z149" s="16"/>
      <c r="AA149" s="16"/>
      <c r="AB149" s="16"/>
      <c r="AC149" s="16"/>
      <c r="AD149" s="16"/>
    </row>
    <row r="150" spans="1:30" ht="15.75" customHeight="1">
      <c r="A150" s="231"/>
      <c r="B150" s="231"/>
      <c r="C150" s="246"/>
      <c r="D150" s="247"/>
      <c r="E150" s="245"/>
      <c r="F150" s="246"/>
      <c r="G150" s="247"/>
      <c r="H150" s="248"/>
      <c r="I150" s="248"/>
      <c r="J150" s="228"/>
      <c r="K150" s="228"/>
      <c r="L150" s="16"/>
      <c r="M150" s="16"/>
      <c r="N150" s="16"/>
      <c r="O150" s="16"/>
      <c r="P150" s="16"/>
      <c r="Q150" s="16"/>
      <c r="R150" s="16"/>
      <c r="S150" s="16"/>
      <c r="T150" s="16"/>
      <c r="U150" s="16"/>
      <c r="V150" s="16"/>
      <c r="W150" s="16"/>
      <c r="X150" s="16"/>
      <c r="Y150" s="16"/>
      <c r="Z150" s="16"/>
      <c r="AA150" s="16"/>
      <c r="AB150" s="16"/>
      <c r="AC150" s="16"/>
      <c r="AD150" s="16"/>
    </row>
    <row r="151" spans="1:30" ht="15.75" customHeight="1">
      <c r="A151" s="231"/>
      <c r="B151" s="231"/>
      <c r="C151" s="246"/>
      <c r="D151" s="247"/>
      <c r="E151" s="245"/>
      <c r="F151" s="246"/>
      <c r="G151" s="247"/>
      <c r="H151" s="228"/>
      <c r="I151" s="228"/>
      <c r="J151" s="228"/>
      <c r="K151" s="228"/>
      <c r="L151" s="16"/>
      <c r="M151" s="735"/>
      <c r="N151" s="696"/>
      <c r="O151" s="696"/>
      <c r="P151" s="735"/>
      <c r="Q151" s="696"/>
      <c r="R151" s="696"/>
      <c r="S151" s="696"/>
      <c r="T151" s="696"/>
      <c r="U151" s="16"/>
      <c r="V151" s="16"/>
      <c r="W151" s="16"/>
      <c r="X151" s="16"/>
      <c r="Y151" s="16"/>
      <c r="Z151" s="16"/>
      <c r="AA151" s="16"/>
      <c r="AB151" s="16"/>
      <c r="AC151" s="16"/>
      <c r="AD151" s="16"/>
    </row>
    <row r="152" spans="1:30" ht="15.75" customHeight="1">
      <c r="A152" s="16"/>
      <c r="B152" s="16"/>
      <c r="C152" s="16"/>
      <c r="D152" s="16"/>
      <c r="E152" s="16"/>
      <c r="F152" s="16"/>
      <c r="G152" s="16"/>
      <c r="H152" s="16"/>
      <c r="I152" s="16"/>
      <c r="J152" s="16"/>
      <c r="K152" s="16"/>
      <c r="L152" s="16"/>
      <c r="M152" s="735"/>
      <c r="N152" s="696"/>
      <c r="O152" s="696"/>
      <c r="P152" s="735"/>
      <c r="Q152" s="696"/>
      <c r="R152" s="696"/>
      <c r="S152" s="696"/>
      <c r="T152" s="696"/>
      <c r="U152" s="16"/>
      <c r="V152" s="16"/>
      <c r="W152" s="16"/>
      <c r="X152" s="16"/>
      <c r="Y152" s="16"/>
      <c r="Z152" s="16"/>
      <c r="AA152" s="16"/>
      <c r="AB152" s="16"/>
      <c r="AC152" s="16"/>
      <c r="AD152" s="16"/>
    </row>
    <row r="153" spans="1:30" ht="15.75" customHeight="1">
      <c r="A153" s="16"/>
      <c r="B153" s="16"/>
      <c r="C153" s="16"/>
      <c r="D153" s="16"/>
      <c r="E153" s="16"/>
      <c r="F153" s="16"/>
      <c r="G153" s="16"/>
      <c r="H153" s="16"/>
      <c r="I153" s="16"/>
      <c r="J153" s="16"/>
      <c r="K153" s="16"/>
      <c r="L153" s="16"/>
      <c r="M153" s="735"/>
      <c r="N153" s="696"/>
      <c r="O153" s="696"/>
      <c r="P153" s="696"/>
      <c r="Q153" s="696"/>
      <c r="R153" s="696"/>
      <c r="S153" s="696"/>
      <c r="T153" s="696"/>
      <c r="U153" s="16"/>
      <c r="V153" s="16"/>
      <c r="W153" s="16"/>
      <c r="X153" s="16"/>
      <c r="Y153" s="16"/>
      <c r="Z153" s="16"/>
      <c r="AA153" s="16"/>
      <c r="AB153" s="16"/>
      <c r="AC153" s="16"/>
      <c r="AD153" s="16"/>
    </row>
    <row r="154" spans="1:30" ht="15.75" customHeight="1">
      <c r="A154" s="16"/>
      <c r="B154" s="16"/>
      <c r="C154" s="16"/>
      <c r="D154" s="16"/>
      <c r="E154" s="16"/>
      <c r="F154" s="16"/>
      <c r="G154" s="16"/>
      <c r="H154" s="16"/>
      <c r="I154" s="16"/>
      <c r="J154" s="16"/>
      <c r="K154" s="16"/>
      <c r="L154" s="16"/>
      <c r="M154" s="735"/>
      <c r="N154" s="696"/>
      <c r="O154" s="696"/>
      <c r="P154" s="696"/>
      <c r="Q154" s="696"/>
      <c r="R154" s="696"/>
      <c r="S154" s="696"/>
      <c r="T154" s="696"/>
      <c r="U154" s="16"/>
      <c r="V154" s="16"/>
      <c r="W154" s="16"/>
      <c r="X154" s="16"/>
      <c r="Y154" s="16"/>
      <c r="Z154" s="16"/>
      <c r="AA154" s="16"/>
      <c r="AB154" s="16"/>
      <c r="AC154" s="16"/>
      <c r="AD154" s="16"/>
    </row>
    <row r="155" spans="1:30" ht="15.75" customHeight="1">
      <c r="A155" s="16"/>
      <c r="B155" s="16"/>
      <c r="C155" s="16"/>
      <c r="D155" s="16"/>
      <c r="E155" s="16"/>
      <c r="F155" s="16"/>
      <c r="G155" s="16"/>
      <c r="H155" s="16"/>
      <c r="I155" s="16"/>
      <c r="J155" s="16"/>
      <c r="K155" s="16"/>
      <c r="L155" s="16"/>
      <c r="M155" s="735"/>
      <c r="N155" s="696"/>
      <c r="O155" s="696"/>
      <c r="P155" s="696"/>
      <c r="Q155" s="696"/>
      <c r="R155" s="696"/>
      <c r="S155" s="696"/>
      <c r="T155" s="696"/>
      <c r="U155" s="16"/>
      <c r="V155" s="16"/>
      <c r="W155" s="16"/>
      <c r="X155" s="16"/>
      <c r="Y155" s="16"/>
      <c r="Z155" s="16"/>
      <c r="AA155" s="16"/>
      <c r="AB155" s="16"/>
      <c r="AC155" s="16"/>
      <c r="AD155" s="16"/>
    </row>
    <row r="156" spans="1:30" ht="15.75" customHeight="1">
      <c r="A156" s="16"/>
      <c r="B156" s="16"/>
      <c r="C156" s="16"/>
      <c r="D156" s="16"/>
      <c r="E156" s="16"/>
      <c r="F156" s="16"/>
      <c r="G156" s="16"/>
      <c r="H156" s="16"/>
      <c r="I156" s="16"/>
      <c r="J156" s="16"/>
      <c r="K156" s="16"/>
      <c r="L156" s="16"/>
      <c r="M156" s="735"/>
      <c r="N156" s="696"/>
      <c r="O156" s="696"/>
      <c r="P156" s="696"/>
      <c r="Q156" s="696"/>
      <c r="R156" s="696"/>
      <c r="S156" s="696"/>
      <c r="T156" s="696"/>
      <c r="U156" s="16"/>
      <c r="V156" s="16"/>
      <c r="W156" s="16"/>
      <c r="X156" s="16"/>
      <c r="Y156" s="16"/>
      <c r="Z156" s="16"/>
      <c r="AA156" s="16"/>
      <c r="AB156" s="16"/>
      <c r="AC156" s="16"/>
      <c r="AD156" s="16"/>
    </row>
    <row r="157" spans="1:30" ht="15.75" customHeight="1">
      <c r="A157" s="16"/>
      <c r="B157" s="16"/>
      <c r="C157" s="16"/>
      <c r="D157" s="16"/>
      <c r="E157" s="16"/>
      <c r="F157" s="16"/>
      <c r="G157" s="16"/>
      <c r="H157" s="16"/>
      <c r="I157" s="16"/>
      <c r="J157" s="16"/>
      <c r="K157" s="16"/>
      <c r="L157" s="16"/>
      <c r="M157" s="735"/>
      <c r="N157" s="696"/>
      <c r="O157" s="696"/>
      <c r="P157" s="696"/>
      <c r="Q157" s="696"/>
      <c r="R157" s="696"/>
      <c r="S157" s="696"/>
      <c r="T157" s="696"/>
      <c r="U157" s="16"/>
      <c r="V157" s="16"/>
      <c r="W157" s="16"/>
      <c r="X157" s="16"/>
      <c r="Y157" s="16"/>
      <c r="Z157" s="16"/>
      <c r="AA157" s="16"/>
      <c r="AB157" s="16"/>
      <c r="AC157" s="16"/>
      <c r="AD157" s="16"/>
    </row>
    <row r="158" spans="1:30" ht="15.75" customHeight="1">
      <c r="A158" s="16"/>
      <c r="B158" s="16"/>
      <c r="C158" s="16"/>
      <c r="D158" s="16"/>
      <c r="E158" s="16"/>
      <c r="F158" s="16"/>
      <c r="G158" s="16"/>
      <c r="H158" s="16"/>
      <c r="I158" s="16"/>
      <c r="J158" s="16"/>
      <c r="K158" s="16"/>
      <c r="L158" s="16"/>
      <c r="M158" s="735"/>
      <c r="N158" s="696"/>
      <c r="O158" s="696"/>
      <c r="P158" s="696"/>
      <c r="Q158" s="696"/>
      <c r="R158" s="696"/>
      <c r="S158" s="696"/>
      <c r="T158" s="696"/>
      <c r="U158" s="16"/>
      <c r="V158" s="16"/>
      <c r="W158" s="16"/>
      <c r="X158" s="16"/>
      <c r="Y158" s="16"/>
      <c r="Z158" s="16"/>
      <c r="AA158" s="16"/>
      <c r="AB158" s="16"/>
      <c r="AC158" s="16"/>
      <c r="AD158" s="16"/>
    </row>
    <row r="159" spans="1:30" ht="15.75" customHeight="1">
      <c r="A159" s="16"/>
      <c r="B159" s="16"/>
      <c r="C159" s="16"/>
      <c r="D159" s="16"/>
      <c r="E159" s="16"/>
      <c r="F159" s="16"/>
      <c r="G159" s="16"/>
      <c r="H159" s="16"/>
      <c r="I159" s="16"/>
      <c r="J159" s="16"/>
      <c r="K159" s="16"/>
      <c r="L159" s="16"/>
      <c r="M159" s="735"/>
      <c r="N159" s="696"/>
      <c r="O159" s="696"/>
      <c r="P159" s="696"/>
      <c r="Q159" s="696"/>
      <c r="R159" s="696"/>
      <c r="S159" s="696"/>
      <c r="T159" s="696"/>
      <c r="U159" s="16"/>
      <c r="V159" s="16"/>
      <c r="W159" s="16"/>
      <c r="X159" s="16"/>
      <c r="Y159" s="16"/>
      <c r="Z159" s="16"/>
      <c r="AA159" s="16"/>
      <c r="AB159" s="16"/>
      <c r="AC159" s="16"/>
      <c r="AD159" s="16"/>
    </row>
    <row r="160" spans="1:30" ht="15.75" customHeight="1">
      <c r="A160" s="16"/>
      <c r="B160" s="16"/>
      <c r="C160" s="16"/>
      <c r="D160" s="16"/>
      <c r="E160" s="16"/>
      <c r="F160" s="16"/>
      <c r="G160" s="16"/>
      <c r="H160" s="16"/>
      <c r="I160" s="16"/>
      <c r="J160" s="16"/>
      <c r="K160" s="16"/>
      <c r="L160" s="16"/>
      <c r="M160" s="735"/>
      <c r="N160" s="696"/>
      <c r="O160" s="696"/>
      <c r="P160" s="696"/>
      <c r="Q160" s="696"/>
      <c r="R160" s="696"/>
      <c r="S160" s="696"/>
      <c r="T160" s="696"/>
      <c r="U160" s="16"/>
      <c r="V160" s="16"/>
      <c r="W160" s="16"/>
      <c r="X160" s="16"/>
      <c r="Y160" s="16"/>
      <c r="Z160" s="16"/>
      <c r="AA160" s="16"/>
      <c r="AB160" s="16"/>
      <c r="AC160" s="16"/>
      <c r="AD160" s="16"/>
    </row>
    <row r="161" spans="1:30" ht="15.75" customHeight="1">
      <c r="A161" s="16"/>
      <c r="B161" s="16"/>
      <c r="C161" s="16"/>
      <c r="D161" s="16"/>
      <c r="E161" s="16"/>
      <c r="F161" s="16"/>
      <c r="G161" s="16"/>
      <c r="H161" s="16"/>
      <c r="I161" s="16"/>
      <c r="J161" s="16"/>
      <c r="K161" s="16"/>
      <c r="L161" s="16"/>
      <c r="M161" s="735"/>
      <c r="N161" s="696"/>
      <c r="O161" s="696"/>
      <c r="P161" s="696"/>
      <c r="Q161" s="696"/>
      <c r="R161" s="696"/>
      <c r="S161" s="696"/>
      <c r="T161" s="696"/>
      <c r="U161" s="16"/>
      <c r="V161" s="16"/>
      <c r="W161" s="16"/>
      <c r="X161" s="16"/>
      <c r="Y161" s="16"/>
      <c r="Z161" s="16"/>
      <c r="AA161" s="16"/>
      <c r="AB161" s="16"/>
      <c r="AC161" s="16"/>
      <c r="AD161" s="16"/>
    </row>
    <row r="162" spans="1:30" ht="15.75" customHeight="1">
      <c r="A162" s="16"/>
      <c r="B162" s="16"/>
      <c r="C162" s="16"/>
      <c r="D162" s="16"/>
      <c r="E162" s="16"/>
      <c r="F162" s="16"/>
      <c r="G162" s="16"/>
      <c r="H162" s="16"/>
      <c r="I162" s="16"/>
      <c r="J162" s="16"/>
      <c r="K162" s="16"/>
      <c r="L162" s="16"/>
      <c r="M162" s="735"/>
      <c r="N162" s="696"/>
      <c r="O162" s="696"/>
      <c r="P162" s="696"/>
      <c r="Q162" s="696"/>
      <c r="R162" s="696"/>
      <c r="S162" s="696"/>
      <c r="T162" s="696"/>
      <c r="U162" s="16"/>
      <c r="V162" s="16"/>
      <c r="W162" s="16"/>
      <c r="X162" s="16"/>
      <c r="Y162" s="16"/>
      <c r="Z162" s="16"/>
      <c r="AA162" s="16"/>
      <c r="AB162" s="16"/>
      <c r="AC162" s="16"/>
      <c r="AD162" s="16"/>
    </row>
    <row r="163" spans="1:30" ht="15.75" customHeight="1">
      <c r="A163" s="16"/>
      <c r="B163" s="16"/>
      <c r="C163" s="16"/>
      <c r="D163" s="16"/>
      <c r="E163" s="16"/>
      <c r="F163" s="16"/>
      <c r="G163" s="16"/>
      <c r="H163" s="16"/>
      <c r="I163" s="16"/>
      <c r="J163" s="16"/>
      <c r="K163" s="16"/>
      <c r="L163" s="16"/>
      <c r="M163" s="735"/>
      <c r="N163" s="696"/>
      <c r="O163" s="696"/>
      <c r="P163" s="696"/>
      <c r="Q163" s="696"/>
      <c r="R163" s="696"/>
      <c r="S163" s="696"/>
      <c r="T163" s="696"/>
      <c r="U163" s="16"/>
      <c r="V163" s="16"/>
      <c r="W163" s="16"/>
      <c r="X163" s="16"/>
      <c r="Y163" s="16"/>
      <c r="Z163" s="16"/>
      <c r="AA163" s="16"/>
      <c r="AB163" s="16"/>
      <c r="AC163" s="16"/>
      <c r="AD163" s="16"/>
    </row>
    <row r="164" spans="1:30" ht="15.75" customHeight="1">
      <c r="A164" s="1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c r="Z164" s="16"/>
      <c r="AA164" s="16"/>
      <c r="AB164" s="16"/>
      <c r="AC164" s="16"/>
      <c r="AD164" s="16"/>
    </row>
    <row r="165" spans="1:30" ht="15.75" customHeight="1">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row>
    <row r="166" spans="1:30" ht="15.75" customHeight="1">
      <c r="A166" s="16"/>
      <c r="B166" s="16"/>
      <c r="C166" s="16"/>
      <c r="D166" s="16"/>
      <c r="E166" s="16"/>
      <c r="F166" s="16"/>
      <c r="G166" s="16"/>
      <c r="H166" s="16"/>
      <c r="I166" s="16"/>
      <c r="J166" s="16"/>
      <c r="K166" s="16"/>
      <c r="L166" s="16"/>
      <c r="M166" s="735"/>
      <c r="N166" s="696"/>
      <c r="O166" s="696"/>
      <c r="P166" s="735"/>
      <c r="Q166" s="696"/>
      <c r="R166" s="696"/>
      <c r="S166" s="696"/>
      <c r="T166" s="696"/>
      <c r="U166" s="16"/>
      <c r="V166" s="16"/>
      <c r="W166" s="16"/>
      <c r="X166" s="16"/>
      <c r="Y166" s="16"/>
      <c r="Z166" s="16"/>
      <c r="AA166" s="16"/>
      <c r="AB166" s="16"/>
      <c r="AC166" s="16"/>
      <c r="AD166" s="16"/>
    </row>
    <row r="167" spans="1:30" ht="15.75" customHeight="1">
      <c r="A167" s="16"/>
      <c r="B167" s="16"/>
      <c r="C167" s="16"/>
      <c r="D167" s="16"/>
      <c r="E167" s="16"/>
      <c r="F167" s="16"/>
      <c r="G167" s="16"/>
      <c r="H167" s="16"/>
      <c r="I167" s="16"/>
      <c r="J167" s="16"/>
      <c r="K167" s="16"/>
      <c r="L167" s="16"/>
      <c r="M167" s="735"/>
      <c r="N167" s="696"/>
      <c r="O167" s="696"/>
      <c r="P167" s="735"/>
      <c r="Q167" s="696"/>
      <c r="R167" s="696"/>
      <c r="S167" s="696"/>
      <c r="T167" s="696"/>
      <c r="U167" s="16"/>
      <c r="V167" s="16"/>
      <c r="W167" s="16"/>
      <c r="X167" s="16"/>
      <c r="Y167" s="16"/>
      <c r="Z167" s="16"/>
      <c r="AA167" s="16"/>
      <c r="AB167" s="16"/>
      <c r="AC167" s="16"/>
      <c r="AD167" s="16"/>
    </row>
    <row r="168" spans="1:30" ht="15.75" customHeight="1">
      <c r="A168" s="16"/>
      <c r="B168" s="16"/>
      <c r="C168" s="16"/>
      <c r="D168" s="16"/>
      <c r="E168" s="16"/>
      <c r="F168" s="16"/>
      <c r="G168" s="16"/>
      <c r="H168" s="16"/>
      <c r="I168" s="16"/>
      <c r="J168" s="16"/>
      <c r="K168" s="16"/>
      <c r="L168" s="16"/>
      <c r="M168" s="735"/>
      <c r="N168" s="696"/>
      <c r="O168" s="696"/>
      <c r="P168" s="696"/>
      <c r="Q168" s="696"/>
      <c r="R168" s="696"/>
      <c r="S168" s="696"/>
      <c r="T168" s="696"/>
      <c r="U168" s="16"/>
      <c r="V168" s="16"/>
      <c r="W168" s="16"/>
      <c r="X168" s="16"/>
      <c r="Y168" s="16"/>
      <c r="Z168" s="16"/>
      <c r="AA168" s="16"/>
      <c r="AB168" s="16"/>
      <c r="AC168" s="16"/>
      <c r="AD168" s="16"/>
    </row>
    <row r="169" spans="1:30" ht="15.75" customHeight="1">
      <c r="A169" s="16"/>
      <c r="B169" s="16"/>
      <c r="C169" s="16"/>
      <c r="D169" s="16"/>
      <c r="E169" s="16"/>
      <c r="F169" s="16"/>
      <c r="G169" s="16"/>
      <c r="H169" s="16"/>
      <c r="I169" s="16"/>
      <c r="J169" s="16"/>
      <c r="K169" s="16"/>
      <c r="L169" s="16"/>
      <c r="M169" s="735"/>
      <c r="N169" s="696"/>
      <c r="O169" s="696"/>
      <c r="P169" s="696"/>
      <c r="Q169" s="696"/>
      <c r="R169" s="696"/>
      <c r="S169" s="696"/>
      <c r="T169" s="696"/>
      <c r="U169" s="16"/>
      <c r="V169" s="16"/>
      <c r="W169" s="16"/>
      <c r="X169" s="16"/>
      <c r="Y169" s="16"/>
      <c r="Z169" s="16"/>
      <c r="AA169" s="16"/>
      <c r="AB169" s="16"/>
      <c r="AC169" s="16"/>
      <c r="AD169" s="16"/>
    </row>
    <row r="170" spans="1:30" ht="15.75" customHeight="1">
      <c r="A170" s="16"/>
      <c r="B170" s="16"/>
      <c r="C170" s="16"/>
      <c r="D170" s="16"/>
      <c r="E170" s="16"/>
      <c r="F170" s="16"/>
      <c r="G170" s="16"/>
      <c r="H170" s="16"/>
      <c r="I170" s="16"/>
      <c r="J170" s="16"/>
      <c r="K170" s="16"/>
      <c r="L170" s="16"/>
      <c r="M170" s="735"/>
      <c r="N170" s="696"/>
      <c r="O170" s="696"/>
      <c r="P170" s="696"/>
      <c r="Q170" s="696"/>
      <c r="R170" s="696"/>
      <c r="S170" s="696"/>
      <c r="T170" s="696"/>
      <c r="U170" s="16"/>
      <c r="V170" s="16"/>
      <c r="W170" s="16"/>
      <c r="X170" s="16"/>
      <c r="Y170" s="16"/>
      <c r="Z170" s="16"/>
      <c r="AA170" s="16"/>
      <c r="AB170" s="16"/>
      <c r="AC170" s="16"/>
      <c r="AD170" s="16"/>
    </row>
    <row r="171" spans="1:30" ht="15.75" customHeight="1">
      <c r="A171" s="16"/>
      <c r="B171" s="16"/>
      <c r="C171" s="16"/>
      <c r="D171" s="16"/>
      <c r="E171" s="16"/>
      <c r="F171" s="16"/>
      <c r="G171" s="16"/>
      <c r="H171" s="16"/>
      <c r="I171" s="16"/>
      <c r="J171" s="16"/>
      <c r="K171" s="16"/>
      <c r="L171" s="16"/>
      <c r="M171" s="735"/>
      <c r="N171" s="696"/>
      <c r="O171" s="696"/>
      <c r="P171" s="696"/>
      <c r="Q171" s="696"/>
      <c r="R171" s="696"/>
      <c r="S171" s="696"/>
      <c r="T171" s="696"/>
      <c r="U171" s="16"/>
      <c r="V171" s="16"/>
      <c r="W171" s="16"/>
      <c r="X171" s="16"/>
      <c r="Y171" s="16"/>
      <c r="Z171" s="16"/>
      <c r="AA171" s="16"/>
      <c r="AB171" s="16"/>
      <c r="AC171" s="16"/>
      <c r="AD171" s="16"/>
    </row>
    <row r="172" spans="1:30" ht="15.75" customHeight="1">
      <c r="A172" s="16"/>
      <c r="B172" s="16"/>
      <c r="C172" s="16"/>
      <c r="D172" s="16"/>
      <c r="E172" s="16"/>
      <c r="F172" s="16"/>
      <c r="G172" s="16"/>
      <c r="H172" s="16"/>
      <c r="I172" s="16"/>
      <c r="J172" s="16"/>
      <c r="K172" s="16"/>
      <c r="L172" s="16"/>
      <c r="M172" s="735"/>
      <c r="N172" s="696"/>
      <c r="O172" s="696"/>
      <c r="P172" s="696"/>
      <c r="Q172" s="696"/>
      <c r="R172" s="696"/>
      <c r="S172" s="696"/>
      <c r="T172" s="696"/>
      <c r="U172" s="16"/>
      <c r="V172" s="16"/>
      <c r="W172" s="16"/>
      <c r="X172" s="16"/>
      <c r="Y172" s="16"/>
      <c r="Z172" s="16"/>
      <c r="AA172" s="16"/>
      <c r="AB172" s="16"/>
      <c r="AC172" s="16"/>
      <c r="AD172" s="16"/>
    </row>
    <row r="173" spans="1:30" ht="15.75" customHeight="1">
      <c r="A173" s="16"/>
      <c r="B173" s="16"/>
      <c r="C173" s="16"/>
      <c r="D173" s="16"/>
      <c r="E173" s="16"/>
      <c r="F173" s="16"/>
      <c r="G173" s="16"/>
      <c r="H173" s="16"/>
      <c r="I173" s="16"/>
      <c r="J173" s="16"/>
      <c r="K173" s="16"/>
      <c r="L173" s="16"/>
      <c r="M173" s="735"/>
      <c r="N173" s="696"/>
      <c r="O173" s="696"/>
      <c r="P173" s="696"/>
      <c r="Q173" s="696"/>
      <c r="R173" s="696"/>
      <c r="S173" s="696"/>
      <c r="T173" s="696"/>
      <c r="U173" s="16"/>
      <c r="V173" s="16"/>
      <c r="W173" s="16"/>
      <c r="X173" s="16"/>
      <c r="Y173" s="16"/>
      <c r="Z173" s="16"/>
      <c r="AA173" s="16"/>
      <c r="AB173" s="16"/>
      <c r="AC173" s="16"/>
      <c r="AD173" s="16"/>
    </row>
    <row r="174" spans="1:30" ht="15.75" customHeight="1">
      <c r="A174" s="16"/>
      <c r="B174" s="16"/>
      <c r="C174" s="16"/>
      <c r="D174" s="16"/>
      <c r="E174" s="16"/>
      <c r="F174" s="16"/>
      <c r="G174" s="16"/>
      <c r="H174" s="16"/>
      <c r="I174" s="16"/>
      <c r="J174" s="16"/>
      <c r="K174" s="16"/>
      <c r="L174" s="16"/>
      <c r="M174" s="735"/>
      <c r="N174" s="696"/>
      <c r="O174" s="696"/>
      <c r="P174" s="696"/>
      <c r="Q174" s="696"/>
      <c r="R174" s="696"/>
      <c r="S174" s="696"/>
      <c r="T174" s="696"/>
      <c r="U174" s="16"/>
      <c r="V174" s="16"/>
      <c r="W174" s="16"/>
      <c r="X174" s="16"/>
      <c r="Y174" s="16"/>
      <c r="Z174" s="16"/>
      <c r="AA174" s="16"/>
      <c r="AB174" s="16"/>
      <c r="AC174" s="16"/>
      <c r="AD174" s="16"/>
    </row>
    <row r="175" spans="1:30" ht="15.75" customHeight="1">
      <c r="A175" s="16"/>
      <c r="B175" s="16"/>
      <c r="C175" s="16"/>
      <c r="D175" s="16"/>
      <c r="E175" s="16"/>
      <c r="F175" s="16"/>
      <c r="G175" s="16"/>
      <c r="H175" s="16"/>
      <c r="I175" s="16"/>
      <c r="J175" s="16"/>
      <c r="K175" s="16"/>
      <c r="L175" s="16"/>
      <c r="M175" s="735"/>
      <c r="N175" s="696"/>
      <c r="O175" s="696"/>
      <c r="P175" s="696"/>
      <c r="Q175" s="696"/>
      <c r="R175" s="696"/>
      <c r="S175" s="696"/>
      <c r="T175" s="696"/>
      <c r="U175" s="16"/>
      <c r="V175" s="16"/>
      <c r="W175" s="16"/>
      <c r="X175" s="16"/>
      <c r="Y175" s="16"/>
      <c r="Z175" s="16"/>
      <c r="AA175" s="16"/>
      <c r="AB175" s="16"/>
      <c r="AC175" s="16"/>
      <c r="AD175" s="16"/>
    </row>
    <row r="176" spans="1:30" ht="15.75" customHeight="1">
      <c r="A176" s="16"/>
      <c r="B176" s="16"/>
      <c r="C176" s="16"/>
      <c r="D176" s="16"/>
      <c r="E176" s="16"/>
      <c r="F176" s="16"/>
      <c r="G176" s="16"/>
      <c r="H176" s="16"/>
      <c r="I176" s="16"/>
      <c r="J176" s="16"/>
      <c r="K176" s="16"/>
      <c r="L176" s="16"/>
      <c r="M176" s="735"/>
      <c r="N176" s="696"/>
      <c r="O176" s="696"/>
      <c r="P176" s="696"/>
      <c r="Q176" s="696"/>
      <c r="R176" s="696"/>
      <c r="S176" s="696"/>
      <c r="T176" s="696"/>
      <c r="U176" s="16"/>
      <c r="V176" s="16"/>
      <c r="W176" s="16"/>
      <c r="X176" s="16"/>
      <c r="Y176" s="16"/>
      <c r="Z176" s="16"/>
      <c r="AA176" s="16"/>
      <c r="AB176" s="16"/>
      <c r="AC176" s="16"/>
      <c r="AD176" s="16"/>
    </row>
    <row r="177" spans="1:30" ht="15.75" customHeight="1">
      <c r="A177" s="16"/>
      <c r="B177" s="16"/>
      <c r="C177" s="16"/>
      <c r="D177" s="16"/>
      <c r="E177" s="16"/>
      <c r="F177" s="16"/>
      <c r="G177" s="16"/>
      <c r="H177" s="16"/>
      <c r="I177" s="16"/>
      <c r="J177" s="16"/>
      <c r="K177" s="16"/>
      <c r="L177" s="16"/>
      <c r="M177" s="735"/>
      <c r="N177" s="696"/>
      <c r="O177" s="696"/>
      <c r="P177" s="696"/>
      <c r="Q177" s="696"/>
      <c r="R177" s="696"/>
      <c r="S177" s="696"/>
      <c r="T177" s="696"/>
      <c r="U177" s="16"/>
      <c r="V177" s="16"/>
      <c r="W177" s="16"/>
      <c r="X177" s="16"/>
      <c r="Y177" s="16"/>
      <c r="Z177" s="16"/>
      <c r="AA177" s="16"/>
      <c r="AB177" s="16"/>
      <c r="AC177" s="16"/>
      <c r="AD177" s="16"/>
    </row>
    <row r="178" spans="1:30" ht="15.75" customHeight="1">
      <c r="A178" s="16"/>
      <c r="B178" s="16"/>
      <c r="C178" s="16"/>
      <c r="D178" s="16"/>
      <c r="E178" s="16"/>
      <c r="F178" s="16"/>
      <c r="G178" s="16"/>
      <c r="H178" s="16"/>
      <c r="I178" s="16"/>
      <c r="J178" s="16"/>
      <c r="K178" s="16"/>
      <c r="L178" s="16"/>
      <c r="M178" s="735"/>
      <c r="N178" s="696"/>
      <c r="O178" s="696"/>
      <c r="P178" s="696"/>
      <c r="Q178" s="696"/>
      <c r="R178" s="696"/>
      <c r="S178" s="696"/>
      <c r="T178" s="696"/>
      <c r="U178" s="16"/>
      <c r="V178" s="16"/>
      <c r="W178" s="16"/>
      <c r="X178" s="16"/>
      <c r="Y178" s="16"/>
      <c r="Z178" s="16"/>
      <c r="AA178" s="16"/>
      <c r="AB178" s="16"/>
      <c r="AC178" s="16"/>
      <c r="AD178" s="16"/>
    </row>
    <row r="179" spans="1:30" ht="15.75" customHeight="1">
      <c r="A179" s="16"/>
      <c r="B179" s="16"/>
      <c r="C179" s="16"/>
      <c r="D179" s="16"/>
      <c r="E179" s="16"/>
      <c r="F179" s="16"/>
      <c r="G179" s="16"/>
      <c r="H179" s="16"/>
      <c r="I179" s="16"/>
      <c r="J179" s="16"/>
      <c r="K179" s="16"/>
      <c r="L179" s="16"/>
      <c r="M179" s="735"/>
      <c r="N179" s="696"/>
      <c r="O179" s="696"/>
      <c r="P179" s="696"/>
      <c r="Q179" s="696"/>
      <c r="R179" s="696"/>
      <c r="S179" s="696"/>
      <c r="T179" s="696"/>
      <c r="U179" s="16"/>
      <c r="V179" s="16"/>
      <c r="W179" s="16"/>
      <c r="X179" s="16"/>
      <c r="Y179" s="16"/>
      <c r="Z179" s="16"/>
      <c r="AA179" s="16"/>
      <c r="AB179" s="16"/>
      <c r="AC179" s="16"/>
      <c r="AD179" s="16"/>
    </row>
    <row r="180" spans="1:30" ht="15.75" customHeight="1">
      <c r="A180" s="16"/>
      <c r="B180" s="16"/>
      <c r="C180" s="16"/>
      <c r="D180" s="16"/>
      <c r="E180" s="16"/>
      <c r="F180" s="16"/>
      <c r="G180" s="16"/>
      <c r="H180" s="16"/>
      <c r="I180" s="16"/>
      <c r="J180" s="16"/>
      <c r="K180" s="16"/>
      <c r="L180" s="16"/>
      <c r="M180" s="735"/>
      <c r="N180" s="696"/>
      <c r="O180" s="696"/>
      <c r="P180" s="696"/>
      <c r="Q180" s="696"/>
      <c r="R180" s="696"/>
      <c r="S180" s="696"/>
      <c r="T180" s="696"/>
      <c r="U180" s="16"/>
      <c r="V180" s="16"/>
      <c r="W180" s="16"/>
      <c r="X180" s="16"/>
      <c r="Y180" s="16"/>
      <c r="Z180" s="16"/>
      <c r="AA180" s="16"/>
      <c r="AB180" s="16"/>
      <c r="AC180" s="16"/>
      <c r="AD180" s="16"/>
    </row>
    <row r="181" spans="1:30" ht="15.75" customHeight="1">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c r="AD181" s="16"/>
    </row>
    <row r="182" spans="1:30" ht="15.75" customHeight="1">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c r="AD182" s="16"/>
    </row>
    <row r="183" spans="1:30" ht="15.75" customHeight="1">
      <c r="A183" s="16"/>
      <c r="B183" s="735"/>
      <c r="C183" s="696"/>
      <c r="D183" s="16"/>
      <c r="E183" s="16"/>
      <c r="F183" s="16"/>
      <c r="G183" s="16"/>
      <c r="H183" s="16"/>
      <c r="I183" s="16"/>
      <c r="J183" s="16"/>
      <c r="K183" s="16"/>
      <c r="L183" s="16"/>
      <c r="M183" s="735"/>
      <c r="N183" s="696"/>
      <c r="O183" s="696"/>
      <c r="P183" s="735"/>
      <c r="Q183" s="696"/>
      <c r="R183" s="696"/>
      <c r="S183" s="696"/>
      <c r="T183" s="696"/>
      <c r="U183" s="16"/>
      <c r="V183" s="16"/>
      <c r="W183" s="16"/>
      <c r="X183" s="16"/>
      <c r="Y183" s="16"/>
      <c r="Z183" s="16"/>
      <c r="AA183" s="16"/>
      <c r="AB183" s="16"/>
      <c r="AC183" s="16"/>
      <c r="AD183" s="16"/>
    </row>
    <row r="184" spans="1:30" ht="15.75" customHeight="1">
      <c r="A184" s="16"/>
      <c r="B184" s="735"/>
      <c r="C184" s="696"/>
      <c r="D184" s="16"/>
      <c r="E184" s="16"/>
      <c r="F184" s="16"/>
      <c r="G184" s="16"/>
      <c r="H184" s="16"/>
      <c r="I184" s="16"/>
      <c r="J184" s="16"/>
      <c r="K184" s="16"/>
      <c r="L184" s="16"/>
      <c r="M184" s="735"/>
      <c r="N184" s="696"/>
      <c r="O184" s="696"/>
      <c r="P184" s="735"/>
      <c r="Q184" s="696"/>
      <c r="R184" s="696"/>
      <c r="S184" s="696"/>
      <c r="T184" s="696"/>
      <c r="U184" s="16"/>
      <c r="V184" s="16"/>
      <c r="W184" s="16"/>
      <c r="X184" s="16"/>
      <c r="Y184" s="16"/>
      <c r="Z184" s="16"/>
      <c r="AA184" s="16"/>
      <c r="AB184" s="16"/>
      <c r="AC184" s="16"/>
      <c r="AD184" s="16"/>
    </row>
    <row r="185" spans="1:30" ht="15.75" customHeight="1">
      <c r="A185" s="16"/>
      <c r="B185" s="735"/>
      <c r="C185" s="696"/>
      <c r="D185" s="16"/>
      <c r="E185" s="16"/>
      <c r="F185" s="16"/>
      <c r="G185" s="16"/>
      <c r="H185" s="16"/>
      <c r="I185" s="16"/>
      <c r="J185" s="16"/>
      <c r="K185" s="16"/>
      <c r="L185" s="16"/>
      <c r="M185" s="735"/>
      <c r="N185" s="696"/>
      <c r="O185" s="696"/>
      <c r="P185" s="696"/>
      <c r="Q185" s="696"/>
      <c r="R185" s="696"/>
      <c r="S185" s="696"/>
      <c r="T185" s="696"/>
      <c r="U185" s="16"/>
      <c r="V185" s="16"/>
      <c r="W185" s="16"/>
      <c r="X185" s="16"/>
      <c r="Y185" s="16"/>
      <c r="Z185" s="16"/>
      <c r="AA185" s="16"/>
      <c r="AB185" s="16"/>
      <c r="AC185" s="16"/>
      <c r="AD185" s="16"/>
    </row>
    <row r="186" spans="1:30" ht="15.75" customHeight="1">
      <c r="A186" s="16"/>
      <c r="B186" s="735"/>
      <c r="C186" s="696"/>
      <c r="D186" s="16"/>
      <c r="E186" s="16"/>
      <c r="F186" s="16"/>
      <c r="G186" s="16"/>
      <c r="H186" s="16"/>
      <c r="I186" s="16"/>
      <c r="J186" s="16"/>
      <c r="K186" s="16"/>
      <c r="L186" s="16"/>
      <c r="M186" s="735"/>
      <c r="N186" s="696"/>
      <c r="O186" s="696"/>
      <c r="P186" s="696"/>
      <c r="Q186" s="696"/>
      <c r="R186" s="696"/>
      <c r="S186" s="696"/>
      <c r="T186" s="696"/>
      <c r="U186" s="16"/>
      <c r="V186" s="16"/>
      <c r="W186" s="16"/>
      <c r="X186" s="16"/>
      <c r="Y186" s="16"/>
      <c r="Z186" s="16"/>
      <c r="AA186" s="16"/>
      <c r="AB186" s="16"/>
      <c r="AC186" s="16"/>
      <c r="AD186" s="16"/>
    </row>
    <row r="187" spans="1:30" ht="15.75" customHeight="1">
      <c r="A187" s="16"/>
      <c r="B187" s="735"/>
      <c r="C187" s="696"/>
      <c r="D187" s="16"/>
      <c r="E187" s="16"/>
      <c r="F187" s="16"/>
      <c r="G187" s="16"/>
      <c r="H187" s="16"/>
      <c r="I187" s="16"/>
      <c r="J187" s="16"/>
      <c r="K187" s="16"/>
      <c r="L187" s="16"/>
      <c r="M187" s="735"/>
      <c r="N187" s="696"/>
      <c r="O187" s="696"/>
      <c r="P187" s="696"/>
      <c r="Q187" s="696"/>
      <c r="R187" s="696"/>
      <c r="S187" s="696"/>
      <c r="T187" s="696"/>
      <c r="U187" s="16"/>
      <c r="V187" s="16"/>
      <c r="W187" s="16"/>
      <c r="X187" s="16"/>
      <c r="Y187" s="16"/>
      <c r="Z187" s="16"/>
      <c r="AA187" s="16"/>
      <c r="AB187" s="16"/>
      <c r="AC187" s="16"/>
      <c r="AD187" s="16"/>
    </row>
    <row r="188" spans="1:30" ht="15.75" customHeight="1">
      <c r="A188" s="16"/>
      <c r="B188" s="735"/>
      <c r="C188" s="696"/>
      <c r="D188" s="16"/>
      <c r="E188" s="16"/>
      <c r="F188" s="16"/>
      <c r="G188" s="16"/>
      <c r="H188" s="16"/>
      <c r="I188" s="16"/>
      <c r="J188" s="16"/>
      <c r="K188" s="16"/>
      <c r="L188" s="16"/>
      <c r="M188" s="735"/>
      <c r="N188" s="696"/>
      <c r="O188" s="696"/>
      <c r="P188" s="696"/>
      <c r="Q188" s="696"/>
      <c r="R188" s="696"/>
      <c r="S188" s="696"/>
      <c r="T188" s="696"/>
      <c r="U188" s="16"/>
      <c r="V188" s="16"/>
      <c r="W188" s="16"/>
      <c r="X188" s="16"/>
      <c r="Y188" s="16"/>
      <c r="Z188" s="16"/>
      <c r="AA188" s="16"/>
      <c r="AB188" s="16"/>
      <c r="AC188" s="16"/>
      <c r="AD188" s="16"/>
    </row>
    <row r="189" spans="1:30" ht="15.75" customHeight="1">
      <c r="A189" s="16"/>
      <c r="B189" s="735"/>
      <c r="C189" s="696"/>
      <c r="D189" s="16"/>
      <c r="E189" s="16"/>
      <c r="F189" s="16"/>
      <c r="G189" s="16"/>
      <c r="H189" s="16"/>
      <c r="I189" s="16"/>
      <c r="J189" s="16"/>
      <c r="K189" s="16"/>
      <c r="L189" s="16"/>
      <c r="M189" s="735"/>
      <c r="N189" s="696"/>
      <c r="O189" s="696"/>
      <c r="P189" s="696"/>
      <c r="Q189" s="696"/>
      <c r="R189" s="696"/>
      <c r="S189" s="696"/>
      <c r="T189" s="696"/>
      <c r="U189" s="16"/>
      <c r="V189" s="16"/>
      <c r="W189" s="16"/>
      <c r="X189" s="16"/>
      <c r="Y189" s="16"/>
      <c r="Z189" s="16"/>
      <c r="AA189" s="16"/>
      <c r="AB189" s="16"/>
      <c r="AC189" s="16"/>
      <c r="AD189" s="16"/>
    </row>
    <row r="190" spans="1:30" ht="15.75" customHeight="1">
      <c r="A190" s="16"/>
      <c r="B190" s="735"/>
      <c r="C190" s="696"/>
      <c r="D190" s="16"/>
      <c r="E190" s="16"/>
      <c r="F190" s="16"/>
      <c r="G190" s="16"/>
      <c r="H190" s="16"/>
      <c r="I190" s="16"/>
      <c r="J190" s="16"/>
      <c r="K190" s="16"/>
      <c r="L190" s="16"/>
      <c r="M190" s="735"/>
      <c r="N190" s="696"/>
      <c r="O190" s="696"/>
      <c r="P190" s="696"/>
      <c r="Q190" s="696"/>
      <c r="R190" s="696"/>
      <c r="S190" s="696"/>
      <c r="T190" s="696"/>
      <c r="U190" s="16"/>
      <c r="V190" s="16"/>
      <c r="W190" s="16"/>
      <c r="X190" s="16"/>
      <c r="Y190" s="16"/>
      <c r="Z190" s="16"/>
      <c r="AA190" s="16"/>
      <c r="AB190" s="16"/>
      <c r="AC190" s="16"/>
      <c r="AD190" s="16"/>
    </row>
    <row r="191" spans="1:30" ht="15.75" customHeight="1">
      <c r="A191" s="16"/>
      <c r="B191" s="735"/>
      <c r="C191" s="696"/>
      <c r="D191" s="16"/>
      <c r="E191" s="16"/>
      <c r="F191" s="16"/>
      <c r="G191" s="16"/>
      <c r="H191" s="16"/>
      <c r="I191" s="16"/>
      <c r="J191" s="16"/>
      <c r="K191" s="16"/>
      <c r="L191" s="16"/>
      <c r="M191" s="735"/>
      <c r="N191" s="696"/>
      <c r="O191" s="696"/>
      <c r="P191" s="696"/>
      <c r="Q191" s="696"/>
      <c r="R191" s="696"/>
      <c r="S191" s="696"/>
      <c r="T191" s="696"/>
      <c r="U191" s="16"/>
      <c r="V191" s="16"/>
      <c r="W191" s="16"/>
      <c r="X191" s="16"/>
      <c r="Y191" s="16"/>
      <c r="Z191" s="16"/>
      <c r="AA191" s="16"/>
      <c r="AB191" s="16"/>
      <c r="AC191" s="16"/>
      <c r="AD191" s="16"/>
    </row>
    <row r="192" spans="1:30" ht="15.75" customHeight="1">
      <c r="A192" s="16"/>
      <c r="B192" s="735"/>
      <c r="C192" s="696"/>
      <c r="D192" s="16"/>
      <c r="E192" s="16"/>
      <c r="F192" s="16"/>
      <c r="G192" s="16"/>
      <c r="H192" s="16"/>
      <c r="I192" s="16"/>
      <c r="J192" s="16"/>
      <c r="K192" s="16"/>
      <c r="L192" s="16"/>
      <c r="M192" s="735"/>
      <c r="N192" s="696"/>
      <c r="O192" s="696"/>
      <c r="P192" s="696"/>
      <c r="Q192" s="696"/>
      <c r="R192" s="696"/>
      <c r="S192" s="696"/>
      <c r="T192" s="696"/>
      <c r="U192" s="16"/>
      <c r="V192" s="16"/>
      <c r="W192" s="16"/>
      <c r="X192" s="16"/>
      <c r="Y192" s="16"/>
      <c r="Z192" s="16"/>
      <c r="AA192" s="16"/>
      <c r="AB192" s="16"/>
      <c r="AC192" s="16"/>
      <c r="AD192" s="16"/>
    </row>
    <row r="193" spans="1:30" ht="15.75" customHeight="1">
      <c r="A193" s="16"/>
      <c r="B193" s="735"/>
      <c r="C193" s="696"/>
      <c r="D193" s="16"/>
      <c r="E193" s="16"/>
      <c r="F193" s="16"/>
      <c r="G193" s="16"/>
      <c r="H193" s="16"/>
      <c r="I193" s="16"/>
      <c r="J193" s="16"/>
      <c r="K193" s="16"/>
      <c r="L193" s="16"/>
      <c r="M193" s="735"/>
      <c r="N193" s="696"/>
      <c r="O193" s="696"/>
      <c r="P193" s="696"/>
      <c r="Q193" s="696"/>
      <c r="R193" s="696"/>
      <c r="S193" s="696"/>
      <c r="T193" s="696"/>
      <c r="U193" s="16"/>
      <c r="V193" s="16"/>
      <c r="W193" s="16"/>
      <c r="X193" s="16"/>
      <c r="Y193" s="16"/>
      <c r="Z193" s="16"/>
      <c r="AA193" s="16"/>
      <c r="AB193" s="16"/>
      <c r="AC193" s="16"/>
      <c r="AD193" s="16"/>
    </row>
    <row r="194" spans="1:30" ht="15.75" customHeight="1">
      <c r="A194" s="16"/>
      <c r="B194" s="735"/>
      <c r="C194" s="696"/>
      <c r="D194" s="16"/>
      <c r="E194" s="16"/>
      <c r="F194" s="16"/>
      <c r="G194" s="16"/>
      <c r="H194" s="16"/>
      <c r="I194" s="16"/>
      <c r="J194" s="16"/>
      <c r="K194" s="16"/>
      <c r="L194" s="16"/>
      <c r="M194" s="735"/>
      <c r="N194" s="696"/>
      <c r="O194" s="696"/>
      <c r="P194" s="696"/>
      <c r="Q194" s="696"/>
      <c r="R194" s="696"/>
      <c r="S194" s="696"/>
      <c r="T194" s="696"/>
      <c r="U194" s="16"/>
      <c r="V194" s="16"/>
      <c r="W194" s="16"/>
      <c r="X194" s="16"/>
      <c r="Y194" s="16"/>
      <c r="Z194" s="16"/>
      <c r="AA194" s="16"/>
      <c r="AB194" s="16"/>
      <c r="AC194" s="16"/>
      <c r="AD194" s="16"/>
    </row>
    <row r="195" spans="1:30" ht="15.75" customHeight="1">
      <c r="A195" s="16"/>
      <c r="B195" s="735"/>
      <c r="C195" s="696"/>
      <c r="D195" s="16"/>
      <c r="E195" s="16"/>
      <c r="F195" s="16"/>
      <c r="G195" s="16"/>
      <c r="H195" s="16"/>
      <c r="I195" s="16"/>
      <c r="J195" s="16"/>
      <c r="K195" s="16"/>
      <c r="L195" s="16"/>
      <c r="M195" s="735"/>
      <c r="N195" s="696"/>
      <c r="O195" s="696"/>
      <c r="P195" s="696"/>
      <c r="Q195" s="696"/>
      <c r="R195" s="696"/>
      <c r="S195" s="696"/>
      <c r="T195" s="696"/>
      <c r="U195" s="16"/>
      <c r="V195" s="16"/>
      <c r="W195" s="16"/>
      <c r="X195" s="16"/>
      <c r="Y195" s="16"/>
      <c r="Z195" s="16"/>
      <c r="AA195" s="16"/>
      <c r="AB195" s="16"/>
      <c r="AC195" s="16"/>
      <c r="AD195" s="16"/>
    </row>
    <row r="196" spans="1:30" ht="15.75" customHeight="1">
      <c r="A196" s="16"/>
      <c r="B196" s="735"/>
      <c r="C196" s="696"/>
      <c r="D196" s="16"/>
      <c r="E196" s="16"/>
      <c r="F196" s="16"/>
      <c r="G196" s="16"/>
      <c r="H196" s="16"/>
      <c r="I196" s="16"/>
      <c r="J196" s="16"/>
      <c r="K196" s="16"/>
      <c r="L196" s="16"/>
      <c r="M196" s="735"/>
      <c r="N196" s="696"/>
      <c r="O196" s="696"/>
      <c r="P196" s="696"/>
      <c r="Q196" s="696"/>
      <c r="R196" s="696"/>
      <c r="S196" s="696"/>
      <c r="T196" s="696"/>
      <c r="U196" s="16"/>
      <c r="V196" s="16"/>
      <c r="W196" s="16"/>
      <c r="X196" s="16"/>
      <c r="Y196" s="16"/>
      <c r="Z196" s="16"/>
      <c r="AA196" s="16"/>
      <c r="AB196" s="16"/>
      <c r="AC196" s="16"/>
      <c r="AD196" s="16"/>
    </row>
    <row r="197" spans="1:30" ht="15.75" customHeight="1">
      <c r="A197" s="16"/>
      <c r="B197" s="735"/>
      <c r="C197" s="696"/>
      <c r="D197" s="16"/>
      <c r="E197" s="16"/>
      <c r="F197" s="16"/>
      <c r="G197" s="16"/>
      <c r="H197" s="16"/>
      <c r="I197" s="16"/>
      <c r="J197" s="16"/>
      <c r="K197" s="16"/>
      <c r="L197" s="16"/>
      <c r="M197" s="735"/>
      <c r="N197" s="696"/>
      <c r="O197" s="696"/>
      <c r="P197" s="696"/>
      <c r="Q197" s="696"/>
      <c r="R197" s="696"/>
      <c r="S197" s="696"/>
      <c r="T197" s="696"/>
      <c r="U197" s="16"/>
      <c r="V197" s="16"/>
      <c r="W197" s="16"/>
      <c r="X197" s="16"/>
      <c r="Y197" s="16"/>
      <c r="Z197" s="16"/>
      <c r="AA197" s="16"/>
      <c r="AB197" s="16"/>
      <c r="AC197" s="16"/>
      <c r="AD197" s="16"/>
    </row>
    <row r="198" spans="1:30" ht="15.75" customHeight="1">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c r="AD198" s="16"/>
    </row>
    <row r="199" spans="1:30" ht="15.75" customHeight="1">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c r="AA199" s="16"/>
      <c r="AB199" s="16"/>
      <c r="AC199" s="16"/>
      <c r="AD199" s="16"/>
    </row>
    <row r="200" spans="1:30" ht="15.75" customHeight="1">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c r="AA200" s="16"/>
      <c r="AB200" s="16"/>
      <c r="AC200" s="16"/>
      <c r="AD200" s="16"/>
    </row>
    <row r="201" spans="1:30" ht="15.75" customHeight="1">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c r="AD201" s="16"/>
    </row>
    <row r="202" spans="1:30" ht="15.75" customHeight="1">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c r="AD202" s="16"/>
    </row>
    <row r="203" spans="1:30" ht="15.75" customHeight="1">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c r="AA203" s="16"/>
      <c r="AB203" s="16"/>
      <c r="AC203" s="16"/>
      <c r="AD203" s="16"/>
    </row>
    <row r="204" spans="1:30" ht="15.75" customHeight="1">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c r="AA204" s="16"/>
      <c r="AB204" s="16"/>
      <c r="AC204" s="16"/>
      <c r="AD204" s="16"/>
    </row>
    <row r="205" spans="1:30" ht="15.75" customHeight="1">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c r="AD205" s="16"/>
    </row>
    <row r="206" spans="1:30" ht="15.75" customHeight="1">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row>
    <row r="207" spans="1:30" ht="15.75" customHeight="1">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c r="AD207" s="16"/>
    </row>
    <row r="208" spans="1:30" ht="15.75" customHeight="1">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c r="AD208" s="16"/>
    </row>
    <row r="209" spans="1:30" ht="15.75" customHeight="1">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c r="AD209" s="16"/>
    </row>
    <row r="210" spans="1:30" ht="15.75" customHeight="1">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c r="AD210" s="16"/>
    </row>
    <row r="211" spans="1:30" ht="15.75" customHeight="1">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row>
    <row r="212" spans="1:30" ht="15.75" customHeight="1">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c r="AD212" s="16"/>
    </row>
    <row r="213" spans="1:30" ht="15.75" customHeight="1">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c r="AD213" s="16"/>
    </row>
    <row r="214" spans="1:30" ht="15.75" customHeight="1">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row>
    <row r="215" spans="1:30" ht="15.75" customHeight="1">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c r="AD215" s="16"/>
    </row>
    <row r="216" spans="1:30" ht="15.75" customHeight="1">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c r="AD216" s="16"/>
    </row>
    <row r="217" spans="1:30" ht="15.75" customHeight="1">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c r="AD217" s="16"/>
    </row>
    <row r="218" spans="1:30" ht="15.75" customHeight="1">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c r="AD218" s="16"/>
    </row>
    <row r="219" spans="1:30" ht="15.75" customHeight="1">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c r="AD219" s="16"/>
    </row>
    <row r="220" spans="1:30" ht="15.75" customHeight="1">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c r="AD220" s="16"/>
    </row>
    <row r="221" spans="1:30" ht="15.75" customHeight="1">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row>
    <row r="222" spans="1:30" ht="15.75" customHeight="1">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row>
    <row r="223" spans="1:30" ht="15.75" customHeight="1">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c r="AD223" s="16"/>
    </row>
    <row r="224" spans="1:30" ht="15.75" customHeight="1">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c r="AD224" s="16"/>
    </row>
    <row r="225" spans="1:30" ht="15.75" customHeight="1">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16"/>
    </row>
    <row r="226" spans="1:30" ht="15.75" customHeight="1">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row>
    <row r="227" spans="1:30" ht="15.75" customHeight="1">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16"/>
    </row>
    <row r="228" spans="1:30" ht="15.75" customHeight="1">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c r="AD228" s="16"/>
    </row>
    <row r="229" spans="1:30" ht="15.75" customHeight="1">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c r="AD229" s="16"/>
    </row>
    <row r="230" spans="1:30" ht="15.75" customHeight="1">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row>
    <row r="231" spans="1:30" ht="15.75" customHeight="1">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c r="AD231" s="16"/>
    </row>
    <row r="232" spans="1:30" ht="15.75" customHeight="1">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c r="AD232" s="16"/>
    </row>
    <row r="233" spans="1:30" ht="15.75" customHeight="1">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c r="AD233" s="16"/>
    </row>
    <row r="234" spans="1:30" ht="15.75" customHeight="1">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c r="AD234" s="16"/>
    </row>
    <row r="235" spans="1:30" ht="15.75" customHeight="1">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row>
    <row r="236" spans="1:30" ht="15.75" customHeight="1">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c r="AD236" s="16"/>
    </row>
    <row r="237" spans="1:30" ht="15.75" customHeight="1">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c r="AD237" s="16"/>
    </row>
    <row r="238" spans="1:30" ht="15.75" customHeight="1">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c r="AD238" s="16"/>
    </row>
    <row r="239" spans="1:30" ht="15.75" customHeight="1">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c r="AD239" s="16"/>
    </row>
    <row r="240" spans="1:30" ht="15.75" customHeight="1">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c r="AD240" s="16"/>
    </row>
    <row r="241" spans="1:30" ht="15.75" customHeight="1">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c r="AD241" s="16"/>
    </row>
    <row r="242" spans="1:30" ht="15.75" customHeight="1">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c r="AD242" s="16"/>
    </row>
    <row r="243" spans="1:30" ht="15.75" customHeight="1">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c r="AD243" s="16"/>
    </row>
    <row r="244" spans="1:30" ht="15.75" customHeight="1">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16"/>
    </row>
    <row r="245" spans="1:30" ht="15.75" customHeight="1">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c r="AD245" s="16"/>
    </row>
    <row r="246" spans="1:30" ht="15.75" customHeight="1">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row>
    <row r="247" spans="1:30" ht="15.75" customHeight="1">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c r="AD247" s="16"/>
    </row>
    <row r="248" spans="1:30" ht="15.75" customHeight="1">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row>
    <row r="249" spans="1:30" ht="15.75" customHeight="1">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row>
    <row r="250" spans="1:30" ht="15.75" customHeight="1">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c r="AD250" s="16"/>
    </row>
    <row r="251" spans="1:30" ht="15.75" customHeight="1">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row>
    <row r="252" spans="1:30" ht="15.75" customHeight="1">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16"/>
    </row>
    <row r="253" spans="1:30" ht="15.75" customHeight="1">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c r="AD253" s="16"/>
    </row>
    <row r="254" spans="1:30" ht="15.75" customHeight="1">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row>
    <row r="255" spans="1:30" ht="15.75" customHeight="1">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c r="AD255" s="16"/>
    </row>
    <row r="256" spans="1:30" ht="15.75" customHeight="1">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row>
    <row r="257" spans="1:30" ht="15.75" customHeight="1">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c r="AD257" s="16"/>
    </row>
    <row r="258" spans="1:30" ht="15.75" customHeight="1">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c r="AD258" s="16"/>
    </row>
    <row r="259" spans="1:30" ht="15.75" customHeight="1">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row>
    <row r="260" spans="1:30" ht="15.75" customHeight="1">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row>
    <row r="261" spans="1:30" ht="15.75" customHeight="1">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c r="AD261" s="16"/>
    </row>
    <row r="262" spans="1:30" ht="15.75" customHeight="1">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row>
    <row r="263" spans="1:30" ht="15.75" customHeight="1">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row>
    <row r="264" spans="1:30" ht="15.75" customHeight="1">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c r="AD264" s="16"/>
    </row>
    <row r="265" spans="1:30" ht="15.75" customHeight="1">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row>
    <row r="266" spans="1:30" ht="15.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row>
    <row r="267" spans="1:30" ht="15.75" customHeight="1">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row>
    <row r="268" spans="1:30" ht="15.75" customHeight="1">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c r="AD268" s="16"/>
    </row>
    <row r="269" spans="1:30" ht="15.75" customHeight="1">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row>
    <row r="270" spans="1:30" ht="15.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row>
    <row r="271" spans="1:30" ht="15.75" customHeight="1">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c r="AD271" s="16"/>
    </row>
    <row r="272" spans="1:30" ht="15.75" customHeight="1">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c r="AD272" s="16"/>
    </row>
    <row r="273" spans="1:30" ht="15.75" customHeight="1">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c r="AD273" s="16"/>
    </row>
    <row r="274" spans="1:30" ht="15.75" customHeight="1">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c r="AD274" s="16"/>
    </row>
    <row r="275" spans="1:30" ht="15.75" customHeight="1">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c r="AD275" s="16"/>
    </row>
    <row r="276" spans="1:30" ht="15.75" customHeight="1">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row>
    <row r="277" spans="1:30" ht="15.75" customHeight="1">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16"/>
    </row>
    <row r="278" spans="1:30" ht="15.75" customHeight="1">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row>
    <row r="279" spans="1:30" ht="15.75" customHeight="1">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16"/>
    </row>
    <row r="280" spans="1:30" ht="15.75" customHeight="1">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c r="AD280" s="16"/>
    </row>
    <row r="281" spans="1:30" ht="15.75" customHeight="1">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c r="AD281" s="16"/>
    </row>
    <row r="282" spans="1:30" ht="15.75" customHeight="1">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c r="AD282" s="16"/>
    </row>
    <row r="283" spans="1:30" ht="15.75" customHeight="1">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c r="AD283" s="16"/>
    </row>
    <row r="284" spans="1:30" ht="15.75" customHeight="1">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c r="AD284" s="16"/>
    </row>
    <row r="285" spans="1:30" ht="15.75" customHeight="1">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c r="AD285" s="16"/>
    </row>
    <row r="286" spans="1:30" ht="15.75" customHeight="1">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row>
    <row r="287" spans="1:30" ht="15.75" customHeight="1">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row>
    <row r="288" spans="1:30" ht="15.75" customHeight="1">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row>
    <row r="289" spans="1:30" ht="15.75" customHeight="1">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row>
    <row r="290" spans="1:30" ht="15.75" customHeight="1">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row>
    <row r="291" spans="1:30" ht="15.75" customHeight="1">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c r="AD291" s="16"/>
    </row>
    <row r="292" spans="1:30" ht="15.75" customHeight="1">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row>
    <row r="293" spans="1:30" ht="15.75" customHeight="1">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row>
    <row r="294" spans="1:30" ht="15.75" customHeight="1">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row>
    <row r="295" spans="1:30" ht="15.75" customHeight="1">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row>
    <row r="296" spans="1:30" ht="15.75" customHeight="1">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row>
    <row r="297" spans="1:30" ht="15.75" customHeight="1">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row>
    <row r="298" spans="1:30" ht="15.75" customHeight="1">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row>
    <row r="299" spans="1:30" ht="15.75" customHeight="1">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row>
    <row r="300" spans="1:30" ht="15.75" customHeight="1">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row>
    <row r="301" spans="1:30" ht="15.75" customHeight="1">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c r="AD301" s="16"/>
    </row>
    <row r="302" spans="1:30" ht="15.75" customHeight="1">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c r="AD302" s="16"/>
    </row>
    <row r="303" spans="1:30" ht="15.75" customHeight="1">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row>
    <row r="304" spans="1:30" ht="15.75" customHeight="1">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c r="AD304" s="16"/>
    </row>
    <row r="305" spans="1:30" ht="15.75" customHeight="1">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c r="AD305" s="16"/>
    </row>
    <row r="306" spans="1:30" ht="15.75" customHeight="1">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c r="AA306" s="16"/>
      <c r="AB306" s="16"/>
      <c r="AC306" s="16"/>
      <c r="AD306" s="16"/>
    </row>
    <row r="307" spans="1:30" ht="15.75" customHeight="1">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c r="AA307" s="16"/>
      <c r="AB307" s="16"/>
      <c r="AC307" s="16"/>
      <c r="AD307" s="16"/>
    </row>
    <row r="308" spans="1:30" ht="15.75" customHeight="1">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c r="AA308" s="16"/>
      <c r="AB308" s="16"/>
      <c r="AC308" s="16"/>
      <c r="AD308" s="16"/>
    </row>
    <row r="309" spans="1:30" ht="15.75" customHeight="1">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c r="AA309" s="16"/>
      <c r="AB309" s="16"/>
      <c r="AC309" s="16"/>
      <c r="AD309" s="16"/>
    </row>
    <row r="310" spans="1:30" ht="15.75" customHeight="1">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c r="AA310" s="16"/>
      <c r="AB310" s="16"/>
      <c r="AC310" s="16"/>
      <c r="AD310" s="16"/>
    </row>
    <row r="311" spans="1:30" ht="15.75" customHeight="1">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c r="AA311" s="16"/>
      <c r="AB311" s="16"/>
      <c r="AC311" s="16"/>
      <c r="AD311" s="16"/>
    </row>
    <row r="312" spans="1:30" ht="15.75" customHeight="1">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c r="AA312" s="16"/>
      <c r="AB312" s="16"/>
      <c r="AC312" s="16"/>
      <c r="AD312" s="16"/>
    </row>
    <row r="313" spans="1:30" ht="15.75" customHeight="1">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c r="AA313" s="16"/>
      <c r="AB313" s="16"/>
      <c r="AC313" s="16"/>
      <c r="AD313" s="16"/>
    </row>
    <row r="314" spans="1:30" ht="15.75" customHeight="1">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c r="AA314" s="16"/>
      <c r="AB314" s="16"/>
      <c r="AC314" s="16"/>
      <c r="AD314" s="16"/>
    </row>
    <row r="315" spans="1:30" ht="15.75" customHeight="1">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c r="AA315" s="16"/>
      <c r="AB315" s="16"/>
      <c r="AC315" s="16"/>
      <c r="AD315" s="16"/>
    </row>
    <row r="316" spans="1:30" ht="15.75" customHeight="1">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c r="AA316" s="16"/>
      <c r="AB316" s="16"/>
      <c r="AC316" s="16"/>
      <c r="AD316" s="16"/>
    </row>
    <row r="317" spans="1:30" ht="15.75" customHeight="1">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c r="AA317" s="16"/>
      <c r="AB317" s="16"/>
      <c r="AC317" s="16"/>
      <c r="AD317" s="16"/>
    </row>
    <row r="318" spans="1:30" ht="15.75" customHeight="1">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c r="AA318" s="16"/>
      <c r="AB318" s="16"/>
      <c r="AC318" s="16"/>
      <c r="AD318" s="16"/>
    </row>
    <row r="319" spans="1:30" ht="15.75" customHeight="1">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c r="AA319" s="16"/>
      <c r="AB319" s="16"/>
      <c r="AC319" s="16"/>
      <c r="AD319" s="16"/>
    </row>
    <row r="320" spans="1:30" ht="15.75" customHeight="1">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c r="AA320" s="16"/>
      <c r="AB320" s="16"/>
      <c r="AC320" s="16"/>
      <c r="AD320" s="16"/>
    </row>
    <row r="321" spans="1:30" ht="15.75" customHeight="1">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c r="AA321" s="16"/>
      <c r="AB321" s="16"/>
      <c r="AC321" s="16"/>
      <c r="AD321" s="16"/>
    </row>
    <row r="322" spans="1:30" ht="15.75" customHeight="1">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c r="AA322" s="16"/>
      <c r="AB322" s="16"/>
      <c r="AC322" s="16"/>
      <c r="AD322" s="16"/>
    </row>
    <row r="323" spans="1:30" ht="15.75" customHeight="1">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c r="AA323" s="16"/>
      <c r="AB323" s="16"/>
      <c r="AC323" s="16"/>
      <c r="AD323" s="16"/>
    </row>
    <row r="324" spans="1:30" ht="15.75" customHeight="1">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c r="AA324" s="16"/>
      <c r="AB324" s="16"/>
      <c r="AC324" s="16"/>
      <c r="AD324" s="16"/>
    </row>
    <row r="325" spans="1:30" ht="15.75" customHeight="1">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c r="AA325" s="16"/>
      <c r="AB325" s="16"/>
      <c r="AC325" s="16"/>
      <c r="AD325" s="16"/>
    </row>
    <row r="326" spans="1:30" ht="15.75" customHeight="1">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c r="AA326" s="16"/>
      <c r="AB326" s="16"/>
      <c r="AC326" s="16"/>
      <c r="AD326" s="16"/>
    </row>
    <row r="327" spans="1:30" ht="15.75" customHeight="1">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c r="AA327" s="16"/>
      <c r="AB327" s="16"/>
      <c r="AC327" s="16"/>
      <c r="AD327" s="16"/>
    </row>
    <row r="328" spans="1:30" ht="15.75" customHeight="1">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c r="AA328" s="16"/>
      <c r="AB328" s="16"/>
      <c r="AC328" s="16"/>
      <c r="AD328" s="16"/>
    </row>
    <row r="329" spans="1:30" ht="15.75" customHeight="1">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c r="AA329" s="16"/>
      <c r="AB329" s="16"/>
      <c r="AC329" s="16"/>
      <c r="AD329" s="16"/>
    </row>
    <row r="330" spans="1:30" ht="15.75" customHeight="1">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c r="AA330" s="16"/>
      <c r="AB330" s="16"/>
      <c r="AC330" s="16"/>
      <c r="AD330" s="16"/>
    </row>
    <row r="331" spans="1:30" ht="15.75" customHeight="1">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c r="AA331" s="16"/>
      <c r="AB331" s="16"/>
      <c r="AC331" s="16"/>
      <c r="AD331" s="16"/>
    </row>
    <row r="332" spans="1:30" ht="15.75" customHeight="1">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c r="AA332" s="16"/>
      <c r="AB332" s="16"/>
      <c r="AC332" s="16"/>
      <c r="AD332" s="16"/>
    </row>
    <row r="333" spans="1:30" ht="15.75" customHeight="1">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c r="AA333" s="16"/>
      <c r="AB333" s="16"/>
      <c r="AC333" s="16"/>
      <c r="AD333" s="16"/>
    </row>
    <row r="334" spans="1:30" ht="15.75" customHeight="1"/>
    <row r="335" spans="1:30" ht="15.75" customHeight="1"/>
    <row r="336" spans="1:30"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sheetData>
  <mergeCells count="99">
    <mergeCell ref="K55:M67"/>
    <mergeCell ref="A30:F30"/>
    <mergeCell ref="A31:F31"/>
    <mergeCell ref="A32:F32"/>
    <mergeCell ref="A34:F34"/>
    <mergeCell ref="A29:F29"/>
    <mergeCell ref="A1:C1"/>
    <mergeCell ref="E1:H1"/>
    <mergeCell ref="D7:I7"/>
    <mergeCell ref="D8:I8"/>
    <mergeCell ref="A28:F28"/>
    <mergeCell ref="J92:K133"/>
    <mergeCell ref="H92:I133"/>
    <mergeCell ref="AG29:AH29"/>
    <mergeCell ref="AI29:AJ29"/>
    <mergeCell ref="AG30:AH40"/>
    <mergeCell ref="AI30:AJ40"/>
    <mergeCell ref="H37:J37"/>
    <mergeCell ref="K71:O87"/>
    <mergeCell ref="P71:Q87"/>
    <mergeCell ref="H91:I91"/>
    <mergeCell ref="J91:K91"/>
    <mergeCell ref="K70:O70"/>
    <mergeCell ref="H38:J42"/>
    <mergeCell ref="I45:K45"/>
    <mergeCell ref="I46:K50"/>
    <mergeCell ref="K54:M54"/>
    <mergeCell ref="P143:R143"/>
    <mergeCell ref="P70:Q70"/>
    <mergeCell ref="P144:R144"/>
    <mergeCell ref="P145:R145"/>
    <mergeCell ref="P146:R146"/>
    <mergeCell ref="P147:R147"/>
    <mergeCell ref="P148:R148"/>
    <mergeCell ref="M163:O163"/>
    <mergeCell ref="P149:R149"/>
    <mergeCell ref="M151:O151"/>
    <mergeCell ref="P151:T151"/>
    <mergeCell ref="M152:O152"/>
    <mergeCell ref="P152:T163"/>
    <mergeCell ref="M153:O153"/>
    <mergeCell ref="M154:O154"/>
    <mergeCell ref="M155:O155"/>
    <mergeCell ref="M156:O156"/>
    <mergeCell ref="M157:O157"/>
    <mergeCell ref="M158:O158"/>
    <mergeCell ref="M159:O159"/>
    <mergeCell ref="M160:O160"/>
    <mergeCell ref="M161:O161"/>
    <mergeCell ref="M162:O162"/>
    <mergeCell ref="M179:O179"/>
    <mergeCell ref="M166:O166"/>
    <mergeCell ref="P166:T166"/>
    <mergeCell ref="M167:O167"/>
    <mergeCell ref="P167:T180"/>
    <mergeCell ref="M168:O168"/>
    <mergeCell ref="M169:O169"/>
    <mergeCell ref="M170:O170"/>
    <mergeCell ref="M171:O171"/>
    <mergeCell ref="M172:O172"/>
    <mergeCell ref="M173:O173"/>
    <mergeCell ref="M174:O174"/>
    <mergeCell ref="M175:O175"/>
    <mergeCell ref="M176:O176"/>
    <mergeCell ref="M177:O177"/>
    <mergeCell ref="M178:O178"/>
    <mergeCell ref="P183:T183"/>
    <mergeCell ref="B184:C184"/>
    <mergeCell ref="M184:O184"/>
    <mergeCell ref="P184:T197"/>
    <mergeCell ref="B185:C185"/>
    <mergeCell ref="M185:O185"/>
    <mergeCell ref="B186:C186"/>
    <mergeCell ref="B189:C189"/>
    <mergeCell ref="M189:O189"/>
    <mergeCell ref="B188:C188"/>
    <mergeCell ref="M188:O188"/>
    <mergeCell ref="B190:C190"/>
    <mergeCell ref="M190:O190"/>
    <mergeCell ref="B191:C191"/>
    <mergeCell ref="M191:O191"/>
    <mergeCell ref="B192:C192"/>
    <mergeCell ref="M180:O180"/>
    <mergeCell ref="B183:C183"/>
    <mergeCell ref="M183:O183"/>
    <mergeCell ref="M186:O186"/>
    <mergeCell ref="B187:C187"/>
    <mergeCell ref="M187:O187"/>
    <mergeCell ref="M192:O192"/>
    <mergeCell ref="B196:C196"/>
    <mergeCell ref="M196:O196"/>
    <mergeCell ref="B197:C197"/>
    <mergeCell ref="M197:O197"/>
    <mergeCell ref="B193:C193"/>
    <mergeCell ref="M193:O193"/>
    <mergeCell ref="B194:C194"/>
    <mergeCell ref="M194:O194"/>
    <mergeCell ref="B195:C195"/>
    <mergeCell ref="M195:O195"/>
  </mergeCells>
  <phoneticPr fontId="31" type="noConversion"/>
  <conditionalFormatting sqref="I55:I61 I66">
    <cfRule type="containsText" dxfId="572" priority="1" operator="containsText" text="5">
      <formula>NOT(ISERROR(SEARCH(("5"),(I55))))</formula>
    </cfRule>
    <cfRule type="containsText" dxfId="571" priority="2" operator="containsText" text="42">
      <formula>NOT(ISERROR(SEARCH(("42"),(I55))))</formula>
    </cfRule>
    <cfRule type="containsText" dxfId="570" priority="3" operator="containsText" text="Please fill in">
      <formula>NOT(ISERROR(SEARCH(("Please fill in"),(I55))))</formula>
    </cfRule>
  </conditionalFormatting>
  <dataValidations count="4">
    <dataValidation type="list" allowBlank="1" showErrorMessage="1" sqref="D46:D50 H55:H67" xr:uid="{C60DDDF9-AC51-4147-AE92-45F16F4F740B}">
      <formula1>Hardboard!TypesOfTrainers</formula1>
    </dataValidation>
    <dataValidation type="list" allowBlank="1" sqref="G46:G50" xr:uid="{810AEB47-D189-4894-ACFF-A3D0B4756AD4}">
      <formula1>"yes,no"</formula1>
    </dataValidation>
    <dataValidation type="list" allowBlank="1" showErrorMessage="1" sqref="B71:B72" xr:uid="{08F90B46-C12F-4621-9C30-188C0E3E2CD3}">
      <formula1>'https://universiteittwente.sharepoint.com/sites/SportsCoordinatorsSUT/Gedeelde documenten/General/(WIP) FAM Sheets - Regulations 2025-28 - Version April 2025.xlsx'!LocationNames</formula1>
    </dataValidation>
    <dataValidation type="list" allowBlank="1" showErrorMessage="1" sqref="B9" xr:uid="{72E46127-8707-4FA3-9D91-5278F31648AC}">
      <formula1>"yes,no,partial"</formula1>
    </dataValidation>
  </dataValidations>
  <pageMargins left="0.7" right="0.7" top="0.75" bottom="0.75" header="0" footer="0"/>
  <pageSetup paperSize="9" orientation="portrait"/>
  <drawing r:id="rId1"/>
  <legacyDrawing r:id="rId2"/>
  <tableParts count="6">
    <tablePart r:id="rId3"/>
    <tablePart r:id="rId4"/>
    <tablePart r:id="rId5"/>
    <tablePart r:id="rId6"/>
    <tablePart r:id="rId7"/>
    <tablePart r:id="rId8"/>
  </tableParts>
  <extLst>
    <ext xmlns:x14="http://schemas.microsoft.com/office/spreadsheetml/2009/9/main" uri="{CCE6A557-97BC-4b89-ADB6-D9C93CAAB3DF}">
      <x14:dataValidations xmlns:xm="http://schemas.microsoft.com/office/excel/2006/main" count="4">
        <x14:dataValidation type="list" allowBlank="1" showInputMessage="1" showErrorMessage="1" xr:uid="{21A4D80C-0D80-4094-B29F-A71E43D4239E}">
          <x14:formula1>
            <xm:f>Constants!$M$6:$M$7</xm:f>
          </x14:formula1>
          <xm:sqref>B128:B135</xm:sqref>
        </x14:dataValidation>
        <x14:dataValidation type="list" allowBlank="1" showInputMessage="1" showErrorMessage="1" xr:uid="{9EEFCB22-6884-4666-92B0-8DF66C53E65D}">
          <x14:formula1>
            <xm:f>Constants!$C$55:$C$56</xm:f>
          </x14:formula1>
          <xm:sqref>B12</xm:sqref>
        </x14:dataValidation>
        <x14:dataValidation type="list" allowBlank="1" showErrorMessage="1" xr:uid="{AB48A616-333F-4F99-9AD3-4F5EEFFBFC31}">
          <x14:formula1>
            <xm:f>Constants!$H$6:$H$13</xm:f>
          </x14:formula1>
          <xm:sqref>B55:B67</xm:sqref>
        </x14:dataValidation>
        <x14:dataValidation type="list" allowBlank="1" showErrorMessage="1" xr:uid="{13DF3E08-A72B-497C-9BFA-F4184E736B51}">
          <x14:formula1>
            <xm:f>Constants!$A$2:$AD$2</xm:f>
          </x14:formula1>
          <xm:sqref>B74:B87</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2E74FC-44A1-4B92-A307-FD611F48C647}">
  <dimension ref="A1:BG1003"/>
  <sheetViews>
    <sheetView topLeftCell="AB5" workbookViewId="0">
      <selection activeCell="AF30" sqref="AF30"/>
    </sheetView>
  </sheetViews>
  <sheetFormatPr defaultColWidth="12.625" defaultRowHeight="15" customHeight="1"/>
  <cols>
    <col min="1" max="1" width="36.625" customWidth="1"/>
    <col min="2" max="2" width="28.125" customWidth="1"/>
    <col min="3" max="3" width="21" customWidth="1"/>
    <col min="4" max="4" width="17.5" customWidth="1"/>
    <col min="5" max="5" width="16.125" customWidth="1"/>
    <col min="6" max="6" width="21.5" customWidth="1"/>
    <col min="7" max="7" width="22.625" customWidth="1"/>
    <col min="8" max="8" width="18.625" customWidth="1"/>
    <col min="9" max="9" width="19.625" customWidth="1"/>
    <col min="10" max="10" width="18.875" customWidth="1"/>
    <col min="11" max="11" width="21.625" customWidth="1"/>
    <col min="12" max="12" width="17.375" customWidth="1"/>
    <col min="13" max="13" width="15.125" customWidth="1"/>
    <col min="14" max="14" width="15.625" customWidth="1"/>
    <col min="15" max="15" width="28.5" customWidth="1"/>
    <col min="16" max="16" width="13.125" customWidth="1"/>
    <col min="17" max="17" width="21.875" customWidth="1"/>
    <col min="18" max="18" width="27" customWidth="1"/>
    <col min="19" max="19" width="20.5" customWidth="1"/>
    <col min="20" max="22" width="7.625" customWidth="1"/>
    <col min="23" max="23" width="31.875" customWidth="1"/>
    <col min="24" max="24" width="7.625" customWidth="1"/>
    <col min="25" max="25" width="8.375" customWidth="1"/>
    <col min="26" max="26" width="21.625" customWidth="1"/>
    <col min="27" max="27" width="12" customWidth="1"/>
    <col min="28" max="28" width="16.5" customWidth="1"/>
    <col min="29" max="29" width="6" customWidth="1"/>
    <col min="30" max="30" width="13.625" customWidth="1"/>
  </cols>
  <sheetData>
    <row r="1" spans="1:59" ht="171" customHeight="1">
      <c r="A1" s="703"/>
      <c r="B1" s="704"/>
      <c r="C1" s="705"/>
      <c r="D1" s="16"/>
      <c r="E1" s="572" t="s">
        <v>188</v>
      </c>
      <c r="F1" s="704"/>
      <c r="G1" s="704"/>
      <c r="H1" s="705"/>
      <c r="I1" s="16"/>
      <c r="J1" s="16"/>
      <c r="K1" s="16"/>
      <c r="L1" s="16"/>
      <c r="M1" s="16"/>
      <c r="N1" s="16"/>
      <c r="O1" s="16"/>
      <c r="P1" s="16"/>
      <c r="Q1" s="16"/>
      <c r="R1" s="16"/>
      <c r="S1" s="16"/>
      <c r="T1" s="16"/>
      <c r="U1" s="16"/>
      <c r="V1" s="16"/>
      <c r="W1" s="16"/>
      <c r="X1" s="16"/>
      <c r="Y1" s="16"/>
      <c r="Z1" s="16"/>
      <c r="AA1" s="16"/>
      <c r="AB1" s="16"/>
      <c r="AC1" s="16"/>
      <c r="AD1" s="16"/>
    </row>
    <row r="2" spans="1:59">
      <c r="A2" s="58" t="s">
        <v>404</v>
      </c>
      <c r="B2" s="152" t="s">
        <v>716</v>
      </c>
      <c r="C2" s="59"/>
      <c r="D2" s="16"/>
      <c r="E2" s="60" t="s">
        <v>406</v>
      </c>
      <c r="F2" s="153"/>
      <c r="G2" s="154"/>
      <c r="H2" s="61"/>
      <c r="I2" s="16"/>
      <c r="J2" s="16"/>
      <c r="K2" s="16"/>
      <c r="L2" s="16"/>
      <c r="M2" s="16"/>
      <c r="N2" s="16"/>
      <c r="O2" s="16"/>
      <c r="P2" s="16"/>
      <c r="Q2" s="16"/>
      <c r="R2" s="16"/>
      <c r="S2" s="16"/>
      <c r="T2" s="16"/>
      <c r="U2" s="16"/>
      <c r="V2" s="16"/>
      <c r="W2" s="16"/>
      <c r="X2" s="16"/>
      <c r="Y2" s="16"/>
      <c r="Z2" s="15"/>
      <c r="AA2" s="15"/>
      <c r="AB2" s="15"/>
      <c r="AC2" s="15"/>
      <c r="AD2" s="16"/>
      <c r="AE2" s="16"/>
      <c r="AF2" s="16"/>
      <c r="AG2" s="16"/>
      <c r="AH2" s="16"/>
      <c r="AI2" s="17"/>
      <c r="AJ2" s="17"/>
      <c r="AK2" s="17"/>
      <c r="AL2" s="17"/>
      <c r="AM2" s="17"/>
      <c r="AN2" s="17"/>
      <c r="AO2" s="17"/>
      <c r="AP2" s="17"/>
      <c r="AQ2" s="17"/>
      <c r="AR2" s="18"/>
      <c r="AS2" s="17"/>
      <c r="AT2" s="17"/>
      <c r="AU2" s="16"/>
      <c r="AV2" s="16"/>
      <c r="AW2" s="16"/>
      <c r="AX2" s="16"/>
      <c r="AY2" s="16"/>
      <c r="AZ2" s="16"/>
      <c r="BA2" s="16"/>
    </row>
    <row r="3" spans="1:59">
      <c r="A3" s="62" t="s">
        <v>408</v>
      </c>
      <c r="B3" s="155">
        <v>6</v>
      </c>
      <c r="C3" s="156"/>
      <c r="D3" s="16"/>
      <c r="E3" s="63" t="s">
        <v>409</v>
      </c>
      <c r="F3" s="157"/>
      <c r="G3" s="158"/>
      <c r="H3" s="159"/>
      <c r="I3" s="16"/>
      <c r="J3" s="16"/>
      <c r="K3" s="16"/>
      <c r="L3" s="16"/>
      <c r="M3" s="16"/>
      <c r="N3" s="16"/>
      <c r="O3" s="16"/>
      <c r="P3" s="16"/>
      <c r="Q3" s="16"/>
      <c r="R3" s="16"/>
      <c r="S3" s="16"/>
      <c r="T3" s="16"/>
      <c r="U3" s="16"/>
      <c r="V3" s="16"/>
      <c r="W3" s="16"/>
      <c r="X3" s="16"/>
      <c r="Y3" s="16"/>
      <c r="Z3" s="16"/>
      <c r="AA3" s="16"/>
      <c r="AB3" s="16"/>
      <c r="AC3" s="16"/>
      <c r="AD3" s="16"/>
    </row>
    <row r="4" spans="1:59">
      <c r="A4" s="160" t="s">
        <v>410</v>
      </c>
      <c r="B4" s="161">
        <v>45812</v>
      </c>
      <c r="C4" s="162"/>
      <c r="D4" s="16"/>
      <c r="E4" s="163"/>
      <c r="F4" s="164"/>
      <c r="G4" s="165"/>
      <c r="H4" s="166"/>
      <c r="I4" s="16"/>
      <c r="J4" s="16"/>
      <c r="K4" s="16"/>
      <c r="L4" s="16"/>
      <c r="M4" s="16"/>
      <c r="N4" s="16"/>
      <c r="O4" s="16"/>
      <c r="P4" s="16"/>
      <c r="Q4" s="16"/>
      <c r="R4" s="16"/>
      <c r="S4" s="16"/>
      <c r="T4" s="16"/>
      <c r="U4" s="16"/>
      <c r="V4" s="16"/>
      <c r="W4" s="16"/>
      <c r="X4" s="16"/>
      <c r="Y4" s="16"/>
      <c r="Z4" s="16"/>
      <c r="AA4" s="16"/>
      <c r="AB4" s="16"/>
      <c r="AC4" s="16"/>
      <c r="AD4" s="16"/>
    </row>
    <row r="5" spans="1:59">
      <c r="A5" s="167" t="s">
        <v>411</v>
      </c>
      <c r="B5" s="168"/>
      <c r="C5" s="167"/>
      <c r="D5" s="16"/>
      <c r="E5" s="169" t="s">
        <v>412</v>
      </c>
      <c r="F5" s="169"/>
      <c r="G5" s="158"/>
      <c r="H5" s="169"/>
      <c r="I5" s="16"/>
      <c r="J5" s="16"/>
      <c r="K5" s="16"/>
      <c r="L5" s="16"/>
      <c r="M5" s="16"/>
      <c r="N5" s="16"/>
      <c r="O5" s="16"/>
      <c r="P5" s="16"/>
      <c r="Q5" s="16"/>
      <c r="R5" s="16"/>
      <c r="S5" s="16"/>
      <c r="T5" s="16"/>
      <c r="U5" s="16"/>
      <c r="V5" s="16"/>
      <c r="W5" s="16"/>
      <c r="X5" s="16"/>
      <c r="Y5" s="16"/>
      <c r="Z5" s="16"/>
      <c r="AA5" s="16"/>
      <c r="AB5" s="16"/>
      <c r="AC5" s="16"/>
      <c r="AD5" s="16"/>
    </row>
    <row r="6" spans="1:59">
      <c r="A6" s="15"/>
      <c r="B6" s="64"/>
      <c r="C6" s="16"/>
      <c r="D6" s="16"/>
      <c r="E6" s="16"/>
      <c r="F6" s="16"/>
      <c r="G6" s="16"/>
      <c r="H6" s="16"/>
      <c r="I6" s="16"/>
      <c r="J6" s="64"/>
      <c r="K6" s="16"/>
      <c r="L6" s="16"/>
      <c r="M6" s="16"/>
      <c r="N6" s="16"/>
      <c r="O6" s="16"/>
      <c r="P6" s="16"/>
      <c r="Q6" s="16"/>
      <c r="R6" s="16"/>
      <c r="S6" s="16"/>
      <c r="T6" s="16"/>
      <c r="U6" s="16"/>
      <c r="V6" s="16"/>
      <c r="W6" s="16"/>
      <c r="X6" s="16"/>
      <c r="Y6" s="16"/>
      <c r="Z6" s="16"/>
      <c r="AA6" s="16"/>
      <c r="AB6" s="16"/>
      <c r="AC6" s="16"/>
      <c r="AD6" s="16"/>
    </row>
    <row r="7" spans="1:59">
      <c r="A7" s="170" t="s">
        <v>413</v>
      </c>
      <c r="B7" s="59">
        <v>47</v>
      </c>
      <c r="C7" s="16"/>
      <c r="D7" s="573" t="s">
        <v>414</v>
      </c>
      <c r="E7" s="701"/>
      <c r="F7" s="701"/>
      <c r="G7" s="701"/>
      <c r="H7" s="701"/>
      <c r="I7" s="701"/>
      <c r="J7" s="16"/>
      <c r="K7" s="16"/>
      <c r="L7" s="16"/>
      <c r="M7" s="16"/>
      <c r="N7" s="16"/>
      <c r="O7" s="16"/>
      <c r="P7" s="16"/>
      <c r="Q7" s="16"/>
      <c r="R7" s="16"/>
      <c r="S7" s="16"/>
      <c r="T7" s="16"/>
      <c r="U7" s="16"/>
      <c r="V7" s="16"/>
      <c r="W7" s="16"/>
      <c r="X7" s="16"/>
      <c r="Y7" s="16"/>
      <c r="Z7" s="16"/>
      <c r="AA7" s="16"/>
      <c r="AB7" s="16"/>
      <c r="AC7" s="16"/>
      <c r="AD7" s="16"/>
    </row>
    <row r="8" spans="1:59" ht="14.25" customHeight="1">
      <c r="A8" s="171" t="s">
        <v>415</v>
      </c>
      <c r="B8" s="172">
        <f ca="1">M21-M17</f>
        <v>29080.042977116034</v>
      </c>
      <c r="C8" s="16" t="s">
        <v>416</v>
      </c>
      <c r="D8" s="574" t="s">
        <v>417</v>
      </c>
      <c r="E8" s="704"/>
      <c r="F8" s="704"/>
      <c r="G8" s="704"/>
      <c r="H8" s="704"/>
      <c r="I8" s="704"/>
      <c r="J8" s="16"/>
      <c r="K8" s="16"/>
      <c r="L8" s="16"/>
      <c r="M8" s="16"/>
      <c r="N8" s="16"/>
      <c r="O8" s="16"/>
      <c r="P8" s="16"/>
      <c r="Q8" s="16"/>
      <c r="R8" s="16"/>
      <c r="S8" s="16"/>
      <c r="T8" s="16"/>
      <c r="U8" s="16"/>
      <c r="V8" s="16"/>
      <c r="W8" s="16"/>
      <c r="X8" s="16"/>
      <c r="Y8" s="16"/>
      <c r="Z8" s="16"/>
      <c r="AA8" s="16"/>
      <c r="AB8" s="16"/>
      <c r="AC8" s="16"/>
    </row>
    <row r="9" spans="1:59">
      <c r="A9" s="65" t="s">
        <v>418</v>
      </c>
      <c r="B9" s="173" t="s">
        <v>419</v>
      </c>
      <c r="C9" s="16"/>
      <c r="D9" s="16"/>
      <c r="E9" s="17"/>
      <c r="F9" s="17"/>
      <c r="G9" s="17"/>
      <c r="H9" s="17"/>
      <c r="I9" s="17"/>
      <c r="J9" s="17"/>
      <c r="K9" s="17"/>
      <c r="L9" s="17"/>
      <c r="M9" s="17"/>
      <c r="N9" s="17"/>
      <c r="O9" s="17"/>
      <c r="P9" s="17"/>
      <c r="Q9" s="16"/>
      <c r="R9" s="17"/>
      <c r="S9" s="17"/>
      <c r="T9" s="17"/>
      <c r="U9" s="17"/>
      <c r="V9" s="17"/>
      <c r="W9" s="17"/>
      <c r="X9" s="17"/>
      <c r="Y9" s="17"/>
      <c r="Z9" s="17"/>
      <c r="AA9" s="17"/>
      <c r="AB9" s="17"/>
      <c r="AC9" s="17"/>
      <c r="AD9" s="18" t="s">
        <v>242</v>
      </c>
    </row>
    <row r="10" spans="1:59">
      <c r="A10" s="174" t="s">
        <v>420</v>
      </c>
      <c r="B10" s="66">
        <f>COUNTA(A38:A42)</f>
        <v>5</v>
      </c>
      <c r="C10" s="16"/>
      <c r="D10" s="16"/>
      <c r="E10" s="17"/>
      <c r="F10" s="17"/>
      <c r="G10" s="17"/>
      <c r="H10" s="17"/>
      <c r="I10" s="17"/>
      <c r="J10" s="17"/>
      <c r="K10" s="17"/>
      <c r="L10" s="17"/>
      <c r="M10" s="17"/>
      <c r="N10" s="17"/>
      <c r="O10" s="17"/>
      <c r="P10" s="17"/>
      <c r="Q10" s="16"/>
      <c r="R10" s="17"/>
      <c r="S10" s="17"/>
      <c r="T10" s="17"/>
      <c r="U10" s="17"/>
      <c r="V10" s="17"/>
      <c r="W10" s="17"/>
      <c r="X10" s="17"/>
      <c r="Y10" s="17"/>
      <c r="Z10" s="17"/>
      <c r="AA10" s="17"/>
      <c r="AB10" s="17"/>
      <c r="AC10" s="17"/>
      <c r="AD10" s="18"/>
    </row>
    <row r="11" spans="1:59">
      <c r="A11" s="171" t="s">
        <v>421</v>
      </c>
      <c r="B11" s="238">
        <f>SUM(B38:B42)</f>
        <v>60</v>
      </c>
      <c r="C11" s="16"/>
      <c r="D11" s="16"/>
      <c r="E11" s="17"/>
      <c r="F11" s="17"/>
      <c r="G11" s="17"/>
      <c r="H11" s="17"/>
      <c r="I11" s="17"/>
      <c r="J11" s="17"/>
      <c r="K11" s="17"/>
      <c r="L11" s="17"/>
      <c r="M11" s="17"/>
      <c r="N11" s="17"/>
      <c r="O11" s="17"/>
      <c r="P11" s="17"/>
      <c r="Q11" s="16"/>
      <c r="R11" s="17"/>
      <c r="S11" s="17"/>
      <c r="T11" s="17"/>
      <c r="U11" s="17"/>
      <c r="V11" s="17"/>
      <c r="W11" s="17"/>
      <c r="X11" s="17"/>
      <c r="Y11" s="17"/>
      <c r="Z11" s="17"/>
      <c r="AA11" s="17"/>
      <c r="AB11" s="17"/>
      <c r="AC11" s="17"/>
      <c r="AD11" s="18"/>
    </row>
    <row r="12" spans="1:59">
      <c r="A12" s="239" t="s">
        <v>422</v>
      </c>
      <c r="B12" s="240" t="s">
        <v>317</v>
      </c>
      <c r="C12" s="16"/>
      <c r="D12" s="16"/>
      <c r="E12" s="17"/>
      <c r="F12" s="17"/>
      <c r="G12" s="17"/>
      <c r="H12" s="17"/>
      <c r="I12" s="17"/>
      <c r="J12" s="17"/>
      <c r="K12" s="17"/>
      <c r="L12" s="17"/>
      <c r="M12" s="17"/>
      <c r="N12" s="17"/>
      <c r="O12" s="17"/>
      <c r="P12" s="17"/>
      <c r="Q12" s="16"/>
      <c r="R12" s="17"/>
      <c r="S12" s="17"/>
      <c r="T12" s="17"/>
      <c r="U12" s="17"/>
      <c r="V12" s="17"/>
      <c r="W12" s="17"/>
      <c r="X12" s="17"/>
      <c r="Y12" s="17"/>
      <c r="Z12" s="17"/>
      <c r="AA12" s="17"/>
      <c r="AB12" s="17"/>
      <c r="AC12" s="17"/>
      <c r="AD12" s="18"/>
    </row>
    <row r="13" spans="1:59">
      <c r="A13" s="16"/>
      <c r="B13" s="16"/>
      <c r="C13" s="16"/>
      <c r="D13" s="16"/>
      <c r="E13" s="17"/>
      <c r="F13" s="17"/>
      <c r="G13" s="17"/>
      <c r="H13" s="17"/>
      <c r="I13" s="17"/>
      <c r="J13" s="17"/>
      <c r="K13" s="17"/>
      <c r="L13" s="17"/>
      <c r="M13" s="17"/>
      <c r="N13" s="17"/>
      <c r="O13" s="17"/>
      <c r="P13" s="17"/>
      <c r="Q13" s="16"/>
      <c r="R13" s="17"/>
      <c r="S13" s="17"/>
      <c r="T13" s="17"/>
      <c r="U13" s="17"/>
      <c r="V13" s="17"/>
      <c r="W13" s="17"/>
      <c r="X13" s="17"/>
      <c r="Y13" s="17"/>
      <c r="Z13" s="17"/>
      <c r="AA13" s="17"/>
      <c r="AB13" s="17"/>
      <c r="AC13" s="17"/>
      <c r="AD13" s="17" t="str" cm="1">
        <f t="array" ref="AD13:BF14">Constants!A2:AC3</f>
        <v>SC1</v>
      </c>
      <c r="AE13" s="17" t="str">
        <v>SC1 - Half</v>
      </c>
      <c r="AF13" s="17" t="str">
        <v>SC2</v>
      </c>
      <c r="AG13" s="17" t="str">
        <v>SC2 - Half</v>
      </c>
      <c r="AH13" s="17" t="str">
        <v>SC3</v>
      </c>
      <c r="AI13" s="17" t="str">
        <v>SC4</v>
      </c>
      <c r="AJ13" s="17" t="str">
        <v>SC5</v>
      </c>
      <c r="AK13" s="17" t="str">
        <v>SC6</v>
      </c>
      <c r="AL13" s="17" t="str">
        <v>Dojo</v>
      </c>
      <c r="AM13" s="17" t="str">
        <v>Boulder Wall</v>
      </c>
      <c r="AN13" s="17" t="str">
        <v>Climbing Wall</v>
      </c>
      <c r="AO13" s="17" t="str">
        <v>Artificial Hockey field</v>
      </c>
      <c r="AP13" s="17" t="str">
        <v>Artificial Hockey field - Half</v>
      </c>
      <c r="AQ13" s="17" t="str">
        <v>Artificial Soccer field</v>
      </c>
      <c r="AR13" s="17" t="str">
        <v>Artificial Soccer field - Half</v>
      </c>
      <c r="AS13" s="17" t="str">
        <v>Basketball</v>
      </c>
      <c r="AT13" s="17" t="str">
        <v>Bastille field</v>
      </c>
      <c r="AU13" s="17" t="str">
        <v>Beach fields</v>
      </c>
      <c r="AV13" s="17" t="str">
        <v>Shooting range</v>
      </c>
      <c r="AW13" s="17" t="str">
        <v>Multi/Lacrosse field</v>
      </c>
      <c r="AX13" s="17" t="str">
        <v>Multi/Lacrosse field - Half</v>
      </c>
      <c r="AY13" s="17" t="str">
        <v>Bootcamp field</v>
      </c>
      <c r="AZ13" s="17" t="str">
        <v>Multi/Baseball field</v>
      </c>
      <c r="BA13" s="17" t="str">
        <v>Tennis court</v>
      </c>
      <c r="BB13" s="17" t="str">
        <v>Utrack</v>
      </c>
      <c r="BC13" s="22" t="str">
        <v>Verreveld</v>
      </c>
      <c r="BD13" s="22" t="str">
        <v>Wsc</v>
      </c>
      <c r="BE13" s="22" t="str">
        <v>Indoor pool</v>
      </c>
      <c r="BF13" s="22" t="str">
        <v>Outdoor pool</v>
      </c>
      <c r="BG13" s="22"/>
    </row>
    <row r="14" spans="1:59">
      <c r="A14" s="175" t="s">
        <v>423</v>
      </c>
      <c r="B14" s="16"/>
      <c r="C14" s="16"/>
      <c r="D14" s="16"/>
      <c r="E14" s="16"/>
      <c r="F14" s="16"/>
      <c r="G14" s="175" t="s">
        <v>424</v>
      </c>
      <c r="I14" s="17"/>
      <c r="J14" s="17"/>
      <c r="K14" s="176" t="s">
        <v>425</v>
      </c>
      <c r="L14" s="17"/>
      <c r="M14" s="176" t="s">
        <v>426</v>
      </c>
      <c r="N14" s="17"/>
      <c r="O14" s="17"/>
      <c r="P14" s="17"/>
      <c r="Q14" s="17"/>
      <c r="R14" s="17"/>
      <c r="S14" s="16"/>
      <c r="T14" s="17"/>
      <c r="U14" s="17"/>
      <c r="V14" s="17"/>
      <c r="W14" s="17"/>
      <c r="X14" s="17"/>
      <c r="Y14" s="17"/>
      <c r="Z14" s="17"/>
      <c r="AA14" s="17"/>
      <c r="AB14" s="17"/>
      <c r="AC14" s="17"/>
      <c r="AD14" s="19">
        <v>67.5</v>
      </c>
      <c r="AE14" s="19">
        <v>35</v>
      </c>
      <c r="AF14" s="19">
        <v>67.5</v>
      </c>
      <c r="AG14" s="19">
        <v>35</v>
      </c>
      <c r="AH14" s="19">
        <v>40</v>
      </c>
      <c r="AI14" s="19">
        <v>40</v>
      </c>
      <c r="AJ14" s="19">
        <v>35</v>
      </c>
      <c r="AK14" s="19">
        <v>35</v>
      </c>
      <c r="AL14" s="19">
        <v>40</v>
      </c>
      <c r="AM14" s="19">
        <v>27.5</v>
      </c>
      <c r="AN14" s="19">
        <v>45</v>
      </c>
      <c r="AO14" s="19">
        <v>75</v>
      </c>
      <c r="AP14" s="19">
        <v>40</v>
      </c>
      <c r="AQ14" s="19">
        <v>75</v>
      </c>
      <c r="AR14" s="19">
        <v>40</v>
      </c>
      <c r="AS14" s="19">
        <v>30</v>
      </c>
      <c r="AT14" s="19">
        <v>50</v>
      </c>
      <c r="AU14" s="19">
        <v>75</v>
      </c>
      <c r="AV14" s="19">
        <v>40</v>
      </c>
      <c r="AW14" s="19">
        <v>75</v>
      </c>
      <c r="AX14" s="19">
        <v>40</v>
      </c>
      <c r="AY14" s="19">
        <v>50</v>
      </c>
      <c r="AZ14" s="19">
        <v>65</v>
      </c>
      <c r="BA14" s="19">
        <v>35</v>
      </c>
      <c r="BB14" s="19">
        <v>45</v>
      </c>
      <c r="BC14" s="19">
        <v>50</v>
      </c>
      <c r="BD14" s="19">
        <v>0</v>
      </c>
      <c r="BE14" s="19">
        <v>65</v>
      </c>
      <c r="BF14" s="20">
        <v>70</v>
      </c>
      <c r="BG14" s="20"/>
    </row>
    <row r="15" spans="1:59">
      <c r="A15" s="67"/>
      <c r="B15" s="68" t="str">
        <f>Constants!H6</f>
        <v>Performance training</v>
      </c>
      <c r="C15" s="68" t="str">
        <f>Constants!H7</f>
        <v>Performance coaching</v>
      </c>
      <c r="D15" s="68" t="str">
        <f>Constants!H8</f>
        <v>Dangerous</v>
      </c>
      <c r="E15" s="69" t="str">
        <f>Constants!H9</f>
        <v>Recreational</v>
      </c>
      <c r="F15" s="69" t="s">
        <v>290</v>
      </c>
      <c r="G15" s="70"/>
      <c r="H15" s="71" t="s">
        <v>427</v>
      </c>
      <c r="I15" s="72" t="s">
        <v>272</v>
      </c>
      <c r="J15" s="70" t="s">
        <v>5</v>
      </c>
      <c r="K15" s="72" t="s">
        <v>428</v>
      </c>
      <c r="L15" s="70" t="s">
        <v>429</v>
      </c>
      <c r="M15" s="73" cm="1">
        <f t="array" ref="M15">(SUM(IF($D$46:$D$50="PT",($F$46:$F$50)/1.5+IF($G$46:$G$50="yes",1)))+SUM(IF($D$46:$D$50="Extern",($F$46:$F$50)/1.5+IF($G$46:$G$50="yes",1)))+SUM(IF($D$46:$D$50="PT-ZZP",($F$46:$F$50)/1.5+IF($G$46:$G$50="yes",1))))*Constants!B10</f>
        <v>0</v>
      </c>
      <c r="N15" s="17"/>
      <c r="O15" s="17"/>
      <c r="P15" s="17"/>
      <c r="Q15" s="17"/>
      <c r="R15" s="16"/>
      <c r="S15" s="17"/>
      <c r="T15" s="17"/>
      <c r="U15" s="17"/>
      <c r="V15" s="17"/>
      <c r="W15" s="17"/>
      <c r="X15" s="17"/>
      <c r="Y15" s="17"/>
      <c r="Z15" s="17"/>
      <c r="AA15" s="17"/>
      <c r="AB15" s="17"/>
      <c r="AC15" s="17"/>
      <c r="AD15" s="16">
        <f t="shared" ref="AD15:BF15" si="0">SUMIF($B$71:$B$88,AD13,$F$71:$F$88)</f>
        <v>0</v>
      </c>
      <c r="AE15" s="16">
        <f t="shared" si="0"/>
        <v>0</v>
      </c>
      <c r="AF15" s="16">
        <f t="shared" si="0"/>
        <v>0</v>
      </c>
      <c r="AG15" s="16">
        <f t="shared" si="0"/>
        <v>0</v>
      </c>
      <c r="AH15" s="16">
        <f t="shared" si="0"/>
        <v>0</v>
      </c>
      <c r="AI15" s="16">
        <f t="shared" si="0"/>
        <v>0</v>
      </c>
      <c r="AJ15" s="16">
        <f t="shared" si="0"/>
        <v>0</v>
      </c>
      <c r="AK15" s="16">
        <f t="shared" si="0"/>
        <v>0</v>
      </c>
      <c r="AL15" s="16">
        <f t="shared" si="0"/>
        <v>0</v>
      </c>
      <c r="AM15" s="16">
        <f t="shared" si="0"/>
        <v>0</v>
      </c>
      <c r="AN15" s="16">
        <f t="shared" si="0"/>
        <v>0</v>
      </c>
      <c r="AO15" s="16">
        <f t="shared" si="0"/>
        <v>0</v>
      </c>
      <c r="AP15" s="16">
        <f t="shared" si="0"/>
        <v>0</v>
      </c>
      <c r="AQ15" s="16">
        <f t="shared" si="0"/>
        <v>0</v>
      </c>
      <c r="AR15" s="16">
        <f t="shared" si="0"/>
        <v>0</v>
      </c>
      <c r="AS15" s="16">
        <f t="shared" si="0"/>
        <v>0</v>
      </c>
      <c r="AT15" s="16">
        <f t="shared" si="0"/>
        <v>0</v>
      </c>
      <c r="AU15" s="16">
        <f t="shared" si="0"/>
        <v>0</v>
      </c>
      <c r="AV15" s="16">
        <f t="shared" si="0"/>
        <v>0</v>
      </c>
      <c r="AW15" s="16">
        <f t="shared" si="0"/>
        <v>0</v>
      </c>
      <c r="AX15" s="16">
        <f t="shared" si="0"/>
        <v>0</v>
      </c>
      <c r="AY15" s="16">
        <f t="shared" si="0"/>
        <v>0</v>
      </c>
      <c r="AZ15" s="16">
        <f t="shared" si="0"/>
        <v>0</v>
      </c>
      <c r="BA15" s="16">
        <f t="shared" si="0"/>
        <v>0</v>
      </c>
      <c r="BB15" s="16">
        <f t="shared" si="0"/>
        <v>0</v>
      </c>
      <c r="BC15" s="16">
        <f t="shared" si="0"/>
        <v>0</v>
      </c>
      <c r="BD15" s="16">
        <f t="shared" si="0"/>
        <v>0</v>
      </c>
      <c r="BE15" s="16">
        <f t="shared" si="0"/>
        <v>0</v>
      </c>
      <c r="BF15" s="16">
        <f t="shared" si="0"/>
        <v>0</v>
      </c>
    </row>
    <row r="16" spans="1:59">
      <c r="A16" s="74" t="str">
        <f>Constants!E6</f>
        <v>PT</v>
      </c>
      <c r="B16" s="16">
        <f>SUMIFS(Hippocampus!$F$55:$F$67,Hippocampus!$B$55:$B$67, B$15,Hippocampus!$H$55:$H$67,$A16)*(1+Constants!$B$7)</f>
        <v>0</v>
      </c>
      <c r="C16" s="16">
        <f>SUMIFS(Hippocampus!$F$55:$F$67,Hippocampus!$B$55:$B$67, C$15,Hippocampus!$H$55:$H$67,$A16)</f>
        <v>0</v>
      </c>
      <c r="D16" s="16">
        <f>SUMIFS(Hippocampus!$F$55:$F$67,Hippocampus!$B$55:$B$67, D$15,Hippocampus!$H$55:$H$67,$A16)*(1+Constants!$B$7)</f>
        <v>0</v>
      </c>
      <c r="E16" s="16">
        <f>SUMIFS(Hippocampus!$F$55:$F$67,Hippocampus!$B$55:$B$67, E$15,Hippocampus!$H$55:$H$67,$A16)*(1+Constants!$B$7)</f>
        <v>0</v>
      </c>
      <c r="F16" s="16">
        <f>SUMIFS(Hippocampus!$F$55:$F$67,Hippocampus!$B$55:$B$67, F$15,Hippocampus!$H$55:$H$67,$A16)*(1+Constants!$B$7)</f>
        <v>0</v>
      </c>
      <c r="G16" s="74" t="s">
        <v>430</v>
      </c>
      <c r="H16" s="16">
        <f>SUMIF(Hippocampus!$B$71:$B$89,"&lt;&gt;External",Hippocampus!$F$71:$F$89)</f>
        <v>0</v>
      </c>
      <c r="I16" s="75">
        <f>SUMIF(Hippocampus!$B$71:$B$89,"External",Hippocampus!$F$71:$F$89)</f>
        <v>252</v>
      </c>
      <c r="J16" s="234">
        <f>SUM($F$92:$F$105)</f>
        <v>0</v>
      </c>
      <c r="K16" s="76">
        <f>IF(OR(ISBLANK(B7),ISBLANK(B9)), "ERROR",MAX(MIN(J16,B7*Constants!B15)-Constants!B14*B7,0)*IF(B9="yes",Constants!B16,IF(B9="no",Constants!B17,0)))</f>
        <v>0</v>
      </c>
      <c r="L16" s="77" t="s">
        <v>360</v>
      </c>
      <c r="M16" s="76">
        <f>E16*Constants!B6+E17*Constants!B8+E22+E21</f>
        <v>0</v>
      </c>
      <c r="N16" s="17"/>
      <c r="O16" s="17"/>
      <c r="P16" s="17"/>
      <c r="Q16" s="17"/>
      <c r="R16" s="16"/>
      <c r="S16" s="17"/>
      <c r="T16" s="17"/>
      <c r="U16" s="17"/>
      <c r="V16" s="17"/>
      <c r="W16" s="17"/>
      <c r="X16" s="17"/>
      <c r="Y16" s="17"/>
      <c r="Z16" s="17"/>
      <c r="AA16" s="17"/>
      <c r="AB16" s="17"/>
      <c r="AC16" s="17"/>
      <c r="AD16" s="19">
        <f t="shared" ref="AD16:BF16" si="1">AD14*AD15</f>
        <v>0</v>
      </c>
      <c r="AE16" s="19">
        <f t="shared" si="1"/>
        <v>0</v>
      </c>
      <c r="AF16" s="19">
        <f t="shared" si="1"/>
        <v>0</v>
      </c>
      <c r="AG16" s="19">
        <f t="shared" si="1"/>
        <v>0</v>
      </c>
      <c r="AH16" s="19">
        <f t="shared" si="1"/>
        <v>0</v>
      </c>
      <c r="AI16" s="19">
        <f t="shared" si="1"/>
        <v>0</v>
      </c>
      <c r="AJ16" s="19">
        <f t="shared" si="1"/>
        <v>0</v>
      </c>
      <c r="AK16" s="19">
        <f t="shared" si="1"/>
        <v>0</v>
      </c>
      <c r="AL16" s="19">
        <f t="shared" si="1"/>
        <v>0</v>
      </c>
      <c r="AM16" s="19">
        <f t="shared" si="1"/>
        <v>0</v>
      </c>
      <c r="AN16" s="19">
        <f t="shared" si="1"/>
        <v>0</v>
      </c>
      <c r="AO16" s="19">
        <f t="shared" si="1"/>
        <v>0</v>
      </c>
      <c r="AP16" s="19">
        <f t="shared" si="1"/>
        <v>0</v>
      </c>
      <c r="AQ16" s="19">
        <f t="shared" si="1"/>
        <v>0</v>
      </c>
      <c r="AR16" s="19">
        <f t="shared" si="1"/>
        <v>0</v>
      </c>
      <c r="AS16" s="19">
        <f t="shared" si="1"/>
        <v>0</v>
      </c>
      <c r="AT16" s="19">
        <f t="shared" si="1"/>
        <v>0</v>
      </c>
      <c r="AU16" s="19">
        <f t="shared" si="1"/>
        <v>0</v>
      </c>
      <c r="AV16" s="19">
        <f t="shared" si="1"/>
        <v>0</v>
      </c>
      <c r="AW16" s="19">
        <f t="shared" si="1"/>
        <v>0</v>
      </c>
      <c r="AX16" s="19">
        <f t="shared" si="1"/>
        <v>0</v>
      </c>
      <c r="AY16" s="19">
        <f t="shared" si="1"/>
        <v>0</v>
      </c>
      <c r="AZ16" s="19">
        <f t="shared" si="1"/>
        <v>0</v>
      </c>
      <c r="BA16" s="19">
        <f t="shared" si="1"/>
        <v>0</v>
      </c>
      <c r="BB16" s="19">
        <f t="shared" si="1"/>
        <v>0</v>
      </c>
      <c r="BC16" s="19">
        <f t="shared" si="1"/>
        <v>0</v>
      </c>
      <c r="BD16" s="19">
        <f t="shared" si="1"/>
        <v>0</v>
      </c>
      <c r="BE16" s="19">
        <f t="shared" si="1"/>
        <v>0</v>
      </c>
      <c r="BF16" s="19">
        <f t="shared" si="1"/>
        <v>0</v>
      </c>
    </row>
    <row r="17" spans="1:36">
      <c r="A17" s="74" t="str">
        <f>Constants!E7</f>
        <v>PT-V</v>
      </c>
      <c r="B17" s="16">
        <f>SUMIFS(Hippocampus!$F$55:$F$67,Hippocampus!$B$55:$B$67, B$15,Hippocampus!$H$55:$H$67,$A17)*(1+Constants!$B$9)</f>
        <v>0</v>
      </c>
      <c r="C17" s="16">
        <f>SUMIFS(Hippocampus!$F$55:$F$67,Hippocampus!$B$55:$B$67, C$15,Hippocampus!$H$55:$H$67,$A17)</f>
        <v>0</v>
      </c>
      <c r="D17" s="16">
        <f>SUMIFS(Hippocampus!$F$55:$F$67,Hippocampus!$B$55:$B$67, D$15,Hippocampus!$H$55:$H$67,$A17)*(1+Constants!$B$9)</f>
        <v>0</v>
      </c>
      <c r="E17" s="16">
        <f>SUMIFS(Hippocampus!$F$55:$F$67,Hippocampus!$B$55:$B$67, E$15,Hippocampus!$H$55:$H$67,$A17)*(1+Constants!$B$9)</f>
        <v>0</v>
      </c>
      <c r="F17" s="16">
        <f>SUMIFS(Hippocampus!$F$55:$F$67,Hippocampus!$B$55:$B$67, F$15,Hippocampus!$H$55:$H$67,$A17)</f>
        <v>0</v>
      </c>
      <c r="G17" s="74" t="s">
        <v>38</v>
      </c>
      <c r="H17" s="78">
        <f>SUM(AD16:BZ16)</f>
        <v>0</v>
      </c>
      <c r="I17" s="76" cm="1">
        <f t="array" ref="I17">SUM(IF($B$71:$B$87="External",$F$71:$F$87*$H$71:$H$87,0))</f>
        <v>37296</v>
      </c>
      <c r="J17" s="79"/>
      <c r="K17" s="80"/>
      <c r="L17" s="77" t="s">
        <v>63</v>
      </c>
      <c r="M17" s="76">
        <f>J16-K16</f>
        <v>0</v>
      </c>
      <c r="N17" s="17"/>
      <c r="O17" s="17"/>
      <c r="P17" s="17"/>
      <c r="Q17" s="17"/>
      <c r="R17" s="16"/>
      <c r="S17" s="17"/>
      <c r="T17" s="17"/>
      <c r="U17" s="17"/>
      <c r="V17" s="17"/>
      <c r="W17" s="17"/>
      <c r="X17" s="17"/>
      <c r="Y17" s="17"/>
      <c r="Z17" s="17"/>
      <c r="AA17" s="17"/>
      <c r="AB17" s="17"/>
      <c r="AC17" s="17"/>
      <c r="AD17" s="17"/>
      <c r="AE17" s="17"/>
    </row>
    <row r="18" spans="1:36">
      <c r="A18" s="74" t="str">
        <f>Constants!E8</f>
        <v>PT-ZZP</v>
      </c>
      <c r="B18" s="16">
        <f>SUMIFS(Hippocampus!$F$55:$F$67,Hippocampus!$B$55:$B$67, B$15,Hippocampus!$H$55:$H$67,$A18)*(1+Constants!$B$7)</f>
        <v>0</v>
      </c>
      <c r="C18" s="16">
        <f>SUMIFS(Hippocampus!$F$55:$F$67,Hippocampus!$B$55:$B$67, C$15,Hippocampus!$H$55:$H$67,$A18)</f>
        <v>0</v>
      </c>
      <c r="D18" s="16">
        <f>SUMIFS(Hippocampus!$F$55:$F$67,Hippocampus!$B$55:$B$67, D$15,Hippocampus!$H$55:$H$67,$A18)*(1+Constants!$B$7)</f>
        <v>0</v>
      </c>
      <c r="E18" s="16">
        <f>SUMIFS(Hippocampus!$F$55:$F$67,Hippocampus!$B$55:$B$67, E$15,Hippocampus!$H$55:$H$67,$A18)*(1+Constants!$B$7)</f>
        <v>0</v>
      </c>
      <c r="F18" s="16">
        <f>SUMIFS(Hippocampus!$F$55:$F$67,Hippocampus!$B$55:$B$67, F$15,Hippocampus!$H$55:$H$67,$A18)*(1+Constants!$B$7)</f>
        <v>0</v>
      </c>
      <c r="G18" s="74"/>
      <c r="H18" s="78"/>
      <c r="I18" s="76"/>
      <c r="J18" s="79"/>
      <c r="K18" s="80"/>
      <c r="L18" s="77" t="s">
        <v>60</v>
      </c>
      <c r="M18" s="76">
        <f>IF(I17-Constants!I17*$B$7&gt;0,$I$17-Constants!I17*$B$7,"-")</f>
        <v>26486</v>
      </c>
      <c r="N18" s="17"/>
      <c r="O18" s="17"/>
      <c r="P18" s="17"/>
      <c r="Q18" s="17"/>
      <c r="R18" s="16"/>
      <c r="S18" s="17"/>
      <c r="T18" s="17"/>
      <c r="U18" s="17"/>
      <c r="V18" s="17"/>
      <c r="W18" s="17"/>
      <c r="X18" s="17"/>
      <c r="Y18" s="17"/>
      <c r="Z18" s="17"/>
      <c r="AA18" s="17"/>
      <c r="AB18" s="17"/>
      <c r="AC18" s="17"/>
      <c r="AD18" s="17"/>
      <c r="AE18" s="17"/>
    </row>
    <row r="19" spans="1:36">
      <c r="A19" s="74" t="str">
        <f>Constants!E9</f>
        <v>RT</v>
      </c>
      <c r="B19" s="16">
        <f>SUMIFS(Hippocampus!$F$55:$F$67,Hippocampus!$B$55:$B$67, B$15,Hippocampus!$H$55:$H$67,$A19)</f>
        <v>0</v>
      </c>
      <c r="C19" s="16">
        <f>SUMIFS(Hippocampus!$F$55:$F$67,Hippocampus!$B$55:$B$67, C$15,Hippocampus!$H$55:$H$67,$A19)</f>
        <v>0</v>
      </c>
      <c r="D19" s="16">
        <f>SUMIFS(Hippocampus!$F$55:$F$67,Hippocampus!$B$55:$B$67, D$15,Hippocampus!$H$55:$H$67,$A19)</f>
        <v>0</v>
      </c>
      <c r="E19" s="16">
        <f>SUMIFS(Hippocampus!$F$55:$F$67,Hippocampus!$B$55:$B$67, E$15,Hippocampus!$H$55:$H$67,$A19)</f>
        <v>0</v>
      </c>
      <c r="F19" s="16">
        <f>SUMIFS(Hippocampus!$F$55:$F$67,Hippocampus!$B$55:$B$67, F$15,Hippocampus!$H$55:$H$67,$A19)</f>
        <v>0</v>
      </c>
      <c r="G19" s="74" t="s">
        <v>396</v>
      </c>
      <c r="H19" s="78"/>
      <c r="I19" s="76">
        <f>IF(B7*Constants!I17&lt;I17,B7*Constants!I17,I17)</f>
        <v>10810</v>
      </c>
      <c r="J19" s="79"/>
      <c r="K19" s="80"/>
      <c r="L19" s="77" t="s">
        <v>431</v>
      </c>
      <c r="M19" s="255">
        <f ca="1">Constants!C31*B7+Data!L17</f>
        <v>2594.0429771160339</v>
      </c>
      <c r="N19" s="17"/>
      <c r="O19" s="17"/>
      <c r="P19" s="17"/>
      <c r="Q19" s="17"/>
      <c r="R19" s="16"/>
      <c r="S19" s="17"/>
      <c r="T19" s="17"/>
      <c r="U19" s="17"/>
      <c r="V19" s="17"/>
      <c r="W19" s="17"/>
      <c r="X19" s="17"/>
      <c r="Y19" s="17"/>
      <c r="Z19" s="17"/>
      <c r="AA19" s="17"/>
      <c r="AB19" s="17"/>
      <c r="AC19" s="17"/>
      <c r="AD19" s="17"/>
      <c r="AE19" s="17"/>
    </row>
    <row r="20" spans="1:36">
      <c r="A20" s="74" t="str">
        <f>Constants!E10</f>
        <v>Extern</v>
      </c>
      <c r="B20" s="16">
        <f>SUMIFS(Hippocampus!$F$55:$F$67,Hippocampus!$B$55:$B$67, B$15,Hippocampus!$H$55:$H$67,$A20)</f>
        <v>0</v>
      </c>
      <c r="C20" s="16">
        <f>SUMIFS(Hippocampus!$F$55:$F$67,Hippocampus!$B$55:$B$67, C$15,Hippocampus!$H$55:$H$67,$A20)</f>
        <v>0</v>
      </c>
      <c r="D20" s="16">
        <f>SUMIFS(Hippocampus!$F$55:$F$67,Hippocampus!$B$55:$B$67, D$15,Hippocampus!$H$55:$H$67,$A20)</f>
        <v>0</v>
      </c>
      <c r="E20" s="16">
        <f>SUMIFS(Hippocampus!$F$55:$F$67,Hippocampus!$B$55:$B$67, E$15,Hippocampus!$H$55:$H$67,$A20)</f>
        <v>0</v>
      </c>
      <c r="F20" s="16">
        <f>SUMIFS(Hippocampus!$F$55:$F$67,Hippocampus!$B$55:$B$67, F$15,Hippocampus!$H$55:$H$67,$A20)</f>
        <v>0</v>
      </c>
      <c r="G20" s="81"/>
      <c r="H20" s="16"/>
      <c r="I20" s="75"/>
      <c r="J20" s="79"/>
      <c r="K20" s="82"/>
      <c r="L20" s="83"/>
      <c r="M20" s="84"/>
      <c r="N20" s="17"/>
      <c r="O20" s="17"/>
      <c r="P20" s="17"/>
      <c r="Q20" s="17"/>
      <c r="R20" s="16"/>
      <c r="S20" s="17"/>
      <c r="T20" s="17"/>
      <c r="U20" s="17"/>
      <c r="V20" s="17"/>
      <c r="W20" s="17"/>
      <c r="X20" s="17"/>
      <c r="Y20" s="17"/>
      <c r="Z20" s="17"/>
      <c r="AA20" s="17"/>
      <c r="AB20" s="17"/>
      <c r="AC20" s="17"/>
      <c r="AD20" s="17"/>
      <c r="AE20" s="17"/>
    </row>
    <row r="21" spans="1:36">
      <c r="A21" s="74" t="str">
        <f>CONCATENATE(A18," Costs")</f>
        <v>PT-ZZP Costs</v>
      </c>
      <c r="B21" s="78">
        <f t="array" ref="B21">SUM(IF(Hippocampus!$B$55:$B$67=B$15,IF(Hippocampus!$H$55:$H$67="PT-ZZP",Hippocampus!$F$55:$F$67*Hippocampus!$I$55:$I$67*(1+Constants!$B$7),0),0))</f>
        <v>0</v>
      </c>
      <c r="C21" s="78">
        <f t="array" ref="C21">SUM(IF(Hippocampus!$B$55:$B$67=C$15,IF(Hippocampus!$H$55:$H$67="PT-ZZP",Hippocampus!$F$55:$F$67*Hippocampus!$I$55:$I$67,0),0))</f>
        <v>0</v>
      </c>
      <c r="D21" s="78">
        <f t="array" ref="D21">SUM(IF(Hippocampus!$B$55:$B$67=D$15,IF(Hippocampus!$H$55:$H$67="PT-ZZP",Hippocampus!$F$55:$F$67*Hippocampus!$I$55:$I$67*(1+Constants!$B$7),0),0))</f>
        <v>0</v>
      </c>
      <c r="E21" s="78">
        <f t="array" ref="E21">SUM(IF(Hippocampus!$B$55:$B$67=E$15,IF(Hippocampus!$H$55:$H$67="PT-ZZP",Hippocampus!$F$55:$F$67*Hippocampus!$I$55:$I$67*(1+Constants!$B$7),0),0))</f>
        <v>0</v>
      </c>
      <c r="F21" s="78">
        <f t="array" ref="F21">SUM(IF(Hippocampus!$B$55:$B$67=F$15,IF(Hippocampus!$H$55:$H$67="PT-ZZP",Hippocampus!$F$55:$F$67*Hippocampus!$I$55:$I$67*(1+Constants!$B$7),0),0))</f>
        <v>0</v>
      </c>
      <c r="G21" s="81"/>
      <c r="H21" s="16"/>
      <c r="I21" s="75"/>
      <c r="J21" s="79"/>
      <c r="K21" s="82"/>
      <c r="L21" s="77" t="s">
        <v>5</v>
      </c>
      <c r="M21" s="76">
        <f ca="1">SUM(M15:M20)</f>
        <v>29080.042977116034</v>
      </c>
      <c r="N21" s="17"/>
      <c r="O21" s="17"/>
      <c r="P21" s="17"/>
      <c r="Q21" s="17"/>
      <c r="R21" s="16"/>
      <c r="S21" s="17"/>
      <c r="T21" s="17"/>
      <c r="U21" s="17"/>
      <c r="V21" s="17"/>
      <c r="W21" s="17"/>
      <c r="X21" s="17"/>
      <c r="Y21" s="17"/>
      <c r="Z21" s="17"/>
      <c r="AA21" s="17"/>
      <c r="AB21" s="17"/>
      <c r="AC21" s="17"/>
      <c r="AD21" s="17"/>
      <c r="AE21" s="17"/>
    </row>
    <row r="22" spans="1:36" ht="15.75" customHeight="1">
      <c r="A22" s="74" t="str">
        <f>CONCATENATE(A20," Costs")</f>
        <v>Extern Costs</v>
      </c>
      <c r="B22" s="78">
        <f t="array" ref="B22">SUM(IF(Hippocampus!$B$55:$B$67=B$15,IF(Hippocampus!$H$55:$H$67="Extern",Hippocampus!$F$55:$F$67*Hippocampus!$I$55:$I$67,0),0))</f>
        <v>0</v>
      </c>
      <c r="C22" s="78">
        <f t="array" ref="C22">SUM(IF(Hippocampus!$B$55:$B$67=C$15,IF(Hippocampus!$H$55:$H$67="Extern",Hippocampus!$F$55:$F$67*Hippocampus!$I$55:$I$67,0),0))</f>
        <v>0</v>
      </c>
      <c r="D22" s="78">
        <f t="array" ref="D22">SUM(IF(Hippocampus!$B$55:$B$67=D$15,IF(Hippocampus!$H$55:$H$67="Extern",Hippocampus!$F$55:$F$67*Hippocampus!$I$55:$I$67,0),0))</f>
        <v>0</v>
      </c>
      <c r="E22" s="78">
        <f t="array" ref="E22">SUM(IF(Hippocampus!$B$55:$B$67=E$15,IF(Hippocampus!$H$55:$H$67="Extern",Hippocampus!$F$55:$F$67*Hippocampus!$I$55:$I$67,0),0))</f>
        <v>0</v>
      </c>
      <c r="F22" s="76">
        <f t="array" ref="F22">SUM(IF(Hippocampus!$B$55:$B$67=F$15,IF(Hippocampus!$H$55:$H$67="Extern",Hippocampus!$F$55:$F$67*Hippocampus!$I$55:$I$67,0),0))</f>
        <v>0</v>
      </c>
      <c r="G22" s="85"/>
      <c r="H22" s="177"/>
      <c r="I22" s="86"/>
      <c r="J22" s="87"/>
      <c r="K22" s="88"/>
      <c r="L22" s="87"/>
      <c r="M22" s="88"/>
      <c r="N22" s="17"/>
      <c r="O22" s="17"/>
      <c r="P22" s="17"/>
      <c r="Q22" s="17"/>
      <c r="R22" s="16"/>
      <c r="S22" s="17"/>
      <c r="T22" s="17"/>
      <c r="U22" s="17"/>
      <c r="V22" s="17"/>
      <c r="W22" s="17"/>
      <c r="X22" s="17"/>
      <c r="Y22" s="17"/>
      <c r="Z22" s="17"/>
      <c r="AA22" s="17"/>
      <c r="AB22" s="17"/>
      <c r="AC22" s="17"/>
      <c r="AD22" s="17"/>
      <c r="AE22" s="17"/>
    </row>
    <row r="23" spans="1:36" ht="15" customHeight="1">
      <c r="A23" s="74" t="s">
        <v>432</v>
      </c>
      <c r="B23" s="78"/>
      <c r="C23" s="78"/>
      <c r="D23" s="78"/>
      <c r="E23" s="78"/>
      <c r="F23" s="76">
        <f t="array" ref="F23">SUMIFS(Hippocampus!$F$55:$F$67,Hippocampus!$B$55:$B$67,"Mentorship",Hippocampus!$H$55:$H$67,"PT-V")*Constants!B8+SUMIFS(Hippocampus!$F$55:$F$67,Hippocampus!$B$55:$B$67,"Mentorship",Hippocampus!$H$55:$H$67,"PT")*Constants!B6+SUMPRODUCT(IF(Hippocampus!$B$55:$B$67="Mentorship",IF(Hippocampus!$H$55:$H$67="PT-ZZP",Hippocampus!$F$55:$F$67*Hippocampus!$I$55:$I$67,0)))</f>
        <v>0</v>
      </c>
    </row>
    <row r="24" spans="1:36" ht="15" customHeight="1">
      <c r="A24" s="89" t="s">
        <v>433</v>
      </c>
      <c r="B24" s="178"/>
      <c r="C24" s="178"/>
      <c r="D24" s="178"/>
      <c r="E24" s="178">
        <f>SUMIF(Hippocampus!$B$55:$B$67,"External Trainer Course",Hippocampus!$I$55:$I$67)</f>
        <v>0</v>
      </c>
      <c r="F24" s="90"/>
    </row>
    <row r="25" spans="1:36" ht="15.75" customHeight="1">
      <c r="A25" s="16"/>
      <c r="B25" s="16"/>
      <c r="C25" s="16"/>
      <c r="D25" s="16"/>
      <c r="E25" s="17"/>
      <c r="F25" s="17"/>
      <c r="G25" s="17"/>
      <c r="H25" s="17"/>
      <c r="I25" s="17"/>
      <c r="J25" s="17"/>
      <c r="K25" s="17"/>
      <c r="L25" s="17"/>
      <c r="M25" s="17"/>
      <c r="N25" s="17"/>
      <c r="O25" s="17"/>
      <c r="P25" s="17"/>
      <c r="Q25" s="16"/>
      <c r="R25" s="17"/>
      <c r="S25" s="17"/>
      <c r="T25" s="17"/>
      <c r="U25" s="17"/>
      <c r="V25" s="17"/>
      <c r="W25" s="17"/>
      <c r="X25" s="17"/>
      <c r="Y25" s="17"/>
      <c r="Z25" s="17"/>
      <c r="AA25" s="17"/>
      <c r="AB25" s="17"/>
      <c r="AC25" s="17"/>
      <c r="AD25" s="17"/>
    </row>
    <row r="26" spans="1:36" ht="15.75" customHeight="1">
      <c r="A26" s="16"/>
      <c r="B26" s="16"/>
      <c r="C26" s="16"/>
      <c r="D26" s="16"/>
      <c r="E26" s="17"/>
      <c r="F26" s="17"/>
      <c r="G26" s="17"/>
      <c r="H26" s="17"/>
      <c r="I26" s="17"/>
      <c r="J26" s="17"/>
      <c r="K26" s="17"/>
      <c r="L26" s="17"/>
      <c r="M26" s="17"/>
      <c r="N26" s="17"/>
      <c r="O26" s="17"/>
      <c r="P26" s="17"/>
      <c r="Q26" s="16"/>
      <c r="R26" s="17"/>
      <c r="S26" s="17"/>
      <c r="T26" s="17"/>
      <c r="U26" s="17"/>
      <c r="V26" s="17"/>
      <c r="W26" s="17"/>
      <c r="X26" s="17"/>
      <c r="Y26" s="17"/>
      <c r="Z26" s="17"/>
      <c r="AA26" s="17"/>
      <c r="AB26" s="17"/>
      <c r="AC26" s="17"/>
      <c r="AD26" s="17"/>
    </row>
    <row r="27" spans="1:36" ht="15.75" customHeight="1" thickBot="1">
      <c r="A27" s="91" t="s">
        <v>434</v>
      </c>
      <c r="B27" s="17"/>
      <c r="C27" s="17"/>
      <c r="D27" s="17"/>
      <c r="E27" s="17"/>
      <c r="F27" s="17"/>
      <c r="G27" s="92"/>
      <c r="H27" s="19"/>
      <c r="I27" s="17"/>
      <c r="J27" s="17"/>
      <c r="K27" s="17"/>
      <c r="L27" s="17"/>
      <c r="M27" s="17"/>
      <c r="N27" s="17"/>
      <c r="O27" s="17"/>
      <c r="P27" s="17"/>
      <c r="Q27" s="16"/>
      <c r="R27" s="17"/>
      <c r="S27" s="17"/>
      <c r="T27" s="17"/>
      <c r="U27" s="17"/>
      <c r="V27" s="17"/>
      <c r="W27" s="17"/>
      <c r="X27" s="17"/>
      <c r="Y27" s="17"/>
      <c r="Z27" s="17"/>
      <c r="AA27" s="17"/>
      <c r="AB27" s="17"/>
      <c r="AC27" s="17"/>
      <c r="AD27" s="17"/>
    </row>
    <row r="28" spans="1:36" ht="15.75" customHeight="1" thickTop="1" thickBot="1">
      <c r="A28" s="706" t="s">
        <v>435</v>
      </c>
      <c r="B28" s="707"/>
      <c r="C28" s="707"/>
      <c r="D28" s="707"/>
      <c r="E28" s="707"/>
      <c r="F28" s="708"/>
      <c r="G28" s="15"/>
      <c r="H28" s="17"/>
      <c r="I28" s="17"/>
      <c r="J28" s="17"/>
      <c r="K28" s="17"/>
      <c r="L28" s="17"/>
      <c r="M28" s="17"/>
      <c r="N28" s="17"/>
      <c r="O28" s="17"/>
      <c r="P28" s="17"/>
      <c r="Q28" s="16"/>
      <c r="R28" s="17"/>
      <c r="S28" s="17"/>
      <c r="T28" s="17"/>
      <c r="U28" s="17"/>
      <c r="V28" s="17"/>
      <c r="W28" s="17"/>
      <c r="X28" s="17"/>
      <c r="Y28" s="17"/>
      <c r="Z28" s="17"/>
      <c r="AA28" s="17"/>
      <c r="AB28" s="17"/>
      <c r="AC28" s="17"/>
      <c r="AD28" s="242" t="s">
        <v>436</v>
      </c>
      <c r="AE28" s="16"/>
      <c r="AF28" s="128"/>
      <c r="AG28" s="51"/>
      <c r="AH28" s="51"/>
      <c r="AI28" s="51"/>
      <c r="AJ28" s="51"/>
    </row>
    <row r="29" spans="1:36" ht="15.75" customHeight="1" thickBot="1">
      <c r="A29" s="709" t="s">
        <v>437</v>
      </c>
      <c r="B29" s="696"/>
      <c r="C29" s="696"/>
      <c r="D29" s="696"/>
      <c r="E29" s="696"/>
      <c r="F29" s="710"/>
      <c r="G29" s="17"/>
      <c r="H29" s="17"/>
      <c r="I29" s="17"/>
      <c r="J29" s="17"/>
      <c r="K29" s="17"/>
      <c r="L29" s="17"/>
      <c r="M29" s="17"/>
      <c r="N29" s="17"/>
      <c r="O29" s="17"/>
      <c r="P29" s="17"/>
      <c r="Q29" s="16"/>
      <c r="R29" s="17"/>
      <c r="S29" s="17"/>
      <c r="T29" s="17"/>
      <c r="U29" s="17"/>
      <c r="V29" s="17"/>
      <c r="W29" s="17"/>
      <c r="X29" s="17"/>
      <c r="Y29" s="17"/>
      <c r="Z29" s="17"/>
      <c r="AA29" s="17"/>
      <c r="AB29" s="17"/>
      <c r="AC29" s="17"/>
      <c r="AD29" s="243" t="s">
        <v>438</v>
      </c>
      <c r="AE29" s="243" t="s">
        <v>439</v>
      </c>
      <c r="AF29" s="243" t="s">
        <v>440</v>
      </c>
      <c r="AG29" s="711" t="s">
        <v>441</v>
      </c>
      <c r="AH29" s="712"/>
      <c r="AI29" s="711" t="s">
        <v>434</v>
      </c>
      <c r="AJ29" s="712"/>
    </row>
    <row r="30" spans="1:36" ht="15.75" customHeight="1" thickBot="1">
      <c r="A30" s="709" t="s">
        <v>442</v>
      </c>
      <c r="B30" s="696"/>
      <c r="C30" s="696"/>
      <c r="D30" s="696"/>
      <c r="E30" s="696"/>
      <c r="F30" s="710"/>
      <c r="G30" s="17"/>
      <c r="H30" s="17"/>
      <c r="I30" s="17"/>
      <c r="J30" s="17"/>
      <c r="K30" s="17"/>
      <c r="L30" s="17"/>
      <c r="M30" s="17"/>
      <c r="N30" s="17"/>
      <c r="O30" s="17"/>
      <c r="P30" s="17"/>
      <c r="Q30" s="16"/>
      <c r="R30" s="17"/>
      <c r="S30" s="17"/>
      <c r="T30" s="17"/>
      <c r="U30" s="17"/>
      <c r="V30" s="17"/>
      <c r="W30" s="17"/>
      <c r="X30" s="17"/>
      <c r="Y30" s="17"/>
      <c r="Z30" s="17"/>
      <c r="AA30" s="17"/>
      <c r="AB30" s="17"/>
      <c r="AC30" s="17"/>
      <c r="AD30" s="244" t="str">
        <f>IF($B$12="individual",Constants!F55,Constants!L55)</f>
        <v>member count</v>
      </c>
      <c r="AE30" s="244">
        <f>B7</f>
        <v>47</v>
      </c>
      <c r="AF30" s="269">
        <f>IF(AE30&gt;=301,5,IF(AE30&gt;=176,4,IF(AE30&gt;=101,3,IF(AE30&gt;=51,2,1))))</f>
        <v>1</v>
      </c>
      <c r="AG30" s="560"/>
      <c r="AH30" s="560"/>
      <c r="AI30" s="560" t="s">
        <v>443</v>
      </c>
      <c r="AJ30" s="560"/>
    </row>
    <row r="31" spans="1:36" ht="15" customHeight="1" thickBot="1">
      <c r="A31" s="709" t="s">
        <v>444</v>
      </c>
      <c r="B31" s="696"/>
      <c r="C31" s="696"/>
      <c r="D31" s="696"/>
      <c r="E31" s="696"/>
      <c r="F31" s="710"/>
      <c r="G31" s="17"/>
      <c r="H31" s="17"/>
      <c r="I31" s="17"/>
      <c r="J31" s="17"/>
      <c r="K31" s="17"/>
      <c r="L31" s="17"/>
      <c r="M31" s="17"/>
      <c r="N31" s="17"/>
      <c r="O31" s="17"/>
      <c r="P31" s="17"/>
      <c r="Q31" s="16"/>
      <c r="R31" s="17"/>
      <c r="S31" s="17"/>
      <c r="T31" s="17"/>
      <c r="U31" s="17"/>
      <c r="V31" s="17"/>
      <c r="W31" s="17"/>
      <c r="X31" s="17"/>
      <c r="Y31" s="17"/>
      <c r="Z31" s="17"/>
      <c r="AA31" s="17"/>
      <c r="AB31" s="17"/>
      <c r="AC31" s="17"/>
      <c r="AD31" s="244" t="str">
        <f>IF($B$12="individual",Constants!F56,Constants!L56)</f>
        <v>number of trainings per week</v>
      </c>
      <c r="AE31" s="244">
        <v>6</v>
      </c>
      <c r="AF31" s="270">
        <f>IF(AE31&gt;=4,3,IF(AE31&gt;=3,2,IF(AE31&gt;=2,1,0)))</f>
        <v>3</v>
      </c>
      <c r="AG31" s="560"/>
      <c r="AH31" s="560"/>
      <c r="AI31" s="560"/>
      <c r="AJ31" s="560"/>
    </row>
    <row r="32" spans="1:36" ht="15.75" customHeight="1" thickBot="1">
      <c r="A32" s="709" t="s">
        <v>445</v>
      </c>
      <c r="B32" s="696"/>
      <c r="C32" s="696"/>
      <c r="D32" s="696"/>
      <c r="E32" s="696"/>
      <c r="F32" s="710"/>
      <c r="G32" s="17"/>
      <c r="H32" s="16"/>
      <c r="I32" s="16"/>
      <c r="J32" s="16"/>
      <c r="K32" s="17"/>
      <c r="L32" s="17"/>
      <c r="M32" s="17"/>
      <c r="N32" s="17"/>
      <c r="O32" s="17"/>
      <c r="P32" s="17"/>
      <c r="Q32" s="16"/>
      <c r="R32" s="17"/>
      <c r="S32" s="17"/>
      <c r="T32" s="17"/>
      <c r="U32" s="17"/>
      <c r="V32" s="17"/>
      <c r="W32" s="17"/>
      <c r="X32" s="17"/>
      <c r="Y32" s="17"/>
      <c r="Z32" s="17"/>
      <c r="AA32" s="17"/>
      <c r="AB32" s="17"/>
      <c r="AC32" s="17"/>
      <c r="AD32" s="244" t="str">
        <f>IF($B$12="individual",Constants!F57,Constants!L57)</f>
        <v>number of trainings weeks per year</v>
      </c>
      <c r="AE32" s="252">
        <v>42</v>
      </c>
      <c r="AF32" s="250">
        <f>IF(AE32&gt;=40,3,IF(AE32&gt;=35,2,1))</f>
        <v>3</v>
      </c>
      <c r="AG32" s="560"/>
      <c r="AH32" s="560"/>
      <c r="AI32" s="560"/>
      <c r="AJ32" s="560"/>
    </row>
    <row r="33" spans="1:58" ht="15.75" customHeight="1" thickBot="1">
      <c r="A33" s="93" t="s">
        <v>446</v>
      </c>
      <c r="F33" s="94"/>
      <c r="G33" s="17"/>
      <c r="H33" s="16"/>
      <c r="I33" s="16"/>
      <c r="J33" s="16"/>
      <c r="K33" s="17"/>
      <c r="L33" s="17"/>
      <c r="M33" s="17"/>
      <c r="N33" s="17"/>
      <c r="O33" s="17"/>
      <c r="P33" s="17"/>
      <c r="Q33" s="16"/>
      <c r="R33" s="17"/>
      <c r="S33" s="17"/>
      <c r="T33" s="17"/>
      <c r="U33" s="17"/>
      <c r="V33" s="17"/>
      <c r="W33" s="17"/>
      <c r="X33" s="17"/>
      <c r="Y33" s="17"/>
      <c r="Z33" s="17"/>
      <c r="AA33" s="17"/>
      <c r="AB33" s="17"/>
      <c r="AC33" s="17"/>
      <c r="AD33" s="244" t="str">
        <f>IF($B$12="individual",Constants!F58,Constants!L58)</f>
        <v>number of training hours by RT / PT-V</v>
      </c>
      <c r="AE33" s="251">
        <v>0</v>
      </c>
      <c r="AF33" s="270">
        <f>IF(AE33&gt;0.9,3,IF(AE33&gt;0.6,2,IF(AE33&gt;0.3,1,0)))</f>
        <v>0</v>
      </c>
      <c r="AG33" s="560"/>
      <c r="AH33" s="560"/>
      <c r="AI33" s="560"/>
      <c r="AJ33" s="560"/>
    </row>
    <row r="34" spans="1:58" ht="15.75" customHeight="1" thickBot="1">
      <c r="A34" s="713" t="s">
        <v>447</v>
      </c>
      <c r="B34" s="714"/>
      <c r="C34" s="714"/>
      <c r="D34" s="714"/>
      <c r="E34" s="714"/>
      <c r="F34" s="715"/>
      <c r="G34" s="17"/>
      <c r="H34" s="16"/>
      <c r="I34" s="16"/>
      <c r="J34" s="16"/>
      <c r="K34" s="17"/>
      <c r="L34" s="17"/>
      <c r="M34" s="17"/>
      <c r="N34" s="17"/>
      <c r="O34" s="17"/>
      <c r="P34" s="17"/>
      <c r="Q34" s="16"/>
      <c r="R34" s="17"/>
      <c r="S34" s="17"/>
      <c r="T34" s="17"/>
      <c r="U34" s="17"/>
      <c r="V34" s="17"/>
      <c r="W34" s="17"/>
      <c r="X34" s="17"/>
      <c r="Y34" s="17"/>
      <c r="Z34" s="17"/>
      <c r="AA34" s="17"/>
      <c r="AB34" s="17"/>
      <c r="AC34" s="17"/>
      <c r="AD34" s="244" t="str">
        <f>IF($B$12="individual",Constants!F59,Constants!L59)</f>
        <v>number of training groups / teams</v>
      </c>
      <c r="AE34" s="244">
        <f>B10</f>
        <v>5</v>
      </c>
      <c r="AF34" s="271">
        <f>IF(AE34&gt;9,3,IF(AE34&gt;4,2,IF(AE34&gt;2,1,0)))</f>
        <v>2</v>
      </c>
      <c r="AG34" s="560"/>
      <c r="AH34" s="560"/>
      <c r="AI34" s="560"/>
      <c r="AJ34" s="560"/>
    </row>
    <row r="35" spans="1:58" ht="15.75" customHeight="1" thickTop="1" thickBot="1">
      <c r="A35" s="16"/>
      <c r="G35" s="17"/>
      <c r="H35" s="16"/>
      <c r="I35" s="16"/>
      <c r="J35" s="16"/>
      <c r="K35" s="17"/>
      <c r="L35" s="17"/>
      <c r="M35" s="17"/>
      <c r="N35" s="17"/>
      <c r="O35" s="17"/>
      <c r="P35" s="17"/>
      <c r="Q35" s="16"/>
      <c r="R35" s="17"/>
      <c r="S35" s="17"/>
      <c r="T35" s="17"/>
      <c r="U35" s="17"/>
      <c r="V35" s="17"/>
      <c r="W35" s="17"/>
      <c r="X35" s="17"/>
      <c r="Y35" s="17"/>
      <c r="Z35" s="17"/>
      <c r="AA35" s="17"/>
      <c r="AB35" s="17"/>
      <c r="AC35" s="17"/>
      <c r="AD35" s="244" t="str">
        <f>IF($B$12="individual",Constants!F60,Constants!L60)</f>
        <v>number of competitions organised</v>
      </c>
      <c r="AE35" s="249">
        <v>2</v>
      </c>
      <c r="AF35" s="271">
        <f>IF(AE35&gt;=4,5,IF(AE35&gt;=2,3,IF(AE35&gt;=1,1,0)))</f>
        <v>3</v>
      </c>
      <c r="AG35" s="560"/>
      <c r="AH35" s="560"/>
      <c r="AI35" s="560"/>
      <c r="AJ35" s="560"/>
    </row>
    <row r="36" spans="1:58" ht="15.75" customHeight="1" thickBot="1">
      <c r="A36" s="179" t="s">
        <v>448</v>
      </c>
      <c r="B36" s="16"/>
      <c r="C36" s="16"/>
      <c r="D36" s="16"/>
      <c r="E36" s="16"/>
      <c r="F36" s="16"/>
      <c r="G36" s="16"/>
      <c r="H36" s="16"/>
      <c r="I36" s="16"/>
      <c r="J36" s="16"/>
      <c r="K36" s="16"/>
      <c r="L36" s="16"/>
      <c r="M36" s="16"/>
      <c r="N36" s="16"/>
      <c r="O36" s="16"/>
      <c r="P36" s="16"/>
      <c r="Q36" s="16"/>
      <c r="R36" s="16"/>
      <c r="S36" s="16"/>
      <c r="T36" s="16"/>
      <c r="U36" s="16"/>
      <c r="V36" s="16"/>
      <c r="W36" s="16"/>
      <c r="X36" s="16"/>
      <c r="Y36" s="16"/>
      <c r="Z36" s="16"/>
      <c r="AA36" s="16"/>
      <c r="AB36" s="18"/>
      <c r="AC36" s="16"/>
      <c r="AD36" s="244" t="str">
        <f>IF($B$12="individual",Constants!F61,Constants!L61)</f>
        <v>number of social activities</v>
      </c>
      <c r="AE36" s="249">
        <v>24</v>
      </c>
      <c r="AF36" s="271">
        <f>IF(AE36&gt;=20,2,IF(AE36&gt;=10,1,0))</f>
        <v>2</v>
      </c>
      <c r="AG36" s="560"/>
      <c r="AH36" s="560"/>
      <c r="AI36" s="560"/>
      <c r="AJ36" s="560"/>
    </row>
    <row r="37" spans="1:58" ht="15" customHeight="1" thickTop="1" thickBot="1">
      <c r="A37" s="258" t="s">
        <v>449</v>
      </c>
      <c r="B37" s="259" t="s">
        <v>450</v>
      </c>
      <c r="C37" s="258" t="s">
        <v>451</v>
      </c>
      <c r="D37" s="258" t="s">
        <v>452</v>
      </c>
      <c r="E37" s="258" t="s">
        <v>453</v>
      </c>
      <c r="F37" s="258" t="s">
        <v>454</v>
      </c>
      <c r="G37" s="259" t="s">
        <v>455</v>
      </c>
      <c r="H37" s="561" t="s">
        <v>456</v>
      </c>
      <c r="I37" s="716"/>
      <c r="J37" s="717"/>
      <c r="K37" s="98"/>
      <c r="L37" s="98"/>
      <c r="M37" s="98"/>
      <c r="N37" s="98"/>
      <c r="O37" s="98"/>
      <c r="P37" s="98"/>
      <c r="Q37" s="98"/>
      <c r="R37" s="98"/>
      <c r="S37" s="98"/>
      <c r="T37" s="98"/>
      <c r="U37" s="96"/>
      <c r="V37" s="96"/>
      <c r="W37" s="96"/>
      <c r="X37" s="96"/>
      <c r="Y37" s="99"/>
      <c r="Z37" s="96"/>
      <c r="AA37" s="96"/>
      <c r="AB37" s="100"/>
      <c r="AC37" s="100"/>
      <c r="AD37" s="244" t="str">
        <f>IF($B$12="individual",Constants!F62,Constants!L62)</f>
        <v>number of bar days</v>
      </c>
      <c r="AE37" s="249">
        <v>6</v>
      </c>
      <c r="AF37" s="271">
        <f>IF(AE37&gt;=15,2,IF(AE37&gt;=8,1,0))</f>
        <v>0</v>
      </c>
      <c r="AG37" s="560"/>
      <c r="AH37" s="560"/>
      <c r="AI37" s="560"/>
      <c r="AJ37" s="560"/>
      <c r="AK37" s="100"/>
      <c r="AL37" s="100"/>
      <c r="AM37" s="100"/>
      <c r="AN37" s="100"/>
      <c r="AO37" s="100"/>
      <c r="AP37" s="100"/>
      <c r="AQ37" s="100"/>
      <c r="AR37" s="100"/>
      <c r="AS37" s="100"/>
      <c r="AT37" s="100"/>
      <c r="AU37" s="100"/>
      <c r="AV37" s="100"/>
      <c r="AW37" s="100"/>
      <c r="AX37" s="100"/>
      <c r="AY37" s="100"/>
      <c r="AZ37" s="100"/>
      <c r="BA37" s="100"/>
      <c r="BB37" s="100"/>
      <c r="BC37" s="100"/>
      <c r="BD37" s="100"/>
      <c r="BE37" s="100"/>
      <c r="BF37" s="100"/>
    </row>
    <row r="38" spans="1:58" ht="14.25" customHeight="1" thickBot="1">
      <c r="A38" s="312" t="s">
        <v>1067</v>
      </c>
      <c r="B38" s="232">
        <v>12</v>
      </c>
      <c r="C38" s="269">
        <v>2</v>
      </c>
      <c r="D38" s="269">
        <v>42</v>
      </c>
      <c r="E38" s="269" t="s">
        <v>289</v>
      </c>
      <c r="F38" s="369" t="s">
        <v>583</v>
      </c>
      <c r="G38" s="323"/>
      <c r="H38" s="571"/>
      <c r="I38" s="696"/>
      <c r="J38" s="718"/>
      <c r="K38" s="16"/>
      <c r="L38" s="16"/>
      <c r="M38" s="16"/>
      <c r="N38" s="16"/>
      <c r="O38" s="16"/>
      <c r="P38" s="16"/>
      <c r="Q38" s="16"/>
      <c r="R38" s="16"/>
      <c r="S38" s="16"/>
      <c r="T38" s="16"/>
      <c r="U38" s="16"/>
      <c r="V38" s="16"/>
      <c r="W38" s="16"/>
      <c r="X38" s="16"/>
      <c r="Y38" s="17"/>
      <c r="Z38" s="16"/>
      <c r="AA38" s="16"/>
      <c r="AD38" s="244" t="str">
        <f>IF($B$12="individual",Constants!F63,Constants!L63)</f>
        <v>own bar / extra location</v>
      </c>
      <c r="AE38" s="249">
        <v>0</v>
      </c>
      <c r="AF38" s="271">
        <f>IF(AE38&gt;=15,2,IF(AE38&gt;=8,1,0))</f>
        <v>0</v>
      </c>
      <c r="AG38" s="560"/>
      <c r="AH38" s="560"/>
      <c r="AI38" s="560"/>
      <c r="AJ38" s="560"/>
    </row>
    <row r="39" spans="1:58" ht="14.25" customHeight="1" thickBot="1">
      <c r="A39" s="312" t="s">
        <v>1068</v>
      </c>
      <c r="B39" s="232">
        <v>12</v>
      </c>
      <c r="C39" s="269">
        <v>1</v>
      </c>
      <c r="D39" s="269">
        <v>42</v>
      </c>
      <c r="E39" s="269" t="s">
        <v>289</v>
      </c>
      <c r="F39" s="369" t="s">
        <v>1069</v>
      </c>
      <c r="G39" s="325"/>
      <c r="H39" s="696"/>
      <c r="I39" s="696"/>
      <c r="J39" s="718"/>
      <c r="K39" s="16"/>
      <c r="L39" s="16"/>
      <c r="M39" s="16"/>
      <c r="N39" s="16"/>
      <c r="O39" s="16"/>
      <c r="P39" s="16"/>
      <c r="Q39" s="16"/>
      <c r="R39" s="16"/>
      <c r="S39" s="16"/>
      <c r="T39" s="16"/>
      <c r="U39" s="16"/>
      <c r="V39" s="16"/>
      <c r="W39" s="16"/>
      <c r="X39" s="16"/>
      <c r="Y39" s="17"/>
      <c r="Z39" s="16"/>
      <c r="AA39" s="16"/>
      <c r="AD39" s="244" t="str">
        <f>IF($B$12="individual",Constants!F65,Constants!L64)</f>
        <v>number of competitions attended</v>
      </c>
      <c r="AE39" s="249">
        <v>7</v>
      </c>
      <c r="AF39" s="273">
        <f>IF(B12="individual", IF(AE39&gt;10, 5, IF(AE39&gt;6, 3, IF(AE39&gt;2, 1, 0))), IF(AE39&gt;3, 3, IF(AE39&gt;1, 2, 1)))</f>
        <v>3</v>
      </c>
      <c r="AG39" s="560"/>
      <c r="AH39" s="560"/>
      <c r="AI39" s="560"/>
      <c r="AJ39" s="560"/>
    </row>
    <row r="40" spans="1:58" ht="15.75" customHeight="1" thickBot="1">
      <c r="A40" s="312" t="s">
        <v>1070</v>
      </c>
      <c r="B40" s="232">
        <v>12</v>
      </c>
      <c r="C40" s="269">
        <v>1</v>
      </c>
      <c r="D40" s="269">
        <v>42</v>
      </c>
      <c r="E40" s="269" t="s">
        <v>289</v>
      </c>
      <c r="F40" s="369" t="s">
        <v>1069</v>
      </c>
      <c r="G40" s="231"/>
      <c r="H40" s="696"/>
      <c r="I40" s="696"/>
      <c r="J40" s="718"/>
      <c r="K40" s="16"/>
      <c r="L40" s="16"/>
      <c r="M40" s="16"/>
      <c r="N40" s="16"/>
      <c r="O40" s="16"/>
      <c r="P40" s="16"/>
      <c r="Q40" s="16"/>
      <c r="R40" s="16"/>
      <c r="S40" s="16"/>
      <c r="T40" s="16"/>
      <c r="U40" s="16"/>
      <c r="V40" s="16"/>
      <c r="W40" s="16"/>
      <c r="X40" s="16"/>
      <c r="Y40" s="16"/>
      <c r="Z40" s="16"/>
      <c r="AA40" s="16"/>
      <c r="AD40" s="231" t="str">
        <f>IF($B$12="individual",Constants!F64,Constants!L65)</f>
        <v>n/a</v>
      </c>
      <c r="AE40" s="231" t="str">
        <f>IF(AD40="n/a","",COUNTA(A46:A50)/COUNTA(A38:A42))</f>
        <v/>
      </c>
      <c r="AF40" s="272" t="str">
        <f>IF(B12="group", IF(AE40&gt;0.15, 5, IF(AE40&gt;0.1, 3, IF(AE40&gt;0.05, 1, 0))), " ")</f>
        <v xml:space="preserve"> </v>
      </c>
      <c r="AG40" s="560"/>
      <c r="AH40" s="560"/>
      <c r="AI40" s="560"/>
      <c r="AJ40" s="560"/>
    </row>
    <row r="41" spans="1:58" ht="15.75" customHeight="1" thickBot="1">
      <c r="A41" s="312" t="s">
        <v>1071</v>
      </c>
      <c r="B41" s="232">
        <v>12</v>
      </c>
      <c r="C41" s="269">
        <v>1</v>
      </c>
      <c r="D41" s="269">
        <v>42</v>
      </c>
      <c r="E41" s="269" t="s">
        <v>289</v>
      </c>
      <c r="F41" s="369" t="s">
        <v>1069</v>
      </c>
      <c r="G41" s="231"/>
      <c r="H41" s="696"/>
      <c r="I41" s="696"/>
      <c r="J41" s="718"/>
      <c r="K41" s="16"/>
      <c r="L41" s="16"/>
      <c r="M41" s="16"/>
      <c r="N41" s="16"/>
      <c r="O41" s="16"/>
      <c r="P41" s="16"/>
      <c r="Q41" s="16"/>
      <c r="R41" s="16"/>
      <c r="S41" s="16"/>
      <c r="T41" s="16"/>
      <c r="U41" s="16"/>
      <c r="V41" s="16"/>
      <c r="W41" s="16"/>
      <c r="X41" s="16"/>
      <c r="Y41" s="16"/>
      <c r="Z41" s="16"/>
      <c r="AA41" s="16"/>
      <c r="AD41" s="16"/>
      <c r="AE41" s="275" t="s">
        <v>461</v>
      </c>
      <c r="AF41" s="277">
        <f>SUM(AF30:AF40)</f>
        <v>17</v>
      </c>
      <c r="AG41" s="247"/>
      <c r="AH41" s="245"/>
      <c r="AI41" s="246"/>
      <c r="AJ41" s="247"/>
    </row>
    <row r="42" spans="1:58" ht="15.75" customHeight="1" thickBot="1">
      <c r="A42" s="312" t="s">
        <v>1072</v>
      </c>
      <c r="B42" s="232">
        <v>12</v>
      </c>
      <c r="C42" s="231">
        <v>1</v>
      </c>
      <c r="D42" s="269">
        <v>42</v>
      </c>
      <c r="E42" s="269" t="s">
        <v>289</v>
      </c>
      <c r="F42" s="261" t="s">
        <v>582</v>
      </c>
      <c r="G42" s="231"/>
      <c r="H42" s="719"/>
      <c r="I42" s="719"/>
      <c r="J42" s="720"/>
      <c r="K42" s="16"/>
      <c r="L42" s="16"/>
      <c r="M42" s="16"/>
      <c r="N42" s="16"/>
      <c r="O42" s="16"/>
      <c r="P42" s="16"/>
      <c r="Q42" s="16"/>
      <c r="R42" s="16"/>
      <c r="S42" s="16"/>
      <c r="T42" s="16"/>
      <c r="U42" s="16"/>
      <c r="V42" s="16"/>
      <c r="W42" s="16"/>
      <c r="X42" s="16"/>
      <c r="Y42" s="16"/>
      <c r="Z42" s="16"/>
      <c r="AA42" s="16"/>
    </row>
    <row r="43" spans="1:58" ht="15.75" customHeight="1">
      <c r="A43" s="18"/>
      <c r="B43" s="18"/>
      <c r="C43" s="18"/>
      <c r="D43" s="18"/>
      <c r="E43" s="18"/>
      <c r="F43" s="18"/>
      <c r="G43" s="17"/>
      <c r="H43" s="17"/>
      <c r="I43" s="17"/>
      <c r="J43" s="17"/>
      <c r="K43" s="17"/>
      <c r="L43" s="17"/>
      <c r="M43" s="17"/>
      <c r="N43" s="17"/>
      <c r="O43" s="17"/>
      <c r="P43" s="17"/>
      <c r="Q43" s="16"/>
      <c r="R43" s="17"/>
      <c r="S43" s="17"/>
      <c r="T43" s="17"/>
      <c r="U43" s="17"/>
      <c r="V43" s="17"/>
      <c r="W43" s="17"/>
      <c r="X43" s="17"/>
      <c r="Y43" s="17"/>
      <c r="Z43" s="17"/>
      <c r="AA43" s="17"/>
      <c r="AB43" s="17"/>
      <c r="AC43" s="17"/>
      <c r="AD43" s="17"/>
    </row>
    <row r="44" spans="1:58" ht="15.75" customHeight="1">
      <c r="A44" s="179" t="s">
        <v>462</v>
      </c>
      <c r="B44" s="169"/>
      <c r="C44" s="16"/>
      <c r="D44" s="16"/>
      <c r="E44" s="16"/>
      <c r="F44" s="16"/>
      <c r="G44" s="16"/>
      <c r="H44" s="16"/>
      <c r="I44" s="16"/>
      <c r="J44" s="16"/>
      <c r="K44" s="16"/>
      <c r="L44" s="16"/>
      <c r="M44" s="16"/>
      <c r="N44" s="16"/>
      <c r="O44" s="16"/>
      <c r="P44" s="16"/>
      <c r="Q44" s="16"/>
      <c r="R44" s="16"/>
      <c r="S44" s="16"/>
      <c r="T44" s="16"/>
      <c r="U44" s="16"/>
      <c r="V44" s="16"/>
      <c r="W44" s="16"/>
      <c r="X44" s="16"/>
      <c r="Y44" s="16"/>
      <c r="Z44" s="16"/>
      <c r="AA44" s="16"/>
      <c r="AB44" s="18"/>
      <c r="AC44" s="16"/>
      <c r="AD44" s="16"/>
    </row>
    <row r="45" spans="1:58" ht="15" customHeight="1" thickTop="1" thickBot="1">
      <c r="A45" s="95" t="s">
        <v>449</v>
      </c>
      <c r="B45" s="96" t="s">
        <v>450</v>
      </c>
      <c r="C45" s="95" t="s">
        <v>463</v>
      </c>
      <c r="D45" s="95" t="s">
        <v>464</v>
      </c>
      <c r="E45" s="95" t="s">
        <v>465</v>
      </c>
      <c r="F45" s="95" t="s">
        <v>466</v>
      </c>
      <c r="G45" s="95" t="s">
        <v>467</v>
      </c>
      <c r="H45" s="97" t="s">
        <v>455</v>
      </c>
      <c r="I45" s="561" t="s">
        <v>456</v>
      </c>
      <c r="J45" s="716"/>
      <c r="K45" s="717"/>
      <c r="L45" s="98"/>
      <c r="M45" s="98"/>
      <c r="N45" s="98"/>
      <c r="O45" s="98"/>
      <c r="P45" s="98"/>
      <c r="Q45" s="98"/>
      <c r="R45" s="98"/>
      <c r="S45" s="98"/>
      <c r="T45" s="98"/>
      <c r="U45" s="98"/>
      <c r="V45" s="96"/>
      <c r="W45" s="96"/>
      <c r="X45" s="96"/>
      <c r="Y45" s="96"/>
      <c r="Z45" s="99"/>
      <c r="AA45" s="96"/>
      <c r="AB45" s="96"/>
      <c r="AC45" s="100"/>
      <c r="AD45" s="100"/>
      <c r="AE45" s="100"/>
      <c r="AF45" s="100"/>
      <c r="AG45" s="100"/>
      <c r="AH45" s="100"/>
      <c r="AI45" s="100"/>
      <c r="AJ45" s="100"/>
      <c r="AK45" s="100"/>
      <c r="AL45" s="100"/>
      <c r="AM45" s="100"/>
      <c r="AN45" s="100"/>
      <c r="AO45" s="100"/>
      <c r="AP45" s="100"/>
      <c r="AQ45" s="100"/>
      <c r="AR45" s="100"/>
      <c r="AS45" s="100"/>
      <c r="AT45" s="100"/>
      <c r="AU45" s="100"/>
      <c r="AV45" s="100"/>
      <c r="AW45" s="100"/>
      <c r="AX45" s="100"/>
      <c r="AY45" s="100"/>
      <c r="AZ45" s="100"/>
      <c r="BA45" s="100"/>
      <c r="BB45" s="100"/>
      <c r="BC45" s="100"/>
      <c r="BD45" s="100"/>
      <c r="BE45" s="100"/>
      <c r="BF45" s="100"/>
    </row>
    <row r="46" spans="1:58" ht="14.25" customHeight="1" thickTop="1">
      <c r="A46" s="101"/>
      <c r="B46" s="102"/>
      <c r="C46" s="101"/>
      <c r="D46" s="101"/>
      <c r="E46" s="108"/>
      <c r="F46" s="108"/>
      <c r="G46" s="102"/>
      <c r="H46" s="102"/>
      <c r="I46" s="618"/>
      <c r="J46" s="741"/>
      <c r="K46" s="742"/>
      <c r="L46" s="16"/>
      <c r="M46" s="16"/>
      <c r="N46" s="16"/>
      <c r="O46" s="16"/>
      <c r="P46" s="16"/>
      <c r="Q46" s="16"/>
      <c r="R46" s="16"/>
      <c r="S46" s="16"/>
      <c r="T46" s="16"/>
      <c r="U46" s="16"/>
      <c r="V46" s="16"/>
      <c r="W46" s="16"/>
      <c r="X46" s="16"/>
      <c r="Y46" s="16"/>
      <c r="Z46" s="17"/>
      <c r="AA46" s="16"/>
      <c r="AB46" s="16"/>
    </row>
    <row r="47" spans="1:58" ht="14.25" customHeight="1">
      <c r="A47" s="101"/>
      <c r="B47" s="102"/>
      <c r="C47" s="101"/>
      <c r="D47" s="101"/>
      <c r="E47" s="108"/>
      <c r="F47" s="108"/>
      <c r="G47" s="102"/>
      <c r="H47" s="102"/>
      <c r="I47" s="743"/>
      <c r="J47" s="744"/>
      <c r="K47" s="745"/>
      <c r="L47" s="16"/>
      <c r="M47" s="16"/>
      <c r="N47" s="16"/>
      <c r="O47" s="16"/>
      <c r="P47" s="16"/>
      <c r="Q47" s="16"/>
      <c r="R47" s="16"/>
      <c r="S47" s="16"/>
      <c r="T47" s="16"/>
      <c r="U47" s="16"/>
      <c r="V47" s="16"/>
      <c r="W47" s="16"/>
      <c r="X47" s="16"/>
      <c r="Y47" s="16"/>
      <c r="Z47" s="17"/>
      <c r="AA47" s="16"/>
      <c r="AB47" s="16"/>
    </row>
    <row r="48" spans="1:58" ht="15.75" customHeight="1">
      <c r="A48" s="102"/>
      <c r="B48" s="102"/>
      <c r="C48" s="102"/>
      <c r="D48" s="101"/>
      <c r="E48" s="109"/>
      <c r="F48" s="108"/>
      <c r="G48" s="110"/>
      <c r="H48" s="102"/>
      <c r="I48" s="743"/>
      <c r="J48" s="744"/>
      <c r="K48" s="745"/>
      <c r="L48" s="16"/>
      <c r="M48" s="16"/>
      <c r="N48" s="16"/>
      <c r="O48" s="16"/>
      <c r="P48" s="16"/>
      <c r="Q48" s="16"/>
      <c r="R48" s="16"/>
      <c r="S48" s="16"/>
      <c r="T48" s="16"/>
      <c r="U48" s="16"/>
      <c r="V48" s="16"/>
      <c r="W48" s="16"/>
      <c r="X48" s="16"/>
      <c r="Y48" s="16"/>
      <c r="Z48" s="16"/>
      <c r="AA48" s="16"/>
      <c r="AB48" s="16"/>
    </row>
    <row r="49" spans="1:30" ht="15.75" customHeight="1">
      <c r="A49" s="16"/>
      <c r="B49" s="51"/>
      <c r="C49" s="16"/>
      <c r="D49" s="104"/>
      <c r="E49" s="105"/>
      <c r="F49" s="106"/>
      <c r="G49" s="111"/>
      <c r="H49" s="16"/>
      <c r="I49" s="743"/>
      <c r="J49" s="744"/>
      <c r="K49" s="745"/>
      <c r="L49" s="16"/>
      <c r="M49" s="16"/>
      <c r="N49" s="16"/>
      <c r="O49" s="16"/>
      <c r="P49" s="16"/>
      <c r="Q49" s="16"/>
      <c r="R49" s="16"/>
      <c r="S49" s="16"/>
      <c r="T49" s="16"/>
      <c r="U49" s="16"/>
      <c r="V49" s="16"/>
      <c r="W49" s="16"/>
      <c r="X49" s="16"/>
      <c r="Y49" s="16"/>
      <c r="Z49" s="16"/>
      <c r="AA49" s="16"/>
      <c r="AB49" s="16"/>
    </row>
    <row r="50" spans="1:30" ht="15.75" customHeight="1" thickBot="1">
      <c r="A50" s="180"/>
      <c r="B50" s="181"/>
      <c r="C50" s="182"/>
      <c r="D50" s="182"/>
      <c r="E50" s="184"/>
      <c r="F50" s="184"/>
      <c r="G50" s="112"/>
      <c r="H50" s="180"/>
      <c r="I50" s="746"/>
      <c r="J50" s="747"/>
      <c r="K50" s="748"/>
      <c r="L50" s="16"/>
      <c r="M50" s="16"/>
      <c r="N50" s="16"/>
      <c r="O50" s="16"/>
      <c r="P50" s="16"/>
      <c r="Q50" s="16"/>
      <c r="R50" s="16"/>
      <c r="S50" s="16"/>
      <c r="T50" s="16"/>
      <c r="U50" s="16"/>
      <c r="V50" s="16"/>
      <c r="W50" s="16"/>
      <c r="X50" s="16"/>
      <c r="Y50" s="16"/>
      <c r="Z50" s="16"/>
      <c r="AA50" s="16"/>
      <c r="AB50" s="16"/>
    </row>
    <row r="51" spans="1:30" ht="15.75" customHeight="1" thickTop="1">
      <c r="A51" s="15"/>
      <c r="B51" s="16"/>
      <c r="C51" s="16"/>
      <c r="D51" s="16"/>
      <c r="E51" s="16"/>
      <c r="F51" s="16"/>
      <c r="G51" s="16"/>
      <c r="H51" s="16"/>
      <c r="I51" s="16"/>
      <c r="J51" s="16"/>
      <c r="K51" s="16"/>
      <c r="L51" s="16"/>
      <c r="M51" s="16"/>
      <c r="N51" s="16"/>
      <c r="O51" s="16"/>
      <c r="P51" s="16"/>
      <c r="Q51" s="16"/>
      <c r="R51" s="16"/>
      <c r="S51" s="16"/>
      <c r="T51" s="16"/>
      <c r="U51" s="16"/>
      <c r="V51" s="16"/>
      <c r="W51" s="16"/>
      <c r="X51" s="16"/>
      <c r="Y51" s="16"/>
      <c r="Z51" s="16"/>
      <c r="AA51" s="16"/>
      <c r="AB51" s="16"/>
      <c r="AC51" s="16"/>
      <c r="AD51" s="16"/>
    </row>
    <row r="52" spans="1:30" ht="15.75" customHeight="1">
      <c r="A52" s="15"/>
      <c r="B52" s="16"/>
      <c r="C52" s="16"/>
      <c r="D52" s="16"/>
      <c r="E52" s="16"/>
      <c r="F52" s="16"/>
      <c r="G52" s="16"/>
      <c r="H52" s="16"/>
      <c r="I52" s="16"/>
      <c r="J52" s="16"/>
      <c r="K52" s="16"/>
      <c r="L52" s="16"/>
      <c r="M52" s="16"/>
      <c r="N52" s="16"/>
      <c r="O52" s="16"/>
      <c r="P52" s="16"/>
      <c r="Q52" s="16"/>
      <c r="W52" s="16"/>
      <c r="X52" s="16"/>
      <c r="Y52" s="16"/>
      <c r="Z52" s="16"/>
      <c r="AA52" s="16"/>
      <c r="AB52" s="16"/>
      <c r="AC52" s="16"/>
      <c r="AD52" s="16"/>
    </row>
    <row r="53" spans="1:30" ht="15.75" customHeight="1" thickBot="1">
      <c r="A53" s="186" t="s">
        <v>475</v>
      </c>
      <c r="B53" s="231"/>
      <c r="C53" s="231"/>
      <c r="D53" s="231"/>
      <c r="E53" s="231"/>
      <c r="F53" s="231"/>
      <c r="G53" s="231"/>
      <c r="H53" s="231"/>
      <c r="I53" s="231"/>
      <c r="J53" s="231"/>
      <c r="K53" s="16"/>
      <c r="L53" s="16"/>
      <c r="M53" s="16"/>
      <c r="N53" s="16"/>
      <c r="O53" s="16"/>
      <c r="P53" s="16"/>
      <c r="Q53" s="16"/>
      <c r="W53" s="16"/>
      <c r="X53" s="16"/>
      <c r="Y53" s="16"/>
      <c r="Z53" s="16"/>
      <c r="AA53" s="16"/>
      <c r="AB53" s="16"/>
      <c r="AC53" s="16"/>
      <c r="AD53" s="16"/>
    </row>
    <row r="54" spans="1:30" ht="15.75" customHeight="1" thickTop="1" thickBot="1">
      <c r="A54" s="230" t="s">
        <v>476</v>
      </c>
      <c r="B54" s="230" t="s">
        <v>477</v>
      </c>
      <c r="C54" s="230" t="s">
        <v>478</v>
      </c>
      <c r="D54" s="230" t="s">
        <v>479</v>
      </c>
      <c r="E54" s="230" t="s">
        <v>480</v>
      </c>
      <c r="F54" s="230" t="s">
        <v>481</v>
      </c>
      <c r="G54" s="230" t="s">
        <v>482</v>
      </c>
      <c r="H54" s="230" t="s">
        <v>453</v>
      </c>
      <c r="I54" s="230" t="s">
        <v>483</v>
      </c>
      <c r="J54" s="230" t="s">
        <v>484</v>
      </c>
      <c r="K54" s="721" t="s">
        <v>485</v>
      </c>
      <c r="L54" s="716"/>
      <c r="M54" s="722"/>
      <c r="N54" s="15"/>
      <c r="O54" s="16"/>
      <c r="P54" s="16"/>
      <c r="Q54" s="16"/>
      <c r="W54" s="16"/>
      <c r="X54" s="16"/>
      <c r="Y54" s="16"/>
      <c r="Z54" s="16"/>
      <c r="AA54" s="16"/>
      <c r="AB54" s="16"/>
    </row>
    <row r="55" spans="1:30" ht="15" customHeight="1" thickTop="1">
      <c r="A55" s="319"/>
      <c r="B55" s="319"/>
      <c r="C55" s="231"/>
      <c r="D55" s="231"/>
      <c r="E55" s="231"/>
      <c r="F55" s="231"/>
      <c r="G55" s="330"/>
      <c r="H55" s="319"/>
      <c r="I55" s="331"/>
      <c r="J55" s="231"/>
      <c r="K55" s="564"/>
      <c r="L55" s="741"/>
      <c r="M55" s="742"/>
      <c r="N55" s="16"/>
      <c r="O55" s="16"/>
      <c r="P55" s="16"/>
      <c r="Q55" s="16"/>
      <c r="W55" s="16"/>
      <c r="X55" s="16"/>
      <c r="Y55" s="16"/>
      <c r="Z55" s="16"/>
      <c r="AA55" s="16"/>
      <c r="AB55" s="16"/>
    </row>
    <row r="56" spans="1:30" ht="15.75" customHeight="1">
      <c r="A56" s="231"/>
      <c r="B56" s="319"/>
      <c r="C56" s="231"/>
      <c r="D56" s="231"/>
      <c r="E56" s="231"/>
      <c r="F56" s="231"/>
      <c r="G56" s="231"/>
      <c r="H56" s="319"/>
      <c r="I56" s="331"/>
      <c r="J56" s="231"/>
      <c r="K56" s="749"/>
      <c r="L56" s="744"/>
      <c r="M56" s="745"/>
      <c r="N56" s="16"/>
      <c r="O56" s="16"/>
      <c r="P56" s="16"/>
      <c r="Q56" s="16"/>
      <c r="W56" s="16"/>
      <c r="X56" s="16"/>
      <c r="Y56" s="16"/>
      <c r="Z56" s="16"/>
      <c r="AA56" s="16"/>
      <c r="AB56" s="16"/>
    </row>
    <row r="57" spans="1:30" ht="14.25" customHeight="1">
      <c r="A57" s="231"/>
      <c r="B57" s="319"/>
      <c r="C57" s="231"/>
      <c r="D57" s="231"/>
      <c r="E57" s="231"/>
      <c r="F57" s="231"/>
      <c r="G57" s="248"/>
      <c r="H57" s="319"/>
      <c r="I57" s="331"/>
      <c r="J57" s="231"/>
      <c r="K57" s="749"/>
      <c r="L57" s="744"/>
      <c r="M57" s="745"/>
      <c r="N57" s="16"/>
      <c r="O57" s="16"/>
      <c r="P57" s="16"/>
      <c r="Q57" s="16"/>
      <c r="W57" s="16"/>
      <c r="X57" s="16"/>
      <c r="Y57" s="16"/>
      <c r="Z57" s="16"/>
      <c r="AA57" s="16"/>
      <c r="AB57" s="16"/>
    </row>
    <row r="58" spans="1:30" ht="15.75" customHeight="1">
      <c r="A58" s="319"/>
      <c r="B58" s="319"/>
      <c r="C58" s="231"/>
      <c r="D58" s="231"/>
      <c r="E58" s="231"/>
      <c r="F58" s="231"/>
      <c r="G58" s="231"/>
      <c r="H58" s="319"/>
      <c r="I58" s="331"/>
      <c r="J58" s="231"/>
      <c r="K58" s="749"/>
      <c r="L58" s="744"/>
      <c r="M58" s="745"/>
      <c r="N58" s="16"/>
      <c r="O58" s="16"/>
      <c r="P58" s="16"/>
      <c r="Q58" s="16"/>
      <c r="W58" s="16"/>
      <c r="X58" s="16"/>
      <c r="Y58" s="16"/>
      <c r="Z58" s="16"/>
      <c r="AA58" s="16"/>
      <c r="AB58" s="16"/>
    </row>
    <row r="59" spans="1:30" ht="15.75" customHeight="1">
      <c r="A59" s="319"/>
      <c r="B59" s="319"/>
      <c r="C59" s="231"/>
      <c r="D59" s="231"/>
      <c r="E59" s="231"/>
      <c r="F59" s="231"/>
      <c r="G59" s="231"/>
      <c r="H59" s="319"/>
      <c r="I59" s="331"/>
      <c r="J59" s="231"/>
      <c r="K59" s="749"/>
      <c r="L59" s="744"/>
      <c r="M59" s="745"/>
      <c r="N59" s="16"/>
      <c r="O59" s="16"/>
      <c r="P59" s="16"/>
      <c r="Q59" s="16"/>
      <c r="W59" s="16"/>
      <c r="X59" s="16"/>
      <c r="Y59" s="16"/>
      <c r="Z59" s="16"/>
      <c r="AA59" s="16"/>
      <c r="AB59" s="16"/>
    </row>
    <row r="60" spans="1:30" ht="15.75" customHeight="1">
      <c r="A60" s="319"/>
      <c r="B60" s="319"/>
      <c r="C60" s="231"/>
      <c r="D60" s="231"/>
      <c r="E60" s="231"/>
      <c r="F60" s="231"/>
      <c r="G60" s="319"/>
      <c r="H60" s="319"/>
      <c r="I60" s="331"/>
      <c r="J60" s="231"/>
      <c r="K60" s="749"/>
      <c r="L60" s="744"/>
      <c r="M60" s="745"/>
      <c r="N60" s="16"/>
      <c r="O60" s="16"/>
      <c r="P60" s="16"/>
      <c r="Q60" s="16"/>
      <c r="W60" s="16"/>
      <c r="X60" s="16"/>
      <c r="Y60" s="16"/>
      <c r="Z60" s="16"/>
      <c r="AA60" s="16"/>
      <c r="AB60" s="16"/>
    </row>
    <row r="61" spans="1:30" ht="15.75" customHeight="1">
      <c r="A61" s="319"/>
      <c r="B61" s="319"/>
      <c r="C61" s="231"/>
      <c r="D61" s="231"/>
      <c r="E61" s="231"/>
      <c r="F61" s="231"/>
      <c r="G61" s="319"/>
      <c r="H61" s="319"/>
      <c r="I61" s="331"/>
      <c r="J61" s="231"/>
      <c r="K61" s="749"/>
      <c r="L61" s="744"/>
      <c r="M61" s="745"/>
      <c r="N61" s="16"/>
      <c r="O61" s="16"/>
      <c r="P61" s="16"/>
      <c r="Q61" s="16"/>
      <c r="W61" s="16"/>
      <c r="X61" s="16"/>
      <c r="Y61" s="16"/>
      <c r="Z61" s="16"/>
      <c r="AA61" s="16"/>
      <c r="AB61" s="16"/>
    </row>
    <row r="62" spans="1:30" ht="15.75" customHeight="1">
      <c r="A62" s="319"/>
      <c r="B62" s="319"/>
      <c r="C62" s="261"/>
      <c r="D62" s="261"/>
      <c r="E62" s="261"/>
      <c r="F62" s="262"/>
      <c r="G62" s="319"/>
      <c r="H62" s="319"/>
      <c r="I62" s="331"/>
      <c r="J62" s="231"/>
      <c r="K62" s="749"/>
      <c r="L62" s="744"/>
      <c r="M62" s="745"/>
      <c r="N62" s="16"/>
      <c r="O62" s="16"/>
      <c r="P62" s="16"/>
      <c r="Q62" s="16"/>
      <c r="W62" s="16"/>
      <c r="X62" s="16"/>
      <c r="Y62" s="16"/>
      <c r="Z62" s="16"/>
      <c r="AA62" s="16"/>
      <c r="AB62" s="16"/>
    </row>
    <row r="63" spans="1:30" ht="15.75" customHeight="1">
      <c r="A63" s="319"/>
      <c r="B63" s="319"/>
      <c r="C63" s="261"/>
      <c r="D63" s="261"/>
      <c r="E63" s="261"/>
      <c r="F63" s="262"/>
      <c r="G63" s="319"/>
      <c r="H63" s="319"/>
      <c r="I63" s="331"/>
      <c r="J63" s="231"/>
      <c r="K63" s="749"/>
      <c r="L63" s="744"/>
      <c r="M63" s="745"/>
      <c r="N63" s="16"/>
      <c r="O63" s="16"/>
      <c r="P63" s="16"/>
      <c r="Q63" s="16"/>
      <c r="W63" s="16"/>
      <c r="X63" s="16"/>
      <c r="Y63" s="16"/>
      <c r="Z63" s="16"/>
      <c r="AA63" s="16"/>
      <c r="AB63" s="16"/>
    </row>
    <row r="64" spans="1:30" ht="15.75" customHeight="1">
      <c r="A64" s="231"/>
      <c r="B64" s="319"/>
      <c r="C64" s="232"/>
      <c r="D64" s="232"/>
      <c r="E64" s="261"/>
      <c r="F64" s="262"/>
      <c r="G64" s="231"/>
      <c r="H64" s="319"/>
      <c r="I64" s="331"/>
      <c r="J64" s="231"/>
      <c r="K64" s="749"/>
      <c r="L64" s="744"/>
      <c r="M64" s="745"/>
      <c r="N64" s="16"/>
      <c r="O64" s="16"/>
      <c r="P64" s="16"/>
      <c r="Q64" s="16"/>
      <c r="W64" s="16"/>
      <c r="X64" s="16"/>
      <c r="Y64" s="16"/>
      <c r="Z64" s="16"/>
      <c r="AA64" s="16"/>
      <c r="AB64" s="16"/>
    </row>
    <row r="65" spans="1:30" ht="15.75" customHeight="1">
      <c r="A65" s="231"/>
      <c r="B65" s="319"/>
      <c r="C65" s="232"/>
      <c r="D65" s="232"/>
      <c r="E65" s="261"/>
      <c r="F65" s="262"/>
      <c r="G65" s="231"/>
      <c r="H65" s="319"/>
      <c r="I65" s="331"/>
      <c r="J65" s="231"/>
      <c r="K65" s="749"/>
      <c r="L65" s="744"/>
      <c r="M65" s="745"/>
      <c r="N65" s="16"/>
      <c r="O65" s="16"/>
      <c r="P65" s="16"/>
      <c r="Q65" s="16"/>
      <c r="W65" s="16"/>
      <c r="X65" s="16"/>
      <c r="Y65" s="16"/>
      <c r="Z65" s="16"/>
      <c r="AA65" s="16"/>
      <c r="AB65" s="16"/>
    </row>
    <row r="66" spans="1:30" ht="15.75" customHeight="1">
      <c r="A66" s="231"/>
      <c r="B66" s="319"/>
      <c r="C66" s="232"/>
      <c r="D66" s="232"/>
      <c r="E66" s="261"/>
      <c r="F66" s="262"/>
      <c r="G66" s="231"/>
      <c r="H66" s="319"/>
      <c r="I66" s="331"/>
      <c r="J66" s="231"/>
      <c r="K66" s="749"/>
      <c r="L66" s="744"/>
      <c r="M66" s="745"/>
      <c r="N66" s="16"/>
      <c r="O66" s="16"/>
      <c r="P66" s="16"/>
      <c r="Q66" s="16"/>
      <c r="W66" s="16"/>
      <c r="X66" s="16"/>
      <c r="Y66" s="16"/>
      <c r="Z66" s="16"/>
      <c r="AA66" s="16"/>
      <c r="AB66" s="16"/>
    </row>
    <row r="67" spans="1:30" ht="15.75" customHeight="1" thickBot="1">
      <c r="A67" s="231"/>
      <c r="B67" s="319"/>
      <c r="C67" s="245"/>
      <c r="D67" s="232"/>
      <c r="E67" s="261"/>
      <c r="F67" s="262"/>
      <c r="G67" s="263"/>
      <c r="H67" s="263"/>
      <c r="I67" s="264"/>
      <c r="J67" s="231"/>
      <c r="K67" s="746"/>
      <c r="L67" s="747"/>
      <c r="M67" s="748"/>
      <c r="N67" s="16"/>
      <c r="O67" s="16"/>
      <c r="P67" s="16"/>
      <c r="Q67" s="16"/>
      <c r="W67" s="16"/>
      <c r="X67" s="16"/>
      <c r="Y67" s="16"/>
      <c r="Z67" s="16"/>
      <c r="AA67" s="16"/>
      <c r="AB67" s="16"/>
    </row>
    <row r="68" spans="1:30" ht="15.75" customHeight="1" thickTop="1">
      <c r="A68" s="16"/>
      <c r="B68" s="16"/>
      <c r="C68" s="16"/>
      <c r="D68" s="16"/>
      <c r="E68" s="16"/>
      <c r="F68" s="16"/>
      <c r="G68" s="16"/>
      <c r="H68" s="16"/>
      <c r="I68" s="16"/>
      <c r="J68" s="16"/>
      <c r="K68" s="16"/>
      <c r="L68" s="16"/>
      <c r="M68" s="16"/>
      <c r="N68" s="16"/>
      <c r="O68" s="16"/>
      <c r="P68" s="16"/>
      <c r="Q68" s="16"/>
      <c r="W68" s="16"/>
      <c r="X68" s="16"/>
      <c r="Y68" s="16"/>
      <c r="Z68" s="16"/>
      <c r="AA68" s="16"/>
      <c r="AB68" s="16"/>
      <c r="AC68" s="16"/>
      <c r="AD68" s="16"/>
    </row>
    <row r="69" spans="1:30" ht="15.75" customHeight="1" thickBot="1">
      <c r="A69" s="186" t="s">
        <v>499</v>
      </c>
      <c r="B69" s="231"/>
      <c r="C69" s="231"/>
      <c r="D69" s="231"/>
      <c r="E69" s="231"/>
      <c r="F69" s="231"/>
      <c r="G69" s="231"/>
      <c r="H69" s="231"/>
      <c r="I69" s="231"/>
      <c r="J69" s="231"/>
      <c r="K69" s="123"/>
      <c r="L69" s="123"/>
      <c r="M69" s="16"/>
      <c r="N69" s="16"/>
      <c r="O69" s="16"/>
      <c r="P69" s="16"/>
      <c r="Q69" s="16"/>
      <c r="W69" s="16"/>
      <c r="X69" s="16"/>
      <c r="Y69" s="16"/>
      <c r="Z69" s="16"/>
      <c r="AA69" s="16"/>
      <c r="AB69" s="16"/>
      <c r="AC69" s="16"/>
      <c r="AD69" s="16"/>
    </row>
    <row r="70" spans="1:30" ht="15.75" customHeight="1" thickTop="1" thickBot="1">
      <c r="A70" s="230" t="s">
        <v>476</v>
      </c>
      <c r="B70" s="230" t="s">
        <v>500</v>
      </c>
      <c r="C70" s="230" t="s">
        <v>501</v>
      </c>
      <c r="D70" s="230" t="s">
        <v>502</v>
      </c>
      <c r="E70" s="230" t="s">
        <v>503</v>
      </c>
      <c r="F70" s="230" t="s">
        <v>504</v>
      </c>
      <c r="G70" s="230" t="s">
        <v>505</v>
      </c>
      <c r="H70" s="230" t="s">
        <v>506</v>
      </c>
      <c r="I70" s="230" t="s">
        <v>507</v>
      </c>
      <c r="J70" s="230" t="s">
        <v>508</v>
      </c>
      <c r="K70" s="561" t="s">
        <v>441</v>
      </c>
      <c r="L70" s="561"/>
      <c r="M70" s="561"/>
      <c r="N70" s="561"/>
      <c r="O70" s="570"/>
      <c r="P70" s="726" t="s">
        <v>434</v>
      </c>
      <c r="Q70" s="727"/>
      <c r="R70" s="16"/>
      <c r="S70" s="16"/>
      <c r="V70" s="16"/>
      <c r="W70" s="16"/>
      <c r="X70" s="16"/>
      <c r="Y70" s="16"/>
      <c r="Z70" s="16"/>
      <c r="AA70" s="16"/>
    </row>
    <row r="71" spans="1:30" ht="15.75" customHeight="1" thickTop="1">
      <c r="A71" s="231">
        <v>1</v>
      </c>
      <c r="B71" s="231" t="s">
        <v>272</v>
      </c>
      <c r="C71" s="232" t="s">
        <v>1073</v>
      </c>
      <c r="D71" s="261">
        <v>1</v>
      </c>
      <c r="E71" s="245">
        <v>42</v>
      </c>
      <c r="F71" s="326">
        <f>Hippocampus!$D71*Hippocampus!$E71</f>
        <v>42</v>
      </c>
      <c r="G71" s="245"/>
      <c r="H71" s="332">
        <v>148</v>
      </c>
      <c r="I71" s="333">
        <f t="shared" ref="I71:I87" si="2">IF($H71="-","-",IF($H71="Specify location tariff","-",$H71*$F71))</f>
        <v>6216</v>
      </c>
      <c r="J71" s="247"/>
      <c r="K71" s="610"/>
      <c r="L71" s="611"/>
      <c r="M71" s="611"/>
      <c r="N71" s="611"/>
      <c r="O71" s="612"/>
      <c r="P71" s="564" t="s">
        <v>511</v>
      </c>
      <c r="Q71" s="565"/>
      <c r="R71" s="16"/>
      <c r="S71" s="16"/>
      <c r="V71" s="16"/>
      <c r="W71" s="16"/>
      <c r="X71" s="16"/>
      <c r="Y71" s="16"/>
      <c r="Z71" s="16"/>
      <c r="AA71" s="16"/>
    </row>
    <row r="72" spans="1:30" ht="15.75" customHeight="1">
      <c r="A72" s="231">
        <v>1</v>
      </c>
      <c r="B72" s="231" t="s">
        <v>272</v>
      </c>
      <c r="C72" s="232" t="s">
        <v>516</v>
      </c>
      <c r="D72" s="261">
        <v>1</v>
      </c>
      <c r="E72" s="245">
        <v>42</v>
      </c>
      <c r="F72" s="326">
        <f>Hippocampus!$D72*Hippocampus!$E72</f>
        <v>42</v>
      </c>
      <c r="G72" s="245"/>
      <c r="H72" s="332">
        <v>148</v>
      </c>
      <c r="I72" s="333">
        <f t="shared" si="2"/>
        <v>6216</v>
      </c>
      <c r="J72" s="247"/>
      <c r="K72" s="613"/>
      <c r="L72" s="562"/>
      <c r="M72" s="562"/>
      <c r="N72" s="562"/>
      <c r="O72" s="614"/>
      <c r="P72" s="566"/>
      <c r="Q72" s="567"/>
      <c r="R72" s="16"/>
      <c r="S72" s="16"/>
      <c r="V72" s="16"/>
      <c r="W72" s="16"/>
      <c r="X72" s="16"/>
      <c r="Y72" s="16"/>
      <c r="Z72" s="16"/>
      <c r="AA72" s="16"/>
    </row>
    <row r="73" spans="1:30" ht="15.75" customHeight="1">
      <c r="A73" s="231">
        <v>2</v>
      </c>
      <c r="B73" s="231" t="s">
        <v>272</v>
      </c>
      <c r="C73" s="232" t="s">
        <v>516</v>
      </c>
      <c r="D73" s="261">
        <v>1</v>
      </c>
      <c r="E73" s="245">
        <v>42</v>
      </c>
      <c r="F73" s="326">
        <f>Hippocampus!$D73*Hippocampus!$E73</f>
        <v>42</v>
      </c>
      <c r="G73" s="245"/>
      <c r="H73" s="332">
        <v>148</v>
      </c>
      <c r="I73" s="333">
        <f t="shared" si="2"/>
        <v>6216</v>
      </c>
      <c r="J73" s="247"/>
      <c r="K73" s="613"/>
      <c r="L73" s="562"/>
      <c r="M73" s="562"/>
      <c r="N73" s="562"/>
      <c r="O73" s="614"/>
      <c r="P73" s="566"/>
      <c r="Q73" s="567"/>
      <c r="R73" s="16"/>
      <c r="S73" s="16"/>
      <c r="V73" s="16"/>
      <c r="W73" s="16"/>
      <c r="X73" s="16"/>
      <c r="Y73" s="16"/>
      <c r="Z73" s="16"/>
      <c r="AA73" s="16"/>
    </row>
    <row r="74" spans="1:30" ht="15.75" customHeight="1">
      <c r="A74" s="231">
        <v>3</v>
      </c>
      <c r="B74" s="231" t="s">
        <v>272</v>
      </c>
      <c r="C74" s="232" t="s">
        <v>516</v>
      </c>
      <c r="D74" s="261">
        <v>1</v>
      </c>
      <c r="E74" s="245">
        <v>42</v>
      </c>
      <c r="F74" s="326">
        <f>Hippocampus!$D74*Hippocampus!$E74</f>
        <v>42</v>
      </c>
      <c r="G74" s="245"/>
      <c r="H74" s="332">
        <v>148</v>
      </c>
      <c r="I74" s="333">
        <f t="shared" si="2"/>
        <v>6216</v>
      </c>
      <c r="J74" s="247"/>
      <c r="K74" s="613"/>
      <c r="L74" s="562"/>
      <c r="M74" s="562"/>
      <c r="N74" s="562"/>
      <c r="O74" s="614"/>
      <c r="P74" s="566"/>
      <c r="Q74" s="567"/>
      <c r="R74" s="16"/>
      <c r="S74" s="16"/>
      <c r="V74" s="16"/>
      <c r="W74" s="16"/>
      <c r="X74" s="16"/>
      <c r="Y74" s="16"/>
      <c r="Z74" s="16"/>
      <c r="AA74" s="16"/>
    </row>
    <row r="75" spans="1:30" ht="15.75" customHeight="1">
      <c r="A75" s="231">
        <v>4</v>
      </c>
      <c r="B75" s="231" t="s">
        <v>272</v>
      </c>
      <c r="C75" s="232" t="s">
        <v>516</v>
      </c>
      <c r="D75" s="261">
        <v>1</v>
      </c>
      <c r="E75" s="245">
        <v>42</v>
      </c>
      <c r="F75" s="326">
        <f>Hippocampus!$D75*Hippocampus!$E75</f>
        <v>42</v>
      </c>
      <c r="G75" s="245"/>
      <c r="H75" s="332">
        <v>148</v>
      </c>
      <c r="I75" s="333">
        <f t="shared" si="2"/>
        <v>6216</v>
      </c>
      <c r="J75" s="247"/>
      <c r="K75" s="613"/>
      <c r="L75" s="562"/>
      <c r="M75" s="562"/>
      <c r="N75" s="562"/>
      <c r="O75" s="614"/>
      <c r="P75" s="566"/>
      <c r="Q75" s="567"/>
      <c r="R75" s="16"/>
      <c r="S75" s="16"/>
      <c r="V75" s="16"/>
      <c r="W75" s="16"/>
      <c r="X75" s="16"/>
      <c r="Y75" s="16"/>
      <c r="Z75" s="16"/>
      <c r="AA75" s="16"/>
    </row>
    <row r="76" spans="1:30" ht="15.75" customHeight="1">
      <c r="A76" s="231">
        <v>5</v>
      </c>
      <c r="B76" s="231" t="s">
        <v>272</v>
      </c>
      <c r="C76" s="232" t="s">
        <v>516</v>
      </c>
      <c r="D76" s="261">
        <v>1</v>
      </c>
      <c r="E76" s="245">
        <v>42</v>
      </c>
      <c r="F76" s="326">
        <f>Hippocampus!$D76*Hippocampus!$E76</f>
        <v>42</v>
      </c>
      <c r="G76" s="245"/>
      <c r="H76" s="332">
        <v>148</v>
      </c>
      <c r="I76" s="333">
        <f t="shared" si="2"/>
        <v>6216</v>
      </c>
      <c r="J76" s="247"/>
      <c r="K76" s="613"/>
      <c r="L76" s="562"/>
      <c r="M76" s="562"/>
      <c r="N76" s="562"/>
      <c r="O76" s="614"/>
      <c r="P76" s="566"/>
      <c r="Q76" s="567"/>
      <c r="R76" s="16"/>
      <c r="S76" s="16"/>
      <c r="V76" s="16"/>
      <c r="W76" s="16"/>
      <c r="X76" s="16"/>
      <c r="Y76" s="16"/>
      <c r="Z76" s="16"/>
      <c r="AA76" s="16"/>
    </row>
    <row r="77" spans="1:30" ht="15.75" customHeight="1">
      <c r="A77" s="231"/>
      <c r="B77" s="231"/>
      <c r="C77" s="232"/>
      <c r="D77" s="261"/>
      <c r="E77" s="245"/>
      <c r="F77" s="326">
        <f>Hippocampus!$D77*Hippocampus!$E77</f>
        <v>0</v>
      </c>
      <c r="G77" s="245"/>
      <c r="H77" s="332" t="str">
        <f>IF($B77= "","-",IF($B77= "External","Specify location tariff", INDEX(Constants!$3:$3,MATCH($B77,Constants!$2:$2,0))))</f>
        <v>-</v>
      </c>
      <c r="I77" s="333" t="str">
        <f t="shared" si="2"/>
        <v>-</v>
      </c>
      <c r="J77" s="247"/>
      <c r="K77" s="613"/>
      <c r="L77" s="562"/>
      <c r="M77" s="562"/>
      <c r="N77" s="562"/>
      <c r="O77" s="614"/>
      <c r="P77" s="566"/>
      <c r="Q77" s="567"/>
      <c r="R77" s="16"/>
      <c r="S77" s="16"/>
      <c r="V77" s="16"/>
      <c r="W77" s="16"/>
      <c r="X77" s="16"/>
      <c r="Y77" s="16"/>
      <c r="Z77" s="16"/>
      <c r="AA77" s="16"/>
    </row>
    <row r="78" spans="1:30" ht="15.75" customHeight="1">
      <c r="A78" s="231"/>
      <c r="B78" s="231"/>
      <c r="C78" s="232"/>
      <c r="D78" s="261"/>
      <c r="E78" s="245"/>
      <c r="F78" s="326">
        <f>Hippocampus!$D78*Hippocampus!$E78</f>
        <v>0</v>
      </c>
      <c r="G78" s="245"/>
      <c r="H78" s="332" t="str">
        <f>IF($B78= "","-",IF($B78= "External","Specify location tariff", INDEX(Constants!$3:$3,MATCH($B78,Constants!$2:$2,0))))</f>
        <v>-</v>
      </c>
      <c r="I78" s="333" t="str">
        <f t="shared" si="2"/>
        <v>-</v>
      </c>
      <c r="J78" s="247"/>
      <c r="K78" s="613"/>
      <c r="L78" s="562"/>
      <c r="M78" s="562"/>
      <c r="N78" s="562"/>
      <c r="O78" s="614"/>
      <c r="P78" s="566"/>
      <c r="Q78" s="567"/>
      <c r="R78" s="16"/>
      <c r="S78" s="16"/>
      <c r="V78" s="16"/>
      <c r="W78" s="16"/>
      <c r="X78" s="16"/>
      <c r="Y78" s="16"/>
      <c r="Z78" s="16"/>
      <c r="AA78" s="16"/>
    </row>
    <row r="79" spans="1:30" ht="15.75" customHeight="1">
      <c r="A79" s="231"/>
      <c r="B79" s="231"/>
      <c r="C79" s="232"/>
      <c r="D79" s="261"/>
      <c r="E79" s="245"/>
      <c r="F79" s="326">
        <f>Hippocampus!$D79*Hippocampus!$E79</f>
        <v>0</v>
      </c>
      <c r="G79" s="245"/>
      <c r="H79" s="332" t="str">
        <f>IF($B79= "","-",IF($B79= "External","Specify location tariff", INDEX(Constants!$3:$3,MATCH($B79,Constants!$2:$2,0))))</f>
        <v>-</v>
      </c>
      <c r="I79" s="333" t="str">
        <f t="shared" si="2"/>
        <v>-</v>
      </c>
      <c r="J79" s="247"/>
      <c r="K79" s="613"/>
      <c r="L79" s="562"/>
      <c r="M79" s="562"/>
      <c r="N79" s="562"/>
      <c r="O79" s="614"/>
      <c r="P79" s="566"/>
      <c r="Q79" s="567"/>
      <c r="R79" s="16"/>
      <c r="S79" s="16"/>
      <c r="V79" s="16"/>
      <c r="W79" s="16"/>
      <c r="X79" s="16"/>
      <c r="Y79" s="16"/>
      <c r="Z79" s="16"/>
      <c r="AA79" s="16"/>
    </row>
    <row r="80" spans="1:30" ht="15.75" customHeight="1">
      <c r="A80" s="231"/>
      <c r="B80" s="231"/>
      <c r="C80" s="232"/>
      <c r="D80" s="261"/>
      <c r="E80" s="245"/>
      <c r="F80" s="326">
        <f>Hippocampus!$D80*Hippocampus!$E80</f>
        <v>0</v>
      </c>
      <c r="G80" s="245"/>
      <c r="H80" s="332" t="str">
        <f>IF($B80= "","-",IF($B80= "External","Specify location tariff", INDEX(Constants!$3:$3,MATCH($B80,Constants!$2:$2,0))))</f>
        <v>-</v>
      </c>
      <c r="I80" s="333" t="str">
        <f t="shared" si="2"/>
        <v>-</v>
      </c>
      <c r="J80" s="247"/>
      <c r="K80" s="613"/>
      <c r="L80" s="562"/>
      <c r="M80" s="562"/>
      <c r="N80" s="562"/>
      <c r="O80" s="614"/>
      <c r="P80" s="566"/>
      <c r="Q80" s="567"/>
      <c r="R80" s="16"/>
      <c r="S80" s="16"/>
      <c r="V80" s="16"/>
      <c r="W80" s="16"/>
      <c r="X80" s="16"/>
      <c r="Y80" s="16"/>
      <c r="Z80" s="16"/>
      <c r="AA80" s="16"/>
    </row>
    <row r="81" spans="1:30" ht="15.75" customHeight="1">
      <c r="A81" s="231"/>
      <c r="B81" s="231"/>
      <c r="C81" s="232"/>
      <c r="D81" s="261"/>
      <c r="E81" s="245"/>
      <c r="F81" s="326">
        <f>Hippocampus!$D81*Hippocampus!$E81</f>
        <v>0</v>
      </c>
      <c r="G81" s="245"/>
      <c r="H81" s="332" t="str">
        <f>IF($B81= "","-",IF($B81= "External","Specify location tariff", INDEX(Constants!$3:$3,MATCH($B81,Constants!$2:$2,0))))</f>
        <v>-</v>
      </c>
      <c r="I81" s="333" t="str">
        <f t="shared" si="2"/>
        <v>-</v>
      </c>
      <c r="J81" s="247"/>
      <c r="K81" s="613"/>
      <c r="L81" s="562"/>
      <c r="M81" s="562"/>
      <c r="N81" s="562"/>
      <c r="O81" s="614"/>
      <c r="P81" s="566"/>
      <c r="Q81" s="567"/>
      <c r="R81" s="16"/>
      <c r="S81" s="16"/>
      <c r="V81" s="16"/>
      <c r="W81" s="16"/>
      <c r="X81" s="16"/>
      <c r="Y81" s="16"/>
      <c r="Z81" s="16"/>
      <c r="AA81" s="16"/>
    </row>
    <row r="82" spans="1:30" ht="15.75" customHeight="1">
      <c r="A82" s="231"/>
      <c r="B82" s="231"/>
      <c r="C82" s="232"/>
      <c r="D82" s="261"/>
      <c r="E82" s="245"/>
      <c r="F82" s="326">
        <f>Hippocampus!$D82*Hippocampus!$E82</f>
        <v>0</v>
      </c>
      <c r="G82" s="245"/>
      <c r="H82" s="332" t="str">
        <f>IF($B82= "","-",IF($B82= "External","Specify location tariff", INDEX(Constants!$3:$3,MATCH($B82,Constants!$2:$2,0))))</f>
        <v>-</v>
      </c>
      <c r="I82" s="333" t="str">
        <f t="shared" si="2"/>
        <v>-</v>
      </c>
      <c r="J82" s="247"/>
      <c r="K82" s="613"/>
      <c r="L82" s="562"/>
      <c r="M82" s="562"/>
      <c r="N82" s="562"/>
      <c r="O82" s="614"/>
      <c r="P82" s="566"/>
      <c r="Q82" s="567"/>
      <c r="R82" s="16"/>
      <c r="S82" s="16"/>
      <c r="V82" s="16"/>
      <c r="W82" s="16"/>
      <c r="X82" s="16"/>
      <c r="Y82" s="16"/>
      <c r="Z82" s="16"/>
      <c r="AA82" s="16"/>
    </row>
    <row r="83" spans="1:30" ht="15.75" customHeight="1">
      <c r="A83" s="231"/>
      <c r="B83" s="231"/>
      <c r="C83" s="232"/>
      <c r="D83" s="261"/>
      <c r="E83" s="245"/>
      <c r="F83" s="326">
        <f>Hippocampus!$D83*Hippocampus!$E83</f>
        <v>0</v>
      </c>
      <c r="G83" s="245"/>
      <c r="H83" s="332" t="str">
        <f>IF($B83= "","-",IF($B83= "External","Specify location tariff", INDEX(Constants!$3:$3,MATCH($B83,Constants!$2:$2,0))))</f>
        <v>-</v>
      </c>
      <c r="I83" s="333" t="str">
        <f t="shared" si="2"/>
        <v>-</v>
      </c>
      <c r="J83" s="247"/>
      <c r="K83" s="613"/>
      <c r="L83" s="562"/>
      <c r="M83" s="562"/>
      <c r="N83" s="562"/>
      <c r="O83" s="614"/>
      <c r="P83" s="566"/>
      <c r="Q83" s="567"/>
      <c r="R83" s="16"/>
      <c r="S83" s="16"/>
      <c r="V83" s="16"/>
      <c r="W83" s="16"/>
      <c r="X83" s="16"/>
      <c r="Y83" s="16"/>
      <c r="Z83" s="16"/>
      <c r="AA83" s="16"/>
    </row>
    <row r="84" spans="1:30" ht="15.75" customHeight="1">
      <c r="A84" s="231"/>
      <c r="B84" s="231"/>
      <c r="C84" s="232"/>
      <c r="D84" s="261"/>
      <c r="E84" s="245"/>
      <c r="F84" s="326">
        <f>Hippocampus!$D84*Hippocampus!$E84</f>
        <v>0</v>
      </c>
      <c r="G84" s="245"/>
      <c r="H84" s="332" t="str">
        <f>IF($B84= "","-",IF($B84= "External","Specify location tariff", INDEX(Constants!$3:$3,MATCH($B84,Constants!$2:$2,0))))</f>
        <v>-</v>
      </c>
      <c r="I84" s="333" t="str">
        <f t="shared" si="2"/>
        <v>-</v>
      </c>
      <c r="J84" s="247"/>
      <c r="K84" s="613"/>
      <c r="L84" s="562"/>
      <c r="M84" s="562"/>
      <c r="N84" s="562"/>
      <c r="O84" s="614"/>
      <c r="P84" s="566"/>
      <c r="Q84" s="567"/>
      <c r="R84" s="16"/>
      <c r="S84" s="16"/>
      <c r="V84" s="16"/>
      <c r="W84" s="16"/>
      <c r="X84" s="16"/>
      <c r="Y84" s="16"/>
      <c r="Z84" s="16"/>
      <c r="AA84" s="16"/>
    </row>
    <row r="85" spans="1:30" ht="15.75" customHeight="1">
      <c r="A85" s="231"/>
      <c r="B85" s="231"/>
      <c r="C85" s="232"/>
      <c r="D85" s="261"/>
      <c r="E85" s="245"/>
      <c r="F85" s="326">
        <f>Hippocampus!$D85*Hippocampus!$E85</f>
        <v>0</v>
      </c>
      <c r="G85" s="245"/>
      <c r="H85" s="332" t="str">
        <f>IF($B85= "","-",IF($B85= "External","Specify location tariff", INDEX(Constants!$3:$3,MATCH($B85,Constants!$2:$2,0))))</f>
        <v>-</v>
      </c>
      <c r="I85" s="333" t="str">
        <f t="shared" si="2"/>
        <v>-</v>
      </c>
      <c r="J85" s="247"/>
      <c r="K85" s="613"/>
      <c r="L85" s="562"/>
      <c r="M85" s="562"/>
      <c r="N85" s="562"/>
      <c r="O85" s="614"/>
      <c r="P85" s="566"/>
      <c r="Q85" s="567"/>
      <c r="R85" s="16"/>
      <c r="S85" s="16"/>
      <c r="V85" s="16"/>
      <c r="W85" s="16"/>
      <c r="X85" s="16"/>
      <c r="Y85" s="16"/>
      <c r="Z85" s="16"/>
      <c r="AA85" s="16"/>
    </row>
    <row r="86" spans="1:30" ht="15.75" customHeight="1">
      <c r="A86" s="231"/>
      <c r="B86" s="231"/>
      <c r="C86" s="232"/>
      <c r="D86" s="261"/>
      <c r="E86" s="245"/>
      <c r="F86" s="326">
        <f>Hippocampus!$D86*Hippocampus!$E86</f>
        <v>0</v>
      </c>
      <c r="G86" s="245"/>
      <c r="H86" s="332" t="str">
        <f>IF($B86= "","-",IF($B86= "External","Specify location tariff", INDEX(Constants!$3:$3,MATCH($B86,Constants!$2:$2,0))))</f>
        <v>-</v>
      </c>
      <c r="I86" s="333" t="str">
        <f t="shared" si="2"/>
        <v>-</v>
      </c>
      <c r="J86" s="247"/>
      <c r="K86" s="613"/>
      <c r="L86" s="562"/>
      <c r="M86" s="562"/>
      <c r="N86" s="562"/>
      <c r="O86" s="614"/>
      <c r="P86" s="566"/>
      <c r="Q86" s="567"/>
      <c r="R86" s="16"/>
      <c r="S86" s="16"/>
      <c r="V86" s="16"/>
      <c r="W86" s="16"/>
      <c r="X86" s="16"/>
      <c r="Y86" s="16"/>
      <c r="Z86" s="16"/>
      <c r="AA86" s="16"/>
    </row>
    <row r="87" spans="1:30" ht="15.75" customHeight="1" thickBot="1">
      <c r="A87" s="231"/>
      <c r="B87" s="231"/>
      <c r="C87" s="232"/>
      <c r="D87" s="261"/>
      <c r="E87" s="245"/>
      <c r="F87" s="326">
        <f>Hippocampus!$D87*Hippocampus!$E87</f>
        <v>0</v>
      </c>
      <c r="G87" s="245"/>
      <c r="H87" s="332" t="str">
        <f>IF($B87= "","-",IF($B87= "External","Specify location tariff", INDEX(Constants!$3:$3,MATCH($B87,Constants!$2:$2,0))))</f>
        <v>-</v>
      </c>
      <c r="I87" s="333" t="str">
        <f t="shared" si="2"/>
        <v>-</v>
      </c>
      <c r="J87" s="247"/>
      <c r="K87" s="615"/>
      <c r="L87" s="616"/>
      <c r="M87" s="616"/>
      <c r="N87" s="616"/>
      <c r="O87" s="617"/>
      <c r="P87" s="568"/>
      <c r="Q87" s="569"/>
      <c r="R87" s="16"/>
      <c r="S87" s="16"/>
      <c r="V87" s="16"/>
      <c r="W87" s="16"/>
      <c r="X87" s="16"/>
      <c r="Y87" s="16"/>
      <c r="Z87" s="16"/>
      <c r="AA87" s="16"/>
    </row>
    <row r="88" spans="1:30" ht="15.75" customHeight="1" thickTop="1">
      <c r="A88" s="15"/>
      <c r="B88" s="16"/>
      <c r="C88" s="16"/>
      <c r="D88" s="16"/>
      <c r="E88" s="16"/>
      <c r="F88" s="16"/>
      <c r="G88" s="16"/>
      <c r="H88" s="16"/>
      <c r="I88" s="16"/>
      <c r="J88" s="16"/>
      <c r="K88" s="16"/>
      <c r="L88" s="16"/>
      <c r="M88" s="16"/>
      <c r="N88" s="16"/>
      <c r="O88" s="16"/>
      <c r="P88" s="16"/>
      <c r="Q88" s="16"/>
      <c r="R88" s="16"/>
      <c r="S88" s="16"/>
      <c r="T88" s="16"/>
      <c r="U88" s="16"/>
      <c r="V88" s="16"/>
      <c r="W88" s="16"/>
      <c r="X88" s="16"/>
      <c r="Y88" s="16"/>
      <c r="Z88" s="16"/>
      <c r="AA88" s="16"/>
      <c r="AB88" s="16"/>
      <c r="AC88" s="16"/>
      <c r="AD88" s="16"/>
    </row>
    <row r="89" spans="1:30" ht="15.75" customHeight="1">
      <c r="A89" s="15"/>
      <c r="B89" s="16"/>
      <c r="C89" s="16"/>
      <c r="D89" s="16"/>
      <c r="E89" s="16"/>
      <c r="F89" s="16"/>
      <c r="G89" s="16"/>
      <c r="H89" s="16"/>
      <c r="I89" s="16"/>
      <c r="J89" s="16"/>
      <c r="K89" s="16"/>
      <c r="L89" s="16"/>
      <c r="M89" s="16"/>
      <c r="N89" s="16"/>
      <c r="O89" s="16"/>
      <c r="P89" s="16"/>
      <c r="Q89" s="16"/>
      <c r="R89" s="16"/>
      <c r="S89" s="16"/>
      <c r="T89" s="16"/>
      <c r="U89" s="16"/>
      <c r="V89" s="16"/>
      <c r="W89" s="16"/>
      <c r="X89" s="16"/>
      <c r="Y89" s="16"/>
      <c r="Z89" s="16"/>
      <c r="AA89" s="16"/>
      <c r="AB89" s="16"/>
      <c r="AC89" s="16"/>
      <c r="AD89" s="16"/>
    </row>
    <row r="90" spans="1:30" ht="15.75" customHeight="1" thickBot="1">
      <c r="A90" s="186" t="s">
        <v>519</v>
      </c>
      <c r="B90" s="16"/>
      <c r="C90" s="128"/>
      <c r="D90" s="51"/>
      <c r="E90" s="51"/>
      <c r="F90" s="51"/>
      <c r="G90" s="51"/>
      <c r="H90" s="51"/>
      <c r="I90" s="51"/>
      <c r="J90" s="51"/>
      <c r="K90" s="51"/>
      <c r="L90" s="232"/>
      <c r="M90" s="231"/>
      <c r="N90" s="16"/>
      <c r="O90" s="16"/>
      <c r="P90" s="16"/>
      <c r="Q90" s="16"/>
      <c r="R90" s="16"/>
      <c r="S90" s="16"/>
      <c r="T90" s="16"/>
      <c r="U90" s="16"/>
      <c r="V90" s="16"/>
      <c r="W90" s="16"/>
      <c r="X90" s="16"/>
      <c r="Y90" s="16"/>
      <c r="Z90" s="16"/>
      <c r="AA90" s="16"/>
      <c r="AB90" s="16"/>
      <c r="AC90" s="16"/>
      <c r="AD90" s="16"/>
    </row>
    <row r="91" spans="1:30" ht="15" customHeight="1" thickTop="1" thickBot="1">
      <c r="A91" s="230" t="s">
        <v>438</v>
      </c>
      <c r="B91" s="230" t="s">
        <v>439</v>
      </c>
      <c r="C91" s="230" t="s">
        <v>520</v>
      </c>
      <c r="D91" s="230" t="s">
        <v>521</v>
      </c>
      <c r="E91" s="230" t="s">
        <v>522</v>
      </c>
      <c r="F91" s="230" t="s">
        <v>523</v>
      </c>
      <c r="G91" s="230" t="s">
        <v>508</v>
      </c>
      <c r="H91" s="721" t="s">
        <v>441</v>
      </c>
      <c r="I91" s="728"/>
      <c r="J91" s="729" t="s">
        <v>434</v>
      </c>
      <c r="K91" s="730"/>
      <c r="L91" s="16"/>
      <c r="M91" s="16"/>
      <c r="N91" s="16"/>
      <c r="O91" s="16"/>
      <c r="P91" s="117"/>
      <c r="Q91" s="15"/>
      <c r="R91" s="16"/>
      <c r="S91" s="130"/>
      <c r="T91" s="16"/>
      <c r="U91" s="16"/>
      <c r="V91" s="16"/>
      <c r="W91" s="241"/>
      <c r="X91" s="16"/>
      <c r="Y91" s="16"/>
      <c r="Z91" s="16"/>
      <c r="AA91" s="16"/>
      <c r="AB91" s="16"/>
    </row>
    <row r="92" spans="1:30" ht="14.25" customHeight="1" thickTop="1">
      <c r="A92" s="231"/>
      <c r="B92" s="248"/>
      <c r="C92" s="246">
        <v>0</v>
      </c>
      <c r="D92" s="247"/>
      <c r="E92" s="245"/>
      <c r="F92" s="246">
        <f>IF(Table_6170132[[#This Row],[Item]]="",0,Table_6170132[[#This Row],[Amount]]*Table_6170132[[#This Row],[Purchase / Running costs]]/Table_6170132[[#This Row],[Depreciation period]])</f>
        <v>0</v>
      </c>
      <c r="G92" s="247"/>
      <c r="H92" s="653"/>
      <c r="I92" s="750"/>
      <c r="J92" s="628" t="s">
        <v>526</v>
      </c>
      <c r="K92" s="730"/>
      <c r="L92" s="16"/>
      <c r="M92" s="16"/>
      <c r="N92" s="16"/>
      <c r="O92" s="16"/>
      <c r="P92" s="16"/>
      <c r="Q92" s="133"/>
      <c r="R92" s="16"/>
      <c r="S92" s="16"/>
      <c r="T92" s="16"/>
      <c r="U92" s="16"/>
      <c r="V92" s="16"/>
      <c r="W92" s="16"/>
      <c r="X92" s="16"/>
      <c r="Y92" s="16"/>
      <c r="Z92" s="16"/>
      <c r="AA92" s="16"/>
      <c r="AB92" s="16"/>
    </row>
    <row r="93" spans="1:30" ht="15.75" customHeight="1">
      <c r="A93" s="231"/>
      <c r="B93" s="248"/>
      <c r="C93" s="246">
        <v>0</v>
      </c>
      <c r="D93" s="247"/>
      <c r="E93" s="245"/>
      <c r="F93" s="246">
        <f>IF(Table_6170132[[#This Row],[Item]]="",0,Table_6170132[[#This Row],[Amount]]*Table_6170132[[#This Row],[Purchase / Running costs]]/Table_6170132[[#This Row],[Depreciation period]])</f>
        <v>0</v>
      </c>
      <c r="G93" s="247"/>
      <c r="H93" s="744"/>
      <c r="I93" s="751"/>
      <c r="J93" s="702"/>
      <c r="K93" s="732"/>
      <c r="L93" s="16"/>
      <c r="M93" s="16"/>
      <c r="N93" s="16"/>
      <c r="O93" s="16"/>
      <c r="P93" s="16"/>
      <c r="Q93" s="16"/>
      <c r="R93" s="16"/>
      <c r="S93" s="16"/>
      <c r="T93" s="16"/>
      <c r="U93" s="16"/>
      <c r="V93" s="16"/>
      <c r="W93" s="16"/>
      <c r="X93" s="16"/>
      <c r="Y93" s="16"/>
      <c r="Z93" s="16"/>
      <c r="AA93" s="16"/>
      <c r="AB93" s="16"/>
    </row>
    <row r="94" spans="1:30" ht="15.75" customHeight="1">
      <c r="A94" s="231"/>
      <c r="B94" s="248"/>
      <c r="C94" s="246">
        <v>0</v>
      </c>
      <c r="D94" s="247"/>
      <c r="E94" s="245"/>
      <c r="F94" s="246">
        <f>IF(Table_6170132[[#This Row],[Item]]="",0,Table_6170132[[#This Row],[Amount]]*Table_6170132[[#This Row],[Purchase / Running costs]]/Table_6170132[[#This Row],[Depreciation period]])</f>
        <v>0</v>
      </c>
      <c r="G94" s="247"/>
      <c r="H94" s="744"/>
      <c r="I94" s="751"/>
      <c r="J94" s="702"/>
      <c r="K94" s="732"/>
      <c r="L94" s="16"/>
      <c r="M94" s="16"/>
      <c r="N94" s="16"/>
      <c r="O94" s="16"/>
      <c r="P94" s="16"/>
      <c r="Q94" s="16"/>
      <c r="R94" s="16"/>
      <c r="S94" s="16"/>
      <c r="T94" s="16"/>
      <c r="U94" s="16"/>
      <c r="V94" s="16"/>
      <c r="W94" s="16"/>
      <c r="X94" s="16"/>
      <c r="Y94" s="16"/>
      <c r="Z94" s="16"/>
      <c r="AA94" s="16"/>
      <c r="AB94" s="16"/>
    </row>
    <row r="95" spans="1:30" ht="15.75" customHeight="1">
      <c r="A95" s="231"/>
      <c r="B95" s="248"/>
      <c r="C95" s="246">
        <v>0</v>
      </c>
      <c r="D95" s="247"/>
      <c r="E95" s="245"/>
      <c r="F95" s="246">
        <f>IF(Table_6170132[[#This Row],[Item]]="",0,Table_6170132[[#This Row],[Amount]]*Table_6170132[[#This Row],[Purchase / Running costs]]/Table_6170132[[#This Row],[Depreciation period]])</f>
        <v>0</v>
      </c>
      <c r="G95" s="247"/>
      <c r="H95" s="744"/>
      <c r="I95" s="751"/>
      <c r="J95" s="702"/>
      <c r="K95" s="732"/>
      <c r="L95" s="16"/>
      <c r="M95" s="16"/>
      <c r="N95" s="16"/>
      <c r="O95" s="16"/>
      <c r="P95" s="16"/>
      <c r="Q95" s="16"/>
      <c r="R95" s="16"/>
      <c r="S95" s="16"/>
      <c r="T95" s="16"/>
      <c r="U95" s="16"/>
      <c r="V95" s="16"/>
      <c r="W95" s="16"/>
      <c r="X95" s="16"/>
      <c r="Y95" s="16"/>
      <c r="Z95" s="16"/>
      <c r="AA95" s="16"/>
      <c r="AB95" s="16"/>
    </row>
    <row r="96" spans="1:30" ht="15.75" customHeight="1">
      <c r="A96" s="231"/>
      <c r="B96" s="248"/>
      <c r="C96" s="246">
        <v>0</v>
      </c>
      <c r="D96" s="247"/>
      <c r="E96" s="245"/>
      <c r="F96" s="246">
        <f>IF(Table_6170132[[#This Row],[Item]]="",0,Table_6170132[[#This Row],[Amount]]*Table_6170132[[#This Row],[Purchase / Running costs]]/Table_6170132[[#This Row],[Depreciation period]])</f>
        <v>0</v>
      </c>
      <c r="G96" s="247"/>
      <c r="H96" s="744"/>
      <c r="I96" s="751"/>
      <c r="J96" s="702"/>
      <c r="K96" s="732"/>
      <c r="L96" s="16"/>
      <c r="M96" s="16"/>
      <c r="N96" s="16"/>
      <c r="O96" s="16"/>
      <c r="P96" s="16"/>
      <c r="Q96" s="16"/>
      <c r="R96" s="16"/>
      <c r="S96" s="16"/>
      <c r="T96" s="16"/>
      <c r="U96" s="16"/>
      <c r="V96" s="16"/>
      <c r="W96" s="16"/>
      <c r="X96" s="16"/>
      <c r="Y96" s="16"/>
      <c r="Z96" s="16"/>
      <c r="AA96" s="16"/>
      <c r="AB96" s="16"/>
    </row>
    <row r="97" spans="1:30" ht="15.75" customHeight="1">
      <c r="A97" s="231"/>
      <c r="B97" s="248"/>
      <c r="C97" s="246">
        <v>0</v>
      </c>
      <c r="D97" s="247"/>
      <c r="E97" s="245"/>
      <c r="F97" s="246">
        <f>IF(Table_6170132[[#This Row],[Item]]="",0,Table_6170132[[#This Row],[Amount]]*Table_6170132[[#This Row],[Purchase / Running costs]]/Table_6170132[[#This Row],[Depreciation period]])</f>
        <v>0</v>
      </c>
      <c r="G97" s="247"/>
      <c r="H97" s="744"/>
      <c r="I97" s="751"/>
      <c r="J97" s="702"/>
      <c r="K97" s="732"/>
      <c r="L97" s="16"/>
      <c r="M97" s="16"/>
      <c r="N97" s="16"/>
      <c r="O97" s="16"/>
      <c r="P97" s="16"/>
      <c r="Q97" s="16"/>
      <c r="R97" s="16"/>
      <c r="S97" s="16"/>
      <c r="T97" s="16"/>
      <c r="U97" s="16"/>
      <c r="V97" s="16"/>
      <c r="W97" s="16"/>
      <c r="X97" s="16"/>
      <c r="Y97" s="16"/>
      <c r="Z97" s="16"/>
      <c r="AA97" s="16"/>
      <c r="AB97" s="16"/>
    </row>
    <row r="98" spans="1:30" ht="15.75" customHeight="1">
      <c r="A98" s="231"/>
      <c r="B98" s="244"/>
      <c r="C98" s="246">
        <v>0</v>
      </c>
      <c r="D98" s="247"/>
      <c r="E98" s="245"/>
      <c r="F98" s="246">
        <f>IF(Table_6170132[[#This Row],[Item]]="",0,Table_6170132[[#This Row],[Amount]]*Table_6170132[[#This Row],[Purchase / Running costs]]/Table_6170132[[#This Row],[Depreciation period]])</f>
        <v>0</v>
      </c>
      <c r="G98" s="247"/>
      <c r="H98" s="744"/>
      <c r="I98" s="751"/>
      <c r="J98" s="702"/>
      <c r="K98" s="732"/>
      <c r="L98" s="16"/>
      <c r="M98" s="16"/>
      <c r="N98" s="16"/>
      <c r="O98" s="16"/>
      <c r="P98" s="16"/>
      <c r="Q98" s="16"/>
      <c r="R98" s="16"/>
      <c r="S98" s="16"/>
      <c r="T98" s="16"/>
      <c r="U98" s="16"/>
      <c r="V98" s="16"/>
      <c r="W98" s="16"/>
      <c r="X98" s="16"/>
      <c r="Y98" s="16"/>
      <c r="Z98" s="16"/>
      <c r="AA98" s="16"/>
      <c r="AB98" s="16"/>
    </row>
    <row r="99" spans="1:30" ht="15.75" customHeight="1">
      <c r="A99" s="231"/>
      <c r="B99" s="244"/>
      <c r="C99" s="246">
        <v>0</v>
      </c>
      <c r="D99" s="247"/>
      <c r="E99" s="245"/>
      <c r="F99" s="246">
        <f>IF(Table_6170132[[#This Row],[Item]]="",0,Table_6170132[[#This Row],[Amount]]*Table_6170132[[#This Row],[Purchase / Running costs]]/Table_6170132[[#This Row],[Depreciation period]])</f>
        <v>0</v>
      </c>
      <c r="G99" s="247"/>
      <c r="H99" s="744"/>
      <c r="I99" s="751"/>
      <c r="J99" s="702"/>
      <c r="K99" s="732"/>
      <c r="L99" s="16"/>
      <c r="M99" s="16"/>
      <c r="N99" s="16"/>
      <c r="O99" s="16"/>
      <c r="P99" s="16"/>
      <c r="Q99" s="16"/>
      <c r="R99" s="16"/>
      <c r="S99" s="16"/>
      <c r="T99" s="16"/>
      <c r="U99" s="16"/>
      <c r="V99" s="16"/>
      <c r="W99" s="16"/>
      <c r="X99" s="16"/>
      <c r="Y99" s="16"/>
      <c r="Z99" s="16"/>
      <c r="AA99" s="16"/>
      <c r="AB99" s="16"/>
    </row>
    <row r="100" spans="1:30" ht="15.75" customHeight="1">
      <c r="A100" s="231"/>
      <c r="B100" s="244"/>
      <c r="C100" s="246">
        <v>0</v>
      </c>
      <c r="D100" s="247"/>
      <c r="E100" s="245"/>
      <c r="F100" s="246">
        <f>IF(Table_6170132[[#This Row],[Item]]="",0,Table_6170132[[#This Row],[Amount]]*Table_6170132[[#This Row],[Purchase / Running costs]]/Table_6170132[[#This Row],[Depreciation period]])</f>
        <v>0</v>
      </c>
      <c r="G100" s="247"/>
      <c r="H100" s="744"/>
      <c r="I100" s="751"/>
      <c r="J100" s="702"/>
      <c r="K100" s="732"/>
      <c r="L100" s="16"/>
      <c r="M100" s="16"/>
      <c r="N100" s="16"/>
      <c r="O100" s="16"/>
      <c r="P100" s="16"/>
      <c r="Q100" s="16"/>
      <c r="R100" s="16"/>
      <c r="S100" s="16"/>
      <c r="T100" s="16"/>
      <c r="U100" s="16"/>
      <c r="V100" s="16"/>
      <c r="W100" s="16"/>
      <c r="X100" s="16"/>
      <c r="Y100" s="16"/>
      <c r="Z100" s="16"/>
      <c r="AA100" s="16"/>
      <c r="AB100" s="16"/>
    </row>
    <row r="101" spans="1:30" ht="15.75" customHeight="1">
      <c r="A101" s="231"/>
      <c r="B101" s="244"/>
      <c r="C101" s="246">
        <v>0</v>
      </c>
      <c r="D101" s="247"/>
      <c r="E101" s="245"/>
      <c r="F101" s="246">
        <f>IF(Table_6170132[[#This Row],[Item]]="",0,Table_6170132[[#This Row],[Amount]]*Table_6170132[[#This Row],[Purchase / Running costs]]/Table_6170132[[#This Row],[Depreciation period]])</f>
        <v>0</v>
      </c>
      <c r="G101" s="247"/>
      <c r="H101" s="744"/>
      <c r="I101" s="751"/>
      <c r="J101" s="702"/>
      <c r="K101" s="732"/>
      <c r="L101" s="16"/>
      <c r="M101" s="16"/>
      <c r="N101" s="16"/>
      <c r="O101" s="16"/>
      <c r="P101" s="16"/>
      <c r="Q101" s="16"/>
      <c r="R101" s="16"/>
      <c r="S101" s="16"/>
      <c r="T101" s="16"/>
      <c r="U101" s="16"/>
      <c r="V101" s="16"/>
      <c r="W101" s="16"/>
      <c r="X101" s="16"/>
      <c r="Y101" s="16"/>
      <c r="Z101" s="16"/>
      <c r="AA101" s="16"/>
      <c r="AB101" s="16"/>
    </row>
    <row r="102" spans="1:30" ht="15.75" customHeight="1">
      <c r="A102" s="231"/>
      <c r="B102" s="244"/>
      <c r="C102" s="246">
        <v>0</v>
      </c>
      <c r="D102" s="247"/>
      <c r="E102" s="245"/>
      <c r="F102" s="246">
        <f>IF(Table_6170132[[#This Row],[Item]]="",0,Table_6170132[[#This Row],[Amount]]*Table_6170132[[#This Row],[Purchase / Running costs]]/Table_6170132[[#This Row],[Depreciation period]])</f>
        <v>0</v>
      </c>
      <c r="G102" s="247"/>
      <c r="H102" s="744"/>
      <c r="I102" s="751"/>
      <c r="J102" s="702"/>
      <c r="K102" s="732"/>
      <c r="L102" s="16"/>
      <c r="M102" s="16"/>
      <c r="N102" s="16"/>
      <c r="O102" s="16"/>
      <c r="P102" s="16"/>
      <c r="Q102" s="16"/>
      <c r="R102" s="16"/>
      <c r="S102" s="16"/>
      <c r="T102" s="16"/>
      <c r="U102" s="16"/>
      <c r="V102" s="16"/>
      <c r="W102" s="16"/>
      <c r="X102" s="16"/>
      <c r="Y102" s="16"/>
      <c r="Z102" s="16"/>
      <c r="AA102" s="16"/>
      <c r="AB102" s="16"/>
    </row>
    <row r="103" spans="1:30" ht="15.75" customHeight="1">
      <c r="A103" s="231"/>
      <c r="B103" s="244"/>
      <c r="C103" s="246">
        <v>0</v>
      </c>
      <c r="D103" s="247"/>
      <c r="E103" s="245"/>
      <c r="F103" s="246">
        <f>IF(Table_6170132[[#This Row],[Item]]="",0,Table_6170132[[#This Row],[Amount]]*Table_6170132[[#This Row],[Purchase / Running costs]]/Table_6170132[[#This Row],[Depreciation period]])</f>
        <v>0</v>
      </c>
      <c r="G103" s="247"/>
      <c r="H103" s="744"/>
      <c r="I103" s="751"/>
      <c r="J103" s="702"/>
      <c r="K103" s="732"/>
      <c r="L103" s="16"/>
      <c r="M103" s="16"/>
      <c r="N103" s="16"/>
      <c r="O103" s="16"/>
      <c r="P103" s="16"/>
      <c r="Q103" s="16"/>
      <c r="R103" s="16"/>
      <c r="S103" s="16"/>
      <c r="T103" s="16"/>
      <c r="U103" s="16"/>
      <c r="V103" s="16"/>
      <c r="W103" s="16"/>
      <c r="X103" s="16"/>
      <c r="Y103" s="16"/>
      <c r="Z103" s="16"/>
      <c r="AA103" s="16"/>
      <c r="AB103" s="16"/>
    </row>
    <row r="104" spans="1:30" ht="15.75" customHeight="1">
      <c r="A104" s="231"/>
      <c r="B104" s="244"/>
      <c r="C104" s="246">
        <v>0</v>
      </c>
      <c r="D104" s="247"/>
      <c r="E104" s="245"/>
      <c r="F104" s="246">
        <f>IF(Table_6170132[[#This Row],[Item]]="",0,Table_6170132[[#This Row],[Amount]]*Table_6170132[[#This Row],[Purchase / Running costs]]/Table_6170132[[#This Row],[Depreciation period]])</f>
        <v>0</v>
      </c>
      <c r="G104" s="247"/>
      <c r="H104" s="744"/>
      <c r="I104" s="751"/>
      <c r="J104" s="702"/>
      <c r="K104" s="732"/>
      <c r="L104" s="16"/>
      <c r="M104" s="16"/>
      <c r="N104" s="16"/>
      <c r="O104" s="16"/>
      <c r="P104" s="16"/>
      <c r="Q104" s="16"/>
      <c r="R104" s="16"/>
      <c r="S104" s="16"/>
      <c r="T104" s="16"/>
      <c r="U104" s="16"/>
      <c r="V104" s="16"/>
      <c r="W104" s="16"/>
      <c r="X104" s="16"/>
      <c r="Y104" s="16"/>
      <c r="Z104" s="16"/>
      <c r="AA104" s="16"/>
      <c r="AB104" s="16"/>
    </row>
    <row r="105" spans="1:30" ht="15.75" customHeight="1" thickBot="1">
      <c r="A105" s="231"/>
      <c r="B105" s="244"/>
      <c r="C105" s="246">
        <v>0</v>
      </c>
      <c r="D105" s="247"/>
      <c r="E105" s="245"/>
      <c r="F105" s="246">
        <f>IF(Table_6170132[[#This Row],[Item]]="",0,Table_6170132[[#This Row],[Amount]]*Table_6170132[[#This Row],[Purchase / Running costs]]/Table_6170132[[#This Row],[Depreciation period]])</f>
        <v>0</v>
      </c>
      <c r="G105" s="247"/>
      <c r="H105" s="747"/>
      <c r="I105" s="748"/>
      <c r="J105" s="752"/>
      <c r="K105" s="734"/>
      <c r="L105" s="16"/>
      <c r="M105" s="16"/>
      <c r="N105" s="16"/>
      <c r="O105" s="16"/>
      <c r="P105" s="16"/>
      <c r="Q105" s="16"/>
      <c r="R105" s="16"/>
      <c r="S105" s="16"/>
      <c r="T105" s="16"/>
      <c r="U105" s="16"/>
      <c r="V105" s="16"/>
      <c r="W105" s="16"/>
      <c r="X105" s="16"/>
      <c r="Y105" s="16"/>
      <c r="Z105" s="16"/>
      <c r="AA105" s="16"/>
      <c r="AB105" s="16"/>
    </row>
    <row r="106" spans="1:30" ht="15.75" customHeight="1" thickTop="1">
      <c r="A106" s="15"/>
      <c r="B106" s="131"/>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c r="AD106" s="16"/>
    </row>
    <row r="107" spans="1:30" ht="15.75" customHeight="1">
      <c r="A107" s="15"/>
      <c r="B107" s="131"/>
      <c r="C107" s="16"/>
      <c r="D107" s="16"/>
      <c r="E107" s="16"/>
      <c r="F107" s="16"/>
      <c r="G107" s="16"/>
      <c r="I107" s="16"/>
      <c r="J107" s="16"/>
      <c r="K107" s="16"/>
      <c r="L107" s="16"/>
      <c r="M107" s="16"/>
      <c r="N107" s="16"/>
      <c r="O107" s="16"/>
      <c r="P107" s="16"/>
      <c r="Q107" s="16"/>
      <c r="R107" s="16"/>
      <c r="S107" s="16"/>
      <c r="T107" s="16"/>
      <c r="U107" s="16"/>
      <c r="V107" s="16"/>
      <c r="W107" s="16"/>
      <c r="X107" s="16"/>
      <c r="Y107" s="16"/>
      <c r="Z107" s="16"/>
      <c r="AA107" s="16"/>
      <c r="AB107" s="16"/>
      <c r="AC107" s="16"/>
      <c r="AD107" s="16"/>
    </row>
    <row r="108" spans="1:30" ht="15.75" customHeight="1">
      <c r="H108" s="51"/>
      <c r="I108" s="51"/>
      <c r="J108" s="51"/>
      <c r="K108" s="51"/>
      <c r="L108" s="16"/>
      <c r="M108" s="16"/>
      <c r="N108" s="16"/>
      <c r="O108" s="16"/>
      <c r="P108" s="16"/>
      <c r="Q108" s="16"/>
      <c r="R108" s="16"/>
      <c r="S108" s="16"/>
      <c r="T108" s="16"/>
      <c r="U108" s="16"/>
      <c r="V108" s="16"/>
      <c r="W108" s="16"/>
      <c r="X108" s="16"/>
      <c r="Y108" s="16"/>
      <c r="Z108" s="16"/>
      <c r="AA108" s="16"/>
      <c r="AB108" s="16"/>
      <c r="AC108" s="16"/>
      <c r="AD108" s="16"/>
    </row>
    <row r="109" spans="1:30" ht="15.75" customHeight="1">
      <c r="L109" s="16"/>
      <c r="M109" s="16"/>
      <c r="N109" s="16"/>
      <c r="O109" s="16"/>
      <c r="P109" s="16"/>
      <c r="Q109" s="16"/>
      <c r="R109" s="16"/>
      <c r="S109" s="16"/>
      <c r="T109" s="16"/>
      <c r="U109" s="16"/>
      <c r="V109" s="16"/>
      <c r="W109" s="16"/>
      <c r="X109" s="16"/>
      <c r="Y109" s="16"/>
      <c r="Z109" s="16"/>
      <c r="AA109" s="16"/>
      <c r="AB109" s="16"/>
      <c r="AC109" s="16"/>
      <c r="AD109" s="16"/>
    </row>
    <row r="110" spans="1:30" ht="15.75" customHeight="1">
      <c r="L110" s="16"/>
      <c r="M110" s="16"/>
      <c r="N110" s="16"/>
      <c r="O110" s="16"/>
      <c r="P110" s="16"/>
      <c r="Q110" s="16"/>
      <c r="R110" s="16"/>
      <c r="S110" s="16"/>
      <c r="T110" s="16"/>
      <c r="U110" s="16"/>
      <c r="V110" s="16"/>
      <c r="W110" s="16"/>
      <c r="X110" s="16"/>
      <c r="Y110" s="16"/>
      <c r="Z110" s="16"/>
      <c r="AA110" s="16"/>
      <c r="AB110" s="16"/>
      <c r="AC110" s="16"/>
      <c r="AD110" s="16"/>
    </row>
    <row r="111" spans="1:30" ht="15.75" customHeight="1">
      <c r="L111" s="16"/>
      <c r="M111" s="16"/>
      <c r="N111" s="16"/>
      <c r="O111" s="16"/>
      <c r="P111" s="16"/>
      <c r="Q111" s="16"/>
      <c r="R111" s="16"/>
      <c r="S111" s="16"/>
      <c r="T111" s="16"/>
      <c r="U111" s="16"/>
      <c r="V111" s="16"/>
      <c r="W111" s="16"/>
      <c r="X111" s="16"/>
      <c r="Y111" s="16"/>
      <c r="Z111" s="16"/>
      <c r="AA111" s="16"/>
      <c r="AB111" s="16"/>
      <c r="AC111" s="16"/>
      <c r="AD111" s="16"/>
    </row>
    <row r="112" spans="1:30" ht="15.75" customHeight="1">
      <c r="L112" s="16"/>
      <c r="M112" s="16"/>
      <c r="N112" s="16"/>
      <c r="O112" s="16"/>
      <c r="P112" s="16"/>
      <c r="Q112" s="16"/>
      <c r="R112" s="16"/>
      <c r="S112" s="16"/>
      <c r="T112" s="16"/>
      <c r="U112" s="16"/>
      <c r="V112" s="16"/>
      <c r="W112" s="16"/>
      <c r="X112" s="16"/>
      <c r="Y112" s="16"/>
      <c r="Z112" s="16"/>
      <c r="AA112" s="16"/>
      <c r="AB112" s="16"/>
      <c r="AC112" s="16"/>
      <c r="AD112" s="16"/>
    </row>
    <row r="113" spans="1:30" ht="15.75" customHeight="1">
      <c r="L113" s="16"/>
      <c r="M113" s="16"/>
      <c r="N113" s="16"/>
      <c r="O113" s="16"/>
      <c r="P113" s="16"/>
      <c r="Q113" s="16"/>
      <c r="R113" s="16"/>
      <c r="S113" s="16"/>
      <c r="T113" s="16"/>
      <c r="U113" s="16"/>
      <c r="V113" s="16"/>
      <c r="W113" s="16"/>
      <c r="X113" s="16"/>
      <c r="Y113" s="16"/>
      <c r="Z113" s="16"/>
      <c r="AA113" s="16"/>
      <c r="AB113" s="16"/>
      <c r="AC113" s="16"/>
      <c r="AD113" s="16"/>
    </row>
    <row r="114" spans="1:30" ht="15.75" customHeight="1">
      <c r="L114" s="16"/>
      <c r="M114" s="16"/>
      <c r="N114" s="16"/>
      <c r="O114" s="16"/>
      <c r="P114" s="16"/>
      <c r="Q114" s="16"/>
      <c r="R114" s="16"/>
      <c r="S114" s="16"/>
      <c r="T114" s="16"/>
      <c r="U114" s="16"/>
      <c r="V114" s="16"/>
      <c r="W114" s="16"/>
      <c r="X114" s="16"/>
      <c r="Y114" s="16"/>
      <c r="Z114" s="16"/>
      <c r="AA114" s="16"/>
      <c r="AB114" s="16"/>
      <c r="AC114" s="16"/>
      <c r="AD114" s="16"/>
    </row>
    <row r="115" spans="1:30" ht="15.75" customHeight="1">
      <c r="L115" s="16"/>
      <c r="M115" s="16"/>
      <c r="N115" s="16"/>
      <c r="O115" s="16"/>
      <c r="P115" s="735"/>
      <c r="Q115" s="696"/>
      <c r="R115" s="696"/>
      <c r="S115" s="16"/>
      <c r="T115" s="16"/>
      <c r="U115" s="16"/>
      <c r="V115" s="16"/>
      <c r="W115" s="16"/>
      <c r="X115" s="16"/>
      <c r="Y115" s="16"/>
      <c r="Z115" s="16"/>
      <c r="AA115" s="16"/>
      <c r="AB115" s="16"/>
      <c r="AC115" s="16"/>
      <c r="AD115" s="16"/>
    </row>
    <row r="116" spans="1:30" ht="15.75" customHeight="1">
      <c r="L116" s="16"/>
      <c r="M116" s="16"/>
      <c r="N116" s="16"/>
      <c r="O116" s="16"/>
      <c r="P116" s="735"/>
      <c r="Q116" s="696"/>
      <c r="R116" s="696"/>
      <c r="S116" s="16"/>
      <c r="T116" s="16"/>
      <c r="U116" s="16"/>
      <c r="V116" s="16"/>
      <c r="W116" s="16"/>
      <c r="X116" s="16"/>
      <c r="Y116" s="16"/>
      <c r="Z116" s="16"/>
      <c r="AA116" s="16"/>
      <c r="AB116" s="16"/>
      <c r="AC116" s="16"/>
      <c r="AD116" s="16"/>
    </row>
    <row r="117" spans="1:30" ht="15.75" customHeight="1">
      <c r="L117" s="16"/>
      <c r="M117" s="16"/>
      <c r="N117" s="16"/>
      <c r="O117" s="16"/>
      <c r="P117" s="735"/>
      <c r="Q117" s="696"/>
      <c r="R117" s="696"/>
      <c r="S117" s="16"/>
      <c r="T117" s="16"/>
      <c r="U117" s="16"/>
      <c r="V117" s="16"/>
      <c r="W117" s="16"/>
      <c r="X117" s="16"/>
      <c r="Y117" s="16"/>
      <c r="Z117" s="16"/>
      <c r="AA117" s="16"/>
      <c r="AB117" s="16"/>
      <c r="AC117" s="16"/>
      <c r="AD117" s="16"/>
    </row>
    <row r="118" spans="1:30" ht="15.75" customHeight="1">
      <c r="L118" s="16"/>
      <c r="M118" s="16"/>
      <c r="N118" s="16"/>
      <c r="O118" s="16"/>
      <c r="P118" s="735"/>
      <c r="Q118" s="696"/>
      <c r="R118" s="696"/>
      <c r="S118" s="16"/>
      <c r="T118" s="16"/>
      <c r="U118" s="16"/>
      <c r="V118" s="16"/>
      <c r="W118" s="16"/>
      <c r="X118" s="16"/>
      <c r="Y118" s="16"/>
      <c r="Z118" s="16"/>
      <c r="AA118" s="16"/>
      <c r="AB118" s="16"/>
      <c r="AC118" s="16"/>
      <c r="AD118" s="16"/>
    </row>
    <row r="119" spans="1:30" ht="15.75" customHeight="1">
      <c r="L119" s="16"/>
      <c r="M119" s="16"/>
      <c r="N119" s="16"/>
      <c r="O119" s="16"/>
      <c r="P119" s="735"/>
      <c r="Q119" s="696"/>
      <c r="R119" s="696"/>
      <c r="S119" s="16"/>
      <c r="T119" s="16"/>
      <c r="U119" s="16"/>
      <c r="V119" s="16"/>
      <c r="W119" s="16"/>
      <c r="X119" s="16"/>
      <c r="Y119" s="16"/>
      <c r="Z119" s="16"/>
      <c r="AA119" s="16"/>
      <c r="AB119" s="16"/>
      <c r="AC119" s="16"/>
      <c r="AD119" s="16"/>
    </row>
    <row r="120" spans="1:30" ht="15.75" customHeight="1">
      <c r="L120" s="16"/>
      <c r="M120" s="16"/>
      <c r="N120" s="16"/>
      <c r="O120" s="16"/>
      <c r="P120" s="735"/>
      <c r="Q120" s="696"/>
      <c r="R120" s="696"/>
      <c r="S120" s="16"/>
      <c r="T120" s="16"/>
      <c r="U120" s="16"/>
      <c r="V120" s="16"/>
      <c r="W120" s="16"/>
      <c r="X120" s="16"/>
      <c r="Y120" s="16"/>
      <c r="Z120" s="16"/>
      <c r="AA120" s="16"/>
      <c r="AB120" s="16"/>
      <c r="AC120" s="16"/>
      <c r="AD120" s="16"/>
    </row>
    <row r="121" spans="1:30" ht="15.75" customHeight="1">
      <c r="H121" s="248"/>
      <c r="I121" s="248"/>
      <c r="J121" s="228"/>
      <c r="K121" s="228"/>
      <c r="L121" s="16"/>
      <c r="M121" s="16"/>
      <c r="N121" s="16"/>
      <c r="O121" s="16"/>
      <c r="P121" s="735"/>
      <c r="Q121" s="696"/>
      <c r="R121" s="696"/>
      <c r="S121" s="16"/>
      <c r="T121" s="16"/>
      <c r="U121" s="16"/>
      <c r="V121" s="16"/>
      <c r="W121" s="16"/>
      <c r="X121" s="16"/>
      <c r="Y121" s="16"/>
      <c r="Z121" s="16"/>
      <c r="AA121" s="16"/>
      <c r="AB121" s="16"/>
      <c r="AC121" s="16"/>
      <c r="AD121" s="16"/>
    </row>
    <row r="122" spans="1:30" ht="15.75" customHeight="1">
      <c r="A122" s="231"/>
      <c r="B122" s="231"/>
      <c r="C122" s="246"/>
      <c r="D122" s="247"/>
      <c r="E122" s="245"/>
      <c r="F122" s="246"/>
      <c r="G122" s="247"/>
      <c r="H122" s="248"/>
      <c r="I122" s="248"/>
      <c r="J122" s="228"/>
      <c r="K122" s="228"/>
      <c r="L122" s="16"/>
      <c r="M122" s="16"/>
      <c r="N122" s="16"/>
      <c r="O122" s="16"/>
      <c r="P122" s="16"/>
      <c r="Q122" s="16"/>
      <c r="R122" s="16"/>
      <c r="S122" s="16"/>
      <c r="T122" s="16"/>
      <c r="U122" s="16"/>
      <c r="V122" s="16"/>
      <c r="W122" s="16"/>
      <c r="X122" s="16"/>
      <c r="Y122" s="16"/>
      <c r="Z122" s="16"/>
      <c r="AA122" s="16"/>
      <c r="AB122" s="16"/>
      <c r="AC122" s="16"/>
      <c r="AD122" s="16"/>
    </row>
    <row r="123" spans="1:30" ht="15.75" customHeight="1">
      <c r="A123" s="231"/>
      <c r="B123" s="16"/>
      <c r="C123" s="246"/>
      <c r="D123" s="247"/>
      <c r="E123" s="245"/>
      <c r="F123" s="246"/>
      <c r="G123" s="247"/>
      <c r="H123" s="228"/>
      <c r="I123" s="228"/>
      <c r="J123" s="228"/>
      <c r="K123" s="228"/>
      <c r="L123" s="16"/>
      <c r="M123" s="735"/>
      <c r="N123" s="696"/>
      <c r="O123" s="696"/>
      <c r="P123" s="735"/>
      <c r="Q123" s="696"/>
      <c r="R123" s="696"/>
      <c r="S123" s="696"/>
      <c r="T123" s="696"/>
      <c r="U123" s="16"/>
      <c r="V123" s="16"/>
      <c r="W123" s="16"/>
      <c r="X123" s="16"/>
      <c r="Y123" s="16"/>
      <c r="Z123" s="16"/>
      <c r="AA123" s="16"/>
      <c r="AB123" s="16"/>
      <c r="AC123" s="16"/>
      <c r="AD123" s="16"/>
    </row>
    <row r="124" spans="1:30" ht="15.75" customHeight="1">
      <c r="A124" s="16"/>
      <c r="B124" s="16"/>
      <c r="C124" s="16"/>
      <c r="D124" s="16"/>
      <c r="E124" s="16"/>
      <c r="F124" s="16"/>
      <c r="G124" s="16"/>
      <c r="H124" s="16"/>
      <c r="I124" s="16"/>
      <c r="J124" s="16"/>
      <c r="K124" s="16"/>
      <c r="L124" s="16"/>
      <c r="M124" s="735"/>
      <c r="N124" s="696"/>
      <c r="O124" s="696"/>
      <c r="P124" s="735"/>
      <c r="Q124" s="696"/>
      <c r="R124" s="696"/>
      <c r="S124" s="696"/>
      <c r="T124" s="696"/>
      <c r="U124" s="16"/>
      <c r="V124" s="16"/>
      <c r="W124" s="16"/>
      <c r="X124" s="16"/>
      <c r="Y124" s="16"/>
      <c r="Z124" s="16"/>
      <c r="AA124" s="16"/>
      <c r="AB124" s="16"/>
      <c r="AC124" s="16"/>
      <c r="AD124" s="16"/>
    </row>
    <row r="125" spans="1:30" ht="15.75" customHeight="1">
      <c r="A125" s="16"/>
      <c r="B125" s="16"/>
      <c r="C125" s="16"/>
      <c r="D125" s="16"/>
      <c r="E125" s="16"/>
      <c r="F125" s="16"/>
      <c r="G125" s="16"/>
      <c r="H125" s="16"/>
      <c r="I125" s="16"/>
      <c r="J125" s="16"/>
      <c r="K125" s="16"/>
      <c r="L125" s="16"/>
      <c r="M125" s="735"/>
      <c r="N125" s="696"/>
      <c r="O125" s="696"/>
      <c r="P125" s="696"/>
      <c r="Q125" s="696"/>
      <c r="R125" s="696"/>
      <c r="S125" s="696"/>
      <c r="T125" s="696"/>
      <c r="U125" s="16"/>
      <c r="V125" s="16"/>
      <c r="W125" s="16"/>
      <c r="X125" s="16"/>
      <c r="Y125" s="16"/>
      <c r="Z125" s="16"/>
      <c r="AA125" s="16"/>
      <c r="AB125" s="16"/>
      <c r="AC125" s="16"/>
      <c r="AD125" s="16"/>
    </row>
    <row r="126" spans="1:30" ht="15.75" customHeight="1">
      <c r="A126" s="16"/>
      <c r="B126" s="16"/>
      <c r="C126" s="16"/>
      <c r="D126" s="16"/>
      <c r="E126" s="16"/>
      <c r="F126" s="16"/>
      <c r="G126" s="16"/>
      <c r="H126" s="16"/>
      <c r="I126" s="16"/>
      <c r="J126" s="16"/>
      <c r="K126" s="16"/>
      <c r="L126" s="16"/>
      <c r="M126" s="735"/>
      <c r="N126" s="696"/>
      <c r="O126" s="696"/>
      <c r="P126" s="696"/>
      <c r="Q126" s="696"/>
      <c r="R126" s="696"/>
      <c r="S126" s="696"/>
      <c r="T126" s="696"/>
      <c r="U126" s="16"/>
      <c r="V126" s="16"/>
      <c r="W126" s="16"/>
      <c r="X126" s="16"/>
      <c r="Y126" s="16"/>
      <c r="Z126" s="16"/>
      <c r="AA126" s="16"/>
      <c r="AB126" s="16"/>
      <c r="AC126" s="16"/>
      <c r="AD126" s="16"/>
    </row>
    <row r="127" spans="1:30" ht="15.75" customHeight="1">
      <c r="A127" s="16"/>
      <c r="B127" s="16"/>
      <c r="C127" s="16"/>
      <c r="D127" s="16"/>
      <c r="E127" s="16"/>
      <c r="F127" s="16"/>
      <c r="G127" s="16"/>
      <c r="H127" s="16"/>
      <c r="I127" s="16"/>
      <c r="J127" s="16"/>
      <c r="K127" s="16"/>
      <c r="L127" s="16"/>
      <c r="M127" s="735"/>
      <c r="N127" s="696"/>
      <c r="O127" s="696"/>
      <c r="P127" s="696"/>
      <c r="Q127" s="696"/>
      <c r="R127" s="696"/>
      <c r="S127" s="696"/>
      <c r="T127" s="696"/>
      <c r="U127" s="16"/>
      <c r="V127" s="16"/>
      <c r="W127" s="16"/>
      <c r="X127" s="16"/>
      <c r="Y127" s="16"/>
      <c r="Z127" s="16"/>
      <c r="AA127" s="16"/>
      <c r="AB127" s="16"/>
      <c r="AC127" s="16"/>
      <c r="AD127" s="16"/>
    </row>
    <row r="128" spans="1:30" ht="15.75" customHeight="1">
      <c r="A128" s="16"/>
      <c r="B128" s="16"/>
      <c r="C128" s="16"/>
      <c r="D128" s="16"/>
      <c r="E128" s="16"/>
      <c r="F128" s="16"/>
      <c r="G128" s="16"/>
      <c r="H128" s="16"/>
      <c r="I128" s="16"/>
      <c r="J128" s="16"/>
      <c r="K128" s="16"/>
      <c r="L128" s="16"/>
      <c r="M128" s="735"/>
      <c r="N128" s="696"/>
      <c r="O128" s="696"/>
      <c r="P128" s="696"/>
      <c r="Q128" s="696"/>
      <c r="R128" s="696"/>
      <c r="S128" s="696"/>
      <c r="T128" s="696"/>
      <c r="U128" s="16"/>
      <c r="V128" s="16"/>
      <c r="W128" s="16"/>
      <c r="X128" s="16"/>
      <c r="Y128" s="16"/>
      <c r="Z128" s="16"/>
      <c r="AA128" s="16"/>
      <c r="AB128" s="16"/>
      <c r="AC128" s="16"/>
      <c r="AD128" s="16"/>
    </row>
    <row r="129" spans="1:30" ht="15.75" customHeight="1">
      <c r="A129" s="16"/>
      <c r="B129" s="16"/>
      <c r="C129" s="16"/>
      <c r="D129" s="16"/>
      <c r="E129" s="16"/>
      <c r="F129" s="16"/>
      <c r="G129" s="16"/>
      <c r="H129" s="16"/>
      <c r="I129" s="16"/>
      <c r="J129" s="16"/>
      <c r="K129" s="16"/>
      <c r="L129" s="16"/>
      <c r="M129" s="735"/>
      <c r="N129" s="696"/>
      <c r="O129" s="696"/>
      <c r="P129" s="696"/>
      <c r="Q129" s="696"/>
      <c r="R129" s="696"/>
      <c r="S129" s="696"/>
      <c r="T129" s="696"/>
      <c r="U129" s="16"/>
      <c r="V129" s="16"/>
      <c r="W129" s="16"/>
      <c r="X129" s="16"/>
      <c r="Y129" s="16"/>
      <c r="Z129" s="16"/>
      <c r="AA129" s="16"/>
      <c r="AB129" s="16"/>
      <c r="AC129" s="16"/>
      <c r="AD129" s="16"/>
    </row>
    <row r="130" spans="1:30" ht="15.75" customHeight="1">
      <c r="A130" s="16"/>
      <c r="B130" s="16"/>
      <c r="C130" s="16"/>
      <c r="D130" s="16"/>
      <c r="E130" s="16"/>
      <c r="F130" s="16"/>
      <c r="G130" s="16"/>
      <c r="H130" s="16"/>
      <c r="I130" s="16"/>
      <c r="J130" s="16"/>
      <c r="K130" s="16"/>
      <c r="L130" s="16"/>
      <c r="M130" s="735"/>
      <c r="N130" s="696"/>
      <c r="O130" s="696"/>
      <c r="P130" s="696"/>
      <c r="Q130" s="696"/>
      <c r="R130" s="696"/>
      <c r="S130" s="696"/>
      <c r="T130" s="696"/>
      <c r="U130" s="16"/>
      <c r="V130" s="16"/>
      <c r="W130" s="16"/>
      <c r="X130" s="16"/>
      <c r="Y130" s="16"/>
      <c r="Z130" s="16"/>
      <c r="AA130" s="16"/>
      <c r="AB130" s="16"/>
      <c r="AC130" s="16"/>
      <c r="AD130" s="16"/>
    </row>
    <row r="131" spans="1:30" ht="15.75" customHeight="1">
      <c r="A131" s="16"/>
      <c r="B131" s="16"/>
      <c r="C131" s="16"/>
      <c r="D131" s="16"/>
      <c r="E131" s="16"/>
      <c r="F131" s="16"/>
      <c r="G131" s="16"/>
      <c r="H131" s="16"/>
      <c r="I131" s="16"/>
      <c r="J131" s="16"/>
      <c r="K131" s="16"/>
      <c r="L131" s="16"/>
      <c r="M131" s="735"/>
      <c r="N131" s="696"/>
      <c r="O131" s="696"/>
      <c r="P131" s="696"/>
      <c r="Q131" s="696"/>
      <c r="R131" s="696"/>
      <c r="S131" s="696"/>
      <c r="T131" s="696"/>
      <c r="U131" s="16"/>
      <c r="V131" s="16"/>
      <c r="W131" s="16"/>
      <c r="X131" s="16"/>
      <c r="Y131" s="16"/>
      <c r="Z131" s="16"/>
      <c r="AA131" s="16"/>
      <c r="AB131" s="16"/>
      <c r="AC131" s="16"/>
      <c r="AD131" s="16"/>
    </row>
    <row r="132" spans="1:30" ht="15.75" customHeight="1">
      <c r="A132" s="16"/>
      <c r="B132" s="16"/>
      <c r="C132" s="16"/>
      <c r="D132" s="16"/>
      <c r="E132" s="16"/>
      <c r="F132" s="16"/>
      <c r="G132" s="16"/>
      <c r="H132" s="16"/>
      <c r="I132" s="16"/>
      <c r="J132" s="16"/>
      <c r="K132" s="16"/>
      <c r="L132" s="16"/>
      <c r="M132" s="735"/>
      <c r="N132" s="696"/>
      <c r="O132" s="696"/>
      <c r="P132" s="696"/>
      <c r="Q132" s="696"/>
      <c r="R132" s="696"/>
      <c r="S132" s="696"/>
      <c r="T132" s="696"/>
      <c r="U132" s="16"/>
      <c r="V132" s="16"/>
      <c r="W132" s="16"/>
      <c r="X132" s="16"/>
      <c r="Y132" s="16"/>
      <c r="Z132" s="16"/>
      <c r="AA132" s="16"/>
      <c r="AB132" s="16"/>
      <c r="AC132" s="16"/>
      <c r="AD132" s="16"/>
    </row>
    <row r="133" spans="1:30" ht="15.75" customHeight="1">
      <c r="A133" s="16"/>
      <c r="B133" s="16"/>
      <c r="C133" s="16"/>
      <c r="D133" s="16"/>
      <c r="E133" s="16"/>
      <c r="F133" s="16"/>
      <c r="G133" s="16"/>
      <c r="H133" s="16"/>
      <c r="I133" s="16"/>
      <c r="J133" s="16"/>
      <c r="K133" s="16"/>
      <c r="L133" s="16"/>
      <c r="M133" s="735"/>
      <c r="N133" s="696"/>
      <c r="O133" s="696"/>
      <c r="P133" s="696"/>
      <c r="Q133" s="696"/>
      <c r="R133" s="696"/>
      <c r="S133" s="696"/>
      <c r="T133" s="696"/>
      <c r="U133" s="16"/>
      <c r="V133" s="16"/>
      <c r="W133" s="16"/>
      <c r="X133" s="16"/>
      <c r="Y133" s="16"/>
      <c r="Z133" s="16"/>
      <c r="AA133" s="16"/>
      <c r="AB133" s="16"/>
      <c r="AC133" s="16"/>
      <c r="AD133" s="16"/>
    </row>
    <row r="134" spans="1:30" ht="15.75" customHeight="1">
      <c r="A134" s="16"/>
      <c r="B134" s="16"/>
      <c r="C134" s="16"/>
      <c r="D134" s="16"/>
      <c r="E134" s="16"/>
      <c r="F134" s="16"/>
      <c r="G134" s="16"/>
      <c r="H134" s="16"/>
      <c r="I134" s="16"/>
      <c r="J134" s="16"/>
      <c r="K134" s="16"/>
      <c r="L134" s="16"/>
      <c r="M134" s="735"/>
      <c r="N134" s="696"/>
      <c r="O134" s="696"/>
      <c r="P134" s="696"/>
      <c r="Q134" s="696"/>
      <c r="R134" s="696"/>
      <c r="S134" s="696"/>
      <c r="T134" s="696"/>
      <c r="U134" s="16"/>
      <c r="V134" s="16"/>
      <c r="W134" s="16"/>
      <c r="X134" s="16"/>
      <c r="Y134" s="16"/>
      <c r="Z134" s="16"/>
      <c r="AA134" s="16"/>
      <c r="AB134" s="16"/>
      <c r="AC134" s="16"/>
      <c r="AD134" s="16"/>
    </row>
    <row r="135" spans="1:30" ht="15.75" customHeight="1">
      <c r="A135" s="16"/>
      <c r="B135" s="16"/>
      <c r="C135" s="16"/>
      <c r="D135" s="16"/>
      <c r="E135" s="16"/>
      <c r="F135" s="16"/>
      <c r="G135" s="16"/>
      <c r="H135" s="16"/>
      <c r="I135" s="16"/>
      <c r="J135" s="16"/>
      <c r="K135" s="16"/>
      <c r="L135" s="16"/>
      <c r="M135" s="735"/>
      <c r="N135" s="696"/>
      <c r="O135" s="696"/>
      <c r="P135" s="696"/>
      <c r="Q135" s="696"/>
      <c r="R135" s="696"/>
      <c r="S135" s="696"/>
      <c r="T135" s="696"/>
      <c r="U135" s="16"/>
      <c r="V135" s="16"/>
      <c r="W135" s="16"/>
      <c r="X135" s="16"/>
      <c r="Y135" s="16"/>
      <c r="Z135" s="16"/>
      <c r="AA135" s="16"/>
      <c r="AB135" s="16"/>
      <c r="AC135" s="16"/>
      <c r="AD135" s="16"/>
    </row>
    <row r="136" spans="1:30" ht="15.75" customHeight="1">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c r="AA136" s="16"/>
      <c r="AB136" s="16"/>
      <c r="AC136" s="16"/>
      <c r="AD136" s="16"/>
    </row>
    <row r="137" spans="1:30" ht="15.75" customHeight="1">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c r="AA137" s="16"/>
      <c r="AB137" s="16"/>
      <c r="AC137" s="16"/>
      <c r="AD137" s="16"/>
    </row>
    <row r="138" spans="1:30" ht="15.75" customHeight="1">
      <c r="A138" s="16"/>
      <c r="B138" s="16"/>
      <c r="C138" s="16"/>
      <c r="D138" s="16"/>
      <c r="E138" s="16"/>
      <c r="F138" s="16"/>
      <c r="G138" s="16"/>
      <c r="H138" s="16"/>
      <c r="I138" s="16"/>
      <c r="J138" s="16"/>
      <c r="K138" s="16"/>
      <c r="L138" s="16"/>
      <c r="M138" s="735"/>
      <c r="N138" s="696"/>
      <c r="O138" s="696"/>
      <c r="P138" s="735"/>
      <c r="Q138" s="696"/>
      <c r="R138" s="696"/>
      <c r="S138" s="696"/>
      <c r="T138" s="696"/>
      <c r="U138" s="16"/>
      <c r="V138" s="16"/>
      <c r="W138" s="16"/>
      <c r="X138" s="16"/>
      <c r="Y138" s="16"/>
      <c r="Z138" s="16"/>
      <c r="AA138" s="16"/>
      <c r="AB138" s="16"/>
      <c r="AC138" s="16"/>
      <c r="AD138" s="16"/>
    </row>
    <row r="139" spans="1:30" ht="15.75" customHeight="1">
      <c r="A139" s="16"/>
      <c r="B139" s="16"/>
      <c r="C139" s="16"/>
      <c r="D139" s="16"/>
      <c r="E139" s="16"/>
      <c r="F139" s="16"/>
      <c r="G139" s="16"/>
      <c r="H139" s="16"/>
      <c r="I139" s="16"/>
      <c r="J139" s="16"/>
      <c r="K139" s="16"/>
      <c r="L139" s="16"/>
      <c r="M139" s="735"/>
      <c r="N139" s="696"/>
      <c r="O139" s="696"/>
      <c r="P139" s="735"/>
      <c r="Q139" s="696"/>
      <c r="R139" s="696"/>
      <c r="S139" s="696"/>
      <c r="T139" s="696"/>
      <c r="U139" s="16"/>
      <c r="V139" s="16"/>
      <c r="W139" s="16"/>
      <c r="X139" s="16"/>
      <c r="Y139" s="16"/>
      <c r="Z139" s="16"/>
      <c r="AA139" s="16"/>
      <c r="AB139" s="16"/>
      <c r="AC139" s="16"/>
      <c r="AD139" s="16"/>
    </row>
    <row r="140" spans="1:30" ht="15.75" customHeight="1">
      <c r="A140" s="16"/>
      <c r="B140" s="16"/>
      <c r="C140" s="16"/>
      <c r="D140" s="16"/>
      <c r="E140" s="16"/>
      <c r="F140" s="16"/>
      <c r="G140" s="16"/>
      <c r="H140" s="16"/>
      <c r="I140" s="16"/>
      <c r="J140" s="16"/>
      <c r="K140" s="16"/>
      <c r="L140" s="16"/>
      <c r="M140" s="735"/>
      <c r="N140" s="696"/>
      <c r="O140" s="696"/>
      <c r="P140" s="696"/>
      <c r="Q140" s="696"/>
      <c r="R140" s="696"/>
      <c r="S140" s="696"/>
      <c r="T140" s="696"/>
      <c r="U140" s="16"/>
      <c r="V140" s="16"/>
      <c r="W140" s="16"/>
      <c r="X140" s="16"/>
      <c r="Y140" s="16"/>
      <c r="Z140" s="16"/>
      <c r="AA140" s="16"/>
      <c r="AB140" s="16"/>
      <c r="AC140" s="16"/>
      <c r="AD140" s="16"/>
    </row>
    <row r="141" spans="1:30" ht="15.75" customHeight="1">
      <c r="A141" s="16"/>
      <c r="B141" s="16"/>
      <c r="C141" s="16"/>
      <c r="D141" s="16"/>
      <c r="E141" s="16"/>
      <c r="F141" s="16"/>
      <c r="G141" s="16"/>
      <c r="H141" s="16"/>
      <c r="I141" s="16"/>
      <c r="J141" s="16"/>
      <c r="K141" s="16"/>
      <c r="L141" s="16"/>
      <c r="M141" s="735"/>
      <c r="N141" s="696"/>
      <c r="O141" s="696"/>
      <c r="P141" s="696"/>
      <c r="Q141" s="696"/>
      <c r="R141" s="696"/>
      <c r="S141" s="696"/>
      <c r="T141" s="696"/>
      <c r="U141" s="16"/>
      <c r="V141" s="16"/>
      <c r="W141" s="16"/>
      <c r="X141" s="16"/>
      <c r="Y141" s="16"/>
      <c r="Z141" s="16"/>
      <c r="AA141" s="16"/>
      <c r="AB141" s="16"/>
      <c r="AC141" s="16"/>
      <c r="AD141" s="16"/>
    </row>
    <row r="142" spans="1:30" ht="15.75" customHeight="1">
      <c r="A142" s="16"/>
      <c r="B142" s="16"/>
      <c r="C142" s="16"/>
      <c r="D142" s="16"/>
      <c r="E142" s="16"/>
      <c r="F142" s="16"/>
      <c r="G142" s="16"/>
      <c r="H142" s="16"/>
      <c r="I142" s="16"/>
      <c r="J142" s="16"/>
      <c r="K142" s="16"/>
      <c r="L142" s="16"/>
      <c r="M142" s="735"/>
      <c r="N142" s="696"/>
      <c r="O142" s="696"/>
      <c r="P142" s="696"/>
      <c r="Q142" s="696"/>
      <c r="R142" s="696"/>
      <c r="S142" s="696"/>
      <c r="T142" s="696"/>
      <c r="U142" s="16"/>
      <c r="V142" s="16"/>
      <c r="W142" s="16"/>
      <c r="X142" s="16"/>
      <c r="Y142" s="16"/>
      <c r="Z142" s="16"/>
      <c r="AA142" s="16"/>
      <c r="AB142" s="16"/>
      <c r="AC142" s="16"/>
      <c r="AD142" s="16"/>
    </row>
    <row r="143" spans="1:30" ht="15.75" customHeight="1">
      <c r="A143" s="16"/>
      <c r="B143" s="16"/>
      <c r="C143" s="16"/>
      <c r="D143" s="16"/>
      <c r="E143" s="16"/>
      <c r="F143" s="16"/>
      <c r="G143" s="16"/>
      <c r="H143" s="16"/>
      <c r="I143" s="16"/>
      <c r="J143" s="16"/>
      <c r="K143" s="16"/>
      <c r="L143" s="16"/>
      <c r="M143" s="735"/>
      <c r="N143" s="696"/>
      <c r="O143" s="696"/>
      <c r="P143" s="696"/>
      <c r="Q143" s="696"/>
      <c r="R143" s="696"/>
      <c r="S143" s="696"/>
      <c r="T143" s="696"/>
      <c r="U143" s="16"/>
      <c r="V143" s="16"/>
      <c r="W143" s="16"/>
      <c r="X143" s="16"/>
      <c r="Y143" s="16"/>
      <c r="Z143" s="16"/>
      <c r="AA143" s="16"/>
      <c r="AB143" s="16"/>
      <c r="AC143" s="16"/>
      <c r="AD143" s="16"/>
    </row>
    <row r="144" spans="1:30" ht="15.75" customHeight="1">
      <c r="A144" s="16"/>
      <c r="B144" s="16"/>
      <c r="C144" s="16"/>
      <c r="D144" s="16"/>
      <c r="E144" s="16"/>
      <c r="F144" s="16"/>
      <c r="G144" s="16"/>
      <c r="H144" s="16"/>
      <c r="I144" s="16"/>
      <c r="J144" s="16"/>
      <c r="K144" s="16"/>
      <c r="L144" s="16"/>
      <c r="M144" s="735"/>
      <c r="N144" s="696"/>
      <c r="O144" s="696"/>
      <c r="P144" s="696"/>
      <c r="Q144" s="696"/>
      <c r="R144" s="696"/>
      <c r="S144" s="696"/>
      <c r="T144" s="696"/>
      <c r="U144" s="16"/>
      <c r="V144" s="16"/>
      <c r="W144" s="16"/>
      <c r="X144" s="16"/>
      <c r="Y144" s="16"/>
      <c r="Z144" s="16"/>
      <c r="AA144" s="16"/>
      <c r="AB144" s="16"/>
      <c r="AC144" s="16"/>
      <c r="AD144" s="16"/>
    </row>
    <row r="145" spans="1:30" ht="15.75" customHeight="1">
      <c r="A145" s="16"/>
      <c r="B145" s="16"/>
      <c r="C145" s="16"/>
      <c r="D145" s="16"/>
      <c r="E145" s="16"/>
      <c r="F145" s="16"/>
      <c r="G145" s="16"/>
      <c r="H145" s="16"/>
      <c r="I145" s="16"/>
      <c r="J145" s="16"/>
      <c r="K145" s="16"/>
      <c r="L145" s="16"/>
      <c r="M145" s="735"/>
      <c r="N145" s="696"/>
      <c r="O145" s="696"/>
      <c r="P145" s="696"/>
      <c r="Q145" s="696"/>
      <c r="R145" s="696"/>
      <c r="S145" s="696"/>
      <c r="T145" s="696"/>
      <c r="U145" s="16"/>
      <c r="V145" s="16"/>
      <c r="W145" s="16"/>
      <c r="X145" s="16"/>
      <c r="Y145" s="16"/>
      <c r="Z145" s="16"/>
      <c r="AA145" s="16"/>
      <c r="AB145" s="16"/>
      <c r="AC145" s="16"/>
      <c r="AD145" s="16"/>
    </row>
    <row r="146" spans="1:30" ht="15.75" customHeight="1">
      <c r="A146" s="16"/>
      <c r="B146" s="16"/>
      <c r="C146" s="16"/>
      <c r="D146" s="16"/>
      <c r="E146" s="16"/>
      <c r="F146" s="16"/>
      <c r="G146" s="16"/>
      <c r="H146" s="16"/>
      <c r="I146" s="16"/>
      <c r="J146" s="16"/>
      <c r="K146" s="16"/>
      <c r="L146" s="16"/>
      <c r="M146" s="735"/>
      <c r="N146" s="696"/>
      <c r="O146" s="696"/>
      <c r="P146" s="696"/>
      <c r="Q146" s="696"/>
      <c r="R146" s="696"/>
      <c r="S146" s="696"/>
      <c r="T146" s="696"/>
      <c r="U146" s="16"/>
      <c r="V146" s="16"/>
      <c r="W146" s="16"/>
      <c r="X146" s="16"/>
      <c r="Y146" s="16"/>
      <c r="Z146" s="16"/>
      <c r="AA146" s="16"/>
      <c r="AB146" s="16"/>
      <c r="AC146" s="16"/>
      <c r="AD146" s="16"/>
    </row>
    <row r="147" spans="1:30" ht="15.75" customHeight="1">
      <c r="A147" s="16"/>
      <c r="B147" s="16"/>
      <c r="C147" s="16"/>
      <c r="D147" s="16"/>
      <c r="E147" s="16"/>
      <c r="F147" s="16"/>
      <c r="G147" s="16"/>
      <c r="H147" s="16"/>
      <c r="I147" s="16"/>
      <c r="J147" s="16"/>
      <c r="K147" s="16"/>
      <c r="L147" s="16"/>
      <c r="M147" s="735"/>
      <c r="N147" s="696"/>
      <c r="O147" s="696"/>
      <c r="P147" s="696"/>
      <c r="Q147" s="696"/>
      <c r="R147" s="696"/>
      <c r="S147" s="696"/>
      <c r="T147" s="696"/>
      <c r="U147" s="16"/>
      <c r="V147" s="16"/>
      <c r="W147" s="16"/>
      <c r="X147" s="16"/>
      <c r="Y147" s="16"/>
      <c r="Z147" s="16"/>
      <c r="AA147" s="16"/>
      <c r="AB147" s="16"/>
      <c r="AC147" s="16"/>
      <c r="AD147" s="16"/>
    </row>
    <row r="148" spans="1:30" ht="15.75" customHeight="1">
      <c r="A148" s="16"/>
      <c r="B148" s="16"/>
      <c r="C148" s="16"/>
      <c r="D148" s="16"/>
      <c r="E148" s="16"/>
      <c r="F148" s="16"/>
      <c r="G148" s="16"/>
      <c r="H148" s="16"/>
      <c r="I148" s="16"/>
      <c r="J148" s="16"/>
      <c r="K148" s="16"/>
      <c r="L148" s="16"/>
      <c r="M148" s="735"/>
      <c r="N148" s="696"/>
      <c r="O148" s="696"/>
      <c r="P148" s="696"/>
      <c r="Q148" s="696"/>
      <c r="R148" s="696"/>
      <c r="S148" s="696"/>
      <c r="T148" s="696"/>
      <c r="U148" s="16"/>
      <c r="V148" s="16"/>
      <c r="W148" s="16"/>
      <c r="X148" s="16"/>
      <c r="Y148" s="16"/>
      <c r="Z148" s="16"/>
      <c r="AA148" s="16"/>
      <c r="AB148" s="16"/>
      <c r="AC148" s="16"/>
      <c r="AD148" s="16"/>
    </row>
    <row r="149" spans="1:30" ht="15.75" customHeight="1">
      <c r="A149" s="16"/>
      <c r="B149" s="16"/>
      <c r="C149" s="16"/>
      <c r="D149" s="16"/>
      <c r="E149" s="16"/>
      <c r="F149" s="16"/>
      <c r="G149" s="16"/>
      <c r="H149" s="16"/>
      <c r="I149" s="16"/>
      <c r="J149" s="16"/>
      <c r="K149" s="16"/>
      <c r="L149" s="16"/>
      <c r="M149" s="735"/>
      <c r="N149" s="696"/>
      <c r="O149" s="696"/>
      <c r="P149" s="696"/>
      <c r="Q149" s="696"/>
      <c r="R149" s="696"/>
      <c r="S149" s="696"/>
      <c r="T149" s="696"/>
      <c r="U149" s="16"/>
      <c r="V149" s="16"/>
      <c r="W149" s="16"/>
      <c r="X149" s="16"/>
      <c r="Y149" s="16"/>
      <c r="Z149" s="16"/>
      <c r="AA149" s="16"/>
      <c r="AB149" s="16"/>
      <c r="AC149" s="16"/>
      <c r="AD149" s="16"/>
    </row>
    <row r="150" spans="1:30" ht="15.75" customHeight="1">
      <c r="A150" s="16"/>
      <c r="B150" s="16"/>
      <c r="C150" s="16"/>
      <c r="D150" s="16"/>
      <c r="E150" s="16"/>
      <c r="F150" s="16"/>
      <c r="G150" s="16"/>
      <c r="H150" s="16"/>
      <c r="I150" s="16"/>
      <c r="J150" s="16"/>
      <c r="K150" s="16"/>
      <c r="L150" s="16"/>
      <c r="M150" s="735"/>
      <c r="N150" s="696"/>
      <c r="O150" s="696"/>
      <c r="P150" s="696"/>
      <c r="Q150" s="696"/>
      <c r="R150" s="696"/>
      <c r="S150" s="696"/>
      <c r="T150" s="696"/>
      <c r="U150" s="16"/>
      <c r="V150" s="16"/>
      <c r="W150" s="16"/>
      <c r="X150" s="16"/>
      <c r="Y150" s="16"/>
      <c r="Z150" s="16"/>
      <c r="AA150" s="16"/>
      <c r="AB150" s="16"/>
      <c r="AC150" s="16"/>
      <c r="AD150" s="16"/>
    </row>
    <row r="151" spans="1:30" ht="15.75" customHeight="1">
      <c r="A151" s="16"/>
      <c r="B151" s="16"/>
      <c r="C151" s="16"/>
      <c r="D151" s="16"/>
      <c r="E151" s="16"/>
      <c r="F151" s="16"/>
      <c r="G151" s="16"/>
      <c r="H151" s="16"/>
      <c r="I151" s="16"/>
      <c r="J151" s="16"/>
      <c r="K151" s="16"/>
      <c r="L151" s="16"/>
      <c r="M151" s="735"/>
      <c r="N151" s="696"/>
      <c r="O151" s="696"/>
      <c r="P151" s="696"/>
      <c r="Q151" s="696"/>
      <c r="R151" s="696"/>
      <c r="S151" s="696"/>
      <c r="T151" s="696"/>
      <c r="U151" s="16"/>
      <c r="V151" s="16"/>
      <c r="W151" s="16"/>
      <c r="X151" s="16"/>
      <c r="Y151" s="16"/>
      <c r="Z151" s="16"/>
      <c r="AA151" s="16"/>
      <c r="AB151" s="16"/>
      <c r="AC151" s="16"/>
      <c r="AD151" s="16"/>
    </row>
    <row r="152" spans="1:30" ht="15.75" customHeight="1">
      <c r="A152" s="16"/>
      <c r="B152" s="16"/>
      <c r="C152" s="16"/>
      <c r="D152" s="16"/>
      <c r="E152" s="16"/>
      <c r="F152" s="16"/>
      <c r="G152" s="16"/>
      <c r="H152" s="16"/>
      <c r="I152" s="16"/>
      <c r="J152" s="16"/>
      <c r="K152" s="16"/>
      <c r="L152" s="16"/>
      <c r="M152" s="735"/>
      <c r="N152" s="696"/>
      <c r="O152" s="696"/>
      <c r="P152" s="696"/>
      <c r="Q152" s="696"/>
      <c r="R152" s="696"/>
      <c r="S152" s="696"/>
      <c r="T152" s="696"/>
      <c r="U152" s="16"/>
      <c r="V152" s="16"/>
      <c r="W152" s="16"/>
      <c r="X152" s="16"/>
      <c r="Y152" s="16"/>
      <c r="Z152" s="16"/>
      <c r="AA152" s="16"/>
      <c r="AB152" s="16"/>
      <c r="AC152" s="16"/>
      <c r="AD152" s="16"/>
    </row>
    <row r="153" spans="1:30" ht="15.75" customHeight="1">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c r="AA153" s="16"/>
      <c r="AB153" s="16"/>
      <c r="AC153" s="16"/>
      <c r="AD153" s="16"/>
    </row>
    <row r="154" spans="1:30" ht="15.75" customHeight="1">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c r="AA154" s="16"/>
      <c r="AB154" s="16"/>
      <c r="AC154" s="16"/>
      <c r="AD154" s="16"/>
    </row>
    <row r="155" spans="1:30" ht="15.75" customHeight="1">
      <c r="A155" s="16"/>
      <c r="B155" s="735"/>
      <c r="C155" s="696"/>
      <c r="D155" s="16"/>
      <c r="E155" s="16"/>
      <c r="F155" s="16"/>
      <c r="G155" s="16"/>
      <c r="H155" s="16"/>
      <c r="I155" s="16"/>
      <c r="J155" s="16"/>
      <c r="K155" s="16"/>
      <c r="L155" s="16"/>
      <c r="M155" s="735"/>
      <c r="N155" s="696"/>
      <c r="O155" s="696"/>
      <c r="P155" s="735"/>
      <c r="Q155" s="696"/>
      <c r="R155" s="696"/>
      <c r="S155" s="696"/>
      <c r="T155" s="696"/>
      <c r="U155" s="16"/>
      <c r="V155" s="16"/>
      <c r="W155" s="16"/>
      <c r="X155" s="16"/>
      <c r="Y155" s="16"/>
      <c r="Z155" s="16"/>
      <c r="AA155" s="16"/>
      <c r="AB155" s="16"/>
      <c r="AC155" s="16"/>
      <c r="AD155" s="16"/>
    </row>
    <row r="156" spans="1:30" ht="15.75" customHeight="1">
      <c r="A156" s="16"/>
      <c r="B156" s="735"/>
      <c r="C156" s="696"/>
      <c r="D156" s="16"/>
      <c r="E156" s="16"/>
      <c r="F156" s="16"/>
      <c r="G156" s="16"/>
      <c r="H156" s="16"/>
      <c r="I156" s="16"/>
      <c r="J156" s="16"/>
      <c r="K156" s="16"/>
      <c r="L156" s="16"/>
      <c r="M156" s="735"/>
      <c r="N156" s="696"/>
      <c r="O156" s="696"/>
      <c r="P156" s="735"/>
      <c r="Q156" s="696"/>
      <c r="R156" s="696"/>
      <c r="S156" s="696"/>
      <c r="T156" s="696"/>
      <c r="U156" s="16"/>
      <c r="V156" s="16"/>
      <c r="W156" s="16"/>
      <c r="X156" s="16"/>
      <c r="Y156" s="16"/>
      <c r="Z156" s="16"/>
      <c r="AA156" s="16"/>
      <c r="AB156" s="16"/>
      <c r="AC156" s="16"/>
      <c r="AD156" s="16"/>
    </row>
    <row r="157" spans="1:30" ht="15.75" customHeight="1">
      <c r="A157" s="16"/>
      <c r="B157" s="735"/>
      <c r="C157" s="696"/>
      <c r="D157" s="16"/>
      <c r="E157" s="16"/>
      <c r="F157" s="16"/>
      <c r="G157" s="16"/>
      <c r="H157" s="16"/>
      <c r="I157" s="16"/>
      <c r="J157" s="16"/>
      <c r="K157" s="16"/>
      <c r="L157" s="16"/>
      <c r="M157" s="735"/>
      <c r="N157" s="696"/>
      <c r="O157" s="696"/>
      <c r="P157" s="696"/>
      <c r="Q157" s="696"/>
      <c r="R157" s="696"/>
      <c r="S157" s="696"/>
      <c r="T157" s="696"/>
      <c r="U157" s="16"/>
      <c r="V157" s="16"/>
      <c r="W157" s="16"/>
      <c r="X157" s="16"/>
      <c r="Y157" s="16"/>
      <c r="Z157" s="16"/>
      <c r="AA157" s="16"/>
      <c r="AB157" s="16"/>
      <c r="AC157" s="16"/>
      <c r="AD157" s="16"/>
    </row>
    <row r="158" spans="1:30" ht="15.75" customHeight="1">
      <c r="A158" s="16"/>
      <c r="B158" s="735"/>
      <c r="C158" s="696"/>
      <c r="D158" s="16"/>
      <c r="E158" s="16"/>
      <c r="F158" s="16"/>
      <c r="G158" s="16"/>
      <c r="H158" s="16"/>
      <c r="I158" s="16"/>
      <c r="J158" s="16"/>
      <c r="K158" s="16"/>
      <c r="L158" s="16"/>
      <c r="M158" s="735"/>
      <c r="N158" s="696"/>
      <c r="O158" s="696"/>
      <c r="P158" s="696"/>
      <c r="Q158" s="696"/>
      <c r="R158" s="696"/>
      <c r="S158" s="696"/>
      <c r="T158" s="696"/>
      <c r="U158" s="16"/>
      <c r="V158" s="16"/>
      <c r="W158" s="16"/>
      <c r="X158" s="16"/>
      <c r="Y158" s="16"/>
      <c r="Z158" s="16"/>
      <c r="AA158" s="16"/>
      <c r="AB158" s="16"/>
      <c r="AC158" s="16"/>
      <c r="AD158" s="16"/>
    </row>
    <row r="159" spans="1:30" ht="15.75" customHeight="1">
      <c r="A159" s="16"/>
      <c r="B159" s="735"/>
      <c r="C159" s="696"/>
      <c r="D159" s="16"/>
      <c r="E159" s="16"/>
      <c r="F159" s="16"/>
      <c r="G159" s="16"/>
      <c r="H159" s="16"/>
      <c r="I159" s="16"/>
      <c r="J159" s="16"/>
      <c r="K159" s="16"/>
      <c r="L159" s="16"/>
      <c r="M159" s="735"/>
      <c r="N159" s="696"/>
      <c r="O159" s="696"/>
      <c r="P159" s="696"/>
      <c r="Q159" s="696"/>
      <c r="R159" s="696"/>
      <c r="S159" s="696"/>
      <c r="T159" s="696"/>
      <c r="U159" s="16"/>
      <c r="V159" s="16"/>
      <c r="W159" s="16"/>
      <c r="X159" s="16"/>
      <c r="Y159" s="16"/>
      <c r="Z159" s="16"/>
      <c r="AA159" s="16"/>
      <c r="AB159" s="16"/>
      <c r="AC159" s="16"/>
      <c r="AD159" s="16"/>
    </row>
    <row r="160" spans="1:30" ht="15.75" customHeight="1">
      <c r="A160" s="16"/>
      <c r="B160" s="735"/>
      <c r="C160" s="696"/>
      <c r="D160" s="16"/>
      <c r="E160" s="16"/>
      <c r="F160" s="16"/>
      <c r="G160" s="16"/>
      <c r="H160" s="16"/>
      <c r="I160" s="16"/>
      <c r="J160" s="16"/>
      <c r="K160" s="16"/>
      <c r="L160" s="16"/>
      <c r="M160" s="735"/>
      <c r="N160" s="696"/>
      <c r="O160" s="696"/>
      <c r="P160" s="696"/>
      <c r="Q160" s="696"/>
      <c r="R160" s="696"/>
      <c r="S160" s="696"/>
      <c r="T160" s="696"/>
      <c r="U160" s="16"/>
      <c r="V160" s="16"/>
      <c r="W160" s="16"/>
      <c r="X160" s="16"/>
      <c r="Y160" s="16"/>
      <c r="Z160" s="16"/>
      <c r="AA160" s="16"/>
      <c r="AB160" s="16"/>
      <c r="AC160" s="16"/>
      <c r="AD160" s="16"/>
    </row>
    <row r="161" spans="1:30" ht="15.75" customHeight="1">
      <c r="A161" s="16"/>
      <c r="B161" s="735"/>
      <c r="C161" s="696"/>
      <c r="D161" s="16"/>
      <c r="E161" s="16"/>
      <c r="F161" s="16"/>
      <c r="G161" s="16"/>
      <c r="H161" s="16"/>
      <c r="I161" s="16"/>
      <c r="J161" s="16"/>
      <c r="K161" s="16"/>
      <c r="L161" s="16"/>
      <c r="M161" s="735"/>
      <c r="N161" s="696"/>
      <c r="O161" s="696"/>
      <c r="P161" s="696"/>
      <c r="Q161" s="696"/>
      <c r="R161" s="696"/>
      <c r="S161" s="696"/>
      <c r="T161" s="696"/>
      <c r="U161" s="16"/>
      <c r="V161" s="16"/>
      <c r="W161" s="16"/>
      <c r="X161" s="16"/>
      <c r="Y161" s="16"/>
      <c r="Z161" s="16"/>
      <c r="AA161" s="16"/>
      <c r="AB161" s="16"/>
      <c r="AC161" s="16"/>
      <c r="AD161" s="16"/>
    </row>
    <row r="162" spans="1:30" ht="15.75" customHeight="1">
      <c r="A162" s="16"/>
      <c r="B162" s="735"/>
      <c r="C162" s="696"/>
      <c r="D162" s="16"/>
      <c r="E162" s="16"/>
      <c r="F162" s="16"/>
      <c r="G162" s="16"/>
      <c r="H162" s="16"/>
      <c r="I162" s="16"/>
      <c r="J162" s="16"/>
      <c r="K162" s="16"/>
      <c r="L162" s="16"/>
      <c r="M162" s="735"/>
      <c r="N162" s="696"/>
      <c r="O162" s="696"/>
      <c r="P162" s="696"/>
      <c r="Q162" s="696"/>
      <c r="R162" s="696"/>
      <c r="S162" s="696"/>
      <c r="T162" s="696"/>
      <c r="U162" s="16"/>
      <c r="V162" s="16"/>
      <c r="W162" s="16"/>
      <c r="X162" s="16"/>
      <c r="Y162" s="16"/>
      <c r="Z162" s="16"/>
      <c r="AA162" s="16"/>
      <c r="AB162" s="16"/>
      <c r="AC162" s="16"/>
      <c r="AD162" s="16"/>
    </row>
    <row r="163" spans="1:30" ht="15.75" customHeight="1">
      <c r="A163" s="16"/>
      <c r="B163" s="735"/>
      <c r="C163" s="696"/>
      <c r="D163" s="16"/>
      <c r="E163" s="16"/>
      <c r="F163" s="16"/>
      <c r="G163" s="16"/>
      <c r="H163" s="16"/>
      <c r="I163" s="16"/>
      <c r="J163" s="16"/>
      <c r="K163" s="16"/>
      <c r="L163" s="16"/>
      <c r="M163" s="735"/>
      <c r="N163" s="696"/>
      <c r="O163" s="696"/>
      <c r="P163" s="696"/>
      <c r="Q163" s="696"/>
      <c r="R163" s="696"/>
      <c r="S163" s="696"/>
      <c r="T163" s="696"/>
      <c r="U163" s="16"/>
      <c r="V163" s="16"/>
      <c r="W163" s="16"/>
      <c r="X163" s="16"/>
      <c r="Y163" s="16"/>
      <c r="Z163" s="16"/>
      <c r="AA163" s="16"/>
      <c r="AB163" s="16"/>
      <c r="AC163" s="16"/>
      <c r="AD163" s="16"/>
    </row>
    <row r="164" spans="1:30" ht="15.75" customHeight="1">
      <c r="A164" s="16"/>
      <c r="B164" s="735"/>
      <c r="C164" s="696"/>
      <c r="D164" s="16"/>
      <c r="E164" s="16"/>
      <c r="F164" s="16"/>
      <c r="G164" s="16"/>
      <c r="H164" s="16"/>
      <c r="I164" s="16"/>
      <c r="J164" s="16"/>
      <c r="K164" s="16"/>
      <c r="L164" s="16"/>
      <c r="M164" s="735"/>
      <c r="N164" s="696"/>
      <c r="O164" s="696"/>
      <c r="P164" s="696"/>
      <c r="Q164" s="696"/>
      <c r="R164" s="696"/>
      <c r="S164" s="696"/>
      <c r="T164" s="696"/>
      <c r="U164" s="16"/>
      <c r="V164" s="16"/>
      <c r="W164" s="16"/>
      <c r="X164" s="16"/>
      <c r="Y164" s="16"/>
      <c r="Z164" s="16"/>
      <c r="AA164" s="16"/>
      <c r="AB164" s="16"/>
      <c r="AC164" s="16"/>
      <c r="AD164" s="16"/>
    </row>
    <row r="165" spans="1:30" ht="15.75" customHeight="1">
      <c r="A165" s="16"/>
      <c r="B165" s="735"/>
      <c r="C165" s="696"/>
      <c r="D165" s="16"/>
      <c r="E165" s="16"/>
      <c r="F165" s="16"/>
      <c r="G165" s="16"/>
      <c r="H165" s="16"/>
      <c r="I165" s="16"/>
      <c r="J165" s="16"/>
      <c r="K165" s="16"/>
      <c r="L165" s="16"/>
      <c r="M165" s="735"/>
      <c r="N165" s="696"/>
      <c r="O165" s="696"/>
      <c r="P165" s="696"/>
      <c r="Q165" s="696"/>
      <c r="R165" s="696"/>
      <c r="S165" s="696"/>
      <c r="T165" s="696"/>
      <c r="U165" s="16"/>
      <c r="V165" s="16"/>
      <c r="W165" s="16"/>
      <c r="X165" s="16"/>
      <c r="Y165" s="16"/>
      <c r="Z165" s="16"/>
      <c r="AA165" s="16"/>
      <c r="AB165" s="16"/>
      <c r="AC165" s="16"/>
      <c r="AD165" s="16"/>
    </row>
    <row r="166" spans="1:30" ht="15.75" customHeight="1">
      <c r="A166" s="16"/>
      <c r="B166" s="735"/>
      <c r="C166" s="696"/>
      <c r="D166" s="16"/>
      <c r="E166" s="16"/>
      <c r="F166" s="16"/>
      <c r="G166" s="16"/>
      <c r="H166" s="16"/>
      <c r="I166" s="16"/>
      <c r="J166" s="16"/>
      <c r="K166" s="16"/>
      <c r="L166" s="16"/>
      <c r="M166" s="735"/>
      <c r="N166" s="696"/>
      <c r="O166" s="696"/>
      <c r="P166" s="696"/>
      <c r="Q166" s="696"/>
      <c r="R166" s="696"/>
      <c r="S166" s="696"/>
      <c r="T166" s="696"/>
      <c r="U166" s="16"/>
      <c r="V166" s="16"/>
      <c r="W166" s="16"/>
      <c r="X166" s="16"/>
      <c r="Y166" s="16"/>
      <c r="Z166" s="16"/>
      <c r="AA166" s="16"/>
      <c r="AB166" s="16"/>
      <c r="AC166" s="16"/>
      <c r="AD166" s="16"/>
    </row>
    <row r="167" spans="1:30" ht="15.75" customHeight="1">
      <c r="A167" s="16"/>
      <c r="B167" s="735"/>
      <c r="C167" s="696"/>
      <c r="D167" s="16"/>
      <c r="E167" s="16"/>
      <c r="F167" s="16"/>
      <c r="G167" s="16"/>
      <c r="H167" s="16"/>
      <c r="I167" s="16"/>
      <c r="J167" s="16"/>
      <c r="K167" s="16"/>
      <c r="L167" s="16"/>
      <c r="M167" s="735"/>
      <c r="N167" s="696"/>
      <c r="O167" s="696"/>
      <c r="P167" s="696"/>
      <c r="Q167" s="696"/>
      <c r="R167" s="696"/>
      <c r="S167" s="696"/>
      <c r="T167" s="696"/>
      <c r="U167" s="16"/>
      <c r="V167" s="16"/>
      <c r="W167" s="16"/>
      <c r="X167" s="16"/>
      <c r="Y167" s="16"/>
      <c r="Z167" s="16"/>
      <c r="AA167" s="16"/>
      <c r="AB167" s="16"/>
      <c r="AC167" s="16"/>
      <c r="AD167" s="16"/>
    </row>
    <row r="168" spans="1:30" ht="15.75" customHeight="1">
      <c r="A168" s="16"/>
      <c r="B168" s="735"/>
      <c r="C168" s="696"/>
      <c r="D168" s="16"/>
      <c r="E168" s="16"/>
      <c r="F168" s="16"/>
      <c r="G168" s="16"/>
      <c r="H168" s="16"/>
      <c r="I168" s="16"/>
      <c r="J168" s="16"/>
      <c r="K168" s="16"/>
      <c r="L168" s="16"/>
      <c r="M168" s="735"/>
      <c r="N168" s="696"/>
      <c r="O168" s="696"/>
      <c r="P168" s="696"/>
      <c r="Q168" s="696"/>
      <c r="R168" s="696"/>
      <c r="S168" s="696"/>
      <c r="T168" s="696"/>
      <c r="U168" s="16"/>
      <c r="V168" s="16"/>
      <c r="W168" s="16"/>
      <c r="X168" s="16"/>
      <c r="Y168" s="16"/>
      <c r="Z168" s="16"/>
      <c r="AA168" s="16"/>
      <c r="AB168" s="16"/>
      <c r="AC168" s="16"/>
      <c r="AD168" s="16"/>
    </row>
    <row r="169" spans="1:30" ht="15.75" customHeight="1">
      <c r="A169" s="16"/>
      <c r="B169" s="735"/>
      <c r="C169" s="696"/>
      <c r="D169" s="16"/>
      <c r="E169" s="16"/>
      <c r="F169" s="16"/>
      <c r="G169" s="16"/>
      <c r="H169" s="16"/>
      <c r="I169" s="16"/>
      <c r="J169" s="16"/>
      <c r="K169" s="16"/>
      <c r="L169" s="16"/>
      <c r="M169" s="735"/>
      <c r="N169" s="696"/>
      <c r="O169" s="696"/>
      <c r="P169" s="696"/>
      <c r="Q169" s="696"/>
      <c r="R169" s="696"/>
      <c r="S169" s="696"/>
      <c r="T169" s="696"/>
      <c r="U169" s="16"/>
      <c r="V169" s="16"/>
      <c r="W169" s="16"/>
      <c r="X169" s="16"/>
      <c r="Y169" s="16"/>
      <c r="Z169" s="16"/>
      <c r="AA169" s="16"/>
      <c r="AB169" s="16"/>
      <c r="AC169" s="16"/>
      <c r="AD169" s="16"/>
    </row>
    <row r="170" spans="1:30" ht="15.75" customHeight="1">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c r="AA170" s="16"/>
      <c r="AB170" s="16"/>
      <c r="AC170" s="16"/>
      <c r="AD170" s="16"/>
    </row>
    <row r="171" spans="1:30" ht="15.75" customHeight="1">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c r="AA171" s="16"/>
      <c r="AB171" s="16"/>
      <c r="AC171" s="16"/>
      <c r="AD171" s="16"/>
    </row>
    <row r="172" spans="1:30" ht="15.75" customHeight="1">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row>
    <row r="173" spans="1:30" ht="15.75" customHeight="1">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c r="AC173" s="16"/>
      <c r="AD173" s="16"/>
    </row>
    <row r="174" spans="1:30" ht="15.75" customHeight="1">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c r="AC174" s="16"/>
      <c r="AD174" s="16"/>
    </row>
    <row r="175" spans="1:30" ht="15.75" customHeight="1">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c r="AA175" s="16"/>
      <c r="AB175" s="16"/>
      <c r="AC175" s="16"/>
      <c r="AD175" s="16"/>
    </row>
    <row r="176" spans="1:30" ht="15.75" customHeight="1">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c r="AD176" s="16"/>
    </row>
    <row r="177" spans="1:30" ht="15.75" customHeight="1">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c r="AD177" s="16"/>
    </row>
    <row r="178" spans="1:30" ht="15.75" customHeight="1">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c r="AA178" s="16"/>
      <c r="AB178" s="16"/>
      <c r="AC178" s="16"/>
      <c r="AD178" s="16"/>
    </row>
    <row r="179" spans="1:30" ht="15.75" customHeight="1">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c r="AD179" s="16"/>
    </row>
    <row r="180" spans="1:30" ht="15.75" customHeight="1">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c r="AD180" s="16"/>
    </row>
    <row r="181" spans="1:30" ht="15.75" customHeight="1">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c r="AD181" s="16"/>
    </row>
    <row r="182" spans="1:30" ht="15.75" customHeight="1">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c r="AD182" s="16"/>
    </row>
    <row r="183" spans="1:30" ht="15.75" customHeight="1">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c r="AD183" s="16"/>
    </row>
    <row r="184" spans="1:30" ht="15.75" customHeight="1">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c r="AD184" s="16"/>
    </row>
    <row r="185" spans="1:30" ht="15.75" customHeight="1">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c r="AD185" s="16"/>
    </row>
    <row r="186" spans="1:30" ht="15.75" customHeight="1">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c r="AD186" s="16"/>
    </row>
    <row r="187" spans="1:30" ht="15.75" customHeight="1">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16"/>
      <c r="AB187" s="16"/>
      <c r="AC187" s="16"/>
      <c r="AD187" s="16"/>
    </row>
    <row r="188" spans="1:30" ht="15.75" customHeight="1">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c r="AD188" s="16"/>
    </row>
    <row r="189" spans="1:30" ht="15.75" customHeight="1">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c r="AD189" s="16"/>
    </row>
    <row r="190" spans="1:30" ht="15.75" customHeight="1">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c r="AD190" s="16"/>
    </row>
    <row r="191" spans="1:30" ht="15.75" customHeight="1">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c r="AD191" s="16"/>
    </row>
    <row r="192" spans="1:30" ht="15.75" customHeight="1">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c r="AD192" s="16"/>
    </row>
    <row r="193" spans="1:30" ht="15.75" customHeight="1">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c r="AA193" s="16"/>
      <c r="AB193" s="16"/>
      <c r="AC193" s="16"/>
      <c r="AD193" s="16"/>
    </row>
    <row r="194" spans="1:30" ht="15.75" customHeight="1">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c r="AA194" s="16"/>
      <c r="AB194" s="16"/>
      <c r="AC194" s="16"/>
      <c r="AD194" s="16"/>
    </row>
    <row r="195" spans="1:30" ht="15.75" customHeight="1">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c r="AA195" s="16"/>
      <c r="AB195" s="16"/>
      <c r="AC195" s="16"/>
      <c r="AD195" s="16"/>
    </row>
    <row r="196" spans="1:30" ht="15.75" customHeight="1">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c r="AA196" s="16"/>
      <c r="AB196" s="16"/>
      <c r="AC196" s="16"/>
      <c r="AD196" s="16"/>
    </row>
    <row r="197" spans="1:30" ht="15.75" customHeight="1">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c r="AD197" s="16"/>
    </row>
    <row r="198" spans="1:30" ht="15.75" customHeight="1">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c r="AD198" s="16"/>
    </row>
    <row r="199" spans="1:30" ht="15.75" customHeight="1">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c r="AA199" s="16"/>
      <c r="AB199" s="16"/>
      <c r="AC199" s="16"/>
      <c r="AD199" s="16"/>
    </row>
    <row r="200" spans="1:30" ht="15.75" customHeight="1">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c r="AA200" s="16"/>
      <c r="AB200" s="16"/>
      <c r="AC200" s="16"/>
      <c r="AD200" s="16"/>
    </row>
    <row r="201" spans="1:30" ht="15.75" customHeight="1">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c r="AD201" s="16"/>
    </row>
    <row r="202" spans="1:30" ht="15.75" customHeight="1">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c r="AD202" s="16"/>
    </row>
    <row r="203" spans="1:30" ht="15.75" customHeight="1">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c r="AA203" s="16"/>
      <c r="AB203" s="16"/>
      <c r="AC203" s="16"/>
      <c r="AD203" s="16"/>
    </row>
    <row r="204" spans="1:30" ht="15.75" customHeight="1">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c r="AA204" s="16"/>
      <c r="AB204" s="16"/>
      <c r="AC204" s="16"/>
      <c r="AD204" s="16"/>
    </row>
    <row r="205" spans="1:30" ht="15.75" customHeight="1">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c r="AD205" s="16"/>
    </row>
    <row r="206" spans="1:30" ht="15.75" customHeight="1">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row>
    <row r="207" spans="1:30" ht="15.75" customHeight="1">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c r="AD207" s="16"/>
    </row>
    <row r="208" spans="1:30" ht="15.75" customHeight="1">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c r="AD208" s="16"/>
    </row>
    <row r="209" spans="1:30" ht="15.75" customHeight="1">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c r="AD209" s="16"/>
    </row>
    <row r="210" spans="1:30" ht="15.75" customHeight="1">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c r="AD210" s="16"/>
    </row>
    <row r="211" spans="1:30" ht="15.75" customHeight="1">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row>
    <row r="212" spans="1:30" ht="15.75" customHeight="1">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c r="AD212" s="16"/>
    </row>
    <row r="213" spans="1:30" ht="15.75" customHeight="1">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c r="AD213" s="16"/>
    </row>
    <row r="214" spans="1:30" ht="15.75" customHeight="1">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row>
    <row r="215" spans="1:30" ht="15.75" customHeight="1">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c r="AD215" s="16"/>
    </row>
    <row r="216" spans="1:30" ht="15.75" customHeight="1">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c r="AD216" s="16"/>
    </row>
    <row r="217" spans="1:30" ht="15.75" customHeight="1">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c r="AD217" s="16"/>
    </row>
    <row r="218" spans="1:30" ht="15.75" customHeight="1">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c r="AD218" s="16"/>
    </row>
    <row r="219" spans="1:30" ht="15.75" customHeight="1">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c r="AD219" s="16"/>
    </row>
    <row r="220" spans="1:30" ht="15.75" customHeight="1">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c r="AD220" s="16"/>
    </row>
    <row r="221" spans="1:30" ht="15.75" customHeight="1">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row>
    <row r="222" spans="1:30" ht="15.75" customHeight="1">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row>
    <row r="223" spans="1:30" ht="15.75" customHeight="1">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c r="AD223" s="16"/>
    </row>
    <row r="224" spans="1:30" ht="15.75" customHeight="1">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c r="AD224" s="16"/>
    </row>
    <row r="225" spans="1:30" ht="15.75" customHeight="1">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16"/>
    </row>
    <row r="226" spans="1:30" ht="15.75" customHeight="1">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row>
    <row r="227" spans="1:30" ht="15.75" customHeight="1">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16"/>
    </row>
    <row r="228" spans="1:30" ht="15.75" customHeight="1">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c r="AD228" s="16"/>
    </row>
    <row r="229" spans="1:30" ht="15.75" customHeight="1">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c r="AD229" s="16"/>
    </row>
    <row r="230" spans="1:30" ht="15.75" customHeight="1">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row>
    <row r="231" spans="1:30" ht="15.75" customHeight="1">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c r="AD231" s="16"/>
    </row>
    <row r="232" spans="1:30" ht="15.75" customHeight="1">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c r="AD232" s="16"/>
    </row>
    <row r="233" spans="1:30" ht="15.75" customHeight="1">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c r="AD233" s="16"/>
    </row>
    <row r="234" spans="1:30" ht="15.75" customHeight="1">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c r="AD234" s="16"/>
    </row>
    <row r="235" spans="1:30" ht="15.75" customHeight="1">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row>
    <row r="236" spans="1:30" ht="15.75" customHeight="1">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c r="AD236" s="16"/>
    </row>
    <row r="237" spans="1:30" ht="15.75" customHeight="1">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c r="AD237" s="16"/>
    </row>
    <row r="238" spans="1:30" ht="15.75" customHeight="1">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c r="AD238" s="16"/>
    </row>
    <row r="239" spans="1:30" ht="15.75" customHeight="1">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c r="AD239" s="16"/>
    </row>
    <row r="240" spans="1:30" ht="15.75" customHeight="1">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c r="AD240" s="16"/>
    </row>
    <row r="241" spans="1:30" ht="15.75" customHeight="1">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c r="AD241" s="16"/>
    </row>
    <row r="242" spans="1:30" ht="15.75" customHeight="1">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c r="AD242" s="16"/>
    </row>
    <row r="243" spans="1:30" ht="15.75" customHeight="1">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c r="AD243" s="16"/>
    </row>
    <row r="244" spans="1:30" ht="15.75" customHeight="1">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16"/>
    </row>
    <row r="245" spans="1:30" ht="15.75" customHeight="1">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c r="AD245" s="16"/>
    </row>
    <row r="246" spans="1:30" ht="15.75" customHeight="1">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row>
    <row r="247" spans="1:30" ht="15.75" customHeight="1">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c r="AD247" s="16"/>
    </row>
    <row r="248" spans="1:30" ht="15.75" customHeight="1">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row>
    <row r="249" spans="1:30" ht="15.75" customHeight="1">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row>
    <row r="250" spans="1:30" ht="15.75" customHeight="1">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c r="AD250" s="16"/>
    </row>
    <row r="251" spans="1:30" ht="15.75" customHeight="1">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row>
    <row r="252" spans="1:30" ht="15.75" customHeight="1">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16"/>
    </row>
    <row r="253" spans="1:30" ht="15.75" customHeight="1">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c r="AD253" s="16"/>
    </row>
    <row r="254" spans="1:30" ht="15.75" customHeight="1">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row>
    <row r="255" spans="1:30" ht="15.75" customHeight="1">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c r="AD255" s="16"/>
    </row>
    <row r="256" spans="1:30" ht="15.75" customHeight="1">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row>
    <row r="257" spans="1:30" ht="15.75" customHeight="1">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c r="AD257" s="16"/>
    </row>
    <row r="258" spans="1:30" ht="15.75" customHeight="1">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c r="AD258" s="16"/>
    </row>
    <row r="259" spans="1:30" ht="15.75" customHeight="1">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row>
    <row r="260" spans="1:30" ht="15.75" customHeight="1">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row>
    <row r="261" spans="1:30" ht="15.75" customHeight="1">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c r="AD261" s="16"/>
    </row>
    <row r="262" spans="1:30" ht="15.75" customHeight="1">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row>
    <row r="263" spans="1:30" ht="15.75" customHeight="1">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row>
    <row r="264" spans="1:30" ht="15.75" customHeight="1">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c r="AD264" s="16"/>
    </row>
    <row r="265" spans="1:30" ht="15.75" customHeight="1">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row>
    <row r="266" spans="1:30" ht="15.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row>
    <row r="267" spans="1:30" ht="15.75" customHeight="1">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row>
    <row r="268" spans="1:30" ht="15.75" customHeight="1">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c r="AD268" s="16"/>
    </row>
    <row r="269" spans="1:30" ht="15.75" customHeight="1">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row>
    <row r="270" spans="1:30" ht="15.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row>
    <row r="271" spans="1:30" ht="15.75" customHeight="1">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c r="AD271" s="16"/>
    </row>
    <row r="272" spans="1:30" ht="15.75" customHeight="1">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c r="AD272" s="16"/>
    </row>
    <row r="273" spans="1:30" ht="15.75" customHeight="1">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c r="AD273" s="16"/>
    </row>
    <row r="274" spans="1:30" ht="15.75" customHeight="1">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c r="AD274" s="16"/>
    </row>
    <row r="275" spans="1:30" ht="15.75" customHeight="1">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c r="AD275" s="16"/>
    </row>
    <row r="276" spans="1:30" ht="15.75" customHeight="1">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row>
    <row r="277" spans="1:30" ht="15.75" customHeight="1">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16"/>
    </row>
    <row r="278" spans="1:30" ht="15.75" customHeight="1">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row>
    <row r="279" spans="1:30" ht="15.75" customHeight="1">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16"/>
    </row>
    <row r="280" spans="1:30" ht="15.75" customHeight="1">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c r="AD280" s="16"/>
    </row>
    <row r="281" spans="1:30" ht="15.75" customHeight="1">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c r="AD281" s="16"/>
    </row>
    <row r="282" spans="1:30" ht="15.75" customHeight="1">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c r="AD282" s="16"/>
    </row>
    <row r="283" spans="1:30" ht="15.75" customHeight="1">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c r="AD283" s="16"/>
    </row>
    <row r="284" spans="1:30" ht="15.75" customHeight="1">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c r="AD284" s="16"/>
    </row>
    <row r="285" spans="1:30" ht="15.75" customHeight="1">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c r="AD285" s="16"/>
    </row>
    <row r="286" spans="1:30" ht="15.75" customHeight="1">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row>
    <row r="287" spans="1:30" ht="15.75" customHeight="1">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row>
    <row r="288" spans="1:30" ht="15.75" customHeight="1">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row>
    <row r="289" spans="1:30" ht="15.75" customHeight="1">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row>
    <row r="290" spans="1:30" ht="15.75" customHeight="1">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row>
    <row r="291" spans="1:30" ht="15.75" customHeight="1">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c r="AD291" s="16"/>
    </row>
    <row r="292" spans="1:30" ht="15.75" customHeight="1">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row>
    <row r="293" spans="1:30" ht="15.75" customHeight="1">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row>
    <row r="294" spans="1:30" ht="15.75" customHeight="1">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row>
    <row r="295" spans="1:30" ht="15.75" customHeight="1">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row>
    <row r="296" spans="1:30" ht="15.75" customHeight="1">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row>
    <row r="297" spans="1:30" ht="15.75" customHeight="1">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row>
    <row r="298" spans="1:30" ht="15.75" customHeight="1">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row>
    <row r="299" spans="1:30" ht="15.75" customHeight="1">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row>
    <row r="300" spans="1:30" ht="15.75" customHeight="1">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row>
    <row r="301" spans="1:30" ht="15.75" customHeight="1">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c r="AD301" s="16"/>
    </row>
    <row r="302" spans="1:30" ht="15.75" customHeight="1">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c r="AD302" s="16"/>
    </row>
    <row r="303" spans="1:30" ht="15.75" customHeight="1">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row>
    <row r="304" spans="1:30" ht="15.75" customHeight="1">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c r="AD304" s="16"/>
    </row>
    <row r="305" spans="1:30" ht="15.75" customHeight="1">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c r="AD305" s="16"/>
    </row>
    <row r="306" spans="1:30" ht="15.75" customHeight="1"/>
    <row r="307" spans="1:30" ht="15.75" customHeight="1"/>
    <row r="308" spans="1:30" ht="15.75" customHeight="1"/>
    <row r="309" spans="1:30" ht="15.75" customHeight="1"/>
    <row r="310" spans="1:30" ht="15.75" customHeight="1"/>
    <row r="311" spans="1:30" ht="15.75" customHeight="1"/>
    <row r="312" spans="1:30" ht="15.75" customHeight="1"/>
    <row r="313" spans="1:30" ht="15.75" customHeight="1"/>
    <row r="314" spans="1:30" ht="15.75" customHeight="1"/>
    <row r="315" spans="1:30" ht="15.75" customHeight="1"/>
    <row r="316" spans="1:30" ht="15.75" customHeight="1"/>
    <row r="317" spans="1:30" ht="15.75" customHeight="1"/>
    <row r="318" spans="1:30" ht="15.75" customHeight="1"/>
    <row r="319" spans="1:30" ht="15.75" customHeight="1"/>
    <row r="320" spans="1:3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99">
    <mergeCell ref="M164:O164"/>
    <mergeCell ref="B168:C168"/>
    <mergeCell ref="M168:O168"/>
    <mergeCell ref="B169:C169"/>
    <mergeCell ref="M169:O169"/>
    <mergeCell ref="B165:C165"/>
    <mergeCell ref="M165:O165"/>
    <mergeCell ref="B166:C166"/>
    <mergeCell ref="M166:O166"/>
    <mergeCell ref="B167:C167"/>
    <mergeCell ref="M167:O167"/>
    <mergeCell ref="M152:O152"/>
    <mergeCell ref="B155:C155"/>
    <mergeCell ref="M155:O155"/>
    <mergeCell ref="M158:O158"/>
    <mergeCell ref="B159:C159"/>
    <mergeCell ref="M159:O159"/>
    <mergeCell ref="P155:T155"/>
    <mergeCell ref="B156:C156"/>
    <mergeCell ref="M156:O156"/>
    <mergeCell ref="P156:T169"/>
    <mergeCell ref="B157:C157"/>
    <mergeCell ref="M157:O157"/>
    <mergeCell ref="B158:C158"/>
    <mergeCell ref="B161:C161"/>
    <mergeCell ref="M161:O161"/>
    <mergeCell ref="B160:C160"/>
    <mergeCell ref="M160:O160"/>
    <mergeCell ref="B162:C162"/>
    <mergeCell ref="M162:O162"/>
    <mergeCell ref="B163:C163"/>
    <mergeCell ref="M163:O163"/>
    <mergeCell ref="B164:C164"/>
    <mergeCell ref="M151:O151"/>
    <mergeCell ref="M138:O138"/>
    <mergeCell ref="P138:T138"/>
    <mergeCell ref="M139:O139"/>
    <mergeCell ref="P139:T152"/>
    <mergeCell ref="M140:O140"/>
    <mergeCell ref="M141:O141"/>
    <mergeCell ref="M142:O142"/>
    <mergeCell ref="M143:O143"/>
    <mergeCell ref="M144:O144"/>
    <mergeCell ref="M145:O145"/>
    <mergeCell ref="M146:O146"/>
    <mergeCell ref="M147:O147"/>
    <mergeCell ref="M148:O148"/>
    <mergeCell ref="M149:O149"/>
    <mergeCell ref="M150:O150"/>
    <mergeCell ref="M135:O135"/>
    <mergeCell ref="P121:R121"/>
    <mergeCell ref="M123:O123"/>
    <mergeCell ref="P123:T123"/>
    <mergeCell ref="M124:O124"/>
    <mergeCell ref="P124:T135"/>
    <mergeCell ref="M125:O125"/>
    <mergeCell ref="M126:O126"/>
    <mergeCell ref="M127:O127"/>
    <mergeCell ref="M128:O128"/>
    <mergeCell ref="M129:O129"/>
    <mergeCell ref="M130:O130"/>
    <mergeCell ref="M131:O131"/>
    <mergeCell ref="M132:O132"/>
    <mergeCell ref="M133:O133"/>
    <mergeCell ref="M134:O134"/>
    <mergeCell ref="P119:R119"/>
    <mergeCell ref="P120:R120"/>
    <mergeCell ref="AG29:AH29"/>
    <mergeCell ref="AI29:AJ29"/>
    <mergeCell ref="AG30:AH40"/>
    <mergeCell ref="AI30:AJ40"/>
    <mergeCell ref="P115:R115"/>
    <mergeCell ref="P70:Q70"/>
    <mergeCell ref="H92:I105"/>
    <mergeCell ref="J92:K105"/>
    <mergeCell ref="P116:R116"/>
    <mergeCell ref="P117:R117"/>
    <mergeCell ref="P118:R118"/>
    <mergeCell ref="H37:J37"/>
    <mergeCell ref="K71:O87"/>
    <mergeCell ref="P71:Q87"/>
    <mergeCell ref="H91:I91"/>
    <mergeCell ref="J91:K91"/>
    <mergeCell ref="K70:O70"/>
    <mergeCell ref="H38:J42"/>
    <mergeCell ref="I45:K45"/>
    <mergeCell ref="I46:K50"/>
    <mergeCell ref="K54:M54"/>
    <mergeCell ref="K55:M67"/>
    <mergeCell ref="A1:C1"/>
    <mergeCell ref="E1:H1"/>
    <mergeCell ref="D7:I7"/>
    <mergeCell ref="D8:I8"/>
    <mergeCell ref="A28:F28"/>
    <mergeCell ref="A30:F30"/>
    <mergeCell ref="A31:F31"/>
    <mergeCell ref="A32:F32"/>
    <mergeCell ref="A34:F34"/>
    <mergeCell ref="A29:F29"/>
  </mergeCells>
  <phoneticPr fontId="31" type="noConversion"/>
  <conditionalFormatting sqref="I55:I66">
    <cfRule type="containsText" dxfId="553" priority="1" operator="containsText" text="5">
      <formula>NOT(ISERROR(SEARCH(("5"),(I55))))</formula>
    </cfRule>
    <cfRule type="containsText" dxfId="552" priority="2" operator="containsText" text="42">
      <formula>NOT(ISERROR(SEARCH(("42"),(I55))))</formula>
    </cfRule>
    <cfRule type="containsText" dxfId="551" priority="3" operator="containsText" text="Please fill in">
      <formula>NOT(ISERROR(SEARCH(("Please fill in"),(I55))))</formula>
    </cfRule>
  </conditionalFormatting>
  <dataValidations count="4">
    <dataValidation type="list" allowBlank="1" showErrorMessage="1" sqref="H55:H67 D48:D50" xr:uid="{F27FAEDF-0FF1-46BF-AAB7-D84352F698B0}">
      <formula1>Hippocampus!TypesOfTrainers</formula1>
    </dataValidation>
    <dataValidation type="list" allowBlank="1" showErrorMessage="1" sqref="B9" xr:uid="{9E0B4823-4DA0-4001-87F5-5BA81F57E667}">
      <formula1>"yes,no,partial"</formula1>
    </dataValidation>
    <dataValidation type="list" allowBlank="1" sqref="G46:G50" xr:uid="{359BDB1D-928D-485C-A4C3-9558E0539055}">
      <formula1>"yes,no"</formula1>
    </dataValidation>
    <dataValidation type="list" allowBlank="1" showErrorMessage="1" sqref="D46:D47" xr:uid="{C98AC34C-1C1E-4D63-BB2E-82DBCD4951B7}">
      <formula1>'https://universiteittwente.sharepoint.com/sites/SportsCoordinatorsSUT/Gedeelde documenten/General/(WIP) FAM Sheets - Regulations 2025-28 - Version April 2025.xlsx'!TypesOfTrainers</formula1>
    </dataValidation>
  </dataValidations>
  <pageMargins left="0.7" right="0.7" top="0.75" bottom="0.75" header="0" footer="0"/>
  <pageSetup paperSize="9" orientation="portrait"/>
  <drawing r:id="rId1"/>
  <legacyDrawing r:id="rId2"/>
  <tableParts count="6">
    <tablePart r:id="rId3"/>
    <tablePart r:id="rId4"/>
    <tablePart r:id="rId5"/>
    <tablePart r:id="rId6"/>
    <tablePart r:id="rId7"/>
    <tablePart r:id="rId8"/>
  </tableParts>
  <extLst>
    <ext xmlns:x14="http://schemas.microsoft.com/office/spreadsheetml/2009/9/main" uri="{CCE6A557-97BC-4b89-ADB6-D9C93CAAB3DF}">
      <x14:dataValidations xmlns:xm="http://schemas.microsoft.com/office/excel/2006/main" count="4">
        <x14:dataValidation type="list" allowBlank="1" showInputMessage="1" showErrorMessage="1" xr:uid="{2A7C0FEE-5403-469F-A172-ECF194AEBEA2}">
          <x14:formula1>
            <xm:f>Constants!$M$6:$M$7</xm:f>
          </x14:formula1>
          <xm:sqref>B92:B107</xm:sqref>
        </x14:dataValidation>
        <x14:dataValidation type="list" allowBlank="1" showInputMessage="1" showErrorMessage="1" xr:uid="{F17B2D5D-B21D-4FF5-8BBE-9C6018784771}">
          <x14:formula1>
            <xm:f>Constants!$C$55:$C$56</xm:f>
          </x14:formula1>
          <xm:sqref>B12</xm:sqref>
        </x14:dataValidation>
        <x14:dataValidation type="list" allowBlank="1" showErrorMessage="1" xr:uid="{42ABE19E-8592-4D89-9149-F31393D083E9}">
          <x14:formula1>
            <xm:f>Constants!$H$6:$H$13</xm:f>
          </x14:formula1>
          <xm:sqref>B55:B67</xm:sqref>
        </x14:dataValidation>
        <x14:dataValidation type="list" allowBlank="1" showErrorMessage="1" xr:uid="{F2DCF73F-FCE6-4366-BED1-9C0609AA1A15}">
          <x14:formula1>
            <xm:f>Constants!$A$2:$AD$2</xm:f>
          </x14:formula1>
          <xm:sqref>B71:B87</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6FBB6-680B-43AF-A762-86FA47BA0E03}">
  <dimension ref="A1:BG1003"/>
  <sheetViews>
    <sheetView topLeftCell="F63" workbookViewId="0">
      <selection activeCell="G64" sqref="G64"/>
    </sheetView>
  </sheetViews>
  <sheetFormatPr defaultColWidth="12.625" defaultRowHeight="15" customHeight="1"/>
  <cols>
    <col min="1" max="1" width="36.625" customWidth="1"/>
    <col min="2" max="2" width="28.125" customWidth="1"/>
    <col min="3" max="3" width="21" customWidth="1"/>
    <col min="4" max="4" width="17.5" customWidth="1"/>
    <col min="5" max="5" width="16.125" customWidth="1"/>
    <col min="6" max="6" width="21.5" customWidth="1"/>
    <col min="7" max="7" width="22.625" customWidth="1"/>
    <col min="8" max="8" width="18.625" customWidth="1"/>
    <col min="9" max="9" width="19.625" customWidth="1"/>
    <col min="10" max="10" width="18.875" customWidth="1"/>
    <col min="11" max="11" width="21.625" customWidth="1"/>
    <col min="12" max="12" width="17.375" customWidth="1"/>
    <col min="13" max="13" width="15.125" customWidth="1"/>
    <col min="14" max="14" width="15.625" customWidth="1"/>
    <col min="15" max="15" width="28.5" customWidth="1"/>
    <col min="16" max="16" width="13.125" customWidth="1"/>
    <col min="17" max="17" width="21.875" customWidth="1"/>
    <col min="18" max="18" width="27" customWidth="1"/>
    <col min="19" max="19" width="20.5" customWidth="1"/>
    <col min="20" max="22" width="7.625" customWidth="1"/>
    <col min="23" max="23" width="31.875" customWidth="1"/>
    <col min="24" max="24" width="7.625" customWidth="1"/>
    <col min="25" max="25" width="8.375" customWidth="1"/>
    <col min="26" max="26" width="21.625" customWidth="1"/>
    <col min="27" max="27" width="12" customWidth="1"/>
    <col min="28" max="28" width="16.5" customWidth="1"/>
    <col min="29" max="29" width="6" customWidth="1"/>
    <col min="30" max="31" width="19.125" customWidth="1"/>
  </cols>
  <sheetData>
    <row r="1" spans="1:59" ht="171" customHeight="1">
      <c r="A1" s="703"/>
      <c r="B1" s="704"/>
      <c r="C1" s="705"/>
      <c r="D1" s="16"/>
      <c r="E1" s="572" t="s">
        <v>186</v>
      </c>
      <c r="F1" s="704"/>
      <c r="G1" s="704"/>
      <c r="H1" s="705"/>
      <c r="I1" s="16"/>
      <c r="J1" s="16"/>
      <c r="K1" s="16"/>
      <c r="L1" s="16"/>
      <c r="M1" s="16"/>
      <c r="N1" s="16"/>
      <c r="O1" s="16"/>
      <c r="P1" s="16"/>
      <c r="Q1" s="16"/>
      <c r="R1" s="16"/>
      <c r="S1" s="16"/>
      <c r="T1" s="16"/>
      <c r="U1" s="16"/>
      <c r="V1" s="16"/>
      <c r="W1" s="16"/>
      <c r="X1" s="16"/>
      <c r="Y1" s="16"/>
      <c r="Z1" s="16"/>
      <c r="AA1" s="16"/>
      <c r="AB1" s="16"/>
      <c r="AC1" s="16"/>
      <c r="AD1" s="16"/>
    </row>
    <row r="2" spans="1:59">
      <c r="A2" s="58" t="s">
        <v>404</v>
      </c>
      <c r="B2" s="152" t="s">
        <v>1074</v>
      </c>
      <c r="C2" s="59"/>
      <c r="D2" s="16"/>
      <c r="E2" s="60" t="s">
        <v>406</v>
      </c>
      <c r="F2" s="153"/>
      <c r="G2" s="154"/>
      <c r="H2" s="61"/>
      <c r="I2" s="16"/>
      <c r="J2" s="16"/>
      <c r="K2" s="16"/>
      <c r="L2" s="16"/>
      <c r="M2" s="16"/>
      <c r="N2" s="16"/>
      <c r="O2" s="16"/>
      <c r="P2" s="16"/>
      <c r="Q2" s="16"/>
      <c r="R2" s="16"/>
      <c r="S2" s="16"/>
      <c r="T2" s="16"/>
      <c r="U2" s="16"/>
      <c r="V2" s="16"/>
      <c r="W2" s="16"/>
      <c r="X2" s="16"/>
      <c r="Y2" s="16"/>
      <c r="Z2" s="15"/>
      <c r="AA2" s="15"/>
      <c r="AB2" s="15"/>
      <c r="AC2" s="15"/>
      <c r="AD2" s="16"/>
      <c r="AE2" s="16"/>
      <c r="AF2" s="16"/>
      <c r="AG2" s="16"/>
      <c r="AH2" s="16"/>
      <c r="AI2" s="17"/>
      <c r="AJ2" s="17"/>
      <c r="AK2" s="17"/>
      <c r="AL2" s="17"/>
      <c r="AM2" s="17"/>
      <c r="AN2" s="17"/>
      <c r="AO2" s="17"/>
      <c r="AP2" s="17"/>
      <c r="AQ2" s="17"/>
      <c r="AR2" s="18"/>
      <c r="AS2" s="17"/>
      <c r="AT2" s="17"/>
      <c r="AU2" s="16"/>
      <c r="AV2" s="16"/>
      <c r="AW2" s="16"/>
      <c r="AX2" s="16"/>
      <c r="AY2" s="16"/>
      <c r="AZ2" s="16"/>
      <c r="BA2" s="16"/>
    </row>
    <row r="3" spans="1:59">
      <c r="A3" s="62" t="s">
        <v>408</v>
      </c>
      <c r="B3" s="155">
        <v>6</v>
      </c>
      <c r="C3" s="156"/>
      <c r="D3" s="16"/>
      <c r="E3" s="63" t="s">
        <v>409</v>
      </c>
      <c r="F3" s="157"/>
      <c r="G3" s="158"/>
      <c r="H3" s="159"/>
      <c r="I3" s="16"/>
      <c r="J3" s="16"/>
      <c r="K3" s="16"/>
      <c r="L3" s="16"/>
      <c r="M3" s="16"/>
      <c r="N3" s="16"/>
      <c r="O3" s="16"/>
      <c r="P3" s="16"/>
      <c r="Q3" s="16"/>
      <c r="R3" s="16"/>
      <c r="S3" s="16"/>
      <c r="T3" s="16"/>
      <c r="U3" s="16"/>
      <c r="V3" s="16"/>
      <c r="W3" s="16"/>
      <c r="X3" s="16"/>
      <c r="Y3" s="16"/>
      <c r="Z3" s="16"/>
      <c r="AA3" s="16"/>
      <c r="AB3" s="16"/>
      <c r="AC3" s="16"/>
      <c r="AD3" s="16"/>
    </row>
    <row r="4" spans="1:59">
      <c r="A4" s="160" t="s">
        <v>410</v>
      </c>
      <c r="B4" s="161">
        <v>45812</v>
      </c>
      <c r="C4" s="162"/>
      <c r="D4" s="16"/>
      <c r="E4" s="163"/>
      <c r="F4" s="164"/>
      <c r="G4" s="165"/>
      <c r="H4" s="166"/>
      <c r="I4" s="16"/>
      <c r="J4" s="16"/>
      <c r="K4" s="16"/>
      <c r="L4" s="16"/>
      <c r="M4" s="16"/>
      <c r="N4" s="16"/>
      <c r="O4" s="16"/>
      <c r="P4" s="16"/>
      <c r="Q4" s="16"/>
      <c r="R4" s="16"/>
      <c r="S4" s="16"/>
      <c r="T4" s="16"/>
      <c r="U4" s="16"/>
      <c r="V4" s="16"/>
      <c r="W4" s="16"/>
      <c r="X4" s="16"/>
      <c r="Y4" s="16"/>
      <c r="Z4" s="16"/>
      <c r="AA4" s="16"/>
      <c r="AB4" s="16"/>
      <c r="AC4" s="16"/>
      <c r="AD4" s="16"/>
    </row>
    <row r="5" spans="1:59">
      <c r="A5" s="167" t="s">
        <v>411</v>
      </c>
      <c r="B5" s="168"/>
      <c r="C5" s="167"/>
      <c r="D5" s="16"/>
      <c r="E5" s="169" t="s">
        <v>412</v>
      </c>
      <c r="F5" s="169"/>
      <c r="G5" s="158"/>
      <c r="H5" s="169"/>
      <c r="I5" s="16"/>
      <c r="J5" s="16"/>
      <c r="K5" s="16"/>
      <c r="L5" s="16"/>
      <c r="M5" s="16"/>
      <c r="N5" s="16"/>
      <c r="O5" s="16"/>
      <c r="P5" s="16"/>
      <c r="Q5" s="16"/>
      <c r="R5" s="16"/>
      <c r="S5" s="16"/>
      <c r="T5" s="16"/>
      <c r="U5" s="16"/>
      <c r="V5" s="16"/>
      <c r="W5" s="16"/>
      <c r="X5" s="16"/>
      <c r="Y5" s="16"/>
      <c r="Z5" s="16"/>
      <c r="AA5" s="16"/>
      <c r="AB5" s="16"/>
      <c r="AC5" s="16"/>
      <c r="AD5" s="16"/>
    </row>
    <row r="6" spans="1:59">
      <c r="A6" s="15"/>
      <c r="B6" s="64"/>
      <c r="C6" s="16"/>
      <c r="D6" s="16"/>
      <c r="E6" s="16"/>
      <c r="F6" s="16"/>
      <c r="G6" s="16"/>
      <c r="H6" s="16"/>
      <c r="I6" s="16"/>
      <c r="J6" s="64"/>
      <c r="K6" s="16"/>
      <c r="L6" s="16"/>
      <c r="M6" s="16"/>
      <c r="N6" s="16"/>
      <c r="O6" s="16"/>
      <c r="P6" s="16"/>
      <c r="Q6" s="16"/>
      <c r="R6" s="16"/>
      <c r="S6" s="16"/>
      <c r="T6" s="16"/>
      <c r="U6" s="16"/>
      <c r="V6" s="16"/>
      <c r="W6" s="16"/>
      <c r="X6" s="16"/>
      <c r="Y6" s="16"/>
      <c r="Z6" s="16"/>
      <c r="AA6" s="16"/>
      <c r="AB6" s="16"/>
      <c r="AC6" s="16"/>
      <c r="AD6" s="16"/>
    </row>
    <row r="7" spans="1:59">
      <c r="A7" s="170" t="s">
        <v>413</v>
      </c>
      <c r="B7" s="59">
        <v>53</v>
      </c>
      <c r="C7" s="16"/>
      <c r="D7" s="573" t="s">
        <v>414</v>
      </c>
      <c r="E7" s="701"/>
      <c r="F7" s="701"/>
      <c r="G7" s="701"/>
      <c r="H7" s="701"/>
      <c r="I7" s="701"/>
      <c r="J7" s="16"/>
      <c r="K7" s="16"/>
      <c r="L7" s="16"/>
      <c r="M7" s="16"/>
      <c r="N7" s="16"/>
      <c r="O7" s="16"/>
      <c r="P7" s="16"/>
      <c r="Q7" s="16"/>
      <c r="R7" s="16"/>
      <c r="S7" s="16"/>
      <c r="T7" s="16"/>
      <c r="U7" s="16"/>
      <c r="V7" s="16"/>
      <c r="W7" s="16"/>
      <c r="X7" s="16"/>
      <c r="Y7" s="16"/>
      <c r="Z7" s="16"/>
      <c r="AA7" s="16"/>
      <c r="AB7" s="16"/>
      <c r="AC7" s="16"/>
      <c r="AD7" s="16"/>
    </row>
    <row r="8" spans="1:59" ht="14.25" customHeight="1">
      <c r="A8" s="171" t="s">
        <v>415</v>
      </c>
      <c r="B8" s="172">
        <f ca="1">M21-M17</f>
        <v>4610.6239979670281</v>
      </c>
      <c r="C8" s="16" t="s">
        <v>416</v>
      </c>
      <c r="D8" s="574" t="s">
        <v>417</v>
      </c>
      <c r="E8" s="704"/>
      <c r="F8" s="704"/>
      <c r="G8" s="704"/>
      <c r="H8" s="704"/>
      <c r="I8" s="704"/>
      <c r="J8" s="16"/>
      <c r="K8" s="16"/>
      <c r="L8" s="16"/>
      <c r="M8" s="16"/>
      <c r="N8" s="16"/>
      <c r="O8" s="16"/>
      <c r="P8" s="16"/>
      <c r="Q8" s="16"/>
      <c r="R8" s="16"/>
      <c r="S8" s="16"/>
      <c r="T8" s="16"/>
      <c r="U8" s="16"/>
      <c r="V8" s="16"/>
      <c r="W8" s="16"/>
      <c r="X8" s="16"/>
      <c r="Y8" s="16"/>
      <c r="Z8" s="16"/>
      <c r="AA8" s="16"/>
      <c r="AB8" s="16"/>
      <c r="AC8" s="16"/>
    </row>
    <row r="9" spans="1:59">
      <c r="A9" s="65" t="s">
        <v>418</v>
      </c>
      <c r="B9" s="173" t="s">
        <v>419</v>
      </c>
      <c r="C9" s="16"/>
      <c r="D9" s="16"/>
      <c r="E9" s="17"/>
      <c r="F9" s="17"/>
      <c r="G9" s="17"/>
      <c r="H9" s="17"/>
      <c r="I9" s="17"/>
      <c r="J9" s="17"/>
      <c r="K9" s="17"/>
      <c r="L9" s="17"/>
      <c r="M9" s="17"/>
      <c r="N9" s="17"/>
      <c r="O9" s="17"/>
      <c r="P9" s="17"/>
      <c r="Q9" s="16"/>
      <c r="R9" s="17"/>
      <c r="S9" s="17"/>
      <c r="T9" s="17"/>
      <c r="U9" s="17"/>
      <c r="V9" s="17"/>
      <c r="W9" s="17"/>
      <c r="X9" s="17"/>
      <c r="Y9" s="17"/>
      <c r="Z9" s="17"/>
      <c r="AA9" s="17"/>
      <c r="AB9" s="17"/>
      <c r="AC9" s="17"/>
      <c r="AD9" s="18" t="s">
        <v>242</v>
      </c>
    </row>
    <row r="10" spans="1:59">
      <c r="A10" s="174" t="s">
        <v>420</v>
      </c>
      <c r="B10" s="66">
        <f>COUNTA(A38:A42)</f>
        <v>1</v>
      </c>
      <c r="C10" s="16"/>
      <c r="D10" s="16"/>
      <c r="E10" s="17"/>
      <c r="F10" s="17"/>
      <c r="G10" s="17"/>
      <c r="H10" s="17"/>
      <c r="I10" s="17"/>
      <c r="J10" s="17"/>
      <c r="K10" s="17"/>
      <c r="L10" s="17"/>
      <c r="M10" s="17"/>
      <c r="N10" s="17"/>
      <c r="O10" s="17"/>
      <c r="P10" s="17"/>
      <c r="Q10" s="16"/>
      <c r="R10" s="17"/>
      <c r="S10" s="17"/>
      <c r="T10" s="17"/>
      <c r="U10" s="17"/>
      <c r="V10" s="17"/>
      <c r="W10" s="17"/>
      <c r="X10" s="17"/>
      <c r="Y10" s="17"/>
      <c r="Z10" s="17"/>
      <c r="AA10" s="17"/>
      <c r="AB10" s="17"/>
      <c r="AC10" s="17"/>
      <c r="AD10" s="18"/>
    </row>
    <row r="11" spans="1:59">
      <c r="A11" s="171" t="s">
        <v>421</v>
      </c>
      <c r="B11" s="238">
        <f>SUM(B38:B42)</f>
        <v>53</v>
      </c>
      <c r="C11" s="16"/>
      <c r="D11" s="16"/>
      <c r="E11" s="17"/>
      <c r="F11" s="17"/>
      <c r="G11" s="17"/>
      <c r="H11" s="17"/>
      <c r="I11" s="17"/>
      <c r="J11" s="17"/>
      <c r="K11" s="17"/>
      <c r="L11" s="17"/>
      <c r="M11" s="17"/>
      <c r="N11" s="17"/>
      <c r="O11" s="17"/>
      <c r="P11" s="17"/>
      <c r="Q11" s="16"/>
      <c r="R11" s="17"/>
      <c r="S11" s="17"/>
      <c r="T11" s="17"/>
      <c r="U11" s="17"/>
      <c r="V11" s="17"/>
      <c r="W11" s="17"/>
      <c r="X11" s="17"/>
      <c r="Y11" s="17"/>
      <c r="Z11" s="17"/>
      <c r="AA11" s="17"/>
      <c r="AB11" s="17"/>
      <c r="AC11" s="17"/>
      <c r="AD11" s="18"/>
    </row>
    <row r="12" spans="1:59">
      <c r="A12" s="239" t="s">
        <v>422</v>
      </c>
      <c r="B12" s="240" t="s">
        <v>317</v>
      </c>
      <c r="C12" s="16"/>
      <c r="D12" s="16"/>
      <c r="E12" s="17"/>
      <c r="F12" s="17"/>
      <c r="G12" s="17"/>
      <c r="H12" s="17"/>
      <c r="I12" s="17"/>
      <c r="J12" s="17"/>
      <c r="K12" s="17"/>
      <c r="L12" s="17"/>
      <c r="M12" s="17"/>
      <c r="N12" s="17"/>
      <c r="O12" s="17"/>
      <c r="P12" s="17"/>
      <c r="Q12" s="16"/>
      <c r="R12" s="17"/>
      <c r="S12" s="17"/>
      <c r="T12" s="17"/>
      <c r="U12" s="17"/>
      <c r="V12" s="17"/>
      <c r="W12" s="17"/>
      <c r="X12" s="17"/>
      <c r="Y12" s="17"/>
      <c r="Z12" s="17"/>
      <c r="AA12" s="17"/>
      <c r="AB12" s="17"/>
      <c r="AC12" s="17"/>
      <c r="AD12" s="18"/>
    </row>
    <row r="13" spans="1:59">
      <c r="A13" s="16"/>
      <c r="B13" s="16"/>
      <c r="C13" s="16"/>
      <c r="D13" s="16"/>
      <c r="E13" s="17"/>
      <c r="F13" s="17"/>
      <c r="G13" s="17"/>
      <c r="H13" s="17"/>
      <c r="I13" s="17"/>
      <c r="J13" s="17"/>
      <c r="K13" s="17"/>
      <c r="L13" s="17"/>
      <c r="M13" s="17"/>
      <c r="N13" s="17"/>
      <c r="O13" s="17"/>
      <c r="P13" s="17"/>
      <c r="Q13" s="16"/>
      <c r="R13" s="17"/>
      <c r="S13" s="17"/>
      <c r="T13" s="17"/>
      <c r="U13" s="17"/>
      <c r="V13" s="17"/>
      <c r="W13" s="17"/>
      <c r="X13" s="17"/>
      <c r="Y13" s="17"/>
      <c r="Z13" s="17"/>
      <c r="AA13" s="17"/>
      <c r="AB13" s="17"/>
      <c r="AC13" s="17"/>
      <c r="AD13" s="17" t="str" cm="1">
        <f t="array" ref="AD13:BF14">Constants!A2:AC3</f>
        <v>SC1</v>
      </c>
      <c r="AE13" s="17" t="str">
        <v>SC1 - Half</v>
      </c>
      <c r="AF13" s="17" t="str">
        <v>SC2</v>
      </c>
      <c r="AG13" s="17" t="str">
        <v>SC2 - Half</v>
      </c>
      <c r="AH13" s="17" t="str">
        <v>SC3</v>
      </c>
      <c r="AI13" s="17" t="str">
        <v>SC4</v>
      </c>
      <c r="AJ13" s="17" t="str">
        <v>SC5</v>
      </c>
      <c r="AK13" s="17" t="str">
        <v>SC6</v>
      </c>
      <c r="AL13" s="17" t="str">
        <v>Dojo</v>
      </c>
      <c r="AM13" s="17" t="str">
        <v>Boulder Wall</v>
      </c>
      <c r="AN13" s="17" t="str">
        <v>Climbing Wall</v>
      </c>
      <c r="AO13" s="17" t="str">
        <v>Artificial Hockey field</v>
      </c>
      <c r="AP13" s="17" t="str">
        <v>Artificial Hockey field - Half</v>
      </c>
      <c r="AQ13" s="17" t="str">
        <v>Artificial Soccer field</v>
      </c>
      <c r="AR13" s="17" t="str">
        <v>Artificial Soccer field - Half</v>
      </c>
      <c r="AS13" s="17" t="str">
        <v>Basketball</v>
      </c>
      <c r="AT13" s="17" t="str">
        <v>Bastille field</v>
      </c>
      <c r="AU13" s="17" t="str">
        <v>Beach fields</v>
      </c>
      <c r="AV13" s="17" t="str">
        <v>Shooting range</v>
      </c>
      <c r="AW13" s="17" t="str">
        <v>Multi/Lacrosse field</v>
      </c>
      <c r="AX13" s="17" t="str">
        <v>Multi/Lacrosse field - Half</v>
      </c>
      <c r="AY13" s="17" t="str">
        <v>Bootcamp field</v>
      </c>
      <c r="AZ13" s="17" t="str">
        <v>Multi/Baseball field</v>
      </c>
      <c r="BA13" s="17" t="str">
        <v>Tennis court</v>
      </c>
      <c r="BB13" s="17" t="str">
        <v>Utrack</v>
      </c>
      <c r="BC13" s="22" t="str">
        <v>Verreveld</v>
      </c>
      <c r="BD13" s="22" t="str">
        <v>Wsc</v>
      </c>
      <c r="BE13" s="22" t="str">
        <v>Indoor pool</v>
      </c>
      <c r="BF13" s="22" t="str">
        <v>Outdoor pool</v>
      </c>
      <c r="BG13" s="22"/>
    </row>
    <row r="14" spans="1:59">
      <c r="A14" s="175" t="s">
        <v>423</v>
      </c>
      <c r="B14" s="16"/>
      <c r="C14" s="16"/>
      <c r="D14" s="16"/>
      <c r="E14" s="16"/>
      <c r="F14" s="16"/>
      <c r="G14" s="175" t="s">
        <v>424</v>
      </c>
      <c r="I14" s="17"/>
      <c r="J14" s="17"/>
      <c r="K14" s="176" t="s">
        <v>425</v>
      </c>
      <c r="L14" s="17"/>
      <c r="M14" s="176" t="s">
        <v>426</v>
      </c>
      <c r="N14" s="17"/>
      <c r="O14" s="17"/>
      <c r="P14" s="17"/>
      <c r="Q14" s="17"/>
      <c r="R14" s="17"/>
      <c r="S14" s="16"/>
      <c r="T14" s="17"/>
      <c r="U14" s="17"/>
      <c r="V14" s="17"/>
      <c r="W14" s="17"/>
      <c r="X14" s="17"/>
      <c r="Y14" s="17"/>
      <c r="Z14" s="17"/>
      <c r="AA14" s="17"/>
      <c r="AB14" s="17"/>
      <c r="AC14" s="17"/>
      <c r="AD14" s="19">
        <v>67.5</v>
      </c>
      <c r="AE14" s="19">
        <v>35</v>
      </c>
      <c r="AF14" s="19">
        <v>67.5</v>
      </c>
      <c r="AG14" s="19">
        <v>35</v>
      </c>
      <c r="AH14" s="19">
        <v>40</v>
      </c>
      <c r="AI14" s="19">
        <v>40</v>
      </c>
      <c r="AJ14" s="19">
        <v>35</v>
      </c>
      <c r="AK14" s="19">
        <v>35</v>
      </c>
      <c r="AL14" s="19">
        <v>40</v>
      </c>
      <c r="AM14" s="19">
        <v>27.5</v>
      </c>
      <c r="AN14" s="19">
        <v>45</v>
      </c>
      <c r="AO14" s="19">
        <v>75</v>
      </c>
      <c r="AP14" s="19">
        <v>40</v>
      </c>
      <c r="AQ14" s="19">
        <v>75</v>
      </c>
      <c r="AR14" s="19">
        <v>40</v>
      </c>
      <c r="AS14" s="19">
        <v>30</v>
      </c>
      <c r="AT14" s="19">
        <v>50</v>
      </c>
      <c r="AU14" s="19">
        <v>75</v>
      </c>
      <c r="AV14" s="19">
        <v>40</v>
      </c>
      <c r="AW14" s="19">
        <v>75</v>
      </c>
      <c r="AX14" s="19">
        <v>40</v>
      </c>
      <c r="AY14" s="19">
        <v>50</v>
      </c>
      <c r="AZ14" s="19">
        <v>65</v>
      </c>
      <c r="BA14" s="19">
        <v>35</v>
      </c>
      <c r="BB14" s="19">
        <v>45</v>
      </c>
      <c r="BC14" s="19">
        <v>50</v>
      </c>
      <c r="BD14" s="19">
        <v>0</v>
      </c>
      <c r="BE14" s="19">
        <v>65</v>
      </c>
      <c r="BF14" s="20">
        <v>70</v>
      </c>
      <c r="BG14" s="20"/>
    </row>
    <row r="15" spans="1:59">
      <c r="A15" s="67"/>
      <c r="B15" s="68" t="str">
        <f>Constants!H6</f>
        <v>Performance training</v>
      </c>
      <c r="C15" s="68" t="str">
        <f>Constants!H7</f>
        <v>Performance coaching</v>
      </c>
      <c r="D15" s="68" t="str">
        <f>Constants!H8</f>
        <v>Dangerous</v>
      </c>
      <c r="E15" s="69" t="str">
        <f>Constants!H9</f>
        <v>Recreational</v>
      </c>
      <c r="F15" s="69" t="s">
        <v>290</v>
      </c>
      <c r="G15" s="70"/>
      <c r="H15" s="71" t="s">
        <v>427</v>
      </c>
      <c r="I15" s="72" t="s">
        <v>272</v>
      </c>
      <c r="J15" s="70" t="s">
        <v>5</v>
      </c>
      <c r="K15" s="72" t="s">
        <v>428</v>
      </c>
      <c r="L15" s="70" t="s">
        <v>429</v>
      </c>
      <c r="M15" s="73" cm="1">
        <f t="array" ref="M15">(SUM(IF($D$46:$D$50="PT",($F$46:$F$50)/1.5+IF($G$46:$G$50="yes",1)))+SUM(IF($D$46:$D$50="Extern",($F$46:$F$50)/1.5+IF($G$46:$G$50="yes",1)))+SUM(IF($D$46:$D$50="PT-ZZP",($F$46:$F$50)/1.5+IF($G$46:$G$50="yes",1))))*Constants!B10</f>
        <v>1666.6666666666667</v>
      </c>
      <c r="N15" s="17"/>
      <c r="O15" s="17"/>
      <c r="P15" s="17"/>
      <c r="Q15" s="17"/>
      <c r="R15" s="16"/>
      <c r="S15" s="17"/>
      <c r="T15" s="17"/>
      <c r="U15" s="17"/>
      <c r="V15" s="17"/>
      <c r="W15" s="17"/>
      <c r="X15" s="17"/>
      <c r="Y15" s="17"/>
      <c r="Z15" s="17"/>
      <c r="AA15" s="17"/>
      <c r="AB15" s="17"/>
      <c r="AC15" s="17"/>
      <c r="AD15" s="16">
        <f t="shared" ref="AD15:BF15" si="0">SUMIF($B$71:$B$88,AD13,$F$71:$F$88)</f>
        <v>0</v>
      </c>
      <c r="AE15" s="16">
        <f t="shared" si="0"/>
        <v>0</v>
      </c>
      <c r="AF15" s="16">
        <f t="shared" si="0"/>
        <v>0</v>
      </c>
      <c r="AG15" s="16">
        <f t="shared" si="0"/>
        <v>0</v>
      </c>
      <c r="AH15" s="16">
        <f t="shared" si="0"/>
        <v>0</v>
      </c>
      <c r="AI15" s="16">
        <f t="shared" si="0"/>
        <v>0</v>
      </c>
      <c r="AJ15" s="16">
        <f t="shared" si="0"/>
        <v>0</v>
      </c>
      <c r="AK15" s="16">
        <f t="shared" si="0"/>
        <v>0</v>
      </c>
      <c r="AL15" s="16">
        <f t="shared" si="0"/>
        <v>0</v>
      </c>
      <c r="AM15" s="16">
        <f t="shared" si="0"/>
        <v>0</v>
      </c>
      <c r="AN15" s="16">
        <f t="shared" si="0"/>
        <v>0</v>
      </c>
      <c r="AO15" s="16">
        <f t="shared" si="0"/>
        <v>0</v>
      </c>
      <c r="AP15" s="16">
        <f t="shared" si="0"/>
        <v>0</v>
      </c>
      <c r="AQ15" s="16">
        <f t="shared" si="0"/>
        <v>0</v>
      </c>
      <c r="AR15" s="16">
        <f t="shared" si="0"/>
        <v>0</v>
      </c>
      <c r="AS15" s="16">
        <f t="shared" si="0"/>
        <v>0</v>
      </c>
      <c r="AT15" s="16">
        <f t="shared" si="0"/>
        <v>0</v>
      </c>
      <c r="AU15" s="16">
        <f t="shared" si="0"/>
        <v>0</v>
      </c>
      <c r="AV15" s="16">
        <f t="shared" si="0"/>
        <v>0</v>
      </c>
      <c r="AW15" s="16">
        <f t="shared" si="0"/>
        <v>0</v>
      </c>
      <c r="AX15" s="16">
        <f t="shared" si="0"/>
        <v>0</v>
      </c>
      <c r="AY15" s="16">
        <f t="shared" si="0"/>
        <v>0</v>
      </c>
      <c r="AZ15" s="16">
        <f t="shared" si="0"/>
        <v>0</v>
      </c>
      <c r="BA15" s="16">
        <f t="shared" si="0"/>
        <v>0</v>
      </c>
      <c r="BB15" s="16">
        <f t="shared" si="0"/>
        <v>0</v>
      </c>
      <c r="BC15" s="16">
        <f t="shared" si="0"/>
        <v>0</v>
      </c>
      <c r="BD15" s="16">
        <f t="shared" si="0"/>
        <v>0</v>
      </c>
      <c r="BE15" s="16">
        <f t="shared" si="0"/>
        <v>0</v>
      </c>
      <c r="BF15" s="16">
        <f t="shared" si="0"/>
        <v>0</v>
      </c>
    </row>
    <row r="16" spans="1:59">
      <c r="A16" s="74" t="str">
        <f>Constants!E6</f>
        <v>PT</v>
      </c>
      <c r="B16" s="16">
        <f>SUMIFS(Hercules!$F$55:$F$67,Hercules!$B$55:$B$67, B$15,Hercules!$H$55:$H$67,$A16)*(1+Constants!$B$7)</f>
        <v>0</v>
      </c>
      <c r="C16" s="16">
        <f>SUMIFS(Hercules!$F$55:$F$67,Hercules!$B$55:$B$67, C$15,Hercules!$H$55:$H$67,$A16)</f>
        <v>0</v>
      </c>
      <c r="D16" s="16">
        <f>SUMIFS(Hercules!$F$55:$F$67,Hercules!$B$55:$B$67, D$15,Hercules!$H$55:$H$67,$A16)*(1+Constants!$B$7)</f>
        <v>0</v>
      </c>
      <c r="E16" s="16">
        <f>SUMIFS(Hercules!$F$55:$F$67,Hercules!$B$55:$B$67, E$15,Hercules!$H$55:$H$67,$A16)*(1+Constants!$B$7)</f>
        <v>0</v>
      </c>
      <c r="F16" s="16">
        <f>SUMIFS(Hercules!$F$55:$F$67,Hercules!$B$55:$B$67, F$15,Hercules!$H$55:$H$67,$A16)*(1+Constants!$B$7)</f>
        <v>0</v>
      </c>
      <c r="G16" s="74" t="s">
        <v>430</v>
      </c>
      <c r="H16" s="16">
        <f>SUMIF(Hercules!$B$71:$B$89,"&lt;&gt;External",Hercules!$F$71:$F$89)</f>
        <v>0</v>
      </c>
      <c r="I16" s="75">
        <f>SUMIF(Hercules!$B$71:$B$89,"External",Hercules!$F$71:$F$89)</f>
        <v>126</v>
      </c>
      <c r="J16" s="234">
        <f>SUM($F$92:$F$105)</f>
        <v>0</v>
      </c>
      <c r="K16" s="76">
        <f>IF(OR(ISBLANK(B7),ISBLANK(B9)), "ERROR",MAX(MIN(J16,B7*Constants!B15)-Constants!B14*B7,0)*IF(B9="yes",Constants!B16,IF(B9="no",Constants!B17,0)))</f>
        <v>0</v>
      </c>
      <c r="L16" s="77" t="s">
        <v>360</v>
      </c>
      <c r="M16" s="76">
        <f>E16*Constants!B6+E17*Constants!B8+E22+E21</f>
        <v>0</v>
      </c>
      <c r="N16" s="17"/>
      <c r="O16" s="17"/>
      <c r="P16" s="17"/>
      <c r="Q16" s="17"/>
      <c r="R16" s="16"/>
      <c r="S16" s="17"/>
      <c r="T16" s="17"/>
      <c r="U16" s="17"/>
      <c r="V16" s="17"/>
      <c r="W16" s="17"/>
      <c r="X16" s="17"/>
      <c r="Y16" s="17"/>
      <c r="Z16" s="17"/>
      <c r="AA16" s="17"/>
      <c r="AB16" s="17"/>
      <c r="AC16" s="17"/>
      <c r="AD16" s="19">
        <f t="shared" ref="AD16:BF16" si="1">AD14*AD15</f>
        <v>0</v>
      </c>
      <c r="AE16" s="19">
        <f t="shared" si="1"/>
        <v>0</v>
      </c>
      <c r="AF16" s="19">
        <f t="shared" si="1"/>
        <v>0</v>
      </c>
      <c r="AG16" s="19">
        <f t="shared" si="1"/>
        <v>0</v>
      </c>
      <c r="AH16" s="19">
        <f t="shared" si="1"/>
        <v>0</v>
      </c>
      <c r="AI16" s="19">
        <f t="shared" si="1"/>
        <v>0</v>
      </c>
      <c r="AJ16" s="19">
        <f t="shared" si="1"/>
        <v>0</v>
      </c>
      <c r="AK16" s="19">
        <f t="shared" si="1"/>
        <v>0</v>
      </c>
      <c r="AL16" s="19">
        <f t="shared" si="1"/>
        <v>0</v>
      </c>
      <c r="AM16" s="19">
        <f t="shared" si="1"/>
        <v>0</v>
      </c>
      <c r="AN16" s="19">
        <f t="shared" si="1"/>
        <v>0</v>
      </c>
      <c r="AO16" s="19">
        <f t="shared" si="1"/>
        <v>0</v>
      </c>
      <c r="AP16" s="19">
        <f t="shared" si="1"/>
        <v>0</v>
      </c>
      <c r="AQ16" s="19">
        <f t="shared" si="1"/>
        <v>0</v>
      </c>
      <c r="AR16" s="19">
        <f t="shared" si="1"/>
        <v>0</v>
      </c>
      <c r="AS16" s="19">
        <f t="shared" si="1"/>
        <v>0</v>
      </c>
      <c r="AT16" s="19">
        <f t="shared" si="1"/>
        <v>0</v>
      </c>
      <c r="AU16" s="19">
        <f t="shared" si="1"/>
        <v>0</v>
      </c>
      <c r="AV16" s="19">
        <f t="shared" si="1"/>
        <v>0</v>
      </c>
      <c r="AW16" s="19">
        <f t="shared" si="1"/>
        <v>0</v>
      </c>
      <c r="AX16" s="19">
        <f t="shared" si="1"/>
        <v>0</v>
      </c>
      <c r="AY16" s="19">
        <f t="shared" si="1"/>
        <v>0</v>
      </c>
      <c r="AZ16" s="19">
        <f t="shared" si="1"/>
        <v>0</v>
      </c>
      <c r="BA16" s="19">
        <f t="shared" si="1"/>
        <v>0</v>
      </c>
      <c r="BB16" s="19">
        <f t="shared" si="1"/>
        <v>0</v>
      </c>
      <c r="BC16" s="19">
        <f t="shared" si="1"/>
        <v>0</v>
      </c>
      <c r="BD16" s="19">
        <f t="shared" si="1"/>
        <v>0</v>
      </c>
      <c r="BE16" s="19">
        <f t="shared" si="1"/>
        <v>0</v>
      </c>
      <c r="BF16" s="19">
        <f t="shared" si="1"/>
        <v>0</v>
      </c>
    </row>
    <row r="17" spans="1:36">
      <c r="A17" s="74" t="str">
        <f>Constants!E7</f>
        <v>PT-V</v>
      </c>
      <c r="B17" s="16">
        <f>SUMIFS(Hercules!$F$55:$F$67,Hercules!$B$55:$B$67, B$15,Hercules!$H$55:$H$67,$A17)*(1+Constants!$B$9)</f>
        <v>0</v>
      </c>
      <c r="C17" s="16">
        <f>SUMIFS(Hercules!$F$55:$F$67,Hercules!$B$55:$B$67, C$15,Hercules!$H$55:$H$67,$A17)</f>
        <v>0</v>
      </c>
      <c r="D17" s="16">
        <f>SUMIFS(Hercules!$F$55:$F$67,Hercules!$B$55:$B$67, D$15,Hercules!$H$55:$H$67,$A17)*(1+Constants!$B$9)</f>
        <v>0</v>
      </c>
      <c r="E17" s="16">
        <f>SUMIFS(Hercules!$F$55:$F$67,Hercules!$B$55:$B$67, E$15,Hercules!$H$55:$H$67,$A17)*(1+Constants!$B$9)</f>
        <v>0</v>
      </c>
      <c r="F17" s="16">
        <f>SUMIFS(Hercules!$F$55:$F$67,Hercules!$B$55:$B$67, F$15,Hercules!$H$55:$H$67,$A17)</f>
        <v>0</v>
      </c>
      <c r="G17" s="74" t="s">
        <v>38</v>
      </c>
      <c r="H17" s="78">
        <f>SUM(AD16:BZ16)</f>
        <v>0</v>
      </c>
      <c r="I17" s="76" cm="1">
        <f t="array" ref="I17">SUM(IF($B$71:$B$87="External",$F$71:$F$87*$H$71:$H$87,0))</f>
        <v>6930</v>
      </c>
      <c r="J17" s="79"/>
      <c r="K17" s="80"/>
      <c r="L17" s="77" t="s">
        <v>63</v>
      </c>
      <c r="M17" s="76">
        <f>J16-K16</f>
        <v>0</v>
      </c>
      <c r="N17" s="17"/>
      <c r="O17" s="17"/>
      <c r="P17" s="17"/>
      <c r="Q17" s="17"/>
      <c r="R17" s="16"/>
      <c r="S17" s="17"/>
      <c r="T17" s="17"/>
      <c r="U17" s="17"/>
      <c r="V17" s="17"/>
      <c r="W17" s="17"/>
      <c r="X17" s="17"/>
      <c r="Y17" s="17"/>
      <c r="Z17" s="17"/>
      <c r="AA17" s="17"/>
      <c r="AB17" s="17"/>
      <c r="AC17" s="17"/>
      <c r="AD17" s="17"/>
      <c r="AE17" s="17"/>
    </row>
    <row r="18" spans="1:36">
      <c r="A18" s="74" t="str">
        <f>Constants!E8</f>
        <v>PT-ZZP</v>
      </c>
      <c r="B18" s="16">
        <f>SUMIFS(Hercules!$F$55:$F$67,Hercules!$B$55:$B$67, B$15,Hercules!$H$55:$H$67,$A18)*(1+Constants!$B$7)</f>
        <v>0</v>
      </c>
      <c r="C18" s="16">
        <f>SUMIFS(Hercules!$F$55:$F$67,Hercules!$B$55:$B$67, C$15,Hercules!$H$55:$H$67,$A18)</f>
        <v>0</v>
      </c>
      <c r="D18" s="16">
        <f>SUMIFS(Hercules!$F$55:$F$67,Hercules!$B$55:$B$67, D$15,Hercules!$H$55:$H$67,$A18)*(1+Constants!$B$7)</f>
        <v>0</v>
      </c>
      <c r="E18" s="16">
        <f>SUMIFS(Hercules!$F$55:$F$67,Hercules!$B$55:$B$67, E$15,Hercules!$H$55:$H$67,$A18)*(1+Constants!$B$7)</f>
        <v>0</v>
      </c>
      <c r="F18" s="16">
        <f>SUMIFS(Hercules!$F$55:$F$67,Hercules!$B$55:$B$67, F$15,Hercules!$H$55:$H$67,$A18)*(1+Constants!$B$7)</f>
        <v>0</v>
      </c>
      <c r="G18" s="74"/>
      <c r="H18" s="78"/>
      <c r="I18" s="76"/>
      <c r="J18" s="79"/>
      <c r="K18" s="80"/>
      <c r="L18" s="77" t="s">
        <v>60</v>
      </c>
      <c r="M18" s="76" t="str">
        <f>IF(I17-Constants!I17*$B$7&gt;0,$I$17-Constants!I17*$B$7,"-")</f>
        <v>-</v>
      </c>
      <c r="N18" s="17"/>
      <c r="O18" s="17"/>
      <c r="P18" s="17"/>
      <c r="Q18" s="17"/>
      <c r="R18" s="16"/>
      <c r="S18" s="17"/>
      <c r="T18" s="17"/>
      <c r="U18" s="17"/>
      <c r="V18" s="17"/>
      <c r="W18" s="17"/>
      <c r="X18" s="17"/>
      <c r="Y18" s="17"/>
      <c r="Z18" s="17"/>
      <c r="AA18" s="17"/>
      <c r="AB18" s="17"/>
      <c r="AC18" s="17"/>
      <c r="AD18" s="17"/>
      <c r="AE18" s="17"/>
    </row>
    <row r="19" spans="1:36">
      <c r="A19" s="74" t="str">
        <f>Constants!E9</f>
        <v>RT</v>
      </c>
      <c r="B19" s="16">
        <f>SUMIFS(Hercules!$F$55:$F$67,Hercules!$B$55:$B$67, B$15,Hercules!$H$55:$H$67,$A19)</f>
        <v>0</v>
      </c>
      <c r="C19" s="16">
        <f>SUMIFS(Hercules!$F$55:$F$67,Hercules!$B$55:$B$67, C$15,Hercules!$H$55:$H$67,$A19)</f>
        <v>0</v>
      </c>
      <c r="D19" s="16">
        <f>SUMIFS(Hercules!$F$55:$F$67,Hercules!$B$55:$B$67, D$15,Hercules!$H$55:$H$67,$A19)</f>
        <v>0</v>
      </c>
      <c r="E19" s="16">
        <f>SUMIFS(Hercules!$F$55:$F$67,Hercules!$B$55:$B$67, E$15,Hercules!$H$55:$H$67,$A19)</f>
        <v>0</v>
      </c>
      <c r="F19" s="16">
        <f>SUMIFS(Hercules!$F$55:$F$67,Hercules!$B$55:$B$67, F$15,Hercules!$H$55:$H$67,$A19)</f>
        <v>0</v>
      </c>
      <c r="G19" s="74" t="s">
        <v>396</v>
      </c>
      <c r="H19" s="78"/>
      <c r="I19" s="76">
        <f>IF(B7*Constants!I17&lt;I17,B7*Constants!I17,I17)</f>
        <v>6930</v>
      </c>
      <c r="J19" s="79"/>
      <c r="K19" s="80"/>
      <c r="L19" s="77" t="s">
        <v>431</v>
      </c>
      <c r="M19" s="255">
        <f ca="1">Constants!C31*B7+Data!L15</f>
        <v>2943.9573313003616</v>
      </c>
      <c r="N19" s="17"/>
      <c r="O19" s="17"/>
      <c r="P19" s="17"/>
      <c r="Q19" s="17"/>
      <c r="R19" s="16"/>
      <c r="S19" s="17"/>
      <c r="T19" s="17"/>
      <c r="U19" s="17"/>
      <c r="V19" s="17"/>
      <c r="W19" s="17"/>
      <c r="X19" s="17"/>
      <c r="Y19" s="17"/>
      <c r="Z19" s="17"/>
      <c r="AA19" s="17"/>
      <c r="AB19" s="17"/>
      <c r="AC19" s="17"/>
      <c r="AD19" s="17"/>
      <c r="AE19" s="17"/>
    </row>
    <row r="20" spans="1:36">
      <c r="A20" s="74" t="str">
        <f>Constants!E10</f>
        <v>Extern</v>
      </c>
      <c r="B20" s="16">
        <f>SUMIFS(Hercules!$F$55:$F$67,Hercules!$B$55:$B$67, B$15,Hercules!$H$55:$H$67,$A20)</f>
        <v>0</v>
      </c>
      <c r="C20" s="16">
        <f>SUMIFS(Hercules!$F$55:$F$67,Hercules!$B$55:$B$67, C$15,Hercules!$H$55:$H$67,$A20)</f>
        <v>0</v>
      </c>
      <c r="D20" s="16">
        <f>SUMIFS(Hercules!$F$55:$F$67,Hercules!$B$55:$B$67, D$15,Hercules!$H$55:$H$67,$A20)</f>
        <v>210</v>
      </c>
      <c r="E20" s="16">
        <f>SUMIFS(Hercules!$F$55:$F$67,Hercules!$B$55:$B$67, E$15,Hercules!$H$55:$H$67,$A20)</f>
        <v>0</v>
      </c>
      <c r="F20" s="16">
        <f>SUMIFS(Hercules!$F$55:$F$67,Hercules!$B$55:$B$67, F$15,Hercules!$H$55:$H$67,$A20)</f>
        <v>0</v>
      </c>
      <c r="G20" s="81"/>
      <c r="H20" s="16"/>
      <c r="I20" s="75"/>
      <c r="J20" s="79"/>
      <c r="K20" s="82"/>
      <c r="L20" s="83"/>
      <c r="M20" s="84"/>
      <c r="N20" s="17"/>
      <c r="O20" s="17"/>
      <c r="P20" s="17"/>
      <c r="Q20" s="17"/>
      <c r="R20" s="16"/>
      <c r="S20" s="17"/>
      <c r="T20" s="17"/>
      <c r="U20" s="17"/>
      <c r="V20" s="17"/>
      <c r="W20" s="17"/>
      <c r="X20" s="17"/>
      <c r="Y20" s="17"/>
      <c r="Z20" s="17"/>
      <c r="AA20" s="17"/>
      <c r="AB20" s="17"/>
      <c r="AC20" s="17"/>
      <c r="AD20" s="17"/>
      <c r="AE20" s="17"/>
    </row>
    <row r="21" spans="1:36">
      <c r="A21" s="74" t="str">
        <f>CONCATENATE(A18," Costs")</f>
        <v>PT-ZZP Costs</v>
      </c>
      <c r="B21" s="78">
        <f t="array" ref="B21">SUM(IF(Hercules!$B$55:$B$67=B$15,IF(Hercules!$H$55:$H$67="PT-ZZP",Hercules!$F$55:$F$67*Hercules!$I$55:$I$67*(1+Constants!$B$7),0),0))</f>
        <v>0</v>
      </c>
      <c r="C21" s="78">
        <f t="array" ref="C21">SUM(IF(Hercules!$B$55:$B$67=C$15,IF(Hercules!$H$55:$H$67="PT-ZZP",Hercules!$F$55:$F$67*Hercules!$I$55:$I$67,0),0))</f>
        <v>0</v>
      </c>
      <c r="D21" s="78">
        <f t="array" ref="D21">SUM(IF(Hercules!$B$55:$B$67=D$15,IF(Hercules!$H$55:$H$67="PT-ZZP",Hercules!$F$55:$F$67*Hercules!$I$55:$I$67*(1+Constants!$B$7),0),0))</f>
        <v>0</v>
      </c>
      <c r="E21" s="78">
        <f t="array" ref="E21">SUM(IF(Hercules!$B$55:$B$67=E$15,IF(Hercules!$H$55:$H$67="PT-ZZP",Hercules!$F$55:$F$67*Hercules!$I$55:$I$67*(1+Constants!$B$7),0),0))</f>
        <v>0</v>
      </c>
      <c r="F21" s="78">
        <f t="array" ref="F21">SUM(IF(Hercules!$B$55:$B$67=F$15,IF(Hercules!$H$55:$H$67="PT-ZZP",Hercules!$F$55:$F$67*Hercules!$I$55:$I$67*(1+Constants!$B$7),0),0))</f>
        <v>0</v>
      </c>
      <c r="G21" s="81"/>
      <c r="H21" s="16"/>
      <c r="I21" s="75"/>
      <c r="J21" s="79"/>
      <c r="K21" s="82"/>
      <c r="L21" s="77" t="s">
        <v>5</v>
      </c>
      <c r="M21" s="76">
        <f ca="1">SUM(M15:M20)</f>
        <v>4610.6239979670281</v>
      </c>
      <c r="N21" s="17"/>
      <c r="O21" s="17"/>
      <c r="P21" s="17"/>
      <c r="Q21" s="17"/>
      <c r="R21" s="16"/>
      <c r="S21" s="17"/>
      <c r="T21" s="17"/>
      <c r="U21" s="17"/>
      <c r="V21" s="17"/>
      <c r="W21" s="17"/>
      <c r="X21" s="17"/>
      <c r="Y21" s="17"/>
      <c r="Z21" s="17"/>
      <c r="AA21" s="17"/>
      <c r="AB21" s="17"/>
      <c r="AC21" s="17"/>
      <c r="AD21" s="17"/>
      <c r="AE21" s="17"/>
    </row>
    <row r="22" spans="1:36" ht="15.75" customHeight="1">
      <c r="A22" s="74" t="str">
        <f>CONCATENATE(A20," Costs")</f>
        <v>Extern Costs</v>
      </c>
      <c r="B22" s="78">
        <f t="array" ref="B22">SUM(IF(Hercules!$B$55:$B$67=B$15,IF(Hercules!$H$55:$H$67="Extern",Hercules!$F$55:$F$67*Hercules!$I$55:$I$67,0),0))</f>
        <v>0</v>
      </c>
      <c r="C22" s="78">
        <f t="array" ref="C22">SUM(IF(Hercules!$B$55:$B$67=C$15,IF(Hercules!$H$55:$H$67="Extern",Hercules!$F$55:$F$67*Hercules!$I$55:$I$67,0),0))</f>
        <v>0</v>
      </c>
      <c r="D22" s="78" cm="1">
        <f t="array" ref="D22">SUM(IF(Hercules!$B$55:$B$67=D$15,IF(Hercules!$H$55:$H$67="Extern",Hercules!$F$55:$F$67*Hercules!$I$55:$I$67,0),0))</f>
        <v>7350</v>
      </c>
      <c r="E22" s="78">
        <f t="array" ref="E22">SUM(IF(Hercules!$B$55:$B$67=E$15,IF(Hercules!$H$55:$H$67="Extern",Hercules!$F$55:$F$67*Hercules!$I$55:$I$67,0),0))</f>
        <v>0</v>
      </c>
      <c r="F22" s="76">
        <f t="array" ref="F22">SUM(IF(Hercules!$B$55:$B$67=F$15,IF(Hercules!$H$55:$H$67="Extern",Hercules!$F$55:$F$67*Hercules!$I$55:$I$67,0),0))</f>
        <v>0</v>
      </c>
      <c r="G22" s="85"/>
      <c r="H22" s="177"/>
      <c r="I22" s="86"/>
      <c r="J22" s="87"/>
      <c r="K22" s="88"/>
      <c r="L22" s="87"/>
      <c r="M22" s="88"/>
      <c r="N22" s="17"/>
      <c r="O22" s="17"/>
      <c r="P22" s="17"/>
      <c r="Q22" s="17"/>
      <c r="R22" s="16"/>
      <c r="S22" s="17"/>
      <c r="T22" s="17"/>
      <c r="U22" s="17"/>
      <c r="V22" s="17"/>
      <c r="W22" s="17"/>
      <c r="X22" s="17"/>
      <c r="Y22" s="17"/>
      <c r="Z22" s="17"/>
      <c r="AA22" s="17"/>
      <c r="AB22" s="17"/>
      <c r="AC22" s="17"/>
      <c r="AD22" s="17"/>
      <c r="AE22" s="17"/>
    </row>
    <row r="23" spans="1:36" ht="15" customHeight="1">
      <c r="A23" s="74" t="s">
        <v>432</v>
      </c>
      <c r="B23" s="78"/>
      <c r="C23" s="78"/>
      <c r="D23" s="78"/>
      <c r="E23" s="78"/>
      <c r="F23" s="76">
        <f t="array" ref="F23">SUMIFS(Hercules!$F$55:$F$67,Hercules!$B$55:$B$67,"Mentorship",Hercules!$H$55:$H$67,"PT-V")*Constants!B8+SUMIFS(Hercules!$F$55:$F$67,Hercules!$B$55:$B$67,"Mentorship",Hercules!$H$55:$H$67,"PT")*Constants!B6+SUMPRODUCT(IF(Hercules!$B$55:$B$67="Mentorship",IF(Hercules!$H$55:$H$67="PT-ZZP",Hercules!$F$55:$F$67*Hercules!$I$55:$I$67,0)))</f>
        <v>0</v>
      </c>
    </row>
    <row r="24" spans="1:36" ht="15" customHeight="1">
      <c r="A24" s="89" t="s">
        <v>433</v>
      </c>
      <c r="B24" s="178"/>
      <c r="C24" s="178"/>
      <c r="D24" s="178"/>
      <c r="E24" s="178">
        <f>SUMIF(Hercules!$B$55:$B$67,"External Trainer Course",Hercules!$I$55:$I$67)</f>
        <v>0</v>
      </c>
      <c r="F24" s="90"/>
    </row>
    <row r="25" spans="1:36" ht="15.75" customHeight="1">
      <c r="A25" s="16"/>
      <c r="B25" s="16"/>
      <c r="C25" s="16"/>
      <c r="D25" s="16"/>
      <c r="E25" s="17"/>
      <c r="F25" s="17"/>
      <c r="G25" s="17"/>
      <c r="H25" s="17"/>
      <c r="I25" s="17"/>
      <c r="J25" s="17"/>
      <c r="K25" s="17"/>
      <c r="L25" s="17"/>
      <c r="M25" s="17"/>
      <c r="N25" s="17"/>
      <c r="O25" s="17"/>
      <c r="P25" s="17"/>
      <c r="Q25" s="16"/>
      <c r="R25" s="17"/>
      <c r="S25" s="17"/>
      <c r="T25" s="17"/>
      <c r="U25" s="17"/>
      <c r="V25" s="17"/>
      <c r="W25" s="17"/>
      <c r="X25" s="17"/>
      <c r="Y25" s="17"/>
      <c r="Z25" s="17"/>
      <c r="AA25" s="17"/>
      <c r="AB25" s="17"/>
      <c r="AC25" s="17"/>
      <c r="AD25" s="17"/>
    </row>
    <row r="26" spans="1:36" ht="15.75" customHeight="1">
      <c r="A26" s="16"/>
      <c r="B26" s="16"/>
      <c r="C26" s="16"/>
      <c r="D26" s="16"/>
      <c r="E26" s="17"/>
      <c r="F26" s="17"/>
      <c r="G26" s="17"/>
      <c r="H26" s="17"/>
      <c r="I26" s="17"/>
      <c r="J26" s="17"/>
      <c r="K26" s="17"/>
      <c r="L26" s="17"/>
      <c r="M26" s="17"/>
      <c r="N26" s="17"/>
      <c r="O26" s="17"/>
      <c r="P26" s="17"/>
      <c r="Q26" s="16"/>
      <c r="R26" s="17"/>
      <c r="S26" s="17"/>
      <c r="T26" s="17"/>
      <c r="U26" s="17"/>
      <c r="V26" s="17"/>
      <c r="W26" s="17"/>
      <c r="X26" s="17"/>
      <c r="Y26" s="17"/>
      <c r="Z26" s="17"/>
      <c r="AA26" s="17"/>
      <c r="AB26" s="17"/>
      <c r="AC26" s="17"/>
      <c r="AD26" s="17"/>
    </row>
    <row r="27" spans="1:36" ht="15.75" customHeight="1" thickBot="1">
      <c r="A27" s="91" t="s">
        <v>434</v>
      </c>
      <c r="B27" s="17"/>
      <c r="C27" s="17"/>
      <c r="D27" s="17"/>
      <c r="E27" s="17"/>
      <c r="F27" s="17"/>
      <c r="G27" s="92"/>
      <c r="H27" s="19"/>
      <c r="I27" s="17"/>
      <c r="J27" s="17"/>
      <c r="K27" s="17"/>
      <c r="L27" s="17"/>
      <c r="M27" s="17"/>
      <c r="N27" s="17"/>
      <c r="O27" s="17"/>
      <c r="P27" s="17"/>
      <c r="Q27" s="16"/>
      <c r="R27" s="17"/>
      <c r="S27" s="17"/>
      <c r="T27" s="17"/>
      <c r="U27" s="17"/>
      <c r="V27" s="17"/>
      <c r="W27" s="17"/>
      <c r="X27" s="17"/>
      <c r="Y27" s="17"/>
      <c r="Z27" s="17"/>
      <c r="AA27" s="17"/>
      <c r="AB27" s="17"/>
      <c r="AC27" s="17"/>
      <c r="AD27" s="17"/>
    </row>
    <row r="28" spans="1:36" ht="15.75" customHeight="1" thickTop="1" thickBot="1">
      <c r="A28" s="706" t="s">
        <v>435</v>
      </c>
      <c r="B28" s="707"/>
      <c r="C28" s="707"/>
      <c r="D28" s="707"/>
      <c r="E28" s="707"/>
      <c r="F28" s="708"/>
      <c r="G28" s="15"/>
      <c r="H28" s="17"/>
      <c r="I28" s="17"/>
      <c r="J28" s="17"/>
      <c r="K28" s="17"/>
      <c r="L28" s="17"/>
      <c r="M28" s="17"/>
      <c r="N28" s="17"/>
      <c r="O28" s="17"/>
      <c r="P28" s="17"/>
      <c r="Q28" s="16"/>
      <c r="R28" s="17"/>
      <c r="S28" s="17"/>
      <c r="T28" s="17"/>
      <c r="U28" s="17"/>
      <c r="V28" s="17"/>
      <c r="W28" s="17"/>
      <c r="X28" s="17"/>
      <c r="Y28" s="17"/>
      <c r="Z28" s="17"/>
      <c r="AA28" s="17"/>
      <c r="AB28" s="17"/>
      <c r="AC28" s="17"/>
      <c r="AD28" s="242" t="s">
        <v>436</v>
      </c>
      <c r="AE28" s="16"/>
      <c r="AF28" s="128"/>
      <c r="AG28" s="51"/>
      <c r="AH28" s="51"/>
      <c r="AI28" s="51"/>
      <c r="AJ28" s="51"/>
    </row>
    <row r="29" spans="1:36" ht="15.75" customHeight="1" thickBot="1">
      <c r="A29" s="709" t="s">
        <v>437</v>
      </c>
      <c r="B29" s="696"/>
      <c r="C29" s="696"/>
      <c r="D29" s="696"/>
      <c r="E29" s="696"/>
      <c r="F29" s="710"/>
      <c r="G29" s="17"/>
      <c r="H29" s="17"/>
      <c r="I29" s="17"/>
      <c r="J29" s="17"/>
      <c r="K29" s="17"/>
      <c r="L29" s="17"/>
      <c r="M29" s="17"/>
      <c r="N29" s="17"/>
      <c r="O29" s="17"/>
      <c r="P29" s="17"/>
      <c r="Q29" s="16"/>
      <c r="R29" s="17"/>
      <c r="S29" s="17"/>
      <c r="T29" s="17"/>
      <c r="U29" s="17"/>
      <c r="V29" s="17"/>
      <c r="W29" s="17"/>
      <c r="X29" s="17"/>
      <c r="Y29" s="17"/>
      <c r="Z29" s="17"/>
      <c r="AA29" s="17"/>
      <c r="AB29" s="17"/>
      <c r="AC29" s="17"/>
      <c r="AD29" s="243" t="s">
        <v>438</v>
      </c>
      <c r="AE29" s="243" t="s">
        <v>439</v>
      </c>
      <c r="AF29" s="243" t="s">
        <v>440</v>
      </c>
      <c r="AG29" s="711" t="s">
        <v>441</v>
      </c>
      <c r="AH29" s="712"/>
      <c r="AI29" s="711" t="s">
        <v>434</v>
      </c>
      <c r="AJ29" s="712"/>
    </row>
    <row r="30" spans="1:36" ht="15.75" customHeight="1" thickBot="1">
      <c r="A30" s="709" t="s">
        <v>442</v>
      </c>
      <c r="B30" s="696"/>
      <c r="C30" s="696"/>
      <c r="D30" s="696"/>
      <c r="E30" s="696"/>
      <c r="F30" s="710"/>
      <c r="G30" s="17"/>
      <c r="H30" s="17"/>
      <c r="I30" s="17"/>
      <c r="J30" s="17"/>
      <c r="K30" s="17"/>
      <c r="L30" s="17"/>
      <c r="M30" s="17"/>
      <c r="N30" s="17"/>
      <c r="O30" s="17"/>
      <c r="P30" s="17"/>
      <c r="Q30" s="16"/>
      <c r="R30" s="17"/>
      <c r="S30" s="17"/>
      <c r="T30" s="17"/>
      <c r="U30" s="17"/>
      <c r="V30" s="17"/>
      <c r="W30" s="17"/>
      <c r="X30" s="17"/>
      <c r="Y30" s="17"/>
      <c r="Z30" s="17"/>
      <c r="AA30" s="17"/>
      <c r="AB30" s="17"/>
      <c r="AC30" s="17"/>
      <c r="AD30" s="244" t="str">
        <f>IF($B$12="individual",Constants!F55,Constants!L55)</f>
        <v>member count</v>
      </c>
      <c r="AE30" s="244">
        <f>B7</f>
        <v>53</v>
      </c>
      <c r="AF30" s="269">
        <f>IF(AE30&gt;=301,5,IF(AE30&gt;=176,4,IF(AE30&gt;=101,3,IF(AE30&gt;=51,2,1))))</f>
        <v>2</v>
      </c>
      <c r="AG30" s="560"/>
      <c r="AH30" s="560"/>
      <c r="AI30" s="560" t="s">
        <v>443</v>
      </c>
      <c r="AJ30" s="560"/>
    </row>
    <row r="31" spans="1:36" ht="15" customHeight="1" thickBot="1">
      <c r="A31" s="709" t="s">
        <v>444</v>
      </c>
      <c r="B31" s="696"/>
      <c r="C31" s="696"/>
      <c r="D31" s="696"/>
      <c r="E31" s="696"/>
      <c r="F31" s="710"/>
      <c r="G31" s="17"/>
      <c r="H31" s="17"/>
      <c r="I31" s="17"/>
      <c r="J31" s="17"/>
      <c r="K31" s="17"/>
      <c r="L31" s="17"/>
      <c r="M31" s="17"/>
      <c r="N31" s="17"/>
      <c r="O31" s="17"/>
      <c r="P31" s="17"/>
      <c r="Q31" s="16"/>
      <c r="R31" s="17"/>
      <c r="S31" s="17"/>
      <c r="T31" s="17"/>
      <c r="U31" s="17"/>
      <c r="V31" s="17"/>
      <c r="W31" s="17"/>
      <c r="X31" s="17"/>
      <c r="Y31" s="17"/>
      <c r="Z31" s="17"/>
      <c r="AA31" s="17"/>
      <c r="AB31" s="17"/>
      <c r="AC31" s="17"/>
      <c r="AD31" s="244" t="str">
        <f>IF($B$12="individual",Constants!F56,Constants!L56)</f>
        <v>number of trainings per week</v>
      </c>
      <c r="AE31" s="244" cm="1">
        <f t="array" ref="AE31">SUMPRODUCT(C55:C67*D55:D67)/42</f>
        <v>5</v>
      </c>
      <c r="AF31" s="270">
        <f>IF(AE31&gt;=4,3,IF(AE31&gt;=3,2,IF(AE31&gt;=2,1,0)))</f>
        <v>3</v>
      </c>
      <c r="AG31" s="560"/>
      <c r="AH31" s="560"/>
      <c r="AI31" s="560"/>
      <c r="AJ31" s="560"/>
    </row>
    <row r="32" spans="1:36" ht="15.75" customHeight="1" thickBot="1">
      <c r="A32" s="709" t="s">
        <v>445</v>
      </c>
      <c r="B32" s="696"/>
      <c r="C32" s="696"/>
      <c r="D32" s="696"/>
      <c r="E32" s="696"/>
      <c r="F32" s="710"/>
      <c r="G32" s="17"/>
      <c r="H32" s="16"/>
      <c r="I32" s="16"/>
      <c r="J32" s="16"/>
      <c r="K32" s="17"/>
      <c r="L32" s="17"/>
      <c r="M32" s="17"/>
      <c r="N32" s="17"/>
      <c r="O32" s="17"/>
      <c r="P32" s="17"/>
      <c r="Q32" s="16"/>
      <c r="R32" s="17"/>
      <c r="S32" s="17"/>
      <c r="T32" s="17"/>
      <c r="U32" s="17"/>
      <c r="V32" s="17"/>
      <c r="W32" s="17"/>
      <c r="X32" s="17"/>
      <c r="Y32" s="17"/>
      <c r="Z32" s="17"/>
      <c r="AA32" s="17"/>
      <c r="AB32" s="17"/>
      <c r="AC32" s="17"/>
      <c r="AD32" s="244" t="str">
        <f>IF($B$12="individual",Constants!F57,Constants!L57)</f>
        <v>number of trainings weeks per year</v>
      </c>
      <c r="AE32" s="252">
        <f>MAX(C55:C67)</f>
        <v>42</v>
      </c>
      <c r="AF32" s="250">
        <f>IF(AE32&gt;=40,3,IF(AE32&gt;=35,2,1))</f>
        <v>3</v>
      </c>
      <c r="AG32" s="560"/>
      <c r="AH32" s="560"/>
      <c r="AI32" s="560"/>
      <c r="AJ32" s="560"/>
    </row>
    <row r="33" spans="1:58" ht="15.75" customHeight="1" thickBot="1">
      <c r="A33" s="93" t="s">
        <v>446</v>
      </c>
      <c r="F33" s="94"/>
      <c r="G33" s="17"/>
      <c r="H33" s="16"/>
      <c r="I33" s="16"/>
      <c r="J33" s="16"/>
      <c r="K33" s="17"/>
      <c r="L33" s="17"/>
      <c r="M33" s="17"/>
      <c r="N33" s="17"/>
      <c r="O33" s="17"/>
      <c r="P33" s="17"/>
      <c r="Q33" s="16"/>
      <c r="R33" s="17"/>
      <c r="S33" s="17"/>
      <c r="T33" s="17"/>
      <c r="U33" s="17"/>
      <c r="V33" s="17"/>
      <c r="W33" s="17"/>
      <c r="X33" s="17"/>
      <c r="Y33" s="17"/>
      <c r="Z33" s="17"/>
      <c r="AA33" s="17"/>
      <c r="AB33" s="17"/>
      <c r="AC33" s="17"/>
      <c r="AD33" s="244" t="str">
        <f>IF($B$12="individual",Constants!F58,Constants!L58)</f>
        <v>number of training hours by RT / PT-V</v>
      </c>
      <c r="AE33" s="251">
        <f>(SUMIF(H55:H67,"RT",F55:F67)+SUMIF(H55:H67,"PT-V",F55:F67))/SUM(F55:F67)</f>
        <v>0</v>
      </c>
      <c r="AF33" s="270">
        <f>IF(AE33&gt;0.9,3,IF(AE33&gt;0.6,2,IF(AE33&gt;0.3,1,0)))</f>
        <v>0</v>
      </c>
      <c r="AG33" s="560"/>
      <c r="AH33" s="560"/>
      <c r="AI33" s="560"/>
      <c r="AJ33" s="560"/>
    </row>
    <row r="34" spans="1:58" ht="15.75" customHeight="1" thickBot="1">
      <c r="A34" s="713" t="s">
        <v>447</v>
      </c>
      <c r="B34" s="714"/>
      <c r="C34" s="714"/>
      <c r="D34" s="714"/>
      <c r="E34" s="714"/>
      <c r="F34" s="715"/>
      <c r="G34" s="17"/>
      <c r="H34" s="16"/>
      <c r="I34" s="16"/>
      <c r="J34" s="16"/>
      <c r="K34" s="17"/>
      <c r="L34" s="17"/>
      <c r="M34" s="17"/>
      <c r="N34" s="17"/>
      <c r="O34" s="17"/>
      <c r="P34" s="17"/>
      <c r="Q34" s="16"/>
      <c r="R34" s="17"/>
      <c r="S34" s="17"/>
      <c r="T34" s="17"/>
      <c r="U34" s="17"/>
      <c r="V34" s="17"/>
      <c r="W34" s="17"/>
      <c r="X34" s="17"/>
      <c r="Y34" s="17"/>
      <c r="Z34" s="17"/>
      <c r="AA34" s="17"/>
      <c r="AB34" s="17"/>
      <c r="AC34" s="17"/>
      <c r="AD34" s="244" t="str">
        <f>IF($B$12="individual",Constants!F59,Constants!L59)</f>
        <v>number of training groups / teams</v>
      </c>
      <c r="AE34" s="244">
        <f>B10</f>
        <v>1</v>
      </c>
      <c r="AF34" s="271">
        <f>IF(AE34&gt;9,3,IF(AE34&gt;4,2,IF(AE34&gt;2,1,0)))</f>
        <v>0</v>
      </c>
      <c r="AG34" s="560"/>
      <c r="AH34" s="560"/>
      <c r="AI34" s="560"/>
      <c r="AJ34" s="560"/>
    </row>
    <row r="35" spans="1:58" ht="15.75" customHeight="1" thickTop="1" thickBot="1">
      <c r="A35" s="16"/>
      <c r="G35" s="17"/>
      <c r="H35" s="16"/>
      <c r="I35" s="16"/>
      <c r="J35" s="16"/>
      <c r="K35" s="17"/>
      <c r="L35" s="17"/>
      <c r="M35" s="17"/>
      <c r="N35" s="17"/>
      <c r="O35" s="17"/>
      <c r="P35" s="17"/>
      <c r="Q35" s="16"/>
      <c r="R35" s="17"/>
      <c r="S35" s="17"/>
      <c r="T35" s="17"/>
      <c r="U35" s="17"/>
      <c r="V35" s="17"/>
      <c r="W35" s="17"/>
      <c r="X35" s="17"/>
      <c r="Y35" s="17"/>
      <c r="Z35" s="17"/>
      <c r="AA35" s="17"/>
      <c r="AB35" s="17"/>
      <c r="AC35" s="17"/>
      <c r="AD35" s="244" t="str">
        <f>IF($B$12="individual",Constants!F60,Constants!L60)</f>
        <v>number of competitions organised</v>
      </c>
      <c r="AE35" s="249">
        <v>1</v>
      </c>
      <c r="AF35" s="271">
        <f>IF(AE35&gt;=4,5,IF(AE35&gt;=2,3,IF(AE35&gt;=1,1,0)))</f>
        <v>1</v>
      </c>
      <c r="AG35" s="560"/>
      <c r="AH35" s="560"/>
      <c r="AI35" s="560"/>
      <c r="AJ35" s="560"/>
    </row>
    <row r="36" spans="1:58" ht="15.75" customHeight="1" thickBot="1">
      <c r="A36" s="179" t="s">
        <v>448</v>
      </c>
      <c r="B36" s="16"/>
      <c r="C36" s="16"/>
      <c r="D36" s="16"/>
      <c r="E36" s="16"/>
      <c r="F36" s="16"/>
      <c r="G36" s="16"/>
      <c r="H36" s="16"/>
      <c r="I36" s="16"/>
      <c r="J36" s="16"/>
      <c r="K36" s="16"/>
      <c r="L36" s="16"/>
      <c r="M36" s="16"/>
      <c r="N36" s="16"/>
      <c r="O36" s="16"/>
      <c r="P36" s="16"/>
      <c r="Q36" s="16"/>
      <c r="R36" s="16"/>
      <c r="S36" s="16"/>
      <c r="T36" s="16"/>
      <c r="U36" s="16"/>
      <c r="V36" s="16"/>
      <c r="W36" s="16"/>
      <c r="X36" s="16"/>
      <c r="Y36" s="16"/>
      <c r="Z36" s="16"/>
      <c r="AA36" s="16"/>
      <c r="AB36" s="18"/>
      <c r="AC36" s="16"/>
      <c r="AD36" s="244" t="str">
        <f>IF($B$12="individual",Constants!F61,Constants!L61)</f>
        <v>number of social activities</v>
      </c>
      <c r="AE36" s="249">
        <v>12</v>
      </c>
      <c r="AF36" s="271">
        <f>IF(AE36&gt;=20,2,IF(AE36&gt;=10,1,0))</f>
        <v>1</v>
      </c>
      <c r="AG36" s="560"/>
      <c r="AH36" s="560"/>
      <c r="AI36" s="560"/>
      <c r="AJ36" s="560"/>
    </row>
    <row r="37" spans="1:58" ht="15" customHeight="1" thickTop="1" thickBot="1">
      <c r="A37" s="258" t="s">
        <v>449</v>
      </c>
      <c r="B37" s="259" t="s">
        <v>450</v>
      </c>
      <c r="C37" s="258" t="s">
        <v>451</v>
      </c>
      <c r="D37" s="258" t="s">
        <v>452</v>
      </c>
      <c r="E37" s="258" t="s">
        <v>453</v>
      </c>
      <c r="F37" s="258" t="s">
        <v>454</v>
      </c>
      <c r="G37" s="259" t="s">
        <v>455</v>
      </c>
      <c r="H37" s="561" t="s">
        <v>456</v>
      </c>
      <c r="I37" s="716"/>
      <c r="J37" s="717"/>
      <c r="K37" s="98"/>
      <c r="L37" s="98"/>
      <c r="M37" s="98"/>
      <c r="N37" s="98"/>
      <c r="O37" s="98"/>
      <c r="P37" s="98"/>
      <c r="Q37" s="98"/>
      <c r="R37" s="98"/>
      <c r="S37" s="98"/>
      <c r="T37" s="98"/>
      <c r="U37" s="96"/>
      <c r="V37" s="96"/>
      <c r="W37" s="96"/>
      <c r="X37" s="96"/>
      <c r="Y37" s="99"/>
      <c r="Z37" s="96"/>
      <c r="AA37" s="96"/>
      <c r="AB37" s="100"/>
      <c r="AC37" s="100"/>
      <c r="AD37" s="244" t="str">
        <f>IF($B$12="individual",Constants!F62,Constants!L62)</f>
        <v>number of bar days</v>
      </c>
      <c r="AE37" s="249">
        <v>0</v>
      </c>
      <c r="AF37" s="271">
        <f>IF(AE37&gt;=15,2,IF(AE37&gt;=8,1,0))</f>
        <v>0</v>
      </c>
      <c r="AG37" s="560"/>
      <c r="AH37" s="560"/>
      <c r="AI37" s="560"/>
      <c r="AJ37" s="560"/>
      <c r="AK37" s="100"/>
      <c r="AL37" s="100"/>
      <c r="AM37" s="100"/>
      <c r="AN37" s="100"/>
      <c r="AO37" s="100"/>
      <c r="AP37" s="100"/>
      <c r="AQ37" s="100"/>
      <c r="AR37" s="100"/>
      <c r="AS37" s="100"/>
      <c r="AT37" s="100"/>
      <c r="AU37" s="100"/>
      <c r="AV37" s="100"/>
      <c r="AW37" s="100"/>
      <c r="AX37" s="100"/>
      <c r="AY37" s="100"/>
      <c r="AZ37" s="100"/>
      <c r="BA37" s="100"/>
      <c r="BB37" s="100"/>
      <c r="BC37" s="100"/>
      <c r="BD37" s="100"/>
      <c r="BE37" s="100"/>
      <c r="BF37" s="100"/>
    </row>
    <row r="38" spans="1:58" ht="14.25" customHeight="1" thickTop="1" thickBot="1">
      <c r="A38" s="312">
        <v>1</v>
      </c>
      <c r="B38" s="232">
        <v>53</v>
      </c>
      <c r="C38" s="312">
        <v>3</v>
      </c>
      <c r="D38" s="313">
        <v>42</v>
      </c>
      <c r="E38" s="312" t="s">
        <v>1075</v>
      </c>
      <c r="F38" s="324" t="s">
        <v>1076</v>
      </c>
      <c r="G38" s="323"/>
      <c r="H38" s="618"/>
      <c r="I38" s="741"/>
      <c r="J38" s="742"/>
      <c r="K38" s="16"/>
      <c r="L38" s="16"/>
      <c r="M38" s="16"/>
      <c r="N38" s="16"/>
      <c r="O38" s="16"/>
      <c r="P38" s="16"/>
      <c r="Q38" s="16"/>
      <c r="R38" s="16"/>
      <c r="S38" s="16"/>
      <c r="T38" s="16"/>
      <c r="U38" s="16"/>
      <c r="V38" s="16"/>
      <c r="W38" s="16"/>
      <c r="X38" s="16"/>
      <c r="Y38" s="17"/>
      <c r="Z38" s="16"/>
      <c r="AA38" s="16"/>
      <c r="AD38" s="244" t="str">
        <f>IF($B$12="individual",Constants!F63,Constants!L63)</f>
        <v>own bar / extra location</v>
      </c>
      <c r="AE38" s="249">
        <v>0</v>
      </c>
      <c r="AF38" s="271">
        <f>IF(AE38&gt;=15,2,IF(AE38&gt;=8,1,0))</f>
        <v>0</v>
      </c>
      <c r="AG38" s="560"/>
      <c r="AH38" s="560"/>
      <c r="AI38" s="560"/>
      <c r="AJ38" s="560"/>
    </row>
    <row r="39" spans="1:58" ht="14.25" customHeight="1" thickBot="1">
      <c r="A39" s="312"/>
      <c r="B39" s="232"/>
      <c r="C39" s="269"/>
      <c r="D39" s="313"/>
      <c r="E39" s="245"/>
      <c r="F39" s="261"/>
      <c r="G39" s="325"/>
      <c r="H39" s="743"/>
      <c r="I39" s="744"/>
      <c r="J39" s="745"/>
      <c r="K39" s="16"/>
      <c r="L39" s="16"/>
      <c r="M39" s="16"/>
      <c r="N39" s="16"/>
      <c r="O39" s="16"/>
      <c r="P39" s="16"/>
      <c r="Q39" s="16"/>
      <c r="R39" s="16"/>
      <c r="S39" s="16"/>
      <c r="T39" s="16"/>
      <c r="U39" s="16"/>
      <c r="V39" s="16"/>
      <c r="W39" s="16"/>
      <c r="X39" s="16"/>
      <c r="Y39" s="17"/>
      <c r="Z39" s="16"/>
      <c r="AA39" s="16"/>
      <c r="AD39" s="244" t="str">
        <f>IF($B$12="individual",Constants!F65,Constants!L64)</f>
        <v>number of competitions attended</v>
      </c>
      <c r="AE39" s="249">
        <v>2</v>
      </c>
      <c r="AF39" s="273">
        <f>IF(B12="individual", IF(AE39&gt;10, 5, IF(AE39&gt;6, 3, IF(AE39&gt;2, 1, 0))), IF(AE39&gt;3, 3, IF(AE39&gt;1, 2, 1)))</f>
        <v>0</v>
      </c>
      <c r="AG39" s="560"/>
      <c r="AH39" s="560"/>
      <c r="AI39" s="560"/>
      <c r="AJ39" s="560"/>
    </row>
    <row r="40" spans="1:58" ht="15.75" customHeight="1" thickBot="1">
      <c r="A40" s="231"/>
      <c r="B40" s="232"/>
      <c r="C40" s="231"/>
      <c r="D40" s="232"/>
      <c r="E40" s="245"/>
      <c r="F40" s="261"/>
      <c r="G40" s="231"/>
      <c r="H40" s="743"/>
      <c r="I40" s="744"/>
      <c r="J40" s="745"/>
      <c r="K40" s="16"/>
      <c r="L40" s="16"/>
      <c r="M40" s="16"/>
      <c r="N40" s="16"/>
      <c r="O40" s="16"/>
      <c r="P40" s="16"/>
      <c r="Q40" s="16"/>
      <c r="R40" s="16"/>
      <c r="S40" s="16"/>
      <c r="T40" s="16"/>
      <c r="U40" s="16"/>
      <c r="V40" s="16"/>
      <c r="W40" s="16"/>
      <c r="X40" s="16"/>
      <c r="Y40" s="16"/>
      <c r="Z40" s="16"/>
      <c r="AA40" s="16"/>
      <c r="AD40" s="231" t="str">
        <f>IF($B$12="individual",Constants!F64,Constants!L65)</f>
        <v>n/a</v>
      </c>
      <c r="AE40" s="231" t="str">
        <f>IF(AD40="n/a","",COUNTA(A46:A50)/COUNTA(A38:A42))</f>
        <v/>
      </c>
      <c r="AF40" s="272" t="str">
        <f>IF(B12="group", IF(AE40&gt;0.15, 5, IF(AE40&gt;0.1, 3, IF(AE40&gt;0.05, 1, 0))), " ")</f>
        <v xml:space="preserve"> </v>
      </c>
      <c r="AG40" s="560"/>
      <c r="AH40" s="560"/>
      <c r="AI40" s="560"/>
      <c r="AJ40" s="560"/>
    </row>
    <row r="41" spans="1:58" ht="15.75" customHeight="1" thickBot="1">
      <c r="A41" s="231"/>
      <c r="B41" s="232"/>
      <c r="C41" s="231"/>
      <c r="D41" s="232"/>
      <c r="E41" s="245"/>
      <c r="F41" s="261"/>
      <c r="G41" s="231"/>
      <c r="H41" s="743"/>
      <c r="I41" s="744"/>
      <c r="J41" s="745"/>
      <c r="K41" s="16"/>
      <c r="L41" s="16"/>
      <c r="M41" s="16"/>
      <c r="N41" s="16"/>
      <c r="O41" s="16"/>
      <c r="P41" s="16"/>
      <c r="Q41" s="16"/>
      <c r="R41" s="16"/>
      <c r="S41" s="16"/>
      <c r="T41" s="16"/>
      <c r="U41" s="16"/>
      <c r="V41" s="16"/>
      <c r="W41" s="16"/>
      <c r="X41" s="16"/>
      <c r="Y41" s="16"/>
      <c r="Z41" s="16"/>
      <c r="AA41" s="16"/>
      <c r="AD41" s="16"/>
      <c r="AE41" s="275" t="s">
        <v>461</v>
      </c>
      <c r="AF41" s="277">
        <f>SUM(AF30:AF40)</f>
        <v>10</v>
      </c>
      <c r="AG41" s="247"/>
      <c r="AH41" s="245"/>
      <c r="AI41" s="246"/>
      <c r="AJ41" s="247"/>
    </row>
    <row r="42" spans="1:58" ht="15.75" customHeight="1" thickBot="1">
      <c r="A42" s="231"/>
      <c r="B42" s="326"/>
      <c r="C42" s="245"/>
      <c r="D42" s="232"/>
      <c r="E42" s="261"/>
      <c r="F42" s="261"/>
      <c r="G42" s="231"/>
      <c r="H42" s="746"/>
      <c r="I42" s="747"/>
      <c r="J42" s="748"/>
      <c r="K42" s="16"/>
      <c r="L42" s="16"/>
      <c r="M42" s="16"/>
      <c r="N42" s="16"/>
      <c r="O42" s="16"/>
      <c r="P42" s="16"/>
      <c r="Q42" s="16"/>
      <c r="R42" s="16"/>
      <c r="S42" s="16"/>
      <c r="T42" s="16"/>
      <c r="U42" s="16"/>
      <c r="V42" s="16"/>
      <c r="W42" s="16"/>
      <c r="X42" s="16"/>
      <c r="Y42" s="16"/>
      <c r="Z42" s="16"/>
      <c r="AA42" s="16"/>
    </row>
    <row r="43" spans="1:58" ht="15.75" customHeight="1" thickTop="1">
      <c r="A43" s="18"/>
      <c r="B43" s="18"/>
      <c r="C43" s="18"/>
      <c r="D43" s="18"/>
      <c r="E43" s="18"/>
      <c r="F43" s="18"/>
      <c r="G43" s="17"/>
      <c r="H43" s="17"/>
      <c r="I43" s="17"/>
      <c r="J43" s="17"/>
      <c r="K43" s="17"/>
      <c r="L43" s="17"/>
      <c r="M43" s="17"/>
      <c r="N43" s="17"/>
      <c r="O43" s="17"/>
      <c r="P43" s="17"/>
      <c r="Q43" s="16"/>
      <c r="R43" s="17"/>
      <c r="S43" s="17"/>
      <c r="T43" s="17"/>
      <c r="U43" s="17"/>
      <c r="V43" s="17"/>
      <c r="W43" s="17"/>
      <c r="X43" s="17"/>
      <c r="Y43" s="17"/>
      <c r="Z43" s="17"/>
      <c r="AA43" s="17"/>
      <c r="AB43" s="17"/>
      <c r="AC43" s="17"/>
      <c r="AD43" s="17"/>
    </row>
    <row r="44" spans="1:58" ht="15.75" customHeight="1" thickBot="1">
      <c r="A44" s="179" t="s">
        <v>462</v>
      </c>
      <c r="B44" s="169"/>
      <c r="C44" s="16"/>
      <c r="D44" s="16"/>
      <c r="E44" s="16"/>
      <c r="F44" s="16"/>
      <c r="G44" s="16"/>
      <c r="H44" s="16"/>
      <c r="I44" s="16"/>
      <c r="J44" s="16"/>
      <c r="K44" s="16"/>
      <c r="L44" s="16"/>
      <c r="M44" s="16"/>
      <c r="N44" s="16"/>
      <c r="O44" s="16"/>
      <c r="P44" s="16"/>
      <c r="Q44" s="16"/>
      <c r="R44" s="16"/>
      <c r="S44" s="16"/>
      <c r="T44" s="16"/>
      <c r="U44" s="16"/>
      <c r="V44" s="16"/>
      <c r="W44" s="16"/>
      <c r="X44" s="16"/>
      <c r="Y44" s="16"/>
      <c r="Z44" s="16"/>
      <c r="AA44" s="16"/>
      <c r="AB44" s="18"/>
      <c r="AC44" s="16"/>
      <c r="AD44" s="16"/>
    </row>
    <row r="45" spans="1:58" ht="15" customHeight="1" thickTop="1" thickBot="1">
      <c r="A45" s="258" t="s">
        <v>449</v>
      </c>
      <c r="B45" s="259" t="s">
        <v>450</v>
      </c>
      <c r="C45" s="258" t="s">
        <v>463</v>
      </c>
      <c r="D45" s="258" t="s">
        <v>464</v>
      </c>
      <c r="E45" s="258" t="s">
        <v>465</v>
      </c>
      <c r="F45" s="258" t="s">
        <v>466</v>
      </c>
      <c r="G45" s="258" t="s">
        <v>467</v>
      </c>
      <c r="H45" s="259" t="s">
        <v>455</v>
      </c>
      <c r="I45" s="561" t="s">
        <v>456</v>
      </c>
      <c r="J45" s="716"/>
      <c r="K45" s="717"/>
      <c r="L45" s="98"/>
      <c r="M45" s="98"/>
      <c r="N45" s="98"/>
      <c r="O45" s="98"/>
      <c r="P45" s="98"/>
      <c r="Q45" s="98"/>
      <c r="R45" s="98"/>
      <c r="S45" s="98"/>
      <c r="T45" s="98"/>
      <c r="U45" s="98"/>
      <c r="V45" s="96"/>
      <c r="W45" s="96"/>
      <c r="X45" s="96"/>
      <c r="Y45" s="96"/>
      <c r="Z45" s="99"/>
      <c r="AA45" s="96"/>
      <c r="AB45" s="96"/>
      <c r="AC45" s="100"/>
      <c r="AD45" s="100"/>
      <c r="AE45" s="100"/>
      <c r="AF45" s="100"/>
      <c r="AG45" s="100"/>
      <c r="AH45" s="100"/>
      <c r="AI45" s="100"/>
      <c r="AJ45" s="100"/>
      <c r="AK45" s="100"/>
      <c r="AL45" s="100"/>
      <c r="AM45" s="100"/>
      <c r="AN45" s="100"/>
      <c r="AO45" s="100"/>
      <c r="AP45" s="100"/>
      <c r="AQ45" s="100"/>
      <c r="AR45" s="100"/>
      <c r="AS45" s="100"/>
      <c r="AT45" s="100"/>
      <c r="AU45" s="100"/>
      <c r="AV45" s="100"/>
      <c r="AW45" s="100"/>
      <c r="AX45" s="100"/>
      <c r="AY45" s="100"/>
      <c r="AZ45" s="100"/>
      <c r="BA45" s="100"/>
      <c r="BB45" s="100"/>
      <c r="BC45" s="100"/>
      <c r="BD45" s="100"/>
      <c r="BE45" s="100"/>
      <c r="BF45" s="100"/>
    </row>
    <row r="46" spans="1:58" ht="14.25" customHeight="1" thickTop="1">
      <c r="A46" s="312">
        <v>1</v>
      </c>
      <c r="B46" s="323">
        <v>53</v>
      </c>
      <c r="C46" s="312" t="s">
        <v>1076</v>
      </c>
      <c r="D46" s="312" t="s">
        <v>289</v>
      </c>
      <c r="E46" s="327">
        <v>3</v>
      </c>
      <c r="F46" s="327">
        <v>5</v>
      </c>
      <c r="G46" s="323" t="s">
        <v>471</v>
      </c>
      <c r="H46" s="323"/>
      <c r="I46" s="618"/>
      <c r="J46" s="741"/>
      <c r="K46" s="742"/>
      <c r="L46" s="16"/>
      <c r="M46" s="16"/>
      <c r="N46" s="16"/>
      <c r="O46" s="16"/>
      <c r="P46" s="16"/>
      <c r="Q46" s="16"/>
      <c r="R46" s="16"/>
      <c r="S46" s="16"/>
      <c r="T46" s="16"/>
      <c r="U46" s="16"/>
      <c r="V46" s="16"/>
      <c r="W46" s="16"/>
      <c r="X46" s="16"/>
      <c r="Y46" s="16"/>
      <c r="Z46" s="17"/>
      <c r="AA46" s="16"/>
      <c r="AB46" s="16"/>
    </row>
    <row r="47" spans="1:58" ht="14.25" customHeight="1">
      <c r="A47" s="312"/>
      <c r="B47" s="323"/>
      <c r="C47" s="312"/>
      <c r="D47" s="312"/>
      <c r="E47" s="328"/>
      <c r="F47" s="327"/>
      <c r="G47" s="323"/>
      <c r="H47" s="323"/>
      <c r="I47" s="743"/>
      <c r="J47" s="744"/>
      <c r="K47" s="745"/>
      <c r="L47" s="16"/>
      <c r="M47" s="16"/>
      <c r="N47" s="16"/>
      <c r="O47" s="16"/>
      <c r="P47" s="16"/>
      <c r="Q47" s="16"/>
      <c r="R47" s="16"/>
      <c r="S47" s="16"/>
      <c r="T47" s="16"/>
      <c r="U47" s="16"/>
      <c r="V47" s="16"/>
      <c r="W47" s="16"/>
      <c r="X47" s="16"/>
      <c r="Y47" s="16"/>
      <c r="Z47" s="17"/>
      <c r="AA47" s="16"/>
      <c r="AB47" s="16"/>
    </row>
    <row r="48" spans="1:58" ht="15.75" customHeight="1">
      <c r="A48" s="323"/>
      <c r="B48" s="323"/>
      <c r="C48" s="323"/>
      <c r="D48" s="312"/>
      <c r="E48" s="328"/>
      <c r="F48" s="327"/>
      <c r="G48" s="329"/>
      <c r="H48" s="323"/>
      <c r="I48" s="743"/>
      <c r="J48" s="744"/>
      <c r="K48" s="745"/>
      <c r="L48" s="16"/>
      <c r="M48" s="16"/>
      <c r="N48" s="16"/>
      <c r="O48" s="16"/>
      <c r="P48" s="16"/>
      <c r="Q48" s="16"/>
      <c r="R48" s="16"/>
      <c r="S48" s="16"/>
      <c r="T48" s="16"/>
      <c r="U48" s="16"/>
      <c r="V48" s="16"/>
      <c r="W48" s="16"/>
      <c r="X48" s="16"/>
      <c r="Y48" s="16"/>
      <c r="Z48" s="16"/>
      <c r="AA48" s="16"/>
      <c r="AB48" s="16"/>
    </row>
    <row r="49" spans="1:30" ht="15.75" customHeight="1">
      <c r="A49" s="231"/>
      <c r="B49" s="232"/>
      <c r="C49" s="231"/>
      <c r="D49" s="269"/>
      <c r="E49" s="245"/>
      <c r="F49" s="261"/>
      <c r="G49" s="263"/>
      <c r="H49" s="231"/>
      <c r="I49" s="743"/>
      <c r="J49" s="744"/>
      <c r="K49" s="745"/>
      <c r="L49" s="16"/>
      <c r="M49" s="16"/>
      <c r="N49" s="16"/>
      <c r="O49" s="16"/>
      <c r="P49" s="16"/>
      <c r="Q49" s="16"/>
      <c r="R49" s="16"/>
      <c r="S49" s="16"/>
      <c r="T49" s="16"/>
      <c r="U49" s="16"/>
      <c r="V49" s="16"/>
      <c r="W49" s="16"/>
      <c r="X49" s="16"/>
      <c r="Y49" s="16"/>
      <c r="Z49" s="16"/>
      <c r="AA49" s="16"/>
      <c r="AB49" s="16"/>
    </row>
    <row r="50" spans="1:30" ht="15.75" customHeight="1" thickBot="1">
      <c r="A50" s="231"/>
      <c r="B50" s="326"/>
      <c r="C50" s="245"/>
      <c r="D50" s="245"/>
      <c r="E50" s="261"/>
      <c r="F50" s="261"/>
      <c r="G50" s="263"/>
      <c r="H50" s="231"/>
      <c r="I50" s="746"/>
      <c r="J50" s="747"/>
      <c r="K50" s="748"/>
      <c r="L50" s="16"/>
      <c r="M50" s="16"/>
      <c r="N50" s="16"/>
      <c r="O50" s="16"/>
      <c r="P50" s="16"/>
      <c r="Q50" s="16"/>
      <c r="R50" s="16"/>
      <c r="S50" s="16"/>
      <c r="T50" s="16"/>
      <c r="U50" s="16"/>
      <c r="V50" s="16"/>
      <c r="W50" s="16"/>
      <c r="X50" s="16"/>
      <c r="Y50" s="16"/>
      <c r="Z50" s="16"/>
      <c r="AA50" s="16"/>
      <c r="AB50" s="16"/>
    </row>
    <row r="51" spans="1:30" ht="15.75" customHeight="1" thickTop="1">
      <c r="A51" s="15"/>
      <c r="B51" s="16"/>
      <c r="C51" s="16"/>
      <c r="D51" s="16"/>
      <c r="E51" s="16"/>
      <c r="F51" s="16"/>
      <c r="G51" s="16"/>
      <c r="H51" s="16"/>
      <c r="I51" s="16"/>
      <c r="J51" s="16"/>
      <c r="K51" s="16"/>
      <c r="L51" s="16"/>
      <c r="M51" s="16"/>
      <c r="N51" s="16"/>
      <c r="O51" s="16"/>
      <c r="P51" s="16"/>
      <c r="Q51" s="16"/>
      <c r="R51" s="16"/>
      <c r="S51" s="16"/>
      <c r="T51" s="16"/>
      <c r="U51" s="16"/>
      <c r="V51" s="16"/>
      <c r="W51" s="16"/>
      <c r="X51" s="16"/>
      <c r="Y51" s="16"/>
      <c r="Z51" s="16"/>
      <c r="AA51" s="16"/>
      <c r="AB51" s="16"/>
      <c r="AC51" s="16"/>
      <c r="AD51" s="16"/>
    </row>
    <row r="52" spans="1:30" ht="15.75" customHeight="1">
      <c r="A52" s="15"/>
      <c r="B52" s="16"/>
      <c r="C52" s="16"/>
      <c r="D52" s="16"/>
      <c r="E52" s="16"/>
      <c r="F52" s="16"/>
      <c r="G52" s="16"/>
      <c r="H52" s="16"/>
      <c r="I52" s="16"/>
      <c r="J52" s="16"/>
      <c r="K52" s="16"/>
      <c r="L52" s="16"/>
      <c r="M52" s="16"/>
      <c r="N52" s="16"/>
      <c r="O52" s="16"/>
      <c r="P52" s="16"/>
      <c r="Q52" s="16"/>
      <c r="W52" s="16"/>
      <c r="X52" s="16"/>
      <c r="Y52" s="16"/>
      <c r="Z52" s="16"/>
      <c r="AA52" s="16"/>
      <c r="AB52" s="16"/>
      <c r="AC52" s="16"/>
      <c r="AD52" s="16"/>
    </row>
    <row r="53" spans="1:30" ht="15.75" customHeight="1" thickBot="1">
      <c r="A53" s="186" t="s">
        <v>475</v>
      </c>
      <c r="B53" s="231"/>
      <c r="C53" s="231"/>
      <c r="D53" s="231"/>
      <c r="E53" s="231"/>
      <c r="F53" s="231"/>
      <c r="G53" s="231"/>
      <c r="H53" s="231"/>
      <c r="I53" s="231"/>
      <c r="J53" s="231"/>
      <c r="K53" s="16"/>
      <c r="L53" s="16"/>
      <c r="M53" s="16"/>
      <c r="N53" s="16"/>
      <c r="O53" s="16"/>
      <c r="P53" s="16"/>
      <c r="Q53" s="16"/>
      <c r="W53" s="16"/>
      <c r="X53" s="16"/>
      <c r="Y53" s="16"/>
      <c r="Z53" s="16"/>
      <c r="AA53" s="16"/>
      <c r="AB53" s="16"/>
      <c r="AC53" s="16"/>
      <c r="AD53" s="16"/>
    </row>
    <row r="54" spans="1:30" ht="15.75" customHeight="1" thickTop="1" thickBot="1">
      <c r="A54" s="230" t="s">
        <v>476</v>
      </c>
      <c r="B54" s="230" t="s">
        <v>477</v>
      </c>
      <c r="C54" s="230" t="s">
        <v>478</v>
      </c>
      <c r="D54" s="230" t="s">
        <v>479</v>
      </c>
      <c r="E54" s="230" t="s">
        <v>480</v>
      </c>
      <c r="F54" s="230" t="s">
        <v>481</v>
      </c>
      <c r="G54" s="230" t="s">
        <v>482</v>
      </c>
      <c r="H54" s="230" t="s">
        <v>453</v>
      </c>
      <c r="I54" s="230" t="s">
        <v>483</v>
      </c>
      <c r="J54" s="230" t="s">
        <v>484</v>
      </c>
      <c r="K54" s="721" t="s">
        <v>485</v>
      </c>
      <c r="L54" s="716"/>
      <c r="M54" s="722"/>
      <c r="N54" s="15"/>
      <c r="O54" s="16"/>
      <c r="P54" s="16"/>
      <c r="Q54" s="16"/>
      <c r="W54" s="16"/>
      <c r="X54" s="16"/>
      <c r="Y54" s="16"/>
      <c r="Z54" s="16"/>
      <c r="AA54" s="16"/>
      <c r="AB54" s="16"/>
    </row>
    <row r="55" spans="1:30" ht="15" customHeight="1" thickTop="1">
      <c r="A55" s="319">
        <v>1</v>
      </c>
      <c r="B55" s="319" t="s">
        <v>285</v>
      </c>
      <c r="C55" s="231">
        <v>42</v>
      </c>
      <c r="D55" s="231">
        <v>3</v>
      </c>
      <c r="E55" s="231">
        <v>3</v>
      </c>
      <c r="F55" s="231">
        <v>126</v>
      </c>
      <c r="G55" s="330" t="s">
        <v>1077</v>
      </c>
      <c r="H55" s="319" t="s">
        <v>289</v>
      </c>
      <c r="I55" s="331">
        <v>35</v>
      </c>
      <c r="J55" s="231"/>
      <c r="K55" s="564"/>
      <c r="L55" s="741"/>
      <c r="M55" s="742"/>
      <c r="N55" s="16"/>
      <c r="O55" s="16"/>
      <c r="P55" s="16"/>
      <c r="Q55" s="16"/>
      <c r="W55" s="16"/>
      <c r="X55" s="16"/>
      <c r="Y55" s="16"/>
      <c r="Z55" s="16"/>
      <c r="AA55" s="16"/>
      <c r="AB55" s="16"/>
    </row>
    <row r="56" spans="1:30" ht="15.75" customHeight="1">
      <c r="A56" s="231">
        <v>1</v>
      </c>
      <c r="B56" s="319" t="s">
        <v>285</v>
      </c>
      <c r="C56" s="231">
        <v>42</v>
      </c>
      <c r="D56" s="231">
        <v>2</v>
      </c>
      <c r="E56" s="231">
        <v>2</v>
      </c>
      <c r="F56" s="231">
        <v>84</v>
      </c>
      <c r="G56" s="231" t="s">
        <v>1077</v>
      </c>
      <c r="H56" s="319" t="s">
        <v>289</v>
      </c>
      <c r="I56" s="331">
        <v>35</v>
      </c>
      <c r="J56" s="231"/>
      <c r="K56" s="749"/>
      <c r="L56" s="744"/>
      <c r="M56" s="745"/>
      <c r="N56" s="16"/>
      <c r="O56" s="16"/>
      <c r="P56" s="16"/>
      <c r="Q56" s="16"/>
      <c r="W56" s="16"/>
      <c r="X56" s="16"/>
      <c r="Y56" s="16"/>
      <c r="Z56" s="16"/>
      <c r="AA56" s="16"/>
      <c r="AB56" s="16"/>
    </row>
    <row r="57" spans="1:30" ht="14.25" customHeight="1">
      <c r="A57" s="231"/>
      <c r="B57" s="319"/>
      <c r="C57" s="231"/>
      <c r="D57" s="231"/>
      <c r="E57" s="231"/>
      <c r="F57" s="231"/>
      <c r="G57" s="248"/>
      <c r="H57" s="319"/>
      <c r="I57" s="331"/>
      <c r="J57" s="231"/>
      <c r="K57" s="749"/>
      <c r="L57" s="744"/>
      <c r="M57" s="745"/>
      <c r="N57" s="16"/>
      <c r="O57" s="16"/>
      <c r="P57" s="16"/>
      <c r="Q57" s="16"/>
      <c r="W57" s="16"/>
      <c r="X57" s="16"/>
      <c r="Y57" s="16"/>
      <c r="Z57" s="16"/>
      <c r="AA57" s="16"/>
      <c r="AB57" s="16"/>
    </row>
    <row r="58" spans="1:30" ht="15.75" customHeight="1">
      <c r="A58" s="319"/>
      <c r="B58" s="319"/>
      <c r="C58" s="231"/>
      <c r="D58" s="231"/>
      <c r="E58" s="231"/>
      <c r="F58" s="231"/>
      <c r="G58" s="231"/>
      <c r="H58" s="319"/>
      <c r="I58" s="331"/>
      <c r="J58" s="231"/>
      <c r="K58" s="749"/>
      <c r="L58" s="744"/>
      <c r="M58" s="745"/>
      <c r="N58" s="16"/>
      <c r="O58" s="16"/>
      <c r="P58" s="16"/>
      <c r="Q58" s="16"/>
      <c r="W58" s="16"/>
      <c r="X58" s="16"/>
      <c r="Y58" s="16"/>
      <c r="Z58" s="16"/>
      <c r="AA58" s="16"/>
      <c r="AB58" s="16"/>
    </row>
    <row r="59" spans="1:30" ht="15.75" customHeight="1">
      <c r="A59" s="319"/>
      <c r="B59" s="319"/>
      <c r="C59" s="231"/>
      <c r="D59" s="231"/>
      <c r="E59" s="231"/>
      <c r="F59" s="231"/>
      <c r="G59" s="231"/>
      <c r="H59" s="319"/>
      <c r="I59" s="331"/>
      <c r="J59" s="231"/>
      <c r="K59" s="749"/>
      <c r="L59" s="744"/>
      <c r="M59" s="745"/>
      <c r="N59" s="16"/>
      <c r="O59" s="16"/>
      <c r="P59" s="16"/>
      <c r="Q59" s="16"/>
      <c r="W59" s="16"/>
      <c r="X59" s="16"/>
      <c r="Y59" s="16"/>
      <c r="Z59" s="16"/>
      <c r="AA59" s="16"/>
      <c r="AB59" s="16"/>
    </row>
    <row r="60" spans="1:30" ht="15.75" customHeight="1">
      <c r="A60" s="319"/>
      <c r="B60" s="319"/>
      <c r="C60" s="231"/>
      <c r="D60" s="231"/>
      <c r="E60" s="231"/>
      <c r="F60" s="231"/>
      <c r="G60" s="319"/>
      <c r="H60" s="319"/>
      <c r="I60" s="331"/>
      <c r="J60" s="231"/>
      <c r="K60" s="749"/>
      <c r="L60" s="744"/>
      <c r="M60" s="745"/>
      <c r="N60" s="16"/>
      <c r="O60" s="16"/>
      <c r="P60" s="16"/>
      <c r="Q60" s="16"/>
      <c r="W60" s="16"/>
      <c r="X60" s="16"/>
      <c r="Y60" s="16"/>
      <c r="Z60" s="16"/>
      <c r="AA60" s="16"/>
      <c r="AB60" s="16"/>
    </row>
    <row r="61" spans="1:30" ht="15.75" customHeight="1">
      <c r="A61" s="319"/>
      <c r="B61" s="319"/>
      <c r="C61" s="231"/>
      <c r="D61" s="231"/>
      <c r="E61" s="231"/>
      <c r="F61" s="231"/>
      <c r="G61" s="319"/>
      <c r="H61" s="319"/>
      <c r="I61" s="331"/>
      <c r="J61" s="231"/>
      <c r="K61" s="749"/>
      <c r="L61" s="744"/>
      <c r="M61" s="745"/>
      <c r="N61" s="16"/>
      <c r="O61" s="16"/>
      <c r="P61" s="16"/>
      <c r="Q61" s="16"/>
      <c r="W61" s="16"/>
      <c r="X61" s="16"/>
      <c r="Y61" s="16"/>
      <c r="Z61" s="16"/>
      <c r="AA61" s="16"/>
      <c r="AB61" s="16"/>
    </row>
    <row r="62" spans="1:30" ht="15.75" customHeight="1">
      <c r="A62" s="319"/>
      <c r="B62" s="319"/>
      <c r="C62" s="261"/>
      <c r="D62" s="261"/>
      <c r="E62" s="261"/>
      <c r="F62" s="262"/>
      <c r="G62" s="319"/>
      <c r="H62" s="319"/>
      <c r="I62" s="331"/>
      <c r="J62" s="231"/>
      <c r="K62" s="749"/>
      <c r="L62" s="744"/>
      <c r="M62" s="745"/>
      <c r="N62" s="16"/>
      <c r="O62" s="16"/>
      <c r="P62" s="16"/>
      <c r="Q62" s="16"/>
      <c r="W62" s="16"/>
      <c r="X62" s="16"/>
      <c r="Y62" s="16"/>
      <c r="Z62" s="16"/>
      <c r="AA62" s="16"/>
      <c r="AB62" s="16"/>
    </row>
    <row r="63" spans="1:30" ht="15.75" customHeight="1">
      <c r="A63" s="319"/>
      <c r="B63" s="319"/>
      <c r="C63" s="261"/>
      <c r="D63" s="261"/>
      <c r="E63" s="261"/>
      <c r="F63" s="262"/>
      <c r="G63" s="319"/>
      <c r="H63" s="319"/>
      <c r="I63" s="331"/>
      <c r="J63" s="231"/>
      <c r="K63" s="749"/>
      <c r="L63" s="744"/>
      <c r="M63" s="745"/>
      <c r="N63" s="16"/>
      <c r="O63" s="16"/>
      <c r="P63" s="16"/>
      <c r="Q63" s="16"/>
      <c r="W63" s="16"/>
      <c r="X63" s="16"/>
      <c r="Y63" s="16"/>
      <c r="Z63" s="16"/>
      <c r="AA63" s="16"/>
      <c r="AB63" s="16"/>
    </row>
    <row r="64" spans="1:30" ht="15.75" customHeight="1">
      <c r="A64" s="231"/>
      <c r="B64" s="319"/>
      <c r="C64" s="232"/>
      <c r="D64" s="232"/>
      <c r="E64" s="261"/>
      <c r="F64" s="262"/>
      <c r="G64" s="231"/>
      <c r="H64" s="319"/>
      <c r="I64" s="331"/>
      <c r="J64" s="231"/>
      <c r="K64" s="749"/>
      <c r="L64" s="744"/>
      <c r="M64" s="745"/>
      <c r="N64" s="16"/>
      <c r="O64" s="16"/>
      <c r="P64" s="16"/>
      <c r="Q64" s="16"/>
      <c r="W64" s="16"/>
      <c r="X64" s="16"/>
      <c r="Y64" s="16"/>
      <c r="Z64" s="16"/>
      <c r="AA64" s="16"/>
      <c r="AB64" s="16"/>
    </row>
    <row r="65" spans="1:30" ht="15.75" customHeight="1">
      <c r="A65" s="231"/>
      <c r="B65" s="319"/>
      <c r="C65" s="232"/>
      <c r="D65" s="232"/>
      <c r="E65" s="261"/>
      <c r="F65" s="262"/>
      <c r="G65" s="231"/>
      <c r="H65" s="319"/>
      <c r="I65" s="331"/>
      <c r="J65" s="231"/>
      <c r="K65" s="749"/>
      <c r="L65" s="744"/>
      <c r="M65" s="745"/>
      <c r="N65" s="16"/>
      <c r="O65" s="16"/>
      <c r="P65" s="16"/>
      <c r="Q65" s="16"/>
      <c r="W65" s="16"/>
      <c r="X65" s="16"/>
      <c r="Y65" s="16"/>
      <c r="Z65" s="16"/>
      <c r="AA65" s="16"/>
      <c r="AB65" s="16"/>
    </row>
    <row r="66" spans="1:30" ht="15.75" customHeight="1">
      <c r="A66" s="231"/>
      <c r="B66" s="319"/>
      <c r="C66" s="232"/>
      <c r="D66" s="232"/>
      <c r="E66" s="261"/>
      <c r="F66" s="262"/>
      <c r="G66" s="231"/>
      <c r="H66" s="319"/>
      <c r="I66" s="331"/>
      <c r="J66" s="231"/>
      <c r="K66" s="749"/>
      <c r="L66" s="744"/>
      <c r="M66" s="745"/>
      <c r="N66" s="16"/>
      <c r="O66" s="16"/>
      <c r="P66" s="16"/>
      <c r="Q66" s="16"/>
      <c r="W66" s="16"/>
      <c r="X66" s="16"/>
      <c r="Y66" s="16"/>
      <c r="Z66" s="16"/>
      <c r="AA66" s="16"/>
      <c r="AB66" s="16"/>
    </row>
    <row r="67" spans="1:30" ht="15.75" customHeight="1" thickBot="1">
      <c r="A67" s="231"/>
      <c r="B67" s="319"/>
      <c r="C67" s="245"/>
      <c r="D67" s="232"/>
      <c r="E67" s="261"/>
      <c r="F67" s="262"/>
      <c r="G67" s="263"/>
      <c r="H67" s="263"/>
      <c r="I67" s="264"/>
      <c r="J67" s="231"/>
      <c r="K67" s="746"/>
      <c r="L67" s="747"/>
      <c r="M67" s="748"/>
      <c r="N67" s="16"/>
      <c r="O67" s="16"/>
      <c r="P67" s="16"/>
      <c r="Q67" s="16"/>
      <c r="W67" s="16"/>
      <c r="X67" s="16"/>
      <c r="Y67" s="16"/>
      <c r="Z67" s="16"/>
      <c r="AA67" s="16"/>
      <c r="AB67" s="16"/>
    </row>
    <row r="68" spans="1:30" ht="15.75" customHeight="1" thickTop="1">
      <c r="A68" s="16"/>
      <c r="B68" s="16"/>
      <c r="C68" s="16"/>
      <c r="D68" s="16"/>
      <c r="E68" s="16"/>
      <c r="F68" s="16"/>
      <c r="G68" s="16"/>
      <c r="H68" s="16"/>
      <c r="I68" s="16"/>
      <c r="J68" s="16"/>
      <c r="K68" s="16"/>
      <c r="L68" s="16"/>
      <c r="M68" s="16"/>
      <c r="N68" s="16"/>
      <c r="O68" s="16"/>
      <c r="P68" s="16"/>
      <c r="Q68" s="16"/>
      <c r="W68" s="16"/>
      <c r="X68" s="16"/>
      <c r="Y68" s="16"/>
      <c r="Z68" s="16"/>
      <c r="AA68" s="16"/>
      <c r="AB68" s="16"/>
      <c r="AC68" s="16"/>
      <c r="AD68" s="16"/>
    </row>
    <row r="69" spans="1:30" ht="15.75" customHeight="1" thickBot="1">
      <c r="A69" s="186" t="s">
        <v>499</v>
      </c>
      <c r="B69" s="231"/>
      <c r="C69" s="231"/>
      <c r="D69" s="231"/>
      <c r="E69" s="231"/>
      <c r="F69" s="231"/>
      <c r="G69" s="231"/>
      <c r="H69" s="231"/>
      <c r="I69" s="231"/>
      <c r="J69" s="231"/>
      <c r="K69" s="123"/>
      <c r="L69" s="123"/>
      <c r="M69" s="16"/>
      <c r="N69" s="16"/>
      <c r="O69" s="16"/>
      <c r="P69" s="16"/>
      <c r="Q69" s="16"/>
      <c r="W69" s="16"/>
      <c r="X69" s="16"/>
      <c r="Y69" s="16"/>
      <c r="Z69" s="16"/>
      <c r="AA69" s="16"/>
      <c r="AB69" s="16"/>
      <c r="AC69" s="16"/>
      <c r="AD69" s="16"/>
    </row>
    <row r="70" spans="1:30" ht="15.75" customHeight="1" thickTop="1" thickBot="1">
      <c r="A70" s="230" t="s">
        <v>476</v>
      </c>
      <c r="B70" s="230" t="s">
        <v>500</v>
      </c>
      <c r="C70" s="230" t="s">
        <v>501</v>
      </c>
      <c r="D70" s="230" t="s">
        <v>502</v>
      </c>
      <c r="E70" s="230" t="s">
        <v>503</v>
      </c>
      <c r="F70" s="230" t="s">
        <v>504</v>
      </c>
      <c r="G70" s="230" t="s">
        <v>505</v>
      </c>
      <c r="H70" s="230" t="s">
        <v>506</v>
      </c>
      <c r="I70" s="230" t="s">
        <v>507</v>
      </c>
      <c r="J70" s="230" t="s">
        <v>508</v>
      </c>
      <c r="K70" s="561" t="s">
        <v>441</v>
      </c>
      <c r="L70" s="561"/>
      <c r="M70" s="561"/>
      <c r="N70" s="561"/>
      <c r="O70" s="570"/>
      <c r="P70" s="726" t="s">
        <v>434</v>
      </c>
      <c r="Q70" s="727"/>
      <c r="R70" s="16"/>
      <c r="S70" s="16"/>
      <c r="V70" s="16"/>
      <c r="W70" s="16"/>
      <c r="X70" s="16"/>
      <c r="Y70" s="16"/>
      <c r="Z70" s="16"/>
      <c r="AA70" s="16"/>
    </row>
    <row r="71" spans="1:30" ht="15.75" customHeight="1" thickTop="1">
      <c r="A71" s="231">
        <v>1</v>
      </c>
      <c r="B71" s="231" t="s">
        <v>272</v>
      </c>
      <c r="C71" s="232" t="s">
        <v>515</v>
      </c>
      <c r="D71" s="261">
        <v>1</v>
      </c>
      <c r="E71" s="245">
        <v>42</v>
      </c>
      <c r="F71" s="326">
        <f>Hercules!$D71*Hercules!$E71</f>
        <v>42</v>
      </c>
      <c r="G71" s="245">
        <v>3</v>
      </c>
      <c r="H71" s="332">
        <v>55</v>
      </c>
      <c r="I71" s="333">
        <f t="shared" ref="I71:I87" si="2">IF($H71="-","-",IF($H71="Specify location tariff","-",$H71*$F71))</f>
        <v>2310</v>
      </c>
      <c r="J71" s="247"/>
      <c r="K71" s="611"/>
      <c r="L71" s="611"/>
      <c r="M71" s="611"/>
      <c r="N71" s="611"/>
      <c r="O71" s="612"/>
      <c r="P71" s="564" t="s">
        <v>511</v>
      </c>
      <c r="Q71" s="565"/>
      <c r="R71" s="16"/>
      <c r="S71" s="16"/>
      <c r="V71" s="16"/>
      <c r="W71" s="16"/>
      <c r="X71" s="16"/>
      <c r="Y71" s="16"/>
      <c r="Z71" s="16"/>
      <c r="AA71" s="16"/>
    </row>
    <row r="72" spans="1:30" ht="15.75" customHeight="1">
      <c r="A72" s="231">
        <v>1</v>
      </c>
      <c r="B72" s="231" t="s">
        <v>272</v>
      </c>
      <c r="C72" s="232" t="s">
        <v>1078</v>
      </c>
      <c r="D72" s="261">
        <v>1</v>
      </c>
      <c r="E72" s="245">
        <v>42</v>
      </c>
      <c r="F72" s="326">
        <f>Hercules!$D72*Hercules!$E72</f>
        <v>42</v>
      </c>
      <c r="G72" s="245">
        <v>3</v>
      </c>
      <c r="H72" s="332">
        <v>55</v>
      </c>
      <c r="I72" s="333">
        <f t="shared" si="2"/>
        <v>2310</v>
      </c>
      <c r="J72" s="247"/>
      <c r="K72" s="562"/>
      <c r="L72" s="562"/>
      <c r="M72" s="562"/>
      <c r="N72" s="562"/>
      <c r="O72" s="614"/>
      <c r="P72" s="566"/>
      <c r="Q72" s="567"/>
      <c r="R72" s="16"/>
      <c r="S72" s="16"/>
      <c r="V72" s="16"/>
      <c r="W72" s="16"/>
      <c r="X72" s="16"/>
      <c r="Y72" s="16"/>
      <c r="Z72" s="16"/>
      <c r="AA72" s="16"/>
    </row>
    <row r="73" spans="1:30" ht="15.75" customHeight="1">
      <c r="A73" s="231">
        <v>1</v>
      </c>
      <c r="B73" s="231" t="s">
        <v>272</v>
      </c>
      <c r="C73" s="232" t="s">
        <v>514</v>
      </c>
      <c r="D73" s="261">
        <v>1</v>
      </c>
      <c r="E73" s="245">
        <v>42</v>
      </c>
      <c r="F73" s="326">
        <f>Hercules!$D73*Hercules!$E73</f>
        <v>42</v>
      </c>
      <c r="G73" s="245">
        <v>4</v>
      </c>
      <c r="H73" s="332">
        <v>55</v>
      </c>
      <c r="I73" s="333">
        <f t="shared" si="2"/>
        <v>2310</v>
      </c>
      <c r="J73" s="247"/>
      <c r="K73" s="562"/>
      <c r="L73" s="562"/>
      <c r="M73" s="562"/>
      <c r="N73" s="562"/>
      <c r="O73" s="614"/>
      <c r="P73" s="566"/>
      <c r="Q73" s="567"/>
      <c r="R73" s="16"/>
      <c r="S73" s="16"/>
      <c r="V73" s="16"/>
      <c r="W73" s="16"/>
      <c r="X73" s="16"/>
      <c r="Y73" s="16"/>
      <c r="Z73" s="16"/>
      <c r="AA73" s="16"/>
    </row>
    <row r="74" spans="1:30" ht="15.75" customHeight="1">
      <c r="A74" s="231"/>
      <c r="B74" s="231"/>
      <c r="C74" s="232"/>
      <c r="D74" s="261"/>
      <c r="E74" s="245"/>
      <c r="F74" s="326">
        <f>Hercules!$D74*Hercules!$E74</f>
        <v>0</v>
      </c>
      <c r="G74" s="245"/>
      <c r="H74" s="332" t="str">
        <f>IF($B74= "","-",IF($B74= "External","Specify location tariff", INDEX(Constants!$3:$3,MATCH($B74,Constants!$2:$2,0))))</f>
        <v>-</v>
      </c>
      <c r="I74" s="333" t="str">
        <f t="shared" si="2"/>
        <v>-</v>
      </c>
      <c r="J74" s="247"/>
      <c r="K74" s="562"/>
      <c r="L74" s="562"/>
      <c r="M74" s="562"/>
      <c r="N74" s="562"/>
      <c r="O74" s="614"/>
      <c r="P74" s="566"/>
      <c r="Q74" s="567"/>
      <c r="R74" s="16"/>
      <c r="S74" s="16"/>
      <c r="V74" s="16"/>
      <c r="W74" s="16"/>
      <c r="X74" s="16"/>
      <c r="Y74" s="16"/>
      <c r="Z74" s="16"/>
      <c r="AA74" s="16"/>
    </row>
    <row r="75" spans="1:30" ht="15.75" customHeight="1">
      <c r="A75" s="231"/>
      <c r="B75" s="231"/>
      <c r="C75" s="232"/>
      <c r="D75" s="261"/>
      <c r="E75" s="245"/>
      <c r="F75" s="326">
        <f>Hercules!$D75*Hercules!$E75</f>
        <v>0</v>
      </c>
      <c r="G75" s="245"/>
      <c r="H75" s="332" t="str">
        <f>IF($B75= "","-",IF($B75= "External","Specify location tariff", INDEX(Constants!$3:$3,MATCH($B75,Constants!$2:$2,0))))</f>
        <v>-</v>
      </c>
      <c r="I75" s="333" t="str">
        <f t="shared" si="2"/>
        <v>-</v>
      </c>
      <c r="J75" s="247"/>
      <c r="K75" s="562"/>
      <c r="L75" s="562"/>
      <c r="M75" s="562"/>
      <c r="N75" s="562"/>
      <c r="O75" s="614"/>
      <c r="P75" s="566"/>
      <c r="Q75" s="567"/>
      <c r="R75" s="16"/>
      <c r="S75" s="16"/>
      <c r="V75" s="16"/>
      <c r="W75" s="16"/>
      <c r="X75" s="16"/>
      <c r="Y75" s="16"/>
      <c r="Z75" s="16"/>
      <c r="AA75" s="16"/>
    </row>
    <row r="76" spans="1:30" ht="15.75" customHeight="1">
      <c r="A76" s="231"/>
      <c r="B76" s="231"/>
      <c r="C76" s="232"/>
      <c r="D76" s="261"/>
      <c r="E76" s="245"/>
      <c r="F76" s="326">
        <f>Hercules!$D76*Hercules!$E76</f>
        <v>0</v>
      </c>
      <c r="G76" s="245"/>
      <c r="H76" s="332" t="str">
        <f>IF($B76= "","-",IF($B76= "External","Specify location tariff", INDEX(Constants!$3:$3,MATCH($B76,Constants!$2:$2,0))))</f>
        <v>-</v>
      </c>
      <c r="I76" s="333" t="str">
        <f t="shared" si="2"/>
        <v>-</v>
      </c>
      <c r="J76" s="247"/>
      <c r="K76" s="562"/>
      <c r="L76" s="562"/>
      <c r="M76" s="562"/>
      <c r="N76" s="562"/>
      <c r="O76" s="614"/>
      <c r="P76" s="566"/>
      <c r="Q76" s="567"/>
      <c r="R76" s="16"/>
      <c r="S76" s="16"/>
      <c r="V76" s="16"/>
      <c r="W76" s="16"/>
      <c r="X76" s="16"/>
      <c r="Y76" s="16"/>
      <c r="Z76" s="16"/>
      <c r="AA76" s="16"/>
    </row>
    <row r="77" spans="1:30" ht="15.75" customHeight="1">
      <c r="A77" s="231"/>
      <c r="B77" s="231"/>
      <c r="C77" s="232"/>
      <c r="D77" s="261"/>
      <c r="E77" s="245"/>
      <c r="F77" s="326">
        <f>Hercules!$D77*Hercules!$E77</f>
        <v>0</v>
      </c>
      <c r="G77" s="245"/>
      <c r="H77" s="332" t="str">
        <f>IF($B77= "","-",IF($B77= "External","Specify location tariff", INDEX(Constants!$3:$3,MATCH($B77,Constants!$2:$2,0))))</f>
        <v>-</v>
      </c>
      <c r="I77" s="333" t="str">
        <f t="shared" si="2"/>
        <v>-</v>
      </c>
      <c r="J77" s="247"/>
      <c r="K77" s="562"/>
      <c r="L77" s="562"/>
      <c r="M77" s="562"/>
      <c r="N77" s="562"/>
      <c r="O77" s="614"/>
      <c r="P77" s="566"/>
      <c r="Q77" s="567"/>
      <c r="R77" s="16"/>
      <c r="S77" s="16"/>
      <c r="V77" s="16"/>
      <c r="W77" s="16"/>
      <c r="X77" s="16"/>
      <c r="Y77" s="16"/>
      <c r="Z77" s="16"/>
      <c r="AA77" s="16"/>
    </row>
    <row r="78" spans="1:30" ht="15.75" customHeight="1">
      <c r="A78" s="231"/>
      <c r="B78" s="231"/>
      <c r="C78" s="232"/>
      <c r="D78" s="261"/>
      <c r="E78" s="245"/>
      <c r="F78" s="326">
        <f>Hercules!$D78*Hercules!$E78</f>
        <v>0</v>
      </c>
      <c r="G78" s="245"/>
      <c r="H78" s="332" t="str">
        <f>IF($B78= "","-",IF($B78= "External","Specify location tariff", INDEX(Constants!$3:$3,MATCH($B78,Constants!$2:$2,0))))</f>
        <v>-</v>
      </c>
      <c r="I78" s="333" t="str">
        <f t="shared" si="2"/>
        <v>-</v>
      </c>
      <c r="J78" s="247"/>
      <c r="K78" s="562"/>
      <c r="L78" s="562"/>
      <c r="M78" s="562"/>
      <c r="N78" s="562"/>
      <c r="O78" s="614"/>
      <c r="P78" s="566"/>
      <c r="Q78" s="567"/>
      <c r="R78" s="16"/>
      <c r="S78" s="16"/>
      <c r="V78" s="16"/>
      <c r="W78" s="16"/>
      <c r="X78" s="16"/>
      <c r="Y78" s="16"/>
      <c r="Z78" s="16"/>
      <c r="AA78" s="16"/>
    </row>
    <row r="79" spans="1:30" ht="15.75" customHeight="1">
      <c r="A79" s="231"/>
      <c r="B79" s="231"/>
      <c r="C79" s="232"/>
      <c r="D79" s="261"/>
      <c r="E79" s="245"/>
      <c r="F79" s="326">
        <f>Hercules!$D79*Hercules!$E79</f>
        <v>0</v>
      </c>
      <c r="G79" s="245"/>
      <c r="H79" s="332" t="str">
        <f>IF($B79= "","-",IF($B79= "External","Specify location tariff", INDEX(Constants!$3:$3,MATCH($B79,Constants!$2:$2,0))))</f>
        <v>-</v>
      </c>
      <c r="I79" s="333" t="str">
        <f t="shared" si="2"/>
        <v>-</v>
      </c>
      <c r="J79" s="247"/>
      <c r="K79" s="562"/>
      <c r="L79" s="562"/>
      <c r="M79" s="562"/>
      <c r="N79" s="562"/>
      <c r="O79" s="614"/>
      <c r="P79" s="566"/>
      <c r="Q79" s="567"/>
      <c r="R79" s="16"/>
      <c r="S79" s="16"/>
      <c r="V79" s="16"/>
      <c r="W79" s="16"/>
      <c r="X79" s="16"/>
      <c r="Y79" s="16"/>
      <c r="Z79" s="16"/>
      <c r="AA79" s="16"/>
    </row>
    <row r="80" spans="1:30" ht="15.75" customHeight="1">
      <c r="A80" s="231"/>
      <c r="B80" s="231"/>
      <c r="C80" s="232"/>
      <c r="D80" s="261"/>
      <c r="E80" s="245"/>
      <c r="F80" s="326">
        <f>Hercules!$D80*Hercules!$E80</f>
        <v>0</v>
      </c>
      <c r="G80" s="245"/>
      <c r="H80" s="332" t="str">
        <f>IF($B80= "","-",IF($B80= "External","Specify location tariff", INDEX(Constants!$3:$3,MATCH($B80,Constants!$2:$2,0))))</f>
        <v>-</v>
      </c>
      <c r="I80" s="333" t="str">
        <f t="shared" si="2"/>
        <v>-</v>
      </c>
      <c r="J80" s="247"/>
      <c r="K80" s="562"/>
      <c r="L80" s="562"/>
      <c r="M80" s="562"/>
      <c r="N80" s="562"/>
      <c r="O80" s="614"/>
      <c r="P80" s="566"/>
      <c r="Q80" s="567"/>
      <c r="R80" s="16"/>
      <c r="S80" s="16"/>
      <c r="V80" s="16"/>
      <c r="W80" s="16"/>
      <c r="X80" s="16"/>
      <c r="Y80" s="16"/>
      <c r="Z80" s="16"/>
      <c r="AA80" s="16"/>
    </row>
    <row r="81" spans="1:30" ht="15.75" customHeight="1">
      <c r="A81" s="231"/>
      <c r="B81" s="231"/>
      <c r="C81" s="232"/>
      <c r="D81" s="261"/>
      <c r="E81" s="245"/>
      <c r="F81" s="326">
        <f>Hercules!$D81*Hercules!$E81</f>
        <v>0</v>
      </c>
      <c r="G81" s="245"/>
      <c r="H81" s="332" t="str">
        <f>IF($B81= "","-",IF($B81= "External","Specify location tariff", INDEX(Constants!$3:$3,MATCH($B81,Constants!$2:$2,0))))</f>
        <v>-</v>
      </c>
      <c r="I81" s="333" t="str">
        <f t="shared" si="2"/>
        <v>-</v>
      </c>
      <c r="J81" s="247"/>
      <c r="K81" s="562"/>
      <c r="L81" s="562"/>
      <c r="M81" s="562"/>
      <c r="N81" s="562"/>
      <c r="O81" s="614"/>
      <c r="P81" s="566"/>
      <c r="Q81" s="567"/>
      <c r="R81" s="16"/>
      <c r="S81" s="16"/>
      <c r="V81" s="16"/>
      <c r="W81" s="16"/>
      <c r="X81" s="16"/>
      <c r="Y81" s="16"/>
      <c r="Z81" s="16"/>
      <c r="AA81" s="16"/>
    </row>
    <row r="82" spans="1:30" ht="15.75" customHeight="1">
      <c r="A82" s="231"/>
      <c r="B82" s="231"/>
      <c r="C82" s="232"/>
      <c r="D82" s="261"/>
      <c r="E82" s="245"/>
      <c r="F82" s="326">
        <f>Hercules!$D82*Hercules!$E82</f>
        <v>0</v>
      </c>
      <c r="G82" s="245"/>
      <c r="H82" s="332" t="str">
        <f>IF($B82= "","-",IF($B82= "External","Specify location tariff", INDEX(Constants!$3:$3,MATCH($B82,Constants!$2:$2,0))))</f>
        <v>-</v>
      </c>
      <c r="I82" s="333" t="str">
        <f t="shared" si="2"/>
        <v>-</v>
      </c>
      <c r="J82" s="247"/>
      <c r="K82" s="562"/>
      <c r="L82" s="562"/>
      <c r="M82" s="562"/>
      <c r="N82" s="562"/>
      <c r="O82" s="614"/>
      <c r="P82" s="566"/>
      <c r="Q82" s="567"/>
      <c r="R82" s="16"/>
      <c r="S82" s="16"/>
      <c r="V82" s="16"/>
      <c r="W82" s="16"/>
      <c r="X82" s="16"/>
      <c r="Y82" s="16"/>
      <c r="Z82" s="16"/>
      <c r="AA82" s="16"/>
    </row>
    <row r="83" spans="1:30" ht="15.75" customHeight="1">
      <c r="A83" s="231"/>
      <c r="B83" s="231"/>
      <c r="C83" s="232"/>
      <c r="D83" s="261"/>
      <c r="E83" s="245"/>
      <c r="F83" s="326">
        <f>Hercules!$D83*Hercules!$E83</f>
        <v>0</v>
      </c>
      <c r="G83" s="245"/>
      <c r="H83" s="332" t="str">
        <f>IF($B83= "","-",IF($B83= "External","Specify location tariff", INDEX(Constants!$3:$3,MATCH($B83,Constants!$2:$2,0))))</f>
        <v>-</v>
      </c>
      <c r="I83" s="333" t="str">
        <f t="shared" si="2"/>
        <v>-</v>
      </c>
      <c r="J83" s="247"/>
      <c r="K83" s="562"/>
      <c r="L83" s="562"/>
      <c r="M83" s="562"/>
      <c r="N83" s="562"/>
      <c r="O83" s="614"/>
      <c r="P83" s="566"/>
      <c r="Q83" s="567"/>
      <c r="R83" s="16"/>
      <c r="S83" s="16"/>
      <c r="V83" s="16"/>
      <c r="W83" s="16"/>
      <c r="X83" s="16"/>
      <c r="Y83" s="16"/>
      <c r="Z83" s="16"/>
      <c r="AA83" s="16"/>
    </row>
    <row r="84" spans="1:30" ht="15.75" customHeight="1">
      <c r="A84" s="231"/>
      <c r="B84" s="231"/>
      <c r="C84" s="232"/>
      <c r="D84" s="261"/>
      <c r="E84" s="245"/>
      <c r="F84" s="326">
        <f>Hercules!$D84*Hercules!$E84</f>
        <v>0</v>
      </c>
      <c r="G84" s="245"/>
      <c r="H84" s="332" t="str">
        <f>IF($B84= "","-",IF($B84= "External","Specify location tariff", INDEX(Constants!$3:$3,MATCH($B84,Constants!$2:$2,0))))</f>
        <v>-</v>
      </c>
      <c r="I84" s="333" t="str">
        <f t="shared" si="2"/>
        <v>-</v>
      </c>
      <c r="J84" s="247"/>
      <c r="K84" s="562"/>
      <c r="L84" s="562"/>
      <c r="M84" s="562"/>
      <c r="N84" s="562"/>
      <c r="O84" s="614"/>
      <c r="P84" s="566"/>
      <c r="Q84" s="567"/>
      <c r="R84" s="16"/>
      <c r="S84" s="16"/>
      <c r="V84" s="16"/>
      <c r="W84" s="16"/>
      <c r="X84" s="16"/>
      <c r="Y84" s="16"/>
      <c r="Z84" s="16"/>
      <c r="AA84" s="16"/>
    </row>
    <row r="85" spans="1:30" ht="15.75" customHeight="1">
      <c r="A85" s="231"/>
      <c r="B85" s="231"/>
      <c r="C85" s="232"/>
      <c r="D85" s="261"/>
      <c r="E85" s="245"/>
      <c r="F85" s="326">
        <f>Hercules!$D85*Hercules!$E85</f>
        <v>0</v>
      </c>
      <c r="G85" s="245"/>
      <c r="H85" s="332" t="str">
        <f>IF($B85= "","-",IF($B85= "External","Specify location tariff", INDEX(Constants!$3:$3,MATCH($B85,Constants!$2:$2,0))))</f>
        <v>-</v>
      </c>
      <c r="I85" s="333" t="str">
        <f t="shared" si="2"/>
        <v>-</v>
      </c>
      <c r="J85" s="247"/>
      <c r="K85" s="562"/>
      <c r="L85" s="562"/>
      <c r="M85" s="562"/>
      <c r="N85" s="562"/>
      <c r="O85" s="614"/>
      <c r="P85" s="566"/>
      <c r="Q85" s="567"/>
      <c r="R85" s="16"/>
      <c r="S85" s="16"/>
      <c r="V85" s="16"/>
      <c r="W85" s="16"/>
      <c r="X85" s="16"/>
      <c r="Y85" s="16"/>
      <c r="Z85" s="16"/>
      <c r="AA85" s="16"/>
    </row>
    <row r="86" spans="1:30" ht="15.75" customHeight="1">
      <c r="A86" s="231"/>
      <c r="B86" s="231"/>
      <c r="C86" s="232"/>
      <c r="D86" s="261"/>
      <c r="E86" s="245"/>
      <c r="F86" s="326">
        <f>Hercules!$D86*Hercules!$E86</f>
        <v>0</v>
      </c>
      <c r="G86" s="245"/>
      <c r="H86" s="332" t="str">
        <f>IF($B86= "","-",IF($B86= "External","Specify location tariff", INDEX(Constants!$3:$3,MATCH($B86,Constants!$2:$2,0))))</f>
        <v>-</v>
      </c>
      <c r="I86" s="333" t="str">
        <f t="shared" si="2"/>
        <v>-</v>
      </c>
      <c r="J86" s="247"/>
      <c r="K86" s="562"/>
      <c r="L86" s="562"/>
      <c r="M86" s="562"/>
      <c r="N86" s="562"/>
      <c r="O86" s="614"/>
      <c r="P86" s="566"/>
      <c r="Q86" s="567"/>
      <c r="R86" s="16"/>
      <c r="S86" s="16"/>
      <c r="V86" s="16"/>
      <c r="W86" s="16"/>
      <c r="X86" s="16"/>
      <c r="Y86" s="16"/>
      <c r="Z86" s="16"/>
      <c r="AA86" s="16"/>
    </row>
    <row r="87" spans="1:30" ht="15.75" customHeight="1" thickBot="1">
      <c r="A87" s="231"/>
      <c r="B87" s="231"/>
      <c r="C87" s="232"/>
      <c r="D87" s="261"/>
      <c r="E87" s="245"/>
      <c r="F87" s="326">
        <f>Hercules!$D87*Hercules!$E87</f>
        <v>0</v>
      </c>
      <c r="G87" s="245"/>
      <c r="H87" s="332" t="str">
        <f>IF($B87= "","-",IF($B87= "External","Specify location tariff", INDEX(Constants!$3:$3,MATCH($B87,Constants!$2:$2,0))))</f>
        <v>-</v>
      </c>
      <c r="I87" s="333" t="str">
        <f t="shared" si="2"/>
        <v>-</v>
      </c>
      <c r="J87" s="247"/>
      <c r="K87" s="616"/>
      <c r="L87" s="616"/>
      <c r="M87" s="616"/>
      <c r="N87" s="616"/>
      <c r="O87" s="617"/>
      <c r="P87" s="568"/>
      <c r="Q87" s="569"/>
      <c r="R87" s="16"/>
      <c r="S87" s="16"/>
      <c r="V87" s="16"/>
      <c r="W87" s="16"/>
      <c r="X87" s="16"/>
      <c r="Y87" s="16"/>
      <c r="Z87" s="16"/>
      <c r="AA87" s="16"/>
    </row>
    <row r="88" spans="1:30" ht="15.75" customHeight="1" thickTop="1">
      <c r="A88" s="15"/>
      <c r="B88" s="16"/>
      <c r="C88" s="16"/>
      <c r="D88" s="16"/>
      <c r="E88" s="16"/>
      <c r="F88" s="16"/>
      <c r="G88" s="16"/>
      <c r="H88" s="16"/>
      <c r="I88" s="16"/>
      <c r="J88" s="16"/>
      <c r="K88" s="16"/>
      <c r="L88" s="16"/>
      <c r="M88" s="16"/>
      <c r="N88" s="16"/>
      <c r="O88" s="16"/>
      <c r="P88" s="16"/>
      <c r="Q88" s="16"/>
      <c r="R88" s="16"/>
      <c r="S88" s="16"/>
      <c r="T88" s="16"/>
      <c r="U88" s="16"/>
      <c r="V88" s="16"/>
      <c r="W88" s="16"/>
      <c r="X88" s="16"/>
      <c r="Y88" s="16"/>
      <c r="Z88" s="16"/>
      <c r="AA88" s="16"/>
      <c r="AB88" s="16"/>
      <c r="AC88" s="16"/>
      <c r="AD88" s="16"/>
    </row>
    <row r="89" spans="1:30" ht="15.75" customHeight="1">
      <c r="A89" s="15"/>
      <c r="B89" s="16"/>
      <c r="C89" s="16"/>
      <c r="D89" s="16"/>
      <c r="E89" s="16"/>
      <c r="F89" s="16"/>
      <c r="G89" s="16"/>
      <c r="H89" s="16"/>
      <c r="I89" s="16"/>
      <c r="J89" s="16"/>
      <c r="K89" s="16"/>
      <c r="L89" s="231"/>
      <c r="M89" s="231"/>
      <c r="N89" s="16"/>
      <c r="O89" s="16"/>
      <c r="P89" s="16"/>
      <c r="Q89" s="16"/>
      <c r="R89" s="16"/>
      <c r="S89" s="16"/>
      <c r="T89" s="16"/>
      <c r="U89" s="16"/>
      <c r="V89" s="16"/>
      <c r="W89" s="16"/>
      <c r="X89" s="16"/>
      <c r="Y89" s="16"/>
      <c r="Z89" s="16"/>
      <c r="AA89" s="16"/>
      <c r="AB89" s="16"/>
      <c r="AC89" s="16"/>
      <c r="AD89" s="16"/>
    </row>
    <row r="90" spans="1:30" ht="15.75" customHeight="1" thickBot="1">
      <c r="A90" s="186" t="s">
        <v>519</v>
      </c>
      <c r="B90" s="16"/>
      <c r="C90" s="128"/>
      <c r="D90" s="51"/>
      <c r="E90" s="51"/>
      <c r="F90" s="51"/>
      <c r="G90" s="51"/>
      <c r="H90" s="51"/>
      <c r="I90" s="51"/>
      <c r="J90" s="51"/>
      <c r="K90" s="51"/>
      <c r="L90" s="232"/>
      <c r="M90" s="231"/>
      <c r="N90" s="16"/>
      <c r="O90" s="16"/>
      <c r="P90" s="16"/>
      <c r="Q90" s="16"/>
      <c r="R90" s="16"/>
      <c r="S90" s="16"/>
      <c r="T90" s="16"/>
      <c r="U90" s="16"/>
      <c r="V90" s="16"/>
      <c r="W90" s="16"/>
      <c r="X90" s="16"/>
      <c r="Y90" s="16"/>
      <c r="Z90" s="16"/>
      <c r="AA90" s="16"/>
      <c r="AB90" s="16"/>
      <c r="AC90" s="16"/>
      <c r="AD90" s="16"/>
    </row>
    <row r="91" spans="1:30" ht="15" customHeight="1" thickTop="1" thickBot="1">
      <c r="A91" s="230" t="s">
        <v>438</v>
      </c>
      <c r="B91" s="230" t="s">
        <v>439</v>
      </c>
      <c r="C91" s="230" t="s">
        <v>520</v>
      </c>
      <c r="D91" s="230" t="s">
        <v>521</v>
      </c>
      <c r="E91" s="230" t="s">
        <v>522</v>
      </c>
      <c r="F91" s="230" t="s">
        <v>523</v>
      </c>
      <c r="G91" s="230" t="s">
        <v>508</v>
      </c>
      <c r="H91" s="721" t="s">
        <v>441</v>
      </c>
      <c r="I91" s="728"/>
      <c r="J91" s="729" t="s">
        <v>434</v>
      </c>
      <c r="K91" s="730"/>
      <c r="L91" s="16"/>
      <c r="M91" s="16"/>
      <c r="N91" s="16"/>
      <c r="O91" s="16"/>
      <c r="P91" s="117"/>
      <c r="Q91" s="15"/>
      <c r="R91" s="16"/>
      <c r="S91" s="130"/>
      <c r="T91" s="16"/>
      <c r="U91" s="16"/>
      <c r="V91" s="16"/>
      <c r="W91" s="241"/>
      <c r="X91" s="16"/>
      <c r="Y91" s="16"/>
      <c r="Z91" s="16"/>
      <c r="AA91" s="16"/>
      <c r="AB91" s="16"/>
    </row>
    <row r="92" spans="1:30" ht="14.25" customHeight="1" thickTop="1">
      <c r="A92" s="231"/>
      <c r="B92" s="248"/>
      <c r="C92" s="246">
        <v>0</v>
      </c>
      <c r="D92" s="247"/>
      <c r="E92" s="245"/>
      <c r="F92" s="246">
        <f>IF(Table_6170316[[#This Row],[Item]]="",0,Table_6170316[[#This Row],[Amount]]*Table_6170316[[#This Row],[Purchase / Running costs]]/Table_6170316[[#This Row],[Depreciation period]])</f>
        <v>0</v>
      </c>
      <c r="G92" s="247"/>
      <c r="H92" s="564"/>
      <c r="I92" s="750"/>
      <c r="J92" s="628" t="s">
        <v>526</v>
      </c>
      <c r="K92" s="730"/>
      <c r="L92" s="16"/>
      <c r="M92" s="16"/>
      <c r="N92" s="16"/>
      <c r="O92" s="16"/>
      <c r="P92" s="16"/>
      <c r="Q92" s="133"/>
      <c r="R92" s="16"/>
      <c r="S92" s="16"/>
      <c r="T92" s="16"/>
      <c r="U92" s="16"/>
      <c r="V92" s="16"/>
      <c r="W92" s="16"/>
      <c r="X92" s="16"/>
      <c r="Y92" s="16"/>
      <c r="Z92" s="16"/>
      <c r="AA92" s="16"/>
      <c r="AB92" s="16"/>
    </row>
    <row r="93" spans="1:30" ht="15.75" customHeight="1">
      <c r="A93" s="231"/>
      <c r="B93" s="248"/>
      <c r="C93" s="246">
        <v>0</v>
      </c>
      <c r="D93" s="247"/>
      <c r="E93" s="245"/>
      <c r="F93" s="246">
        <f>IF(Table_6170316[[#This Row],[Item]]="",0,Table_6170316[[#This Row],[Amount]]*Table_6170316[[#This Row],[Purchase / Running costs]]/Table_6170316[[#This Row],[Depreciation period]])</f>
        <v>0</v>
      </c>
      <c r="G93" s="247"/>
      <c r="H93" s="743"/>
      <c r="I93" s="751"/>
      <c r="J93" s="702"/>
      <c r="K93" s="732"/>
      <c r="L93" s="16"/>
      <c r="M93" s="16"/>
      <c r="N93" s="16"/>
      <c r="O93" s="16"/>
      <c r="P93" s="16"/>
      <c r="Q93" s="16"/>
      <c r="R93" s="16"/>
      <c r="S93" s="16"/>
      <c r="T93" s="16"/>
      <c r="U93" s="16"/>
      <c r="V93" s="16"/>
      <c r="W93" s="16"/>
      <c r="X93" s="16"/>
      <c r="Y93" s="16"/>
      <c r="Z93" s="16"/>
      <c r="AA93" s="16"/>
      <c r="AB93" s="16"/>
    </row>
    <row r="94" spans="1:30" ht="15.75" customHeight="1">
      <c r="A94" s="231"/>
      <c r="B94" s="248"/>
      <c r="C94" s="246">
        <v>0</v>
      </c>
      <c r="D94" s="247"/>
      <c r="E94" s="245"/>
      <c r="F94" s="246">
        <f>IF(Table_6170316[[#This Row],[Item]]="",0,Table_6170316[[#This Row],[Amount]]*Table_6170316[[#This Row],[Purchase / Running costs]]/Table_6170316[[#This Row],[Depreciation period]])</f>
        <v>0</v>
      </c>
      <c r="G94" s="247"/>
      <c r="H94" s="743"/>
      <c r="I94" s="751"/>
      <c r="J94" s="702"/>
      <c r="K94" s="732"/>
      <c r="L94" s="16"/>
      <c r="M94" s="16"/>
      <c r="N94" s="16"/>
      <c r="O94" s="16"/>
      <c r="P94" s="16"/>
      <c r="Q94" s="16"/>
      <c r="R94" s="16"/>
      <c r="S94" s="16"/>
      <c r="T94" s="16"/>
      <c r="U94" s="16"/>
      <c r="V94" s="16"/>
      <c r="W94" s="16"/>
      <c r="X94" s="16"/>
      <c r="Y94" s="16"/>
      <c r="Z94" s="16"/>
      <c r="AA94" s="16"/>
      <c r="AB94" s="16"/>
    </row>
    <row r="95" spans="1:30" ht="15.75" customHeight="1">
      <c r="A95" s="231"/>
      <c r="B95" s="248"/>
      <c r="C95" s="246">
        <v>0</v>
      </c>
      <c r="D95" s="247"/>
      <c r="E95" s="245"/>
      <c r="F95" s="246">
        <f>IF(Table_6170316[[#This Row],[Item]]="",0,Table_6170316[[#This Row],[Amount]]*Table_6170316[[#This Row],[Purchase / Running costs]]/Table_6170316[[#This Row],[Depreciation period]])</f>
        <v>0</v>
      </c>
      <c r="G95" s="247"/>
      <c r="H95" s="743"/>
      <c r="I95" s="751"/>
      <c r="J95" s="702"/>
      <c r="K95" s="732"/>
      <c r="L95" s="16"/>
      <c r="M95" s="16"/>
      <c r="N95" s="16"/>
      <c r="O95" s="16"/>
      <c r="P95" s="16"/>
      <c r="Q95" s="16"/>
      <c r="R95" s="16"/>
      <c r="S95" s="16"/>
      <c r="T95" s="16"/>
      <c r="U95" s="16"/>
      <c r="V95" s="16"/>
      <c r="W95" s="16"/>
      <c r="X95" s="16"/>
      <c r="Y95" s="16"/>
      <c r="Z95" s="16"/>
      <c r="AA95" s="16"/>
      <c r="AB95" s="16"/>
    </row>
    <row r="96" spans="1:30" ht="15.75" customHeight="1">
      <c r="A96" s="231"/>
      <c r="B96" s="248"/>
      <c r="C96" s="246">
        <v>0</v>
      </c>
      <c r="D96" s="247"/>
      <c r="E96" s="245"/>
      <c r="F96" s="246">
        <f>IF(Table_6170316[[#This Row],[Item]]="",0,Table_6170316[[#This Row],[Amount]]*Table_6170316[[#This Row],[Purchase / Running costs]]/Table_6170316[[#This Row],[Depreciation period]])</f>
        <v>0</v>
      </c>
      <c r="G96" s="247"/>
      <c r="H96" s="743"/>
      <c r="I96" s="751"/>
      <c r="J96" s="702"/>
      <c r="K96" s="732"/>
      <c r="L96" s="16"/>
      <c r="M96" s="16"/>
      <c r="N96" s="16"/>
      <c r="O96" s="16"/>
      <c r="P96" s="16"/>
      <c r="Q96" s="16"/>
      <c r="R96" s="16"/>
      <c r="S96" s="16"/>
      <c r="T96" s="16"/>
      <c r="U96" s="16"/>
      <c r="V96" s="16"/>
      <c r="W96" s="16"/>
      <c r="X96" s="16"/>
      <c r="Y96" s="16"/>
      <c r="Z96" s="16"/>
      <c r="AA96" s="16"/>
      <c r="AB96" s="16"/>
    </row>
    <row r="97" spans="1:30" ht="15.75" customHeight="1">
      <c r="A97" s="231"/>
      <c r="B97" s="248"/>
      <c r="C97" s="246">
        <v>0</v>
      </c>
      <c r="D97" s="247"/>
      <c r="E97" s="245"/>
      <c r="F97" s="246">
        <f>IF(Table_6170316[[#This Row],[Item]]="",0,Table_6170316[[#This Row],[Amount]]*Table_6170316[[#This Row],[Purchase / Running costs]]/Table_6170316[[#This Row],[Depreciation period]])</f>
        <v>0</v>
      </c>
      <c r="G97" s="247"/>
      <c r="H97" s="743"/>
      <c r="I97" s="751"/>
      <c r="J97" s="702"/>
      <c r="K97" s="732"/>
      <c r="L97" s="16"/>
      <c r="M97" s="16"/>
      <c r="N97" s="16"/>
      <c r="O97" s="16"/>
      <c r="P97" s="16"/>
      <c r="Q97" s="16"/>
      <c r="R97" s="16"/>
      <c r="S97" s="16"/>
      <c r="T97" s="16"/>
      <c r="U97" s="16"/>
      <c r="V97" s="16"/>
      <c r="W97" s="16"/>
      <c r="X97" s="16"/>
      <c r="Y97" s="16"/>
      <c r="Z97" s="16"/>
      <c r="AA97" s="16"/>
      <c r="AB97" s="16"/>
    </row>
    <row r="98" spans="1:30" ht="15.75" customHeight="1">
      <c r="A98" s="231"/>
      <c r="B98" s="244"/>
      <c r="C98" s="246">
        <v>0</v>
      </c>
      <c r="D98" s="247"/>
      <c r="E98" s="245"/>
      <c r="F98" s="246">
        <f>IF(Table_6170316[[#This Row],[Item]]="",0,Table_6170316[[#This Row],[Amount]]*Table_6170316[[#This Row],[Purchase / Running costs]]/Table_6170316[[#This Row],[Depreciation period]])</f>
        <v>0</v>
      </c>
      <c r="G98" s="247"/>
      <c r="H98" s="743"/>
      <c r="I98" s="751"/>
      <c r="J98" s="702"/>
      <c r="K98" s="732"/>
      <c r="L98" s="16"/>
      <c r="M98" s="16"/>
      <c r="N98" s="16"/>
      <c r="O98" s="16"/>
      <c r="P98" s="16"/>
      <c r="Q98" s="16"/>
      <c r="R98" s="16"/>
      <c r="S98" s="16"/>
      <c r="T98" s="16"/>
      <c r="U98" s="16"/>
      <c r="V98" s="16"/>
      <c r="W98" s="16"/>
      <c r="X98" s="16"/>
      <c r="Y98" s="16"/>
      <c r="Z98" s="16"/>
      <c r="AA98" s="16"/>
      <c r="AB98" s="16"/>
    </row>
    <row r="99" spans="1:30" ht="15.75" customHeight="1">
      <c r="A99" s="231"/>
      <c r="B99" s="244"/>
      <c r="C99" s="246">
        <v>0</v>
      </c>
      <c r="D99" s="247"/>
      <c r="E99" s="245"/>
      <c r="F99" s="246">
        <f>IF(Table_6170316[[#This Row],[Item]]="",0,Table_6170316[[#This Row],[Amount]]*Table_6170316[[#This Row],[Purchase / Running costs]]/Table_6170316[[#This Row],[Depreciation period]])</f>
        <v>0</v>
      </c>
      <c r="G99" s="247"/>
      <c r="H99" s="743"/>
      <c r="I99" s="751"/>
      <c r="J99" s="702"/>
      <c r="K99" s="732"/>
      <c r="L99" s="16"/>
      <c r="M99" s="16"/>
      <c r="N99" s="16"/>
      <c r="O99" s="16"/>
      <c r="P99" s="16"/>
      <c r="Q99" s="16"/>
      <c r="R99" s="16"/>
      <c r="S99" s="16"/>
      <c r="T99" s="16"/>
      <c r="U99" s="16"/>
      <c r="V99" s="16"/>
      <c r="W99" s="16"/>
      <c r="X99" s="16"/>
      <c r="Y99" s="16"/>
      <c r="Z99" s="16"/>
      <c r="AA99" s="16"/>
      <c r="AB99" s="16"/>
    </row>
    <row r="100" spans="1:30" ht="15.75" customHeight="1">
      <c r="A100" s="231"/>
      <c r="B100" s="244"/>
      <c r="C100" s="246">
        <v>0</v>
      </c>
      <c r="D100" s="247"/>
      <c r="E100" s="245"/>
      <c r="F100" s="246">
        <f>IF(Table_6170316[[#This Row],[Item]]="",0,Table_6170316[[#This Row],[Amount]]*Table_6170316[[#This Row],[Purchase / Running costs]]/Table_6170316[[#This Row],[Depreciation period]])</f>
        <v>0</v>
      </c>
      <c r="G100" s="247"/>
      <c r="H100" s="743"/>
      <c r="I100" s="751"/>
      <c r="J100" s="702"/>
      <c r="K100" s="732"/>
      <c r="L100" s="16"/>
      <c r="M100" s="16"/>
      <c r="N100" s="16"/>
      <c r="O100" s="16"/>
      <c r="P100" s="16"/>
      <c r="Q100" s="16"/>
      <c r="R100" s="16"/>
      <c r="S100" s="16"/>
      <c r="T100" s="16"/>
      <c r="U100" s="16"/>
      <c r="V100" s="16"/>
      <c r="W100" s="16"/>
      <c r="X100" s="16"/>
      <c r="Y100" s="16"/>
      <c r="Z100" s="16"/>
      <c r="AA100" s="16"/>
      <c r="AB100" s="16"/>
    </row>
    <row r="101" spans="1:30" ht="15.75" customHeight="1">
      <c r="A101" s="231"/>
      <c r="B101" s="244"/>
      <c r="C101" s="246">
        <v>0</v>
      </c>
      <c r="D101" s="247"/>
      <c r="E101" s="245"/>
      <c r="F101" s="246">
        <f>IF(Table_6170316[[#This Row],[Item]]="",0,Table_6170316[[#This Row],[Amount]]*Table_6170316[[#This Row],[Purchase / Running costs]]/Table_6170316[[#This Row],[Depreciation period]])</f>
        <v>0</v>
      </c>
      <c r="G101" s="247"/>
      <c r="H101" s="743"/>
      <c r="I101" s="751"/>
      <c r="J101" s="702"/>
      <c r="K101" s="732"/>
      <c r="L101" s="16"/>
      <c r="M101" s="16"/>
      <c r="N101" s="16"/>
      <c r="O101" s="16"/>
      <c r="P101" s="16"/>
      <c r="Q101" s="16"/>
      <c r="R101" s="16"/>
      <c r="S101" s="16"/>
      <c r="T101" s="16"/>
      <c r="U101" s="16"/>
      <c r="V101" s="16"/>
      <c r="W101" s="16"/>
      <c r="X101" s="16"/>
      <c r="Y101" s="16"/>
      <c r="Z101" s="16"/>
      <c r="AA101" s="16"/>
      <c r="AB101" s="16"/>
    </row>
    <row r="102" spans="1:30" ht="15.75" customHeight="1">
      <c r="A102" s="231"/>
      <c r="B102" s="244"/>
      <c r="C102" s="246">
        <v>0</v>
      </c>
      <c r="D102" s="247"/>
      <c r="E102" s="245"/>
      <c r="F102" s="246">
        <f>IF(Table_6170316[[#This Row],[Item]]="",0,Table_6170316[[#This Row],[Amount]]*Table_6170316[[#This Row],[Purchase / Running costs]]/Table_6170316[[#This Row],[Depreciation period]])</f>
        <v>0</v>
      </c>
      <c r="G102" s="247"/>
      <c r="H102" s="743"/>
      <c r="I102" s="751"/>
      <c r="J102" s="702"/>
      <c r="K102" s="732"/>
      <c r="L102" s="16"/>
      <c r="M102" s="16"/>
      <c r="N102" s="16"/>
      <c r="O102" s="16"/>
      <c r="P102" s="16"/>
      <c r="Q102" s="16"/>
      <c r="R102" s="16"/>
      <c r="S102" s="16"/>
      <c r="T102" s="16"/>
      <c r="U102" s="16"/>
      <c r="V102" s="16"/>
      <c r="W102" s="16"/>
      <c r="X102" s="16"/>
      <c r="Y102" s="16"/>
      <c r="Z102" s="16"/>
      <c r="AA102" s="16"/>
      <c r="AB102" s="16"/>
    </row>
    <row r="103" spans="1:30" ht="15.75" customHeight="1">
      <c r="A103" s="231"/>
      <c r="B103" s="244"/>
      <c r="C103" s="246">
        <v>0</v>
      </c>
      <c r="D103" s="247"/>
      <c r="E103" s="245"/>
      <c r="F103" s="246">
        <f>IF(Table_6170316[[#This Row],[Item]]="",0,Table_6170316[[#This Row],[Amount]]*Table_6170316[[#This Row],[Purchase / Running costs]]/Table_6170316[[#This Row],[Depreciation period]])</f>
        <v>0</v>
      </c>
      <c r="G103" s="247"/>
      <c r="H103" s="743"/>
      <c r="I103" s="751"/>
      <c r="J103" s="702"/>
      <c r="K103" s="732"/>
      <c r="L103" s="16"/>
      <c r="M103" s="16"/>
      <c r="N103" s="16"/>
      <c r="O103" s="16"/>
      <c r="P103" s="16"/>
      <c r="Q103" s="16"/>
      <c r="R103" s="16"/>
      <c r="S103" s="16"/>
      <c r="T103" s="16"/>
      <c r="U103" s="16"/>
      <c r="V103" s="16"/>
      <c r="W103" s="16"/>
      <c r="X103" s="16"/>
      <c r="Y103" s="16"/>
      <c r="Z103" s="16"/>
      <c r="AA103" s="16"/>
      <c r="AB103" s="16"/>
    </row>
    <row r="104" spans="1:30" ht="15.75" customHeight="1">
      <c r="A104" s="231"/>
      <c r="B104" s="244"/>
      <c r="C104" s="246">
        <v>0</v>
      </c>
      <c r="D104" s="247"/>
      <c r="E104" s="245"/>
      <c r="F104" s="246">
        <f>IF(Table_6170316[[#This Row],[Item]]="",0,Table_6170316[[#This Row],[Amount]]*Table_6170316[[#This Row],[Purchase / Running costs]]/Table_6170316[[#This Row],[Depreciation period]])</f>
        <v>0</v>
      </c>
      <c r="G104" s="247"/>
      <c r="H104" s="743"/>
      <c r="I104" s="751"/>
      <c r="J104" s="702"/>
      <c r="K104" s="732"/>
      <c r="L104" s="16"/>
      <c r="M104" s="16"/>
      <c r="N104" s="16"/>
      <c r="O104" s="16"/>
      <c r="P104" s="16"/>
      <c r="Q104" s="16"/>
      <c r="R104" s="16"/>
      <c r="S104" s="16"/>
      <c r="T104" s="16"/>
      <c r="U104" s="16"/>
      <c r="V104" s="16"/>
      <c r="W104" s="16"/>
      <c r="X104" s="16"/>
      <c r="Y104" s="16"/>
      <c r="Z104" s="16"/>
      <c r="AA104" s="16"/>
      <c r="AB104" s="16"/>
    </row>
    <row r="105" spans="1:30" ht="15.75" customHeight="1" thickBot="1">
      <c r="A105" s="231"/>
      <c r="B105" s="244"/>
      <c r="C105" s="246">
        <v>0</v>
      </c>
      <c r="D105" s="247"/>
      <c r="E105" s="245"/>
      <c r="F105" s="246">
        <f>IF(Table_6170316[[#This Row],[Item]]="",0,Table_6170316[[#This Row],[Amount]]*Table_6170316[[#This Row],[Purchase / Running costs]]/Table_6170316[[#This Row],[Depreciation period]])</f>
        <v>0</v>
      </c>
      <c r="G105" s="247"/>
      <c r="H105" s="746"/>
      <c r="I105" s="748"/>
      <c r="J105" s="752"/>
      <c r="K105" s="734"/>
      <c r="L105" s="16"/>
      <c r="M105" s="16"/>
      <c r="N105" s="16"/>
      <c r="O105" s="16"/>
      <c r="P105" s="16"/>
      <c r="Q105" s="16"/>
      <c r="R105" s="16"/>
      <c r="S105" s="16"/>
      <c r="T105" s="16"/>
      <c r="U105" s="16"/>
      <c r="V105" s="16"/>
      <c r="W105" s="16"/>
      <c r="X105" s="16"/>
      <c r="Y105" s="16"/>
      <c r="Z105" s="16"/>
      <c r="AA105" s="16"/>
      <c r="AB105" s="16"/>
    </row>
    <row r="106" spans="1:30" ht="15.75" customHeight="1" thickTop="1">
      <c r="A106" s="15"/>
      <c r="B106" s="131"/>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c r="AD106" s="16"/>
    </row>
    <row r="107" spans="1:30" ht="15.75" customHeight="1">
      <c r="A107" s="15"/>
      <c r="B107" s="131"/>
      <c r="C107" s="16"/>
      <c r="D107" s="16"/>
      <c r="E107" s="16"/>
      <c r="F107" s="16"/>
      <c r="G107" s="16"/>
      <c r="I107" s="16"/>
      <c r="J107" s="16"/>
      <c r="K107" s="16"/>
      <c r="L107" s="16"/>
      <c r="M107" s="16"/>
      <c r="N107" s="16"/>
      <c r="O107" s="16"/>
      <c r="P107" s="16"/>
      <c r="Q107" s="16"/>
      <c r="R107" s="16"/>
      <c r="S107" s="16"/>
      <c r="T107" s="16"/>
      <c r="U107" s="16"/>
      <c r="V107" s="16"/>
      <c r="W107" s="16"/>
      <c r="X107" s="16"/>
      <c r="Y107" s="16"/>
      <c r="Z107" s="16"/>
      <c r="AA107" s="16"/>
      <c r="AB107" s="16"/>
      <c r="AC107" s="16"/>
      <c r="AD107" s="16"/>
    </row>
    <row r="108" spans="1:30" ht="15.75" customHeight="1">
      <c r="H108" s="51"/>
      <c r="I108" s="51"/>
      <c r="J108" s="51"/>
      <c r="K108" s="51"/>
      <c r="L108" s="16"/>
      <c r="M108" s="16"/>
      <c r="N108" s="16"/>
      <c r="O108" s="16"/>
      <c r="P108" s="16"/>
      <c r="Q108" s="16"/>
      <c r="R108" s="16"/>
      <c r="S108" s="16"/>
      <c r="T108" s="16"/>
      <c r="U108" s="16"/>
      <c r="V108" s="16"/>
      <c r="W108" s="16"/>
      <c r="X108" s="16"/>
      <c r="Y108" s="16"/>
      <c r="Z108" s="16"/>
      <c r="AA108" s="16"/>
      <c r="AB108" s="16"/>
      <c r="AC108" s="16"/>
      <c r="AD108" s="16"/>
    </row>
    <row r="109" spans="1:30" ht="15.75" customHeight="1">
      <c r="L109" s="16"/>
      <c r="M109" s="16"/>
      <c r="N109" s="16"/>
      <c r="O109" s="16"/>
      <c r="P109" s="16"/>
      <c r="Q109" s="16"/>
      <c r="R109" s="16"/>
      <c r="S109" s="16"/>
      <c r="T109" s="16"/>
      <c r="U109" s="16"/>
      <c r="V109" s="16"/>
      <c r="W109" s="16"/>
      <c r="X109" s="16"/>
      <c r="Y109" s="16"/>
      <c r="Z109" s="16"/>
      <c r="AA109" s="16"/>
      <c r="AB109" s="16"/>
      <c r="AC109" s="16"/>
      <c r="AD109" s="16"/>
    </row>
    <row r="110" spans="1:30" ht="15.75" customHeight="1">
      <c r="L110" s="16"/>
      <c r="M110" s="16"/>
      <c r="N110" s="16"/>
      <c r="O110" s="16"/>
      <c r="P110" s="16"/>
      <c r="Q110" s="16"/>
      <c r="R110" s="16"/>
      <c r="S110" s="16"/>
      <c r="T110" s="16"/>
      <c r="U110" s="16"/>
      <c r="V110" s="16"/>
      <c r="W110" s="16"/>
      <c r="X110" s="16"/>
      <c r="Y110" s="16"/>
      <c r="Z110" s="16"/>
      <c r="AA110" s="16"/>
      <c r="AB110" s="16"/>
      <c r="AC110" s="16"/>
      <c r="AD110" s="16"/>
    </row>
    <row r="111" spans="1:30" ht="15.75" customHeight="1">
      <c r="L111" s="16"/>
      <c r="M111" s="16"/>
      <c r="N111" s="16"/>
      <c r="O111" s="16"/>
      <c r="P111" s="16"/>
      <c r="Q111" s="16"/>
      <c r="R111" s="16"/>
      <c r="S111" s="16"/>
      <c r="T111" s="16"/>
      <c r="U111" s="16"/>
      <c r="V111" s="16"/>
      <c r="W111" s="16"/>
      <c r="X111" s="16"/>
      <c r="Y111" s="16"/>
      <c r="Z111" s="16"/>
      <c r="AA111" s="16"/>
      <c r="AB111" s="16"/>
      <c r="AC111" s="16"/>
      <c r="AD111" s="16"/>
    </row>
    <row r="112" spans="1:30" ht="15.75" customHeight="1">
      <c r="L112" s="16"/>
      <c r="M112" s="16"/>
      <c r="N112" s="16"/>
      <c r="O112" s="16"/>
      <c r="P112" s="16"/>
      <c r="Q112" s="16"/>
      <c r="R112" s="16"/>
      <c r="S112" s="16"/>
      <c r="T112" s="16"/>
      <c r="U112" s="16"/>
      <c r="V112" s="16"/>
      <c r="W112" s="16"/>
      <c r="X112" s="16"/>
      <c r="Y112" s="16"/>
      <c r="Z112" s="16"/>
      <c r="AA112" s="16"/>
      <c r="AB112" s="16"/>
      <c r="AC112" s="16"/>
      <c r="AD112" s="16"/>
    </row>
    <row r="113" spans="1:30" ht="15.75" customHeight="1">
      <c r="L113" s="16"/>
      <c r="M113" s="16"/>
      <c r="N113" s="16"/>
      <c r="O113" s="16"/>
      <c r="P113" s="16"/>
      <c r="Q113" s="16"/>
      <c r="R113" s="16"/>
      <c r="S113" s="16"/>
      <c r="T113" s="16"/>
      <c r="U113" s="16"/>
      <c r="V113" s="16"/>
      <c r="W113" s="16"/>
      <c r="X113" s="16"/>
      <c r="Y113" s="16"/>
      <c r="Z113" s="16"/>
      <c r="AA113" s="16"/>
      <c r="AB113" s="16"/>
      <c r="AC113" s="16"/>
      <c r="AD113" s="16"/>
    </row>
    <row r="114" spans="1:30" ht="15.75" customHeight="1">
      <c r="L114" s="16"/>
      <c r="M114" s="16"/>
      <c r="N114" s="16"/>
      <c r="O114" s="16"/>
      <c r="P114" s="16"/>
      <c r="Q114" s="16"/>
      <c r="R114" s="16"/>
      <c r="S114" s="16"/>
      <c r="T114" s="16"/>
      <c r="U114" s="16"/>
      <c r="V114" s="16"/>
      <c r="W114" s="16"/>
      <c r="X114" s="16"/>
      <c r="Y114" s="16"/>
      <c r="Z114" s="16"/>
      <c r="AA114" s="16"/>
      <c r="AB114" s="16"/>
      <c r="AC114" s="16"/>
      <c r="AD114" s="16"/>
    </row>
    <row r="115" spans="1:30" ht="15.75" customHeight="1">
      <c r="L115" s="16"/>
      <c r="M115" s="16"/>
      <c r="N115" s="16"/>
      <c r="O115" s="16"/>
      <c r="P115" s="735"/>
      <c r="Q115" s="696"/>
      <c r="R115" s="696"/>
      <c r="S115" s="16"/>
      <c r="T115" s="16"/>
      <c r="U115" s="16"/>
      <c r="V115" s="16"/>
      <c r="W115" s="16"/>
      <c r="X115" s="16"/>
      <c r="Y115" s="16"/>
      <c r="Z115" s="16"/>
      <c r="AA115" s="16"/>
      <c r="AB115" s="16"/>
      <c r="AC115" s="16"/>
      <c r="AD115" s="16"/>
    </row>
    <row r="116" spans="1:30" ht="15.75" customHeight="1">
      <c r="L116" s="16"/>
      <c r="M116" s="16"/>
      <c r="N116" s="16"/>
      <c r="O116" s="16"/>
      <c r="P116" s="735"/>
      <c r="Q116" s="696"/>
      <c r="R116" s="696"/>
      <c r="S116" s="16"/>
      <c r="T116" s="16"/>
      <c r="U116" s="16"/>
      <c r="V116" s="16"/>
      <c r="W116" s="16"/>
      <c r="X116" s="16"/>
      <c r="Y116" s="16"/>
      <c r="Z116" s="16"/>
      <c r="AA116" s="16"/>
      <c r="AB116" s="16"/>
      <c r="AC116" s="16"/>
      <c r="AD116" s="16"/>
    </row>
    <row r="117" spans="1:30" ht="15.75" customHeight="1">
      <c r="L117" s="16"/>
      <c r="M117" s="16"/>
      <c r="N117" s="16"/>
      <c r="O117" s="16"/>
      <c r="P117" s="735"/>
      <c r="Q117" s="696"/>
      <c r="R117" s="696"/>
      <c r="S117" s="16"/>
      <c r="T117" s="16"/>
      <c r="U117" s="16"/>
      <c r="V117" s="16"/>
      <c r="W117" s="16"/>
      <c r="X117" s="16"/>
      <c r="Y117" s="16"/>
      <c r="Z117" s="16"/>
      <c r="AA117" s="16"/>
      <c r="AB117" s="16"/>
      <c r="AC117" s="16"/>
      <c r="AD117" s="16"/>
    </row>
    <row r="118" spans="1:30" ht="15.75" customHeight="1">
      <c r="L118" s="16"/>
      <c r="M118" s="16"/>
      <c r="N118" s="16"/>
      <c r="O118" s="16"/>
      <c r="P118" s="735"/>
      <c r="Q118" s="696"/>
      <c r="R118" s="696"/>
      <c r="S118" s="16"/>
      <c r="T118" s="16"/>
      <c r="U118" s="16"/>
      <c r="V118" s="16"/>
      <c r="W118" s="16"/>
      <c r="X118" s="16"/>
      <c r="Y118" s="16"/>
      <c r="Z118" s="16"/>
      <c r="AA118" s="16"/>
      <c r="AB118" s="16"/>
      <c r="AC118" s="16"/>
      <c r="AD118" s="16"/>
    </row>
    <row r="119" spans="1:30" ht="15.75" customHeight="1">
      <c r="L119" s="16"/>
      <c r="M119" s="16"/>
      <c r="N119" s="16"/>
      <c r="O119" s="16"/>
      <c r="P119" s="735"/>
      <c r="Q119" s="696"/>
      <c r="R119" s="696"/>
      <c r="S119" s="16"/>
      <c r="T119" s="16"/>
      <c r="U119" s="16"/>
      <c r="V119" s="16"/>
      <c r="W119" s="16"/>
      <c r="X119" s="16"/>
      <c r="Y119" s="16"/>
      <c r="Z119" s="16"/>
      <c r="AA119" s="16"/>
      <c r="AB119" s="16"/>
      <c r="AC119" s="16"/>
      <c r="AD119" s="16"/>
    </row>
    <row r="120" spans="1:30" ht="15.75" customHeight="1">
      <c r="L120" s="16"/>
      <c r="M120" s="16"/>
      <c r="N120" s="16"/>
      <c r="O120" s="16"/>
      <c r="P120" s="735"/>
      <c r="Q120" s="696"/>
      <c r="R120" s="696"/>
      <c r="S120" s="16"/>
      <c r="T120" s="16"/>
      <c r="U120" s="16"/>
      <c r="V120" s="16"/>
      <c r="W120" s="16"/>
      <c r="X120" s="16"/>
      <c r="Y120" s="16"/>
      <c r="Z120" s="16"/>
      <c r="AA120" s="16"/>
      <c r="AB120" s="16"/>
      <c r="AC120" s="16"/>
      <c r="AD120" s="16"/>
    </row>
    <row r="121" spans="1:30" ht="15.75" customHeight="1">
      <c r="H121" s="248"/>
      <c r="I121" s="248"/>
      <c r="J121" s="228"/>
      <c r="K121" s="228"/>
      <c r="L121" s="16"/>
      <c r="M121" s="16"/>
      <c r="N121" s="16"/>
      <c r="O121" s="16"/>
      <c r="P121" s="735"/>
      <c r="Q121" s="696"/>
      <c r="R121" s="696"/>
      <c r="S121" s="16"/>
      <c r="T121" s="16"/>
      <c r="U121" s="16"/>
      <c r="V121" s="16"/>
      <c r="W121" s="16"/>
      <c r="X121" s="16"/>
      <c r="Y121" s="16"/>
      <c r="Z121" s="16"/>
      <c r="AA121" s="16"/>
      <c r="AB121" s="16"/>
      <c r="AC121" s="16"/>
      <c r="AD121" s="16"/>
    </row>
    <row r="122" spans="1:30" ht="15.75" customHeight="1">
      <c r="A122" s="231"/>
      <c r="B122" s="231"/>
      <c r="C122" s="246"/>
      <c r="D122" s="247"/>
      <c r="E122" s="245"/>
      <c r="F122" s="246"/>
      <c r="G122" s="247"/>
      <c r="H122" s="248"/>
      <c r="I122" s="248"/>
      <c r="J122" s="228"/>
      <c r="K122" s="228"/>
      <c r="L122" s="16"/>
      <c r="M122" s="16"/>
      <c r="N122" s="16"/>
      <c r="O122" s="16"/>
      <c r="P122" s="16"/>
      <c r="Q122" s="16"/>
      <c r="R122" s="16"/>
      <c r="S122" s="16"/>
      <c r="T122" s="16"/>
      <c r="U122" s="16"/>
      <c r="V122" s="16"/>
      <c r="W122" s="16"/>
      <c r="X122" s="16"/>
      <c r="Y122" s="16"/>
      <c r="Z122" s="16"/>
      <c r="AA122" s="16"/>
      <c r="AB122" s="16"/>
      <c r="AC122" s="16"/>
      <c r="AD122" s="16"/>
    </row>
    <row r="123" spans="1:30" ht="15.75" customHeight="1">
      <c r="A123" s="231"/>
      <c r="B123" s="16"/>
      <c r="C123" s="246"/>
      <c r="D123" s="247"/>
      <c r="E123" s="245"/>
      <c r="F123" s="246"/>
      <c r="G123" s="247"/>
      <c r="H123" s="228"/>
      <c r="I123" s="228"/>
      <c r="J123" s="228"/>
      <c r="K123" s="228"/>
      <c r="L123" s="16"/>
      <c r="M123" s="735"/>
      <c r="N123" s="696"/>
      <c r="O123" s="696"/>
      <c r="P123" s="735"/>
      <c r="Q123" s="696"/>
      <c r="R123" s="696"/>
      <c r="S123" s="696"/>
      <c r="T123" s="696"/>
      <c r="U123" s="16"/>
      <c r="V123" s="16"/>
      <c r="W123" s="16"/>
      <c r="X123" s="16"/>
      <c r="Y123" s="16"/>
      <c r="Z123" s="16"/>
      <c r="AA123" s="16"/>
      <c r="AB123" s="16"/>
      <c r="AC123" s="16"/>
      <c r="AD123" s="16"/>
    </row>
    <row r="124" spans="1:30" ht="15.75" customHeight="1">
      <c r="A124" s="16"/>
      <c r="B124" s="16"/>
      <c r="C124" s="16"/>
      <c r="D124" s="16"/>
      <c r="E124" s="16"/>
      <c r="F124" s="16"/>
      <c r="G124" s="16"/>
      <c r="H124" s="16"/>
      <c r="I124" s="16"/>
      <c r="J124" s="16"/>
      <c r="K124" s="16"/>
      <c r="L124" s="16"/>
      <c r="M124" s="735"/>
      <c r="N124" s="696"/>
      <c r="O124" s="696"/>
      <c r="P124" s="735"/>
      <c r="Q124" s="696"/>
      <c r="R124" s="696"/>
      <c r="S124" s="696"/>
      <c r="T124" s="696"/>
      <c r="U124" s="16"/>
      <c r="V124" s="16"/>
      <c r="W124" s="16"/>
      <c r="X124" s="16"/>
      <c r="Y124" s="16"/>
      <c r="Z124" s="16"/>
      <c r="AA124" s="16"/>
      <c r="AB124" s="16"/>
      <c r="AC124" s="16"/>
      <c r="AD124" s="16"/>
    </row>
    <row r="125" spans="1:30" ht="15.75" customHeight="1">
      <c r="A125" s="16"/>
      <c r="B125" s="16"/>
      <c r="C125" s="16"/>
      <c r="D125" s="16"/>
      <c r="E125" s="16"/>
      <c r="F125" s="16"/>
      <c r="G125" s="16"/>
      <c r="H125" s="16"/>
      <c r="I125" s="16"/>
      <c r="J125" s="16"/>
      <c r="K125" s="16"/>
      <c r="L125" s="16"/>
      <c r="M125" s="735"/>
      <c r="N125" s="696"/>
      <c r="O125" s="696"/>
      <c r="P125" s="696"/>
      <c r="Q125" s="696"/>
      <c r="R125" s="696"/>
      <c r="S125" s="696"/>
      <c r="T125" s="696"/>
      <c r="U125" s="16"/>
      <c r="V125" s="16"/>
      <c r="W125" s="16"/>
      <c r="X125" s="16"/>
      <c r="Y125" s="16"/>
      <c r="Z125" s="16"/>
      <c r="AA125" s="16"/>
      <c r="AB125" s="16"/>
      <c r="AC125" s="16"/>
      <c r="AD125" s="16"/>
    </row>
    <row r="126" spans="1:30" ht="15.75" customHeight="1">
      <c r="A126" s="16"/>
      <c r="B126" s="16"/>
      <c r="C126" s="16"/>
      <c r="D126" s="16"/>
      <c r="E126" s="16"/>
      <c r="F126" s="16"/>
      <c r="G126" s="16"/>
      <c r="H126" s="16"/>
      <c r="I126" s="16"/>
      <c r="J126" s="16"/>
      <c r="K126" s="16"/>
      <c r="L126" s="16"/>
      <c r="M126" s="735"/>
      <c r="N126" s="696"/>
      <c r="O126" s="696"/>
      <c r="P126" s="696"/>
      <c r="Q126" s="696"/>
      <c r="R126" s="696"/>
      <c r="S126" s="696"/>
      <c r="T126" s="696"/>
      <c r="U126" s="16"/>
      <c r="V126" s="16"/>
      <c r="W126" s="16"/>
      <c r="X126" s="16"/>
      <c r="Y126" s="16"/>
      <c r="Z126" s="16"/>
      <c r="AA126" s="16"/>
      <c r="AB126" s="16"/>
      <c r="AC126" s="16"/>
      <c r="AD126" s="16"/>
    </row>
    <row r="127" spans="1:30" ht="15.75" customHeight="1">
      <c r="A127" s="16"/>
      <c r="B127" s="16"/>
      <c r="C127" s="16"/>
      <c r="D127" s="16"/>
      <c r="E127" s="16"/>
      <c r="F127" s="16"/>
      <c r="G127" s="16"/>
      <c r="H127" s="16"/>
      <c r="I127" s="16"/>
      <c r="J127" s="16"/>
      <c r="K127" s="16"/>
      <c r="L127" s="16"/>
      <c r="M127" s="735"/>
      <c r="N127" s="696"/>
      <c r="O127" s="696"/>
      <c r="P127" s="696"/>
      <c r="Q127" s="696"/>
      <c r="R127" s="696"/>
      <c r="S127" s="696"/>
      <c r="T127" s="696"/>
      <c r="U127" s="16"/>
      <c r="V127" s="16"/>
      <c r="W127" s="16"/>
      <c r="X127" s="16"/>
      <c r="Y127" s="16"/>
      <c r="Z127" s="16"/>
      <c r="AA127" s="16"/>
      <c r="AB127" s="16"/>
      <c r="AC127" s="16"/>
      <c r="AD127" s="16"/>
    </row>
    <row r="128" spans="1:30" ht="15.75" customHeight="1">
      <c r="A128" s="16"/>
      <c r="B128" s="16"/>
      <c r="C128" s="16"/>
      <c r="D128" s="16"/>
      <c r="E128" s="16"/>
      <c r="F128" s="16"/>
      <c r="G128" s="16"/>
      <c r="H128" s="16"/>
      <c r="I128" s="16"/>
      <c r="J128" s="16"/>
      <c r="K128" s="16"/>
      <c r="L128" s="16"/>
      <c r="M128" s="735"/>
      <c r="N128" s="696"/>
      <c r="O128" s="696"/>
      <c r="P128" s="696"/>
      <c r="Q128" s="696"/>
      <c r="R128" s="696"/>
      <c r="S128" s="696"/>
      <c r="T128" s="696"/>
      <c r="U128" s="16"/>
      <c r="V128" s="16"/>
      <c r="W128" s="16"/>
      <c r="X128" s="16"/>
      <c r="Y128" s="16"/>
      <c r="Z128" s="16"/>
      <c r="AA128" s="16"/>
      <c r="AB128" s="16"/>
      <c r="AC128" s="16"/>
      <c r="AD128" s="16"/>
    </row>
    <row r="129" spans="1:30" ht="15.75" customHeight="1">
      <c r="A129" s="16"/>
      <c r="B129" s="16"/>
      <c r="C129" s="16"/>
      <c r="D129" s="16"/>
      <c r="E129" s="16"/>
      <c r="F129" s="16"/>
      <c r="G129" s="16"/>
      <c r="H129" s="16"/>
      <c r="I129" s="16"/>
      <c r="J129" s="16"/>
      <c r="K129" s="16"/>
      <c r="L129" s="16"/>
      <c r="M129" s="735"/>
      <c r="N129" s="696"/>
      <c r="O129" s="696"/>
      <c r="P129" s="696"/>
      <c r="Q129" s="696"/>
      <c r="R129" s="696"/>
      <c r="S129" s="696"/>
      <c r="T129" s="696"/>
      <c r="U129" s="16"/>
      <c r="V129" s="16"/>
      <c r="W129" s="16"/>
      <c r="X129" s="16"/>
      <c r="Y129" s="16"/>
      <c r="Z129" s="16"/>
      <c r="AA129" s="16"/>
      <c r="AB129" s="16"/>
      <c r="AC129" s="16"/>
      <c r="AD129" s="16"/>
    </row>
    <row r="130" spans="1:30" ht="15.75" customHeight="1">
      <c r="A130" s="16"/>
      <c r="B130" s="16"/>
      <c r="C130" s="16"/>
      <c r="D130" s="16"/>
      <c r="E130" s="16"/>
      <c r="F130" s="16"/>
      <c r="G130" s="16"/>
      <c r="H130" s="16"/>
      <c r="I130" s="16"/>
      <c r="J130" s="16"/>
      <c r="K130" s="16"/>
      <c r="L130" s="16"/>
      <c r="M130" s="735"/>
      <c r="N130" s="696"/>
      <c r="O130" s="696"/>
      <c r="P130" s="696"/>
      <c r="Q130" s="696"/>
      <c r="R130" s="696"/>
      <c r="S130" s="696"/>
      <c r="T130" s="696"/>
      <c r="U130" s="16"/>
      <c r="V130" s="16"/>
      <c r="W130" s="16"/>
      <c r="X130" s="16"/>
      <c r="Y130" s="16"/>
      <c r="Z130" s="16"/>
      <c r="AA130" s="16"/>
      <c r="AB130" s="16"/>
      <c r="AC130" s="16"/>
      <c r="AD130" s="16"/>
    </row>
    <row r="131" spans="1:30" ht="15.75" customHeight="1">
      <c r="A131" s="16"/>
      <c r="B131" s="16"/>
      <c r="C131" s="16"/>
      <c r="D131" s="16"/>
      <c r="E131" s="16"/>
      <c r="F131" s="16"/>
      <c r="G131" s="16"/>
      <c r="H131" s="16"/>
      <c r="I131" s="16"/>
      <c r="J131" s="16"/>
      <c r="K131" s="16"/>
      <c r="L131" s="16"/>
      <c r="M131" s="735"/>
      <c r="N131" s="696"/>
      <c r="O131" s="696"/>
      <c r="P131" s="696"/>
      <c r="Q131" s="696"/>
      <c r="R131" s="696"/>
      <c r="S131" s="696"/>
      <c r="T131" s="696"/>
      <c r="U131" s="16"/>
      <c r="V131" s="16"/>
      <c r="W131" s="16"/>
      <c r="X131" s="16"/>
      <c r="Y131" s="16"/>
      <c r="Z131" s="16"/>
      <c r="AA131" s="16"/>
      <c r="AB131" s="16"/>
      <c r="AC131" s="16"/>
      <c r="AD131" s="16"/>
    </row>
    <row r="132" spans="1:30" ht="15.75" customHeight="1">
      <c r="A132" s="16"/>
      <c r="B132" s="16"/>
      <c r="C132" s="16"/>
      <c r="D132" s="16"/>
      <c r="E132" s="16"/>
      <c r="F132" s="16"/>
      <c r="G132" s="16"/>
      <c r="H132" s="16"/>
      <c r="I132" s="16"/>
      <c r="J132" s="16"/>
      <c r="K132" s="16"/>
      <c r="L132" s="16"/>
      <c r="M132" s="735"/>
      <c r="N132" s="696"/>
      <c r="O132" s="696"/>
      <c r="P132" s="696"/>
      <c r="Q132" s="696"/>
      <c r="R132" s="696"/>
      <c r="S132" s="696"/>
      <c r="T132" s="696"/>
      <c r="U132" s="16"/>
      <c r="V132" s="16"/>
      <c r="W132" s="16"/>
      <c r="X132" s="16"/>
      <c r="Y132" s="16"/>
      <c r="Z132" s="16"/>
      <c r="AA132" s="16"/>
      <c r="AB132" s="16"/>
      <c r="AC132" s="16"/>
      <c r="AD132" s="16"/>
    </row>
    <row r="133" spans="1:30" ht="15.75" customHeight="1">
      <c r="A133" s="16"/>
      <c r="B133" s="16"/>
      <c r="C133" s="16"/>
      <c r="D133" s="16"/>
      <c r="E133" s="16"/>
      <c r="F133" s="16"/>
      <c r="G133" s="16"/>
      <c r="H133" s="16"/>
      <c r="I133" s="16"/>
      <c r="J133" s="16"/>
      <c r="K133" s="16"/>
      <c r="L133" s="16"/>
      <c r="M133" s="735"/>
      <c r="N133" s="696"/>
      <c r="O133" s="696"/>
      <c r="P133" s="696"/>
      <c r="Q133" s="696"/>
      <c r="R133" s="696"/>
      <c r="S133" s="696"/>
      <c r="T133" s="696"/>
      <c r="U133" s="16"/>
      <c r="V133" s="16"/>
      <c r="W133" s="16"/>
      <c r="X133" s="16"/>
      <c r="Y133" s="16"/>
      <c r="Z133" s="16"/>
      <c r="AA133" s="16"/>
      <c r="AB133" s="16"/>
      <c r="AC133" s="16"/>
      <c r="AD133" s="16"/>
    </row>
    <row r="134" spans="1:30" ht="15.75" customHeight="1">
      <c r="A134" s="16"/>
      <c r="B134" s="16"/>
      <c r="C134" s="16"/>
      <c r="D134" s="16"/>
      <c r="E134" s="16"/>
      <c r="F134" s="16"/>
      <c r="G134" s="16"/>
      <c r="H134" s="16"/>
      <c r="I134" s="16"/>
      <c r="J134" s="16"/>
      <c r="K134" s="16"/>
      <c r="L134" s="16"/>
      <c r="M134" s="735"/>
      <c r="N134" s="696"/>
      <c r="O134" s="696"/>
      <c r="P134" s="696"/>
      <c r="Q134" s="696"/>
      <c r="R134" s="696"/>
      <c r="S134" s="696"/>
      <c r="T134" s="696"/>
      <c r="U134" s="16"/>
      <c r="V134" s="16"/>
      <c r="W134" s="16"/>
      <c r="X134" s="16"/>
      <c r="Y134" s="16"/>
      <c r="Z134" s="16"/>
      <c r="AA134" s="16"/>
      <c r="AB134" s="16"/>
      <c r="AC134" s="16"/>
      <c r="AD134" s="16"/>
    </row>
    <row r="135" spans="1:30" ht="15.75" customHeight="1">
      <c r="A135" s="16"/>
      <c r="B135" s="16"/>
      <c r="C135" s="16"/>
      <c r="D135" s="16"/>
      <c r="E135" s="16"/>
      <c r="F135" s="16"/>
      <c r="G135" s="16"/>
      <c r="H135" s="16"/>
      <c r="I135" s="16"/>
      <c r="J135" s="16"/>
      <c r="K135" s="16"/>
      <c r="L135" s="16"/>
      <c r="M135" s="735"/>
      <c r="N135" s="696"/>
      <c r="O135" s="696"/>
      <c r="P135" s="696"/>
      <c r="Q135" s="696"/>
      <c r="R135" s="696"/>
      <c r="S135" s="696"/>
      <c r="T135" s="696"/>
      <c r="U135" s="16"/>
      <c r="V135" s="16"/>
      <c r="W135" s="16"/>
      <c r="X135" s="16"/>
      <c r="Y135" s="16"/>
      <c r="Z135" s="16"/>
      <c r="AA135" s="16"/>
      <c r="AB135" s="16"/>
      <c r="AC135" s="16"/>
      <c r="AD135" s="16"/>
    </row>
    <row r="136" spans="1:30" ht="15.75" customHeight="1">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c r="AA136" s="16"/>
      <c r="AB136" s="16"/>
      <c r="AC136" s="16"/>
      <c r="AD136" s="16"/>
    </row>
    <row r="137" spans="1:30" ht="15.75" customHeight="1">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c r="AA137" s="16"/>
      <c r="AB137" s="16"/>
      <c r="AC137" s="16"/>
      <c r="AD137" s="16"/>
    </row>
    <row r="138" spans="1:30" ht="15.75" customHeight="1">
      <c r="A138" s="16"/>
      <c r="B138" s="16"/>
      <c r="C138" s="16"/>
      <c r="D138" s="16"/>
      <c r="E138" s="16"/>
      <c r="F138" s="16"/>
      <c r="G138" s="16"/>
      <c r="H138" s="16"/>
      <c r="I138" s="16"/>
      <c r="J138" s="16"/>
      <c r="K138" s="16"/>
      <c r="L138" s="16"/>
      <c r="M138" s="735"/>
      <c r="N138" s="696"/>
      <c r="O138" s="696"/>
      <c r="P138" s="735"/>
      <c r="Q138" s="696"/>
      <c r="R138" s="696"/>
      <c r="S138" s="696"/>
      <c r="T138" s="696"/>
      <c r="U138" s="16"/>
      <c r="V138" s="16"/>
      <c r="W138" s="16"/>
      <c r="X138" s="16"/>
      <c r="Y138" s="16"/>
      <c r="Z138" s="16"/>
      <c r="AA138" s="16"/>
      <c r="AB138" s="16"/>
      <c r="AC138" s="16"/>
      <c r="AD138" s="16"/>
    </row>
    <row r="139" spans="1:30" ht="15.75" customHeight="1">
      <c r="A139" s="16"/>
      <c r="B139" s="16"/>
      <c r="C139" s="16"/>
      <c r="D139" s="16"/>
      <c r="E139" s="16"/>
      <c r="F139" s="16"/>
      <c r="G139" s="16"/>
      <c r="H139" s="16"/>
      <c r="I139" s="16"/>
      <c r="J139" s="16"/>
      <c r="K139" s="16"/>
      <c r="L139" s="16"/>
      <c r="M139" s="735"/>
      <c r="N139" s="696"/>
      <c r="O139" s="696"/>
      <c r="P139" s="735"/>
      <c r="Q139" s="696"/>
      <c r="R139" s="696"/>
      <c r="S139" s="696"/>
      <c r="T139" s="696"/>
      <c r="U139" s="16"/>
      <c r="V139" s="16"/>
      <c r="W139" s="16"/>
      <c r="X139" s="16"/>
      <c r="Y139" s="16"/>
      <c r="Z139" s="16"/>
      <c r="AA139" s="16"/>
      <c r="AB139" s="16"/>
      <c r="AC139" s="16"/>
      <c r="AD139" s="16"/>
    </row>
    <row r="140" spans="1:30" ht="15.75" customHeight="1">
      <c r="A140" s="16"/>
      <c r="B140" s="16"/>
      <c r="C140" s="16"/>
      <c r="D140" s="16"/>
      <c r="E140" s="16"/>
      <c r="F140" s="16"/>
      <c r="G140" s="16"/>
      <c r="H140" s="16"/>
      <c r="I140" s="16"/>
      <c r="J140" s="16"/>
      <c r="K140" s="16"/>
      <c r="L140" s="16"/>
      <c r="M140" s="735"/>
      <c r="N140" s="696"/>
      <c r="O140" s="696"/>
      <c r="P140" s="696"/>
      <c r="Q140" s="696"/>
      <c r="R140" s="696"/>
      <c r="S140" s="696"/>
      <c r="T140" s="696"/>
      <c r="U140" s="16"/>
      <c r="V140" s="16"/>
      <c r="W140" s="16"/>
      <c r="X140" s="16"/>
      <c r="Y140" s="16"/>
      <c r="Z140" s="16"/>
      <c r="AA140" s="16"/>
      <c r="AB140" s="16"/>
      <c r="AC140" s="16"/>
      <c r="AD140" s="16"/>
    </row>
    <row r="141" spans="1:30" ht="15.75" customHeight="1">
      <c r="A141" s="16"/>
      <c r="B141" s="16"/>
      <c r="C141" s="16"/>
      <c r="D141" s="16"/>
      <c r="E141" s="16"/>
      <c r="F141" s="16"/>
      <c r="G141" s="16"/>
      <c r="H141" s="16"/>
      <c r="I141" s="16"/>
      <c r="J141" s="16"/>
      <c r="K141" s="16"/>
      <c r="L141" s="16"/>
      <c r="M141" s="735"/>
      <c r="N141" s="696"/>
      <c r="O141" s="696"/>
      <c r="P141" s="696"/>
      <c r="Q141" s="696"/>
      <c r="R141" s="696"/>
      <c r="S141" s="696"/>
      <c r="T141" s="696"/>
      <c r="U141" s="16"/>
      <c r="V141" s="16"/>
      <c r="W141" s="16"/>
      <c r="X141" s="16"/>
      <c r="Y141" s="16"/>
      <c r="Z141" s="16"/>
      <c r="AA141" s="16"/>
      <c r="AB141" s="16"/>
      <c r="AC141" s="16"/>
      <c r="AD141" s="16"/>
    </row>
    <row r="142" spans="1:30" ht="15.75" customHeight="1">
      <c r="A142" s="16"/>
      <c r="B142" s="16"/>
      <c r="C142" s="16"/>
      <c r="D142" s="16"/>
      <c r="E142" s="16"/>
      <c r="F142" s="16"/>
      <c r="G142" s="16"/>
      <c r="H142" s="16"/>
      <c r="I142" s="16"/>
      <c r="J142" s="16"/>
      <c r="K142" s="16"/>
      <c r="L142" s="16"/>
      <c r="M142" s="735"/>
      <c r="N142" s="696"/>
      <c r="O142" s="696"/>
      <c r="P142" s="696"/>
      <c r="Q142" s="696"/>
      <c r="R142" s="696"/>
      <c r="S142" s="696"/>
      <c r="T142" s="696"/>
      <c r="U142" s="16"/>
      <c r="V142" s="16"/>
      <c r="W142" s="16"/>
      <c r="X142" s="16"/>
      <c r="Y142" s="16"/>
      <c r="Z142" s="16"/>
      <c r="AA142" s="16"/>
      <c r="AB142" s="16"/>
      <c r="AC142" s="16"/>
      <c r="AD142" s="16"/>
    </row>
    <row r="143" spans="1:30" ht="15.75" customHeight="1">
      <c r="A143" s="16"/>
      <c r="B143" s="16"/>
      <c r="C143" s="16"/>
      <c r="D143" s="16"/>
      <c r="E143" s="16"/>
      <c r="F143" s="16"/>
      <c r="G143" s="16"/>
      <c r="H143" s="16"/>
      <c r="I143" s="16"/>
      <c r="J143" s="16"/>
      <c r="K143" s="16"/>
      <c r="L143" s="16"/>
      <c r="M143" s="735"/>
      <c r="N143" s="696"/>
      <c r="O143" s="696"/>
      <c r="P143" s="696"/>
      <c r="Q143" s="696"/>
      <c r="R143" s="696"/>
      <c r="S143" s="696"/>
      <c r="T143" s="696"/>
      <c r="U143" s="16"/>
      <c r="V143" s="16"/>
      <c r="W143" s="16"/>
      <c r="X143" s="16"/>
      <c r="Y143" s="16"/>
      <c r="Z143" s="16"/>
      <c r="AA143" s="16"/>
      <c r="AB143" s="16"/>
      <c r="AC143" s="16"/>
      <c r="AD143" s="16"/>
    </row>
    <row r="144" spans="1:30" ht="15.75" customHeight="1">
      <c r="A144" s="16"/>
      <c r="B144" s="16"/>
      <c r="C144" s="16"/>
      <c r="D144" s="16"/>
      <c r="E144" s="16"/>
      <c r="F144" s="16"/>
      <c r="G144" s="16"/>
      <c r="H144" s="16"/>
      <c r="I144" s="16"/>
      <c r="J144" s="16"/>
      <c r="K144" s="16"/>
      <c r="L144" s="16"/>
      <c r="M144" s="735"/>
      <c r="N144" s="696"/>
      <c r="O144" s="696"/>
      <c r="P144" s="696"/>
      <c r="Q144" s="696"/>
      <c r="R144" s="696"/>
      <c r="S144" s="696"/>
      <c r="T144" s="696"/>
      <c r="U144" s="16"/>
      <c r="V144" s="16"/>
      <c r="W144" s="16"/>
      <c r="X144" s="16"/>
      <c r="Y144" s="16"/>
      <c r="Z144" s="16"/>
      <c r="AA144" s="16"/>
      <c r="AB144" s="16"/>
      <c r="AC144" s="16"/>
      <c r="AD144" s="16"/>
    </row>
    <row r="145" spans="1:30" ht="15.75" customHeight="1">
      <c r="A145" s="16"/>
      <c r="B145" s="16"/>
      <c r="C145" s="16"/>
      <c r="D145" s="16"/>
      <c r="E145" s="16"/>
      <c r="F145" s="16"/>
      <c r="G145" s="16"/>
      <c r="H145" s="16"/>
      <c r="I145" s="16"/>
      <c r="J145" s="16"/>
      <c r="K145" s="16"/>
      <c r="L145" s="16"/>
      <c r="M145" s="735"/>
      <c r="N145" s="696"/>
      <c r="O145" s="696"/>
      <c r="P145" s="696"/>
      <c r="Q145" s="696"/>
      <c r="R145" s="696"/>
      <c r="S145" s="696"/>
      <c r="T145" s="696"/>
      <c r="U145" s="16"/>
      <c r="V145" s="16"/>
      <c r="W145" s="16"/>
      <c r="X145" s="16"/>
      <c r="Y145" s="16"/>
      <c r="Z145" s="16"/>
      <c r="AA145" s="16"/>
      <c r="AB145" s="16"/>
      <c r="AC145" s="16"/>
      <c r="AD145" s="16"/>
    </row>
    <row r="146" spans="1:30" ht="15.75" customHeight="1">
      <c r="A146" s="16"/>
      <c r="B146" s="16"/>
      <c r="C146" s="16"/>
      <c r="D146" s="16"/>
      <c r="E146" s="16"/>
      <c r="F146" s="16"/>
      <c r="G146" s="16"/>
      <c r="H146" s="16"/>
      <c r="I146" s="16"/>
      <c r="J146" s="16"/>
      <c r="K146" s="16"/>
      <c r="L146" s="16"/>
      <c r="M146" s="735"/>
      <c r="N146" s="696"/>
      <c r="O146" s="696"/>
      <c r="P146" s="696"/>
      <c r="Q146" s="696"/>
      <c r="R146" s="696"/>
      <c r="S146" s="696"/>
      <c r="T146" s="696"/>
      <c r="U146" s="16"/>
      <c r="V146" s="16"/>
      <c r="W146" s="16"/>
      <c r="X146" s="16"/>
      <c r="Y146" s="16"/>
      <c r="Z146" s="16"/>
      <c r="AA146" s="16"/>
      <c r="AB146" s="16"/>
      <c r="AC146" s="16"/>
      <c r="AD146" s="16"/>
    </row>
    <row r="147" spans="1:30" ht="15.75" customHeight="1">
      <c r="A147" s="16"/>
      <c r="B147" s="16"/>
      <c r="C147" s="16"/>
      <c r="D147" s="16"/>
      <c r="E147" s="16"/>
      <c r="F147" s="16"/>
      <c r="G147" s="16"/>
      <c r="H147" s="16"/>
      <c r="I147" s="16"/>
      <c r="J147" s="16"/>
      <c r="K147" s="16"/>
      <c r="L147" s="16"/>
      <c r="M147" s="735"/>
      <c r="N147" s="696"/>
      <c r="O147" s="696"/>
      <c r="P147" s="696"/>
      <c r="Q147" s="696"/>
      <c r="R147" s="696"/>
      <c r="S147" s="696"/>
      <c r="T147" s="696"/>
      <c r="U147" s="16"/>
      <c r="V147" s="16"/>
      <c r="W147" s="16"/>
      <c r="X147" s="16"/>
      <c r="Y147" s="16"/>
      <c r="Z147" s="16"/>
      <c r="AA147" s="16"/>
      <c r="AB147" s="16"/>
      <c r="AC147" s="16"/>
      <c r="AD147" s="16"/>
    </row>
    <row r="148" spans="1:30" ht="15.75" customHeight="1">
      <c r="A148" s="16"/>
      <c r="B148" s="16"/>
      <c r="C148" s="16"/>
      <c r="D148" s="16"/>
      <c r="E148" s="16"/>
      <c r="F148" s="16"/>
      <c r="G148" s="16"/>
      <c r="H148" s="16"/>
      <c r="I148" s="16"/>
      <c r="J148" s="16"/>
      <c r="K148" s="16"/>
      <c r="L148" s="16"/>
      <c r="M148" s="735"/>
      <c r="N148" s="696"/>
      <c r="O148" s="696"/>
      <c r="P148" s="696"/>
      <c r="Q148" s="696"/>
      <c r="R148" s="696"/>
      <c r="S148" s="696"/>
      <c r="T148" s="696"/>
      <c r="U148" s="16"/>
      <c r="V148" s="16"/>
      <c r="W148" s="16"/>
      <c r="X148" s="16"/>
      <c r="Y148" s="16"/>
      <c r="Z148" s="16"/>
      <c r="AA148" s="16"/>
      <c r="AB148" s="16"/>
      <c r="AC148" s="16"/>
      <c r="AD148" s="16"/>
    </row>
    <row r="149" spans="1:30" ht="15.75" customHeight="1">
      <c r="A149" s="16"/>
      <c r="B149" s="16"/>
      <c r="C149" s="16"/>
      <c r="D149" s="16"/>
      <c r="E149" s="16"/>
      <c r="F149" s="16"/>
      <c r="G149" s="16"/>
      <c r="H149" s="16"/>
      <c r="I149" s="16"/>
      <c r="J149" s="16"/>
      <c r="K149" s="16"/>
      <c r="L149" s="16"/>
      <c r="M149" s="735"/>
      <c r="N149" s="696"/>
      <c r="O149" s="696"/>
      <c r="P149" s="696"/>
      <c r="Q149" s="696"/>
      <c r="R149" s="696"/>
      <c r="S149" s="696"/>
      <c r="T149" s="696"/>
      <c r="U149" s="16"/>
      <c r="V149" s="16"/>
      <c r="W149" s="16"/>
      <c r="X149" s="16"/>
      <c r="Y149" s="16"/>
      <c r="Z149" s="16"/>
      <c r="AA149" s="16"/>
      <c r="AB149" s="16"/>
      <c r="AC149" s="16"/>
      <c r="AD149" s="16"/>
    </row>
    <row r="150" spans="1:30" ht="15.75" customHeight="1">
      <c r="A150" s="16"/>
      <c r="B150" s="16"/>
      <c r="C150" s="16"/>
      <c r="D150" s="16"/>
      <c r="E150" s="16"/>
      <c r="F150" s="16"/>
      <c r="G150" s="16"/>
      <c r="H150" s="16"/>
      <c r="I150" s="16"/>
      <c r="J150" s="16"/>
      <c r="K150" s="16"/>
      <c r="L150" s="16"/>
      <c r="M150" s="735"/>
      <c r="N150" s="696"/>
      <c r="O150" s="696"/>
      <c r="P150" s="696"/>
      <c r="Q150" s="696"/>
      <c r="R150" s="696"/>
      <c r="S150" s="696"/>
      <c r="T150" s="696"/>
      <c r="U150" s="16"/>
      <c r="V150" s="16"/>
      <c r="W150" s="16"/>
      <c r="X150" s="16"/>
      <c r="Y150" s="16"/>
      <c r="Z150" s="16"/>
      <c r="AA150" s="16"/>
      <c r="AB150" s="16"/>
      <c r="AC150" s="16"/>
      <c r="AD150" s="16"/>
    </row>
    <row r="151" spans="1:30" ht="15.75" customHeight="1">
      <c r="A151" s="16"/>
      <c r="B151" s="16"/>
      <c r="C151" s="16"/>
      <c r="D151" s="16"/>
      <c r="E151" s="16"/>
      <c r="F151" s="16"/>
      <c r="G151" s="16"/>
      <c r="H151" s="16"/>
      <c r="I151" s="16"/>
      <c r="J151" s="16"/>
      <c r="K151" s="16"/>
      <c r="L151" s="16"/>
      <c r="M151" s="735"/>
      <c r="N151" s="696"/>
      <c r="O151" s="696"/>
      <c r="P151" s="696"/>
      <c r="Q151" s="696"/>
      <c r="R151" s="696"/>
      <c r="S151" s="696"/>
      <c r="T151" s="696"/>
      <c r="U151" s="16"/>
      <c r="V151" s="16"/>
      <c r="W151" s="16"/>
      <c r="X151" s="16"/>
      <c r="Y151" s="16"/>
      <c r="Z151" s="16"/>
      <c r="AA151" s="16"/>
      <c r="AB151" s="16"/>
      <c r="AC151" s="16"/>
      <c r="AD151" s="16"/>
    </row>
    <row r="152" spans="1:30" ht="15.75" customHeight="1">
      <c r="A152" s="16"/>
      <c r="B152" s="16"/>
      <c r="C152" s="16"/>
      <c r="D152" s="16"/>
      <c r="E152" s="16"/>
      <c r="F152" s="16"/>
      <c r="G152" s="16"/>
      <c r="H152" s="16"/>
      <c r="I152" s="16"/>
      <c r="J152" s="16"/>
      <c r="K152" s="16"/>
      <c r="L152" s="16"/>
      <c r="M152" s="735"/>
      <c r="N152" s="696"/>
      <c r="O152" s="696"/>
      <c r="P152" s="696"/>
      <c r="Q152" s="696"/>
      <c r="R152" s="696"/>
      <c r="S152" s="696"/>
      <c r="T152" s="696"/>
      <c r="U152" s="16"/>
      <c r="V152" s="16"/>
      <c r="W152" s="16"/>
      <c r="X152" s="16"/>
      <c r="Y152" s="16"/>
      <c r="Z152" s="16"/>
      <c r="AA152" s="16"/>
      <c r="AB152" s="16"/>
      <c r="AC152" s="16"/>
      <c r="AD152" s="16"/>
    </row>
    <row r="153" spans="1:30" ht="15.75" customHeight="1">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c r="AA153" s="16"/>
      <c r="AB153" s="16"/>
      <c r="AC153" s="16"/>
      <c r="AD153" s="16"/>
    </row>
    <row r="154" spans="1:30" ht="15.75" customHeight="1">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c r="AA154" s="16"/>
      <c r="AB154" s="16"/>
      <c r="AC154" s="16"/>
      <c r="AD154" s="16"/>
    </row>
    <row r="155" spans="1:30" ht="15.75" customHeight="1">
      <c r="A155" s="16"/>
      <c r="B155" s="735"/>
      <c r="C155" s="696"/>
      <c r="D155" s="16"/>
      <c r="E155" s="16"/>
      <c r="F155" s="16"/>
      <c r="G155" s="16"/>
      <c r="H155" s="16"/>
      <c r="I155" s="16"/>
      <c r="J155" s="16"/>
      <c r="K155" s="16"/>
      <c r="L155" s="16"/>
      <c r="M155" s="735"/>
      <c r="N155" s="696"/>
      <c r="O155" s="696"/>
      <c r="P155" s="735"/>
      <c r="Q155" s="696"/>
      <c r="R155" s="696"/>
      <c r="S155" s="696"/>
      <c r="T155" s="696"/>
      <c r="U155" s="16"/>
      <c r="V155" s="16"/>
      <c r="W155" s="16"/>
      <c r="X155" s="16"/>
      <c r="Y155" s="16"/>
      <c r="Z155" s="16"/>
      <c r="AA155" s="16"/>
      <c r="AB155" s="16"/>
      <c r="AC155" s="16"/>
      <c r="AD155" s="16"/>
    </row>
    <row r="156" spans="1:30" ht="15.75" customHeight="1">
      <c r="A156" s="16"/>
      <c r="B156" s="735"/>
      <c r="C156" s="696"/>
      <c r="D156" s="16"/>
      <c r="E156" s="16"/>
      <c r="F156" s="16"/>
      <c r="G156" s="16"/>
      <c r="H156" s="16"/>
      <c r="I156" s="16"/>
      <c r="J156" s="16"/>
      <c r="K156" s="16"/>
      <c r="L156" s="16"/>
      <c r="M156" s="735"/>
      <c r="N156" s="696"/>
      <c r="O156" s="696"/>
      <c r="P156" s="735"/>
      <c r="Q156" s="696"/>
      <c r="R156" s="696"/>
      <c r="S156" s="696"/>
      <c r="T156" s="696"/>
      <c r="U156" s="16"/>
      <c r="V156" s="16"/>
      <c r="W156" s="16"/>
      <c r="X156" s="16"/>
      <c r="Y156" s="16"/>
      <c r="Z156" s="16"/>
      <c r="AA156" s="16"/>
      <c r="AB156" s="16"/>
      <c r="AC156" s="16"/>
      <c r="AD156" s="16"/>
    </row>
    <row r="157" spans="1:30" ht="15.75" customHeight="1">
      <c r="A157" s="16"/>
      <c r="B157" s="735"/>
      <c r="C157" s="696"/>
      <c r="D157" s="16"/>
      <c r="E157" s="16"/>
      <c r="F157" s="16"/>
      <c r="G157" s="16"/>
      <c r="H157" s="16"/>
      <c r="I157" s="16"/>
      <c r="J157" s="16"/>
      <c r="K157" s="16"/>
      <c r="L157" s="16"/>
      <c r="M157" s="735"/>
      <c r="N157" s="696"/>
      <c r="O157" s="696"/>
      <c r="P157" s="696"/>
      <c r="Q157" s="696"/>
      <c r="R157" s="696"/>
      <c r="S157" s="696"/>
      <c r="T157" s="696"/>
      <c r="U157" s="16"/>
      <c r="V157" s="16"/>
      <c r="W157" s="16"/>
      <c r="X157" s="16"/>
      <c r="Y157" s="16"/>
      <c r="Z157" s="16"/>
      <c r="AA157" s="16"/>
      <c r="AB157" s="16"/>
      <c r="AC157" s="16"/>
      <c r="AD157" s="16"/>
    </row>
    <row r="158" spans="1:30" ht="15.75" customHeight="1">
      <c r="A158" s="16"/>
      <c r="B158" s="735"/>
      <c r="C158" s="696"/>
      <c r="D158" s="16"/>
      <c r="E158" s="16"/>
      <c r="F158" s="16"/>
      <c r="G158" s="16"/>
      <c r="H158" s="16"/>
      <c r="I158" s="16"/>
      <c r="J158" s="16"/>
      <c r="K158" s="16"/>
      <c r="L158" s="16"/>
      <c r="M158" s="735"/>
      <c r="N158" s="696"/>
      <c r="O158" s="696"/>
      <c r="P158" s="696"/>
      <c r="Q158" s="696"/>
      <c r="R158" s="696"/>
      <c r="S158" s="696"/>
      <c r="T158" s="696"/>
      <c r="U158" s="16"/>
      <c r="V158" s="16"/>
      <c r="W158" s="16"/>
      <c r="X158" s="16"/>
      <c r="Y158" s="16"/>
      <c r="Z158" s="16"/>
      <c r="AA158" s="16"/>
      <c r="AB158" s="16"/>
      <c r="AC158" s="16"/>
      <c r="AD158" s="16"/>
    </row>
    <row r="159" spans="1:30" ht="15.75" customHeight="1">
      <c r="A159" s="16"/>
      <c r="B159" s="735"/>
      <c r="C159" s="696"/>
      <c r="D159" s="16"/>
      <c r="E159" s="16"/>
      <c r="F159" s="16"/>
      <c r="G159" s="16"/>
      <c r="H159" s="16"/>
      <c r="I159" s="16"/>
      <c r="J159" s="16"/>
      <c r="K159" s="16"/>
      <c r="L159" s="16"/>
      <c r="M159" s="735"/>
      <c r="N159" s="696"/>
      <c r="O159" s="696"/>
      <c r="P159" s="696"/>
      <c r="Q159" s="696"/>
      <c r="R159" s="696"/>
      <c r="S159" s="696"/>
      <c r="T159" s="696"/>
      <c r="U159" s="16"/>
      <c r="V159" s="16"/>
      <c r="W159" s="16"/>
      <c r="X159" s="16"/>
      <c r="Y159" s="16"/>
      <c r="Z159" s="16"/>
      <c r="AA159" s="16"/>
      <c r="AB159" s="16"/>
      <c r="AC159" s="16"/>
      <c r="AD159" s="16"/>
    </row>
    <row r="160" spans="1:30" ht="15.75" customHeight="1">
      <c r="A160" s="16"/>
      <c r="B160" s="735"/>
      <c r="C160" s="696"/>
      <c r="D160" s="16"/>
      <c r="E160" s="16"/>
      <c r="F160" s="16"/>
      <c r="G160" s="16"/>
      <c r="H160" s="16"/>
      <c r="I160" s="16"/>
      <c r="J160" s="16"/>
      <c r="K160" s="16"/>
      <c r="L160" s="16"/>
      <c r="M160" s="735"/>
      <c r="N160" s="696"/>
      <c r="O160" s="696"/>
      <c r="P160" s="696"/>
      <c r="Q160" s="696"/>
      <c r="R160" s="696"/>
      <c r="S160" s="696"/>
      <c r="T160" s="696"/>
      <c r="U160" s="16"/>
      <c r="V160" s="16"/>
      <c r="W160" s="16"/>
      <c r="X160" s="16"/>
      <c r="Y160" s="16"/>
      <c r="Z160" s="16"/>
      <c r="AA160" s="16"/>
      <c r="AB160" s="16"/>
      <c r="AC160" s="16"/>
      <c r="AD160" s="16"/>
    </row>
    <row r="161" spans="1:30" ht="15.75" customHeight="1">
      <c r="A161" s="16"/>
      <c r="B161" s="735"/>
      <c r="C161" s="696"/>
      <c r="D161" s="16"/>
      <c r="E161" s="16"/>
      <c r="F161" s="16"/>
      <c r="G161" s="16"/>
      <c r="H161" s="16"/>
      <c r="I161" s="16"/>
      <c r="J161" s="16"/>
      <c r="K161" s="16"/>
      <c r="L161" s="16"/>
      <c r="M161" s="735"/>
      <c r="N161" s="696"/>
      <c r="O161" s="696"/>
      <c r="P161" s="696"/>
      <c r="Q161" s="696"/>
      <c r="R161" s="696"/>
      <c r="S161" s="696"/>
      <c r="T161" s="696"/>
      <c r="U161" s="16"/>
      <c r="V161" s="16"/>
      <c r="W161" s="16"/>
      <c r="X161" s="16"/>
      <c r="Y161" s="16"/>
      <c r="Z161" s="16"/>
      <c r="AA161" s="16"/>
      <c r="AB161" s="16"/>
      <c r="AC161" s="16"/>
      <c r="AD161" s="16"/>
    </row>
    <row r="162" spans="1:30" ht="15.75" customHeight="1">
      <c r="A162" s="16"/>
      <c r="B162" s="735"/>
      <c r="C162" s="696"/>
      <c r="D162" s="16"/>
      <c r="E162" s="16"/>
      <c r="F162" s="16"/>
      <c r="G162" s="16"/>
      <c r="H162" s="16"/>
      <c r="I162" s="16"/>
      <c r="J162" s="16"/>
      <c r="K162" s="16"/>
      <c r="L162" s="16"/>
      <c r="M162" s="735"/>
      <c r="N162" s="696"/>
      <c r="O162" s="696"/>
      <c r="P162" s="696"/>
      <c r="Q162" s="696"/>
      <c r="R162" s="696"/>
      <c r="S162" s="696"/>
      <c r="T162" s="696"/>
      <c r="U162" s="16"/>
      <c r="V162" s="16"/>
      <c r="W162" s="16"/>
      <c r="X162" s="16"/>
      <c r="Y162" s="16"/>
      <c r="Z162" s="16"/>
      <c r="AA162" s="16"/>
      <c r="AB162" s="16"/>
      <c r="AC162" s="16"/>
      <c r="AD162" s="16"/>
    </row>
    <row r="163" spans="1:30" ht="15.75" customHeight="1">
      <c r="A163" s="16"/>
      <c r="B163" s="735"/>
      <c r="C163" s="696"/>
      <c r="D163" s="16"/>
      <c r="E163" s="16"/>
      <c r="F163" s="16"/>
      <c r="G163" s="16"/>
      <c r="H163" s="16"/>
      <c r="I163" s="16"/>
      <c r="J163" s="16"/>
      <c r="K163" s="16"/>
      <c r="L163" s="16"/>
      <c r="M163" s="735"/>
      <c r="N163" s="696"/>
      <c r="O163" s="696"/>
      <c r="P163" s="696"/>
      <c r="Q163" s="696"/>
      <c r="R163" s="696"/>
      <c r="S163" s="696"/>
      <c r="T163" s="696"/>
      <c r="U163" s="16"/>
      <c r="V163" s="16"/>
      <c r="W163" s="16"/>
      <c r="X163" s="16"/>
      <c r="Y163" s="16"/>
      <c r="Z163" s="16"/>
      <c r="AA163" s="16"/>
      <c r="AB163" s="16"/>
      <c r="AC163" s="16"/>
      <c r="AD163" s="16"/>
    </row>
    <row r="164" spans="1:30" ht="15.75" customHeight="1">
      <c r="A164" s="16"/>
      <c r="B164" s="735"/>
      <c r="C164" s="696"/>
      <c r="D164" s="16"/>
      <c r="E164" s="16"/>
      <c r="F164" s="16"/>
      <c r="G164" s="16"/>
      <c r="H164" s="16"/>
      <c r="I164" s="16"/>
      <c r="J164" s="16"/>
      <c r="K164" s="16"/>
      <c r="L164" s="16"/>
      <c r="M164" s="735"/>
      <c r="N164" s="696"/>
      <c r="O164" s="696"/>
      <c r="P164" s="696"/>
      <c r="Q164" s="696"/>
      <c r="R164" s="696"/>
      <c r="S164" s="696"/>
      <c r="T164" s="696"/>
      <c r="U164" s="16"/>
      <c r="V164" s="16"/>
      <c r="W164" s="16"/>
      <c r="X164" s="16"/>
      <c r="Y164" s="16"/>
      <c r="Z164" s="16"/>
      <c r="AA164" s="16"/>
      <c r="AB164" s="16"/>
      <c r="AC164" s="16"/>
      <c r="AD164" s="16"/>
    </row>
    <row r="165" spans="1:30" ht="15.75" customHeight="1">
      <c r="A165" s="16"/>
      <c r="B165" s="735"/>
      <c r="C165" s="696"/>
      <c r="D165" s="16"/>
      <c r="E165" s="16"/>
      <c r="F165" s="16"/>
      <c r="G165" s="16"/>
      <c r="H165" s="16"/>
      <c r="I165" s="16"/>
      <c r="J165" s="16"/>
      <c r="K165" s="16"/>
      <c r="L165" s="16"/>
      <c r="M165" s="735"/>
      <c r="N165" s="696"/>
      <c r="O165" s="696"/>
      <c r="P165" s="696"/>
      <c r="Q165" s="696"/>
      <c r="R165" s="696"/>
      <c r="S165" s="696"/>
      <c r="T165" s="696"/>
      <c r="U165" s="16"/>
      <c r="V165" s="16"/>
      <c r="W165" s="16"/>
      <c r="X165" s="16"/>
      <c r="Y165" s="16"/>
      <c r="Z165" s="16"/>
      <c r="AA165" s="16"/>
      <c r="AB165" s="16"/>
      <c r="AC165" s="16"/>
      <c r="AD165" s="16"/>
    </row>
    <row r="166" spans="1:30" ht="15.75" customHeight="1">
      <c r="A166" s="16"/>
      <c r="B166" s="735"/>
      <c r="C166" s="696"/>
      <c r="D166" s="16"/>
      <c r="E166" s="16"/>
      <c r="F166" s="16"/>
      <c r="G166" s="16"/>
      <c r="H166" s="16"/>
      <c r="I166" s="16"/>
      <c r="J166" s="16"/>
      <c r="K166" s="16"/>
      <c r="L166" s="16"/>
      <c r="M166" s="735"/>
      <c r="N166" s="696"/>
      <c r="O166" s="696"/>
      <c r="P166" s="696"/>
      <c r="Q166" s="696"/>
      <c r="R166" s="696"/>
      <c r="S166" s="696"/>
      <c r="T166" s="696"/>
      <c r="U166" s="16"/>
      <c r="V166" s="16"/>
      <c r="W166" s="16"/>
      <c r="X166" s="16"/>
      <c r="Y166" s="16"/>
      <c r="Z166" s="16"/>
      <c r="AA166" s="16"/>
      <c r="AB166" s="16"/>
      <c r="AC166" s="16"/>
      <c r="AD166" s="16"/>
    </row>
    <row r="167" spans="1:30" ht="15.75" customHeight="1">
      <c r="A167" s="16"/>
      <c r="B167" s="735"/>
      <c r="C167" s="696"/>
      <c r="D167" s="16"/>
      <c r="E167" s="16"/>
      <c r="F167" s="16"/>
      <c r="G167" s="16"/>
      <c r="H167" s="16"/>
      <c r="I167" s="16"/>
      <c r="J167" s="16"/>
      <c r="K167" s="16"/>
      <c r="L167" s="16"/>
      <c r="M167" s="735"/>
      <c r="N167" s="696"/>
      <c r="O167" s="696"/>
      <c r="P167" s="696"/>
      <c r="Q167" s="696"/>
      <c r="R167" s="696"/>
      <c r="S167" s="696"/>
      <c r="T167" s="696"/>
      <c r="U167" s="16"/>
      <c r="V167" s="16"/>
      <c r="W167" s="16"/>
      <c r="X167" s="16"/>
      <c r="Y167" s="16"/>
      <c r="Z167" s="16"/>
      <c r="AA167" s="16"/>
      <c r="AB167" s="16"/>
      <c r="AC167" s="16"/>
      <c r="AD167" s="16"/>
    </row>
    <row r="168" spans="1:30" ht="15.75" customHeight="1">
      <c r="A168" s="16"/>
      <c r="B168" s="735"/>
      <c r="C168" s="696"/>
      <c r="D168" s="16"/>
      <c r="E168" s="16"/>
      <c r="F168" s="16"/>
      <c r="G168" s="16"/>
      <c r="H168" s="16"/>
      <c r="I168" s="16"/>
      <c r="J168" s="16"/>
      <c r="K168" s="16"/>
      <c r="L168" s="16"/>
      <c r="M168" s="735"/>
      <c r="N168" s="696"/>
      <c r="O168" s="696"/>
      <c r="P168" s="696"/>
      <c r="Q168" s="696"/>
      <c r="R168" s="696"/>
      <c r="S168" s="696"/>
      <c r="T168" s="696"/>
      <c r="U168" s="16"/>
      <c r="V168" s="16"/>
      <c r="W168" s="16"/>
      <c r="X168" s="16"/>
      <c r="Y168" s="16"/>
      <c r="Z168" s="16"/>
      <c r="AA168" s="16"/>
      <c r="AB168" s="16"/>
      <c r="AC168" s="16"/>
      <c r="AD168" s="16"/>
    </row>
    <row r="169" spans="1:30" ht="15.75" customHeight="1">
      <c r="A169" s="16"/>
      <c r="B169" s="735"/>
      <c r="C169" s="696"/>
      <c r="D169" s="16"/>
      <c r="E169" s="16"/>
      <c r="F169" s="16"/>
      <c r="G169" s="16"/>
      <c r="H169" s="16"/>
      <c r="I169" s="16"/>
      <c r="J169" s="16"/>
      <c r="K169" s="16"/>
      <c r="L169" s="16"/>
      <c r="M169" s="735"/>
      <c r="N169" s="696"/>
      <c r="O169" s="696"/>
      <c r="P169" s="696"/>
      <c r="Q169" s="696"/>
      <c r="R169" s="696"/>
      <c r="S169" s="696"/>
      <c r="T169" s="696"/>
      <c r="U169" s="16"/>
      <c r="V169" s="16"/>
      <c r="W169" s="16"/>
      <c r="X169" s="16"/>
      <c r="Y169" s="16"/>
      <c r="Z169" s="16"/>
      <c r="AA169" s="16"/>
      <c r="AB169" s="16"/>
      <c r="AC169" s="16"/>
      <c r="AD169" s="16"/>
    </row>
    <row r="170" spans="1:30" ht="15.75" customHeight="1">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c r="AA170" s="16"/>
      <c r="AB170" s="16"/>
      <c r="AC170" s="16"/>
      <c r="AD170" s="16"/>
    </row>
    <row r="171" spans="1:30" ht="15.75" customHeight="1">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c r="AA171" s="16"/>
      <c r="AB171" s="16"/>
      <c r="AC171" s="16"/>
      <c r="AD171" s="16"/>
    </row>
    <row r="172" spans="1:30" ht="15.75" customHeight="1">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row>
    <row r="173" spans="1:30" ht="15.75" customHeight="1">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c r="AC173" s="16"/>
      <c r="AD173" s="16"/>
    </row>
    <row r="174" spans="1:30" ht="15.75" customHeight="1">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c r="AC174" s="16"/>
      <c r="AD174" s="16"/>
    </row>
    <row r="175" spans="1:30" ht="15.75" customHeight="1">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c r="AA175" s="16"/>
      <c r="AB175" s="16"/>
      <c r="AC175" s="16"/>
      <c r="AD175" s="16"/>
    </row>
    <row r="176" spans="1:30" ht="15.75" customHeight="1">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c r="AD176" s="16"/>
    </row>
    <row r="177" spans="1:30" ht="15.75" customHeight="1">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c r="AD177" s="16"/>
    </row>
    <row r="178" spans="1:30" ht="15.75" customHeight="1">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c r="AA178" s="16"/>
      <c r="AB178" s="16"/>
      <c r="AC178" s="16"/>
      <c r="AD178" s="16"/>
    </row>
    <row r="179" spans="1:30" ht="15.75" customHeight="1">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c r="AD179" s="16"/>
    </row>
    <row r="180" spans="1:30" ht="15.75" customHeight="1">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c r="AD180" s="16"/>
    </row>
    <row r="181" spans="1:30" ht="15.75" customHeight="1">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c r="AD181" s="16"/>
    </row>
    <row r="182" spans="1:30" ht="15.75" customHeight="1">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c r="AD182" s="16"/>
    </row>
    <row r="183" spans="1:30" ht="15.75" customHeight="1">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c r="AD183" s="16"/>
    </row>
    <row r="184" spans="1:30" ht="15.75" customHeight="1">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c r="AD184" s="16"/>
    </row>
    <row r="185" spans="1:30" ht="15.75" customHeight="1">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c r="AD185" s="16"/>
    </row>
    <row r="186" spans="1:30" ht="15.75" customHeight="1">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c r="AD186" s="16"/>
    </row>
    <row r="187" spans="1:30" ht="15.75" customHeight="1">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16"/>
      <c r="AB187" s="16"/>
      <c r="AC187" s="16"/>
      <c r="AD187" s="16"/>
    </row>
    <row r="188" spans="1:30" ht="15.75" customHeight="1">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c r="AD188" s="16"/>
    </row>
    <row r="189" spans="1:30" ht="15.75" customHeight="1">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c r="AD189" s="16"/>
    </row>
    <row r="190" spans="1:30" ht="15.75" customHeight="1">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c r="AD190" s="16"/>
    </row>
    <row r="191" spans="1:30" ht="15.75" customHeight="1">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c r="AD191" s="16"/>
    </row>
    <row r="192" spans="1:30" ht="15.75" customHeight="1">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c r="AD192" s="16"/>
    </row>
    <row r="193" spans="1:30" ht="15.75" customHeight="1">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c r="AA193" s="16"/>
      <c r="AB193" s="16"/>
      <c r="AC193" s="16"/>
      <c r="AD193" s="16"/>
    </row>
    <row r="194" spans="1:30" ht="15.75" customHeight="1">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c r="AA194" s="16"/>
      <c r="AB194" s="16"/>
      <c r="AC194" s="16"/>
      <c r="AD194" s="16"/>
    </row>
    <row r="195" spans="1:30" ht="15.75" customHeight="1">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c r="AA195" s="16"/>
      <c r="AB195" s="16"/>
      <c r="AC195" s="16"/>
      <c r="AD195" s="16"/>
    </row>
    <row r="196" spans="1:30" ht="15.75" customHeight="1">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c r="AA196" s="16"/>
      <c r="AB196" s="16"/>
      <c r="AC196" s="16"/>
      <c r="AD196" s="16"/>
    </row>
    <row r="197" spans="1:30" ht="15.75" customHeight="1">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c r="AD197" s="16"/>
    </row>
    <row r="198" spans="1:30" ht="15.75" customHeight="1">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c r="AD198" s="16"/>
    </row>
    <row r="199" spans="1:30" ht="15.75" customHeight="1">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c r="AA199" s="16"/>
      <c r="AB199" s="16"/>
      <c r="AC199" s="16"/>
      <c r="AD199" s="16"/>
    </row>
    <row r="200" spans="1:30" ht="15.75" customHeight="1">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c r="AA200" s="16"/>
      <c r="AB200" s="16"/>
      <c r="AC200" s="16"/>
      <c r="AD200" s="16"/>
    </row>
    <row r="201" spans="1:30" ht="15.75" customHeight="1">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c r="AD201" s="16"/>
    </row>
    <row r="202" spans="1:30" ht="15.75" customHeight="1">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c r="AD202" s="16"/>
    </row>
    <row r="203" spans="1:30" ht="15.75" customHeight="1">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c r="AA203" s="16"/>
      <c r="AB203" s="16"/>
      <c r="AC203" s="16"/>
      <c r="AD203" s="16"/>
    </row>
    <row r="204" spans="1:30" ht="15.75" customHeight="1">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c r="AA204" s="16"/>
      <c r="AB204" s="16"/>
      <c r="AC204" s="16"/>
      <c r="AD204" s="16"/>
    </row>
    <row r="205" spans="1:30" ht="15.75" customHeight="1">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c r="AD205" s="16"/>
    </row>
    <row r="206" spans="1:30" ht="15.75" customHeight="1">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row>
    <row r="207" spans="1:30" ht="15.75" customHeight="1">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c r="AD207" s="16"/>
    </row>
    <row r="208" spans="1:30" ht="15.75" customHeight="1">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c r="AD208" s="16"/>
    </row>
    <row r="209" spans="1:30" ht="15.75" customHeight="1">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c r="AD209" s="16"/>
    </row>
    <row r="210" spans="1:30" ht="15.75" customHeight="1">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c r="AD210" s="16"/>
    </row>
    <row r="211" spans="1:30" ht="15.75" customHeight="1">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row>
    <row r="212" spans="1:30" ht="15.75" customHeight="1">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c r="AD212" s="16"/>
    </row>
    <row r="213" spans="1:30" ht="15.75" customHeight="1">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c r="AD213" s="16"/>
    </row>
    <row r="214" spans="1:30" ht="15.75" customHeight="1">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row>
    <row r="215" spans="1:30" ht="15.75" customHeight="1">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c r="AD215" s="16"/>
    </row>
    <row r="216" spans="1:30" ht="15.75" customHeight="1">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c r="AD216" s="16"/>
    </row>
    <row r="217" spans="1:30" ht="15.75" customHeight="1">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c r="AD217" s="16"/>
    </row>
    <row r="218" spans="1:30" ht="15.75" customHeight="1">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c r="AD218" s="16"/>
    </row>
    <row r="219" spans="1:30" ht="15.75" customHeight="1">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c r="AD219" s="16"/>
    </row>
    <row r="220" spans="1:30" ht="15.75" customHeight="1">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c r="AD220" s="16"/>
    </row>
    <row r="221" spans="1:30" ht="15.75" customHeight="1">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row>
    <row r="222" spans="1:30" ht="15.75" customHeight="1">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row>
    <row r="223" spans="1:30" ht="15.75" customHeight="1">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c r="AD223" s="16"/>
    </row>
    <row r="224" spans="1:30" ht="15.75" customHeight="1">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c r="AD224" s="16"/>
    </row>
    <row r="225" spans="1:30" ht="15.75" customHeight="1">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16"/>
    </row>
    <row r="226" spans="1:30" ht="15.75" customHeight="1">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row>
    <row r="227" spans="1:30" ht="15.75" customHeight="1">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16"/>
    </row>
    <row r="228" spans="1:30" ht="15.75" customHeight="1">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c r="AD228" s="16"/>
    </row>
    <row r="229" spans="1:30" ht="15.75" customHeight="1">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c r="AD229" s="16"/>
    </row>
    <row r="230" spans="1:30" ht="15.75" customHeight="1">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row>
    <row r="231" spans="1:30" ht="15.75" customHeight="1">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c r="AD231" s="16"/>
    </row>
    <row r="232" spans="1:30" ht="15.75" customHeight="1">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c r="AD232" s="16"/>
    </row>
    <row r="233" spans="1:30" ht="15.75" customHeight="1">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c r="AD233" s="16"/>
    </row>
    <row r="234" spans="1:30" ht="15.75" customHeight="1">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c r="AD234" s="16"/>
    </row>
    <row r="235" spans="1:30" ht="15.75" customHeight="1">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row>
    <row r="236" spans="1:30" ht="15.75" customHeight="1">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c r="AD236" s="16"/>
    </row>
    <row r="237" spans="1:30" ht="15.75" customHeight="1">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c r="AD237" s="16"/>
    </row>
    <row r="238" spans="1:30" ht="15.75" customHeight="1">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c r="AD238" s="16"/>
    </row>
    <row r="239" spans="1:30" ht="15.75" customHeight="1">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c r="AD239" s="16"/>
    </row>
    <row r="240" spans="1:30" ht="15.75" customHeight="1">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c r="AD240" s="16"/>
    </row>
    <row r="241" spans="1:30" ht="15.75" customHeight="1">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c r="AD241" s="16"/>
    </row>
    <row r="242" spans="1:30" ht="15.75" customHeight="1">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c r="AD242" s="16"/>
    </row>
    <row r="243" spans="1:30" ht="15.75" customHeight="1">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c r="AD243" s="16"/>
    </row>
    <row r="244" spans="1:30" ht="15.75" customHeight="1">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16"/>
    </row>
    <row r="245" spans="1:30" ht="15.75" customHeight="1">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c r="AD245" s="16"/>
    </row>
    <row r="246" spans="1:30" ht="15.75" customHeight="1">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row>
    <row r="247" spans="1:30" ht="15.75" customHeight="1">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c r="AD247" s="16"/>
    </row>
    <row r="248" spans="1:30" ht="15.75" customHeight="1">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row>
    <row r="249" spans="1:30" ht="15.75" customHeight="1">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row>
    <row r="250" spans="1:30" ht="15.75" customHeight="1">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c r="AD250" s="16"/>
    </row>
    <row r="251" spans="1:30" ht="15.75" customHeight="1">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row>
    <row r="252" spans="1:30" ht="15.75" customHeight="1">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16"/>
    </row>
    <row r="253" spans="1:30" ht="15.75" customHeight="1">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c r="AD253" s="16"/>
    </row>
    <row r="254" spans="1:30" ht="15.75" customHeight="1">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row>
    <row r="255" spans="1:30" ht="15.75" customHeight="1">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c r="AD255" s="16"/>
    </row>
    <row r="256" spans="1:30" ht="15.75" customHeight="1">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row>
    <row r="257" spans="1:30" ht="15.75" customHeight="1">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c r="AD257" s="16"/>
    </row>
    <row r="258" spans="1:30" ht="15.75" customHeight="1">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c r="AD258" s="16"/>
    </row>
    <row r="259" spans="1:30" ht="15.75" customHeight="1">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row>
    <row r="260" spans="1:30" ht="15.75" customHeight="1">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row>
    <row r="261" spans="1:30" ht="15.75" customHeight="1">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c r="AD261" s="16"/>
    </row>
    <row r="262" spans="1:30" ht="15.75" customHeight="1">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row>
    <row r="263" spans="1:30" ht="15.75" customHeight="1">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row>
    <row r="264" spans="1:30" ht="15.75" customHeight="1">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c r="AD264" s="16"/>
    </row>
    <row r="265" spans="1:30" ht="15.75" customHeight="1">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row>
    <row r="266" spans="1:30" ht="15.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row>
    <row r="267" spans="1:30" ht="15.75" customHeight="1">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row>
    <row r="268" spans="1:30" ht="15.75" customHeight="1">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c r="AD268" s="16"/>
    </row>
    <row r="269" spans="1:30" ht="15.75" customHeight="1">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row>
    <row r="270" spans="1:30" ht="15.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row>
    <row r="271" spans="1:30" ht="15.75" customHeight="1">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c r="AD271" s="16"/>
    </row>
    <row r="272" spans="1:30" ht="15.75" customHeight="1">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c r="AD272" s="16"/>
    </row>
    <row r="273" spans="1:30" ht="15.75" customHeight="1">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c r="AD273" s="16"/>
    </row>
    <row r="274" spans="1:30" ht="15.75" customHeight="1">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c r="AD274" s="16"/>
    </row>
    <row r="275" spans="1:30" ht="15.75" customHeight="1">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c r="AD275" s="16"/>
    </row>
    <row r="276" spans="1:30" ht="15.75" customHeight="1">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row>
    <row r="277" spans="1:30" ht="15.75" customHeight="1">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16"/>
    </row>
    <row r="278" spans="1:30" ht="15.75" customHeight="1">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row>
    <row r="279" spans="1:30" ht="15.75" customHeight="1">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16"/>
    </row>
    <row r="280" spans="1:30" ht="15.75" customHeight="1">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c r="AD280" s="16"/>
    </row>
    <row r="281" spans="1:30" ht="15.75" customHeight="1">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c r="AD281" s="16"/>
    </row>
    <row r="282" spans="1:30" ht="15.75" customHeight="1">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c r="AD282" s="16"/>
    </row>
    <row r="283" spans="1:30" ht="15.75" customHeight="1">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c r="AD283" s="16"/>
    </row>
    <row r="284" spans="1:30" ht="15.75" customHeight="1">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c r="AD284" s="16"/>
    </row>
    <row r="285" spans="1:30" ht="15.75" customHeight="1">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c r="AD285" s="16"/>
    </row>
    <row r="286" spans="1:30" ht="15.75" customHeight="1">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row>
    <row r="287" spans="1:30" ht="15.75" customHeight="1">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row>
    <row r="288" spans="1:30" ht="15.75" customHeight="1">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row>
    <row r="289" spans="1:30" ht="15.75" customHeight="1">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row>
    <row r="290" spans="1:30" ht="15.75" customHeight="1">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row>
    <row r="291" spans="1:30" ht="15.75" customHeight="1">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c r="AD291" s="16"/>
    </row>
    <row r="292" spans="1:30" ht="15.75" customHeight="1">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row>
    <row r="293" spans="1:30" ht="15.75" customHeight="1">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row>
    <row r="294" spans="1:30" ht="15.75" customHeight="1">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row>
    <row r="295" spans="1:30" ht="15.75" customHeight="1">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row>
    <row r="296" spans="1:30" ht="15.75" customHeight="1">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row>
    <row r="297" spans="1:30" ht="15.75" customHeight="1">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row>
    <row r="298" spans="1:30" ht="15.75" customHeight="1">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row>
    <row r="299" spans="1:30" ht="15.75" customHeight="1">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row>
    <row r="300" spans="1:30" ht="15.75" customHeight="1">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row>
    <row r="301" spans="1:30" ht="15.75" customHeight="1">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c r="AD301" s="16"/>
    </row>
    <row r="302" spans="1:30" ht="15.75" customHeight="1">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c r="AD302" s="16"/>
    </row>
    <row r="303" spans="1:30" ht="15.75" customHeight="1">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row>
    <row r="304" spans="1:30" ht="15.75" customHeight="1">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c r="AD304" s="16"/>
    </row>
    <row r="305" spans="1:30" ht="15.75" customHeight="1">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c r="AD305" s="16"/>
    </row>
    <row r="306" spans="1:30" ht="15.75" customHeight="1"/>
    <row r="307" spans="1:30" ht="15.75" customHeight="1"/>
    <row r="308" spans="1:30" ht="15.75" customHeight="1"/>
    <row r="309" spans="1:30" ht="15.75" customHeight="1"/>
    <row r="310" spans="1:30" ht="15.75" customHeight="1"/>
    <row r="311" spans="1:30" ht="15.75" customHeight="1"/>
    <row r="312" spans="1:30" ht="15.75" customHeight="1"/>
    <row r="313" spans="1:30" ht="15.75" customHeight="1"/>
    <row r="314" spans="1:30" ht="15.75" customHeight="1"/>
    <row r="315" spans="1:30" ht="15.75" customHeight="1"/>
    <row r="316" spans="1:30" ht="15.75" customHeight="1"/>
    <row r="317" spans="1:30" ht="15.75" customHeight="1"/>
    <row r="318" spans="1:30" ht="15.75" customHeight="1"/>
    <row r="319" spans="1:30" ht="15.75" customHeight="1"/>
    <row r="320" spans="1:3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99">
    <mergeCell ref="M164:O164"/>
    <mergeCell ref="B168:C168"/>
    <mergeCell ref="M168:O168"/>
    <mergeCell ref="B169:C169"/>
    <mergeCell ref="M169:O169"/>
    <mergeCell ref="B165:C165"/>
    <mergeCell ref="M165:O165"/>
    <mergeCell ref="B166:C166"/>
    <mergeCell ref="M166:O166"/>
    <mergeCell ref="B167:C167"/>
    <mergeCell ref="M167:O167"/>
    <mergeCell ref="M152:O152"/>
    <mergeCell ref="B155:C155"/>
    <mergeCell ref="M155:O155"/>
    <mergeCell ref="M158:O158"/>
    <mergeCell ref="B159:C159"/>
    <mergeCell ref="M159:O159"/>
    <mergeCell ref="P155:T155"/>
    <mergeCell ref="B156:C156"/>
    <mergeCell ref="M156:O156"/>
    <mergeCell ref="P156:T169"/>
    <mergeCell ref="B157:C157"/>
    <mergeCell ref="M157:O157"/>
    <mergeCell ref="B158:C158"/>
    <mergeCell ref="B161:C161"/>
    <mergeCell ref="M161:O161"/>
    <mergeCell ref="B160:C160"/>
    <mergeCell ref="M160:O160"/>
    <mergeCell ref="B162:C162"/>
    <mergeCell ref="M162:O162"/>
    <mergeCell ref="B163:C163"/>
    <mergeCell ref="M163:O163"/>
    <mergeCell ref="B164:C164"/>
    <mergeCell ref="M151:O151"/>
    <mergeCell ref="M138:O138"/>
    <mergeCell ref="P138:T138"/>
    <mergeCell ref="M139:O139"/>
    <mergeCell ref="P139:T152"/>
    <mergeCell ref="M140:O140"/>
    <mergeCell ref="M141:O141"/>
    <mergeCell ref="M142:O142"/>
    <mergeCell ref="M143:O143"/>
    <mergeCell ref="M144:O144"/>
    <mergeCell ref="M145:O145"/>
    <mergeCell ref="M146:O146"/>
    <mergeCell ref="M147:O147"/>
    <mergeCell ref="M148:O148"/>
    <mergeCell ref="M149:O149"/>
    <mergeCell ref="M150:O150"/>
    <mergeCell ref="M135:O135"/>
    <mergeCell ref="P121:R121"/>
    <mergeCell ref="M123:O123"/>
    <mergeCell ref="P123:T123"/>
    <mergeCell ref="M124:O124"/>
    <mergeCell ref="P124:T135"/>
    <mergeCell ref="M125:O125"/>
    <mergeCell ref="M126:O126"/>
    <mergeCell ref="M127:O127"/>
    <mergeCell ref="M128:O128"/>
    <mergeCell ref="M129:O129"/>
    <mergeCell ref="M130:O130"/>
    <mergeCell ref="M131:O131"/>
    <mergeCell ref="M132:O132"/>
    <mergeCell ref="M133:O133"/>
    <mergeCell ref="M134:O134"/>
    <mergeCell ref="P119:R119"/>
    <mergeCell ref="P120:R120"/>
    <mergeCell ref="AG29:AH29"/>
    <mergeCell ref="AI29:AJ29"/>
    <mergeCell ref="AG30:AH40"/>
    <mergeCell ref="AI30:AJ40"/>
    <mergeCell ref="P115:R115"/>
    <mergeCell ref="P70:Q70"/>
    <mergeCell ref="H92:I105"/>
    <mergeCell ref="J92:K105"/>
    <mergeCell ref="P116:R116"/>
    <mergeCell ref="P117:R117"/>
    <mergeCell ref="P118:R118"/>
    <mergeCell ref="H37:J37"/>
    <mergeCell ref="K71:O87"/>
    <mergeCell ref="P71:Q87"/>
    <mergeCell ref="H91:I91"/>
    <mergeCell ref="J91:K91"/>
    <mergeCell ref="K70:O70"/>
    <mergeCell ref="H38:J42"/>
    <mergeCell ref="I45:K45"/>
    <mergeCell ref="I46:K50"/>
    <mergeCell ref="K54:M54"/>
    <mergeCell ref="K55:M67"/>
    <mergeCell ref="A1:C1"/>
    <mergeCell ref="E1:H1"/>
    <mergeCell ref="D7:I7"/>
    <mergeCell ref="D8:I8"/>
    <mergeCell ref="A28:F28"/>
    <mergeCell ref="A30:F30"/>
    <mergeCell ref="A31:F31"/>
    <mergeCell ref="A32:F32"/>
    <mergeCell ref="A34:F34"/>
    <mergeCell ref="A29:F29"/>
  </mergeCells>
  <phoneticPr fontId="31" type="noConversion"/>
  <conditionalFormatting sqref="I55:I66">
    <cfRule type="containsText" dxfId="531" priority="1" operator="containsText" text="5">
      <formula>NOT(ISERROR(SEARCH(("5"),(I55))))</formula>
    </cfRule>
    <cfRule type="containsText" dxfId="530" priority="2" operator="containsText" text="42">
      <formula>NOT(ISERROR(SEARCH(("42"),(I55))))</formula>
    </cfRule>
    <cfRule type="containsText" dxfId="529" priority="3" operator="containsText" text="Please fill in">
      <formula>NOT(ISERROR(SEARCH(("Please fill in"),(I55))))</formula>
    </cfRule>
  </conditionalFormatting>
  <dataValidations count="3">
    <dataValidation type="list" allowBlank="1" showErrorMessage="1" sqref="D46:D50 H55:H67" xr:uid="{1C7ACD75-8617-4A38-B84E-48871FCA8000}">
      <formula1>Hercules!TypesOfTrainers</formula1>
    </dataValidation>
    <dataValidation type="list" allowBlank="1" showErrorMessage="1" sqref="B9" xr:uid="{15D28D2B-32A0-4660-A232-CD6CF91C0460}">
      <formula1>"yes,no,partial"</formula1>
    </dataValidation>
    <dataValidation type="list" allowBlank="1" sqref="G46:G50" xr:uid="{C9C10881-DF57-4252-94F8-2D9DECF9479C}">
      <formula1>"yes,no"</formula1>
    </dataValidation>
  </dataValidations>
  <pageMargins left="0.7" right="0.7" top="0.75" bottom="0.75" header="0" footer="0"/>
  <pageSetup paperSize="9" orientation="portrait"/>
  <drawing r:id="rId1"/>
  <legacyDrawing r:id="rId2"/>
  <tableParts count="6">
    <tablePart r:id="rId3"/>
    <tablePart r:id="rId4"/>
    <tablePart r:id="rId5"/>
    <tablePart r:id="rId6"/>
    <tablePart r:id="rId7"/>
    <tablePart r:id="rId8"/>
  </tableParts>
  <extLst>
    <ext xmlns:x14="http://schemas.microsoft.com/office/spreadsheetml/2009/9/main" uri="{CCE6A557-97BC-4b89-ADB6-D9C93CAAB3DF}">
      <x14:dataValidations xmlns:xm="http://schemas.microsoft.com/office/excel/2006/main" count="4">
        <x14:dataValidation type="list" allowBlank="1" showInputMessage="1" showErrorMessage="1" xr:uid="{7ED2BDAC-0F03-4152-9471-58999BCC4739}">
          <x14:formula1>
            <xm:f>Constants!$M$6:$M$7</xm:f>
          </x14:formula1>
          <xm:sqref>B92:B107</xm:sqref>
        </x14:dataValidation>
        <x14:dataValidation type="list" allowBlank="1" showInputMessage="1" showErrorMessage="1" xr:uid="{89C33FE7-0EA2-48A2-A1E0-CEF54A040271}">
          <x14:formula1>
            <xm:f>Constants!$C$55:$C$56</xm:f>
          </x14:formula1>
          <xm:sqref>B12</xm:sqref>
        </x14:dataValidation>
        <x14:dataValidation type="list" allowBlank="1" showErrorMessage="1" xr:uid="{1F48F6EA-5B74-4210-A9E8-2EFCB5B36A1B}">
          <x14:formula1>
            <xm:f>Constants!$H$6:$H$13</xm:f>
          </x14:formula1>
          <xm:sqref>B55:B67</xm:sqref>
        </x14:dataValidation>
        <x14:dataValidation type="list" allowBlank="1" showErrorMessage="1" xr:uid="{52F68B4F-390C-4538-9472-53AE68BDDBA3}">
          <x14:formula1>
            <xm:f>Constants!$A$2:$AD$2</xm:f>
          </x14:formula1>
          <xm:sqref>B71:B87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1012"/>
  <sheetViews>
    <sheetView topLeftCell="A67" workbookViewId="0">
      <selection activeCell="F83" sqref="F83"/>
    </sheetView>
  </sheetViews>
  <sheetFormatPr defaultColWidth="12.625" defaultRowHeight="15" customHeight="1"/>
  <cols>
    <col min="1" max="1" width="8.875" customWidth="1"/>
    <col min="2" max="2" width="14.375" customWidth="1"/>
    <col min="3" max="3" width="14.125" customWidth="1"/>
    <col min="4" max="4" width="23.625" customWidth="1"/>
    <col min="5" max="5" width="28" customWidth="1"/>
    <col min="6" max="6" width="53.875" customWidth="1"/>
    <col min="7" max="26" width="8.625" customWidth="1"/>
  </cols>
  <sheetData>
    <row r="1" spans="1:6" ht="13.5" customHeight="1">
      <c r="B1" s="547" t="s">
        <v>65</v>
      </c>
      <c r="C1" s="693"/>
      <c r="D1" s="693"/>
      <c r="E1" s="693"/>
      <c r="F1" s="694"/>
    </row>
    <row r="2" spans="1:6" ht="13.5" customHeight="1">
      <c r="B2" s="695"/>
      <c r="C2" s="696"/>
      <c r="D2" s="696"/>
      <c r="E2" s="696"/>
      <c r="F2" s="697"/>
    </row>
    <row r="3" spans="1:6" ht="13.5" customHeight="1">
      <c r="B3" s="698"/>
      <c r="C3" s="699"/>
      <c r="D3" s="699"/>
      <c r="E3" s="699"/>
      <c r="F3" s="700"/>
    </row>
    <row r="4" spans="1:6" ht="13.5" customHeight="1">
      <c r="B4" s="38"/>
      <c r="C4" s="38"/>
      <c r="D4" s="38"/>
      <c r="E4" s="38"/>
      <c r="F4" s="38"/>
    </row>
    <row r="5" spans="1:6" ht="13.5" customHeight="1"/>
    <row r="6" spans="1:6" ht="13.5" customHeight="1">
      <c r="A6" s="22" t="s">
        <v>0</v>
      </c>
      <c r="B6" s="21" t="s">
        <v>66</v>
      </c>
      <c r="C6" s="21" t="s">
        <v>67</v>
      </c>
      <c r="D6" s="21" t="s">
        <v>68</v>
      </c>
      <c r="E6" s="21" t="s">
        <v>69</v>
      </c>
      <c r="F6" s="21" t="s">
        <v>70</v>
      </c>
    </row>
    <row r="7" spans="1:6" ht="45">
      <c r="A7" s="39">
        <v>1</v>
      </c>
      <c r="B7" s="216">
        <v>44895</v>
      </c>
      <c r="C7" s="39" t="s">
        <v>71</v>
      </c>
      <c r="D7" s="39" t="s">
        <v>72</v>
      </c>
      <c r="E7" s="39" t="s">
        <v>73</v>
      </c>
      <c r="F7" s="39"/>
    </row>
    <row r="8" spans="1:6" ht="105">
      <c r="A8" s="39">
        <v>2</v>
      </c>
      <c r="B8" s="216">
        <v>44895</v>
      </c>
      <c r="C8" s="39" t="s">
        <v>71</v>
      </c>
      <c r="D8" s="39" t="s">
        <v>74</v>
      </c>
      <c r="E8" s="39" t="s">
        <v>75</v>
      </c>
      <c r="F8" s="39"/>
    </row>
    <row r="9" spans="1:6" ht="60">
      <c r="A9" s="39">
        <v>2</v>
      </c>
      <c r="B9" s="216">
        <v>44895</v>
      </c>
      <c r="C9" s="39" t="s">
        <v>71</v>
      </c>
      <c r="D9" s="39" t="s">
        <v>74</v>
      </c>
      <c r="E9" s="40" t="s">
        <v>76</v>
      </c>
      <c r="F9" s="39"/>
    </row>
    <row r="10" spans="1:6" ht="45">
      <c r="A10" s="39">
        <v>3</v>
      </c>
      <c r="B10" s="216">
        <v>44910</v>
      </c>
      <c r="C10" s="39" t="s">
        <v>71</v>
      </c>
      <c r="D10" s="39" t="s">
        <v>77</v>
      </c>
      <c r="E10" s="39" t="s">
        <v>78</v>
      </c>
      <c r="F10" s="39"/>
    </row>
    <row r="11" spans="1:6" ht="75">
      <c r="A11" s="39">
        <v>4</v>
      </c>
      <c r="B11" s="216">
        <v>44915</v>
      </c>
      <c r="C11" s="39" t="s">
        <v>71</v>
      </c>
      <c r="D11" s="39" t="s">
        <v>79</v>
      </c>
      <c r="E11" s="39" t="s">
        <v>80</v>
      </c>
      <c r="F11" s="39"/>
    </row>
    <row r="12" spans="1:6" ht="60">
      <c r="A12" s="39">
        <v>5</v>
      </c>
      <c r="B12" s="216">
        <v>44915</v>
      </c>
      <c r="C12" s="39" t="s">
        <v>71</v>
      </c>
      <c r="D12" s="39" t="s">
        <v>81</v>
      </c>
      <c r="E12" s="39" t="s">
        <v>82</v>
      </c>
      <c r="F12" s="39"/>
    </row>
    <row r="13" spans="1:6" ht="30">
      <c r="A13" s="39">
        <v>6</v>
      </c>
      <c r="B13" s="216">
        <v>44917</v>
      </c>
      <c r="C13" s="39" t="s">
        <v>71</v>
      </c>
      <c r="D13" s="39" t="s">
        <v>83</v>
      </c>
      <c r="E13" s="39" t="s">
        <v>84</v>
      </c>
      <c r="F13" s="39"/>
    </row>
    <row r="14" spans="1:6" ht="30">
      <c r="A14" s="39">
        <v>7</v>
      </c>
      <c r="B14" s="216">
        <v>44917</v>
      </c>
      <c r="C14" s="39" t="s">
        <v>71</v>
      </c>
      <c r="D14" s="39" t="s">
        <v>85</v>
      </c>
      <c r="E14" s="39" t="s">
        <v>86</v>
      </c>
      <c r="F14" s="39"/>
    </row>
    <row r="15" spans="1:6">
      <c r="A15" s="39">
        <v>8</v>
      </c>
      <c r="B15" s="216">
        <v>44945</v>
      </c>
      <c r="C15" s="39" t="s">
        <v>71</v>
      </c>
      <c r="D15" s="39" t="s">
        <v>87</v>
      </c>
      <c r="E15" s="39" t="s">
        <v>88</v>
      </c>
      <c r="F15" s="39"/>
    </row>
    <row r="16" spans="1:6" ht="30">
      <c r="A16" s="39">
        <v>9</v>
      </c>
      <c r="B16" s="216">
        <v>45022</v>
      </c>
      <c r="C16" s="39" t="s">
        <v>71</v>
      </c>
      <c r="D16" s="39" t="s">
        <v>89</v>
      </c>
      <c r="E16" s="39" t="s">
        <v>90</v>
      </c>
      <c r="F16" s="39"/>
    </row>
    <row r="17" spans="1:6">
      <c r="A17" s="39">
        <v>10</v>
      </c>
      <c r="B17" s="216">
        <v>45036</v>
      </c>
      <c r="C17" s="39" t="s">
        <v>71</v>
      </c>
      <c r="D17" s="39" t="s">
        <v>91</v>
      </c>
      <c r="E17" s="39" t="s">
        <v>92</v>
      </c>
      <c r="F17" s="39"/>
    </row>
    <row r="18" spans="1:6" ht="30">
      <c r="A18" s="39">
        <v>11</v>
      </c>
      <c r="B18" s="216">
        <v>45167</v>
      </c>
      <c r="C18" s="39" t="s">
        <v>93</v>
      </c>
      <c r="D18" s="39" t="s">
        <v>94</v>
      </c>
      <c r="E18" s="39" t="s">
        <v>95</v>
      </c>
      <c r="F18" s="39" t="s">
        <v>96</v>
      </c>
    </row>
    <row r="19" spans="1:6" ht="30">
      <c r="A19" s="39">
        <v>12</v>
      </c>
      <c r="B19" s="216">
        <v>45252</v>
      </c>
      <c r="C19" s="39" t="s">
        <v>93</v>
      </c>
      <c r="D19" s="39" t="s">
        <v>97</v>
      </c>
      <c r="E19" s="39" t="s">
        <v>95</v>
      </c>
      <c r="F19" s="39" t="s">
        <v>98</v>
      </c>
    </row>
    <row r="20" spans="1:6" ht="45">
      <c r="A20" s="39">
        <v>13</v>
      </c>
      <c r="B20" s="216">
        <v>45274</v>
      </c>
      <c r="C20" s="39" t="s">
        <v>99</v>
      </c>
      <c r="D20" s="39" t="s">
        <v>100</v>
      </c>
      <c r="E20" s="39" t="s">
        <v>101</v>
      </c>
      <c r="F20" s="39" t="s">
        <v>102</v>
      </c>
    </row>
    <row r="21" spans="1:6" ht="30">
      <c r="A21" s="39">
        <v>14</v>
      </c>
      <c r="B21" s="216" t="s">
        <v>103</v>
      </c>
      <c r="C21" s="39" t="s">
        <v>93</v>
      </c>
      <c r="D21" s="39" t="s">
        <v>79</v>
      </c>
      <c r="E21" s="39" t="s">
        <v>104</v>
      </c>
      <c r="F21" s="39" t="s">
        <v>105</v>
      </c>
    </row>
    <row r="22" spans="1:6" ht="30">
      <c r="A22" s="39">
        <v>15</v>
      </c>
      <c r="B22" s="216">
        <v>45280</v>
      </c>
      <c r="C22" s="39" t="s">
        <v>93</v>
      </c>
      <c r="D22" s="39" t="s">
        <v>79</v>
      </c>
      <c r="E22" s="39" t="s">
        <v>106</v>
      </c>
      <c r="F22" s="39"/>
    </row>
    <row r="23" spans="1:6" ht="180">
      <c r="A23" s="39">
        <v>16</v>
      </c>
      <c r="B23" s="216">
        <v>45350</v>
      </c>
      <c r="C23" s="39" t="s">
        <v>107</v>
      </c>
      <c r="D23" s="39" t="s">
        <v>108</v>
      </c>
      <c r="E23" s="39" t="s">
        <v>109</v>
      </c>
      <c r="F23" s="39" t="s">
        <v>110</v>
      </c>
    </row>
    <row r="24" spans="1:6" ht="30">
      <c r="A24" s="39">
        <v>17</v>
      </c>
      <c r="B24" s="216">
        <v>45350</v>
      </c>
      <c r="C24" s="39" t="s">
        <v>107</v>
      </c>
      <c r="D24" s="39" t="s">
        <v>111</v>
      </c>
      <c r="E24" s="39" t="s">
        <v>112</v>
      </c>
      <c r="F24" s="39" t="s">
        <v>113</v>
      </c>
    </row>
    <row r="25" spans="1:6" ht="30">
      <c r="A25" s="39">
        <v>18</v>
      </c>
      <c r="B25" s="216">
        <v>45351</v>
      </c>
      <c r="C25" s="39" t="s">
        <v>107</v>
      </c>
      <c r="D25" s="39" t="s">
        <v>83</v>
      </c>
      <c r="E25" s="39" t="s">
        <v>114</v>
      </c>
      <c r="F25" s="39" t="s">
        <v>115</v>
      </c>
    </row>
    <row r="26" spans="1:6" ht="30">
      <c r="A26" s="39">
        <v>19</v>
      </c>
      <c r="B26" s="216">
        <v>45366</v>
      </c>
      <c r="C26" s="39" t="s">
        <v>107</v>
      </c>
      <c r="D26" s="39" t="s">
        <v>72</v>
      </c>
      <c r="E26" s="39" t="s">
        <v>116</v>
      </c>
      <c r="F26" s="39" t="s">
        <v>117</v>
      </c>
    </row>
    <row r="27" spans="1:6" ht="30">
      <c r="A27" s="39">
        <v>20</v>
      </c>
      <c r="B27" s="216">
        <v>45370</v>
      </c>
      <c r="C27" s="39" t="s">
        <v>107</v>
      </c>
      <c r="D27" s="39" t="s">
        <v>111</v>
      </c>
      <c r="E27" s="39" t="s">
        <v>118</v>
      </c>
      <c r="F27" s="39" t="s">
        <v>119</v>
      </c>
    </row>
    <row r="28" spans="1:6" ht="45">
      <c r="A28" s="39">
        <v>21</v>
      </c>
      <c r="B28" s="217">
        <v>45393</v>
      </c>
      <c r="C28" s="39" t="s">
        <v>120</v>
      </c>
      <c r="D28" s="39" t="s">
        <v>74</v>
      </c>
      <c r="E28" s="39" t="s">
        <v>121</v>
      </c>
      <c r="F28" s="39" t="s">
        <v>122</v>
      </c>
    </row>
    <row r="29" spans="1:6" ht="104.1">
      <c r="A29" s="39">
        <v>22</v>
      </c>
      <c r="B29" s="216">
        <v>45434</v>
      </c>
      <c r="C29" s="39" t="s">
        <v>93</v>
      </c>
      <c r="D29" s="39" t="s">
        <v>123</v>
      </c>
      <c r="E29" s="39" t="s">
        <v>124</v>
      </c>
      <c r="F29" s="41" t="s">
        <v>125</v>
      </c>
    </row>
    <row r="30" spans="1:6" ht="117">
      <c r="A30" s="39">
        <v>23</v>
      </c>
      <c r="B30" s="216">
        <v>45434</v>
      </c>
      <c r="C30" s="39" t="s">
        <v>93</v>
      </c>
      <c r="D30" s="39" t="s">
        <v>126</v>
      </c>
      <c r="E30" s="39" t="s">
        <v>124</v>
      </c>
      <c r="F30" s="41" t="s">
        <v>127</v>
      </c>
    </row>
    <row r="31" spans="1:6" ht="117">
      <c r="A31" s="39">
        <v>24</v>
      </c>
      <c r="B31" s="216">
        <v>45434</v>
      </c>
      <c r="C31" s="39" t="s">
        <v>93</v>
      </c>
      <c r="D31" s="39" t="s">
        <v>128</v>
      </c>
      <c r="E31" s="39" t="s">
        <v>124</v>
      </c>
      <c r="F31" s="42" t="s">
        <v>129</v>
      </c>
    </row>
    <row r="32" spans="1:6" s="209" customFormat="1">
      <c r="A32" s="218">
        <v>26</v>
      </c>
      <c r="B32" s="219">
        <v>45441</v>
      </c>
      <c r="C32" s="210" t="s">
        <v>93</v>
      </c>
      <c r="D32" s="210" t="s">
        <v>130</v>
      </c>
      <c r="E32" s="210" t="s">
        <v>131</v>
      </c>
      <c r="F32" s="210" t="s">
        <v>132</v>
      </c>
    </row>
    <row r="33" spans="1:6" s="209" customFormat="1" ht="120">
      <c r="A33" s="220">
        <v>27</v>
      </c>
      <c r="B33" s="221" t="s">
        <v>133</v>
      </c>
      <c r="C33" s="211" t="s">
        <v>93</v>
      </c>
      <c r="D33" s="211" t="s">
        <v>72</v>
      </c>
      <c r="E33" s="211" t="s">
        <v>124</v>
      </c>
      <c r="F33" s="211" t="s">
        <v>134</v>
      </c>
    </row>
    <row r="34" spans="1:6" s="209" customFormat="1" ht="105">
      <c r="A34" s="218">
        <v>28</v>
      </c>
      <c r="B34" s="222">
        <v>45447</v>
      </c>
      <c r="C34" s="210" t="s">
        <v>93</v>
      </c>
      <c r="D34" s="210" t="s">
        <v>135</v>
      </c>
      <c r="E34" s="210" t="s">
        <v>124</v>
      </c>
      <c r="F34" s="210" t="s">
        <v>136</v>
      </c>
    </row>
    <row r="35" spans="1:6" s="209" customFormat="1" ht="105">
      <c r="A35" s="220">
        <v>29</v>
      </c>
      <c r="B35" s="221">
        <v>45454</v>
      </c>
      <c r="C35" s="211" t="s">
        <v>93</v>
      </c>
      <c r="D35" s="211" t="s">
        <v>130</v>
      </c>
      <c r="E35" s="211" t="s">
        <v>124</v>
      </c>
      <c r="F35" s="211" t="s">
        <v>137</v>
      </c>
    </row>
    <row r="36" spans="1:6" s="209" customFormat="1">
      <c r="A36" s="218">
        <v>30</v>
      </c>
      <c r="B36" s="219">
        <v>45483</v>
      </c>
      <c r="C36" s="210" t="s">
        <v>93</v>
      </c>
      <c r="D36" s="210" t="s">
        <v>138</v>
      </c>
      <c r="E36" s="210" t="s">
        <v>139</v>
      </c>
      <c r="F36" s="210" t="s">
        <v>140</v>
      </c>
    </row>
    <row r="37" spans="1:6" s="209" customFormat="1">
      <c r="A37" s="223">
        <v>31</v>
      </c>
      <c r="B37" s="224">
        <v>45483</v>
      </c>
      <c r="C37" s="212" t="s">
        <v>93</v>
      </c>
      <c r="D37" s="212" t="s">
        <v>141</v>
      </c>
      <c r="E37" s="212" t="s">
        <v>139</v>
      </c>
      <c r="F37" s="212" t="s">
        <v>142</v>
      </c>
    </row>
    <row r="38" spans="1:6" s="209" customFormat="1" ht="60">
      <c r="A38" s="213">
        <v>32</v>
      </c>
      <c r="B38" s="225">
        <v>45570</v>
      </c>
      <c r="C38" s="213" t="s">
        <v>107</v>
      </c>
      <c r="D38" s="213" t="s">
        <v>143</v>
      </c>
      <c r="E38" s="213" t="s">
        <v>124</v>
      </c>
      <c r="F38" s="213" t="s">
        <v>144</v>
      </c>
    </row>
    <row r="39" spans="1:6" s="209" customFormat="1">
      <c r="A39" s="213">
        <v>33</v>
      </c>
      <c r="B39" s="225">
        <v>45580</v>
      </c>
      <c r="C39" s="213" t="s">
        <v>107</v>
      </c>
      <c r="D39" s="213" t="s">
        <v>143</v>
      </c>
      <c r="E39" s="213" t="s">
        <v>145</v>
      </c>
      <c r="F39" s="213" t="s">
        <v>146</v>
      </c>
    </row>
    <row r="40" spans="1:6" s="209" customFormat="1" ht="30">
      <c r="A40" s="213">
        <v>34</v>
      </c>
      <c r="B40" s="225">
        <v>45582</v>
      </c>
      <c r="C40" s="213" t="s">
        <v>107</v>
      </c>
      <c r="D40" s="213" t="s">
        <v>147</v>
      </c>
      <c r="E40" s="213" t="s">
        <v>148</v>
      </c>
      <c r="F40" s="213" t="s">
        <v>149</v>
      </c>
    </row>
    <row r="41" spans="1:6" s="209" customFormat="1" ht="45">
      <c r="A41" s="213">
        <v>35</v>
      </c>
      <c r="B41" s="225">
        <v>45597</v>
      </c>
      <c r="C41" s="213" t="s">
        <v>150</v>
      </c>
      <c r="D41" s="213" t="s">
        <v>151</v>
      </c>
      <c r="E41" s="213" t="s">
        <v>152</v>
      </c>
      <c r="F41" s="213" t="s">
        <v>153</v>
      </c>
    </row>
    <row r="42" spans="1:6" s="209" customFormat="1">
      <c r="A42" s="213">
        <v>36</v>
      </c>
      <c r="B42" s="225">
        <v>45603</v>
      </c>
      <c r="C42" s="213" t="s">
        <v>120</v>
      </c>
      <c r="D42" s="213" t="s">
        <v>91</v>
      </c>
      <c r="E42" s="213" t="s">
        <v>154</v>
      </c>
      <c r="F42" s="213" t="s">
        <v>155</v>
      </c>
    </row>
    <row r="43" spans="1:6" s="209" customFormat="1">
      <c r="A43" s="214">
        <v>37</v>
      </c>
      <c r="B43" s="226">
        <v>45604</v>
      </c>
      <c r="C43" s="214" t="s">
        <v>150</v>
      </c>
      <c r="D43" s="214" t="s">
        <v>151</v>
      </c>
      <c r="E43" s="214" t="s">
        <v>154</v>
      </c>
      <c r="F43" s="214" t="s">
        <v>156</v>
      </c>
    </row>
    <row r="44" spans="1:6" s="209" customFormat="1" ht="30">
      <c r="A44" s="215">
        <v>38</v>
      </c>
      <c r="B44" s="227">
        <v>45635</v>
      </c>
      <c r="C44" s="215" t="s">
        <v>120</v>
      </c>
      <c r="D44" s="215" t="s">
        <v>74</v>
      </c>
      <c r="E44" s="215" t="s">
        <v>154</v>
      </c>
      <c r="F44" s="215" t="s">
        <v>157</v>
      </c>
    </row>
    <row r="45" spans="1:6" s="209" customFormat="1" ht="30">
      <c r="A45" s="215">
        <v>39</v>
      </c>
      <c r="B45" s="227">
        <v>45636</v>
      </c>
      <c r="C45" s="215" t="s">
        <v>107</v>
      </c>
      <c r="D45" s="215" t="s">
        <v>143</v>
      </c>
      <c r="E45" s="215" t="s">
        <v>158</v>
      </c>
      <c r="F45" s="215" t="s">
        <v>159</v>
      </c>
    </row>
    <row r="46" spans="1:6" s="209" customFormat="1">
      <c r="A46" s="215">
        <v>40</v>
      </c>
      <c r="B46" s="227">
        <v>45664</v>
      </c>
      <c r="C46" s="229" t="s">
        <v>107</v>
      </c>
      <c r="D46" s="229" t="s">
        <v>138</v>
      </c>
      <c r="E46" s="229" t="s">
        <v>160</v>
      </c>
      <c r="F46" s="229" t="s">
        <v>161</v>
      </c>
    </row>
    <row r="47" spans="1:6" s="209" customFormat="1" ht="30">
      <c r="A47" s="215">
        <v>41</v>
      </c>
      <c r="B47" s="227">
        <v>45664</v>
      </c>
      <c r="C47" s="229" t="s">
        <v>107</v>
      </c>
      <c r="D47" s="229" t="s">
        <v>89</v>
      </c>
      <c r="E47" s="229" t="s">
        <v>162</v>
      </c>
      <c r="F47" s="229" t="s">
        <v>163</v>
      </c>
    </row>
    <row r="48" spans="1:6" s="209" customFormat="1" ht="45">
      <c r="A48" s="215">
        <v>42</v>
      </c>
      <c r="B48" s="227">
        <v>45664</v>
      </c>
      <c r="C48" s="229" t="s">
        <v>107</v>
      </c>
      <c r="D48" s="229" t="s">
        <v>164</v>
      </c>
      <c r="E48" s="229" t="s">
        <v>165</v>
      </c>
      <c r="F48" s="229" t="s">
        <v>166</v>
      </c>
    </row>
    <row r="49" spans="1:6" ht="30">
      <c r="A49" s="215">
        <v>43</v>
      </c>
      <c r="B49" s="227">
        <v>45665</v>
      </c>
      <c r="C49" s="215" t="s">
        <v>107</v>
      </c>
      <c r="D49" s="215" t="s">
        <v>138</v>
      </c>
      <c r="E49" s="215" t="s">
        <v>154</v>
      </c>
      <c r="F49" s="215" t="s">
        <v>167</v>
      </c>
    </row>
    <row r="50" spans="1:6">
      <c r="A50" s="215">
        <v>44</v>
      </c>
      <c r="B50" s="227">
        <v>45666</v>
      </c>
      <c r="C50" s="229" t="s">
        <v>107</v>
      </c>
      <c r="D50" s="229" t="s">
        <v>168</v>
      </c>
      <c r="E50" s="229" t="s">
        <v>169</v>
      </c>
      <c r="F50" s="229" t="s">
        <v>170</v>
      </c>
    </row>
    <row r="51" spans="1:6" ht="30">
      <c r="A51" s="215">
        <v>45</v>
      </c>
      <c r="B51" s="227">
        <v>45672</v>
      </c>
      <c r="C51" s="229" t="s">
        <v>107</v>
      </c>
      <c r="D51" s="229" t="s">
        <v>171</v>
      </c>
      <c r="E51" s="229" t="s">
        <v>57</v>
      </c>
      <c r="F51" s="229" t="s">
        <v>172</v>
      </c>
    </row>
    <row r="52" spans="1:6" ht="45">
      <c r="A52" s="215">
        <v>46</v>
      </c>
      <c r="B52" s="227">
        <v>45719</v>
      </c>
      <c r="C52" s="215" t="s">
        <v>173</v>
      </c>
      <c r="D52" s="215" t="s">
        <v>74</v>
      </c>
      <c r="E52" s="215" t="s">
        <v>165</v>
      </c>
      <c r="F52" s="215" t="s">
        <v>174</v>
      </c>
    </row>
    <row r="53" spans="1:6" ht="26.25" customHeight="1">
      <c r="A53" s="215">
        <v>47</v>
      </c>
      <c r="B53" s="227">
        <v>45737</v>
      </c>
      <c r="C53" s="215" t="s">
        <v>175</v>
      </c>
      <c r="D53" s="215" t="s">
        <v>176</v>
      </c>
      <c r="E53" s="215" t="s">
        <v>177</v>
      </c>
      <c r="F53" s="215" t="s">
        <v>178</v>
      </c>
    </row>
    <row r="54" spans="1:6" ht="13.5" customHeight="1">
      <c r="A54" s="215">
        <v>48</v>
      </c>
      <c r="B54" s="227">
        <v>45749</v>
      </c>
      <c r="C54" s="215" t="s">
        <v>179</v>
      </c>
      <c r="D54" s="215" t="s">
        <v>180</v>
      </c>
      <c r="E54" s="215" t="s">
        <v>181</v>
      </c>
      <c r="F54" s="215" t="s">
        <v>182</v>
      </c>
    </row>
    <row r="55" spans="1:6" ht="13.5" customHeight="1">
      <c r="A55" s="215">
        <v>49</v>
      </c>
      <c r="B55" s="227">
        <v>45761</v>
      </c>
      <c r="C55" s="215" t="s">
        <v>183</v>
      </c>
      <c r="D55" s="215" t="s">
        <v>168</v>
      </c>
      <c r="E55" s="215" t="s">
        <v>184</v>
      </c>
      <c r="F55" s="215" t="s">
        <v>185</v>
      </c>
    </row>
    <row r="56" spans="1:6" ht="13.5" customHeight="1">
      <c r="A56" s="215">
        <v>50</v>
      </c>
      <c r="B56" s="227">
        <v>45769</v>
      </c>
      <c r="C56" s="215" t="s">
        <v>179</v>
      </c>
      <c r="D56" s="215" t="s">
        <v>186</v>
      </c>
      <c r="E56" s="215" t="s">
        <v>184</v>
      </c>
      <c r="F56" s="215" t="s">
        <v>187</v>
      </c>
    </row>
    <row r="57" spans="1:6" ht="13.5" customHeight="1">
      <c r="A57" s="215">
        <v>51</v>
      </c>
      <c r="B57" s="227">
        <v>45769</v>
      </c>
      <c r="C57" s="215" t="s">
        <v>179</v>
      </c>
      <c r="D57" s="215" t="s">
        <v>188</v>
      </c>
      <c r="E57" s="215" t="s">
        <v>184</v>
      </c>
      <c r="F57" s="215" t="s">
        <v>189</v>
      </c>
    </row>
    <row r="58" spans="1:6" ht="13.5" customHeight="1">
      <c r="A58" s="215">
        <v>52</v>
      </c>
      <c r="B58" s="227">
        <v>45769</v>
      </c>
      <c r="C58" s="215" t="s">
        <v>179</v>
      </c>
      <c r="D58" s="215" t="s">
        <v>190</v>
      </c>
      <c r="E58" s="215" t="s">
        <v>165</v>
      </c>
      <c r="F58" s="215" t="s">
        <v>191</v>
      </c>
    </row>
    <row r="59" spans="1:6" ht="13.5" customHeight="1">
      <c r="A59" s="215">
        <v>53</v>
      </c>
      <c r="B59" s="227">
        <v>45771</v>
      </c>
      <c r="C59" s="215" t="s">
        <v>179</v>
      </c>
      <c r="D59" s="215" t="s">
        <v>89</v>
      </c>
      <c r="E59" s="215" t="s">
        <v>184</v>
      </c>
      <c r="F59" s="215" t="s">
        <v>189</v>
      </c>
    </row>
    <row r="60" spans="1:6" ht="13.5" customHeight="1">
      <c r="A60" s="215">
        <v>54</v>
      </c>
      <c r="B60" s="227">
        <v>45775</v>
      </c>
      <c r="C60" s="215" t="s">
        <v>179</v>
      </c>
      <c r="D60" s="215" t="s">
        <v>192</v>
      </c>
      <c r="E60" s="215" t="s">
        <v>184</v>
      </c>
      <c r="F60" s="215" t="s">
        <v>189</v>
      </c>
    </row>
    <row r="61" spans="1:6" ht="13.5" customHeight="1">
      <c r="A61" s="215">
        <v>55</v>
      </c>
      <c r="B61" s="227">
        <v>45775</v>
      </c>
      <c r="C61" s="215" t="s">
        <v>179</v>
      </c>
      <c r="D61" s="215" t="s">
        <v>193</v>
      </c>
      <c r="E61" s="215" t="s">
        <v>184</v>
      </c>
      <c r="F61" s="215" t="s">
        <v>189</v>
      </c>
    </row>
    <row r="62" spans="1:6" ht="13.5" customHeight="1">
      <c r="A62" s="215">
        <v>56</v>
      </c>
      <c r="B62" s="227">
        <v>45775</v>
      </c>
      <c r="C62" s="215" t="s">
        <v>179</v>
      </c>
      <c r="D62" s="215" t="s">
        <v>194</v>
      </c>
      <c r="E62" s="215" t="s">
        <v>184</v>
      </c>
      <c r="F62" s="215" t="s">
        <v>195</v>
      </c>
    </row>
    <row r="63" spans="1:6" ht="29.25" customHeight="1">
      <c r="A63" s="215">
        <v>57</v>
      </c>
      <c r="B63" s="227">
        <v>45775</v>
      </c>
      <c r="C63" s="215" t="s">
        <v>179</v>
      </c>
      <c r="D63" s="215" t="s">
        <v>180</v>
      </c>
      <c r="E63" s="215" t="s">
        <v>196</v>
      </c>
      <c r="F63" s="215" t="s">
        <v>197</v>
      </c>
    </row>
    <row r="64" spans="1:6" ht="25.5" customHeight="1">
      <c r="A64" s="215">
        <v>58</v>
      </c>
      <c r="B64" s="227">
        <v>45776</v>
      </c>
      <c r="C64" s="215" t="s">
        <v>179</v>
      </c>
      <c r="D64" s="215" t="s">
        <v>143</v>
      </c>
      <c r="E64" s="215" t="s">
        <v>198</v>
      </c>
      <c r="F64" s="215" t="s">
        <v>199</v>
      </c>
    </row>
    <row r="65" spans="1:6" ht="31.5" customHeight="1">
      <c r="A65" s="215">
        <v>59</v>
      </c>
      <c r="B65" s="227">
        <v>45777</v>
      </c>
      <c r="C65" s="215" t="s">
        <v>179</v>
      </c>
      <c r="D65" s="215" t="s">
        <v>200</v>
      </c>
      <c r="E65" s="215" t="s">
        <v>201</v>
      </c>
      <c r="F65" s="215" t="s">
        <v>202</v>
      </c>
    </row>
    <row r="66" spans="1:6" ht="45">
      <c r="A66" s="215">
        <v>60</v>
      </c>
      <c r="B66" s="227">
        <v>45783</v>
      </c>
      <c r="C66" s="215" t="s">
        <v>173</v>
      </c>
      <c r="D66" s="229" t="s">
        <v>203</v>
      </c>
      <c r="E66" s="215" t="s">
        <v>204</v>
      </c>
      <c r="F66" s="215" t="s">
        <v>205</v>
      </c>
    </row>
    <row r="67" spans="1:6" ht="13.5" customHeight="1">
      <c r="A67" s="215">
        <v>61</v>
      </c>
      <c r="B67" s="227">
        <v>45793</v>
      </c>
      <c r="C67" s="229" t="s">
        <v>173</v>
      </c>
      <c r="D67" s="229" t="s">
        <v>100</v>
      </c>
      <c r="E67" s="229" t="s">
        <v>60</v>
      </c>
      <c r="F67" s="229" t="s">
        <v>206</v>
      </c>
    </row>
    <row r="68" spans="1:6" ht="13.5" customHeight="1">
      <c r="A68" s="215">
        <v>62</v>
      </c>
      <c r="B68" s="227">
        <v>45793</v>
      </c>
      <c r="C68" s="229" t="s">
        <v>173</v>
      </c>
      <c r="D68" s="229" t="s">
        <v>74</v>
      </c>
      <c r="E68" s="229" t="s">
        <v>207</v>
      </c>
      <c r="F68" s="229" t="s">
        <v>208</v>
      </c>
    </row>
    <row r="69" spans="1:6" ht="13.5" customHeight="1">
      <c r="A69" s="215">
        <v>63</v>
      </c>
      <c r="B69" s="227">
        <v>45812</v>
      </c>
      <c r="C69" s="229" t="s">
        <v>209</v>
      </c>
      <c r="D69" s="229" t="s">
        <v>210</v>
      </c>
      <c r="E69" s="229" t="s">
        <v>211</v>
      </c>
      <c r="F69" s="229" t="s">
        <v>212</v>
      </c>
    </row>
    <row r="70" spans="1:6" ht="13.5" customHeight="1">
      <c r="A70" s="215">
        <v>64</v>
      </c>
      <c r="B70" s="227">
        <v>45819</v>
      </c>
      <c r="C70" s="215" t="s">
        <v>179</v>
      </c>
      <c r="D70" s="215" t="s">
        <v>190</v>
      </c>
      <c r="E70" s="215" t="s">
        <v>213</v>
      </c>
      <c r="F70" s="215" t="s">
        <v>214</v>
      </c>
    </row>
    <row r="71" spans="1:6" ht="13.5" customHeight="1">
      <c r="A71" s="215">
        <v>65</v>
      </c>
      <c r="B71" s="227">
        <v>45819</v>
      </c>
      <c r="C71" s="215" t="s">
        <v>179</v>
      </c>
      <c r="D71" s="215" t="s">
        <v>215</v>
      </c>
      <c r="E71" s="215" t="s">
        <v>216</v>
      </c>
      <c r="F71" s="215" t="s">
        <v>217</v>
      </c>
    </row>
    <row r="72" spans="1:6" ht="13.5" customHeight="1">
      <c r="A72" s="215">
        <v>66</v>
      </c>
      <c r="B72" s="227">
        <v>45820</v>
      </c>
      <c r="C72" s="215" t="s">
        <v>173</v>
      </c>
      <c r="D72" s="215" t="s">
        <v>111</v>
      </c>
      <c r="E72" s="215" t="s">
        <v>60</v>
      </c>
      <c r="F72" s="215" t="s">
        <v>218</v>
      </c>
    </row>
    <row r="73" spans="1:6" ht="13.5" customHeight="1">
      <c r="A73" s="215">
        <v>67</v>
      </c>
      <c r="B73" s="227">
        <v>45820</v>
      </c>
      <c r="C73" s="215" t="s">
        <v>179</v>
      </c>
      <c r="D73" s="215" t="s">
        <v>176</v>
      </c>
      <c r="E73" s="215" t="s">
        <v>219</v>
      </c>
      <c r="F73" s="215" t="s">
        <v>220</v>
      </c>
    </row>
    <row r="74" spans="1:6" ht="13.5" customHeight="1">
      <c r="A74" s="215">
        <v>68</v>
      </c>
      <c r="B74" s="227">
        <v>45820</v>
      </c>
      <c r="C74" s="215" t="s">
        <v>221</v>
      </c>
      <c r="D74" s="215" t="s">
        <v>222</v>
      </c>
      <c r="E74" s="215" t="s">
        <v>223</v>
      </c>
      <c r="F74" s="215" t="s">
        <v>224</v>
      </c>
    </row>
    <row r="75" spans="1:6" s="298" customFormat="1" ht="47.45" customHeight="1">
      <c r="A75" s="215">
        <v>69</v>
      </c>
      <c r="B75" s="227">
        <v>45825</v>
      </c>
      <c r="C75" s="215" t="s">
        <v>175</v>
      </c>
      <c r="D75" s="215" t="s">
        <v>130</v>
      </c>
      <c r="E75" s="215" t="s">
        <v>225</v>
      </c>
      <c r="F75" s="215" t="s">
        <v>226</v>
      </c>
    </row>
    <row r="76" spans="1:6" ht="13.5" customHeight="1">
      <c r="A76" s="215">
        <v>70</v>
      </c>
      <c r="B76" s="227">
        <v>45833</v>
      </c>
      <c r="C76" s="215" t="s">
        <v>221</v>
      </c>
      <c r="D76" s="215" t="s">
        <v>168</v>
      </c>
      <c r="E76" s="215" t="s">
        <v>227</v>
      </c>
      <c r="F76" s="215" t="s">
        <v>228</v>
      </c>
    </row>
    <row r="77" spans="1:6" ht="13.5" customHeight="1">
      <c r="A77" s="215">
        <v>71</v>
      </c>
      <c r="B77" s="227">
        <v>45833</v>
      </c>
      <c r="C77" s="215" t="s">
        <v>221</v>
      </c>
      <c r="D77" s="215" t="s">
        <v>229</v>
      </c>
      <c r="E77" s="215" t="s">
        <v>230</v>
      </c>
      <c r="F77" s="215" t="s">
        <v>231</v>
      </c>
    </row>
    <row r="78" spans="1:6" ht="30" customHeight="1">
      <c r="A78" s="215">
        <v>72</v>
      </c>
      <c r="B78" s="227">
        <v>45833</v>
      </c>
      <c r="C78" s="215" t="s">
        <v>221</v>
      </c>
      <c r="D78" s="215" t="s">
        <v>232</v>
      </c>
      <c r="E78" s="215" t="s">
        <v>233</v>
      </c>
      <c r="F78" s="215" t="s">
        <v>234</v>
      </c>
    </row>
    <row r="79" spans="1:6" ht="13.5" customHeight="1">
      <c r="A79" s="215">
        <v>73</v>
      </c>
      <c r="B79" s="227">
        <v>45839</v>
      </c>
      <c r="C79" s="215" t="s">
        <v>179</v>
      </c>
      <c r="D79" s="215" t="s">
        <v>190</v>
      </c>
      <c r="E79" s="215" t="s">
        <v>235</v>
      </c>
      <c r="F79" s="215" t="s">
        <v>236</v>
      </c>
    </row>
    <row r="80" spans="1:6" ht="13.5" customHeight="1">
      <c r="A80" s="215">
        <v>74</v>
      </c>
      <c r="B80" s="227">
        <v>45847</v>
      </c>
      <c r="C80" s="215" t="s">
        <v>179</v>
      </c>
      <c r="D80" s="215" t="s">
        <v>180</v>
      </c>
      <c r="E80" s="215" t="s">
        <v>235</v>
      </c>
      <c r="F80" s="215" t="s">
        <v>237</v>
      </c>
    </row>
    <row r="81" spans="1:6" ht="13.5" customHeight="1">
      <c r="A81" s="215">
        <v>75</v>
      </c>
      <c r="B81" s="227">
        <v>45856</v>
      </c>
      <c r="C81" s="215" t="s">
        <v>221</v>
      </c>
      <c r="D81" s="215" t="s">
        <v>238</v>
      </c>
      <c r="E81" s="215" t="s">
        <v>239</v>
      </c>
      <c r="F81" s="215" t="s">
        <v>239</v>
      </c>
    </row>
    <row r="82" spans="1:6" ht="13.5" customHeight="1">
      <c r="A82" s="215">
        <v>76</v>
      </c>
      <c r="B82" s="227">
        <v>45858</v>
      </c>
      <c r="C82" s="215" t="s">
        <v>179</v>
      </c>
      <c r="D82" s="215" t="s">
        <v>94</v>
      </c>
      <c r="E82" s="215" t="s">
        <v>240</v>
      </c>
      <c r="F82" s="215" t="s">
        <v>241</v>
      </c>
    </row>
    <row r="83" spans="1:6" ht="13.5" customHeight="1"/>
    <row r="84" spans="1:6" ht="13.5" customHeight="1"/>
    <row r="85" spans="1:6" ht="13.5" customHeight="1"/>
    <row r="86" spans="1:6" ht="13.5" customHeight="1"/>
    <row r="87" spans="1:6" ht="13.5" customHeight="1"/>
    <row r="88" spans="1:6" ht="13.5" customHeight="1"/>
    <row r="89" spans="1:6" ht="13.5" customHeight="1"/>
    <row r="90" spans="1:6" ht="13.5" customHeight="1"/>
    <row r="91" spans="1:6" ht="13.5" customHeight="1"/>
    <row r="92" spans="1:6" ht="13.5" customHeight="1"/>
    <row r="93" spans="1:6" ht="13.5" customHeight="1"/>
    <row r="94" spans="1:6" ht="13.5" customHeight="1"/>
    <row r="95" spans="1:6" ht="13.5" customHeight="1"/>
    <row r="96" spans="1: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row r="1001" ht="13.5" customHeight="1"/>
    <row r="1002" ht="13.5" customHeight="1"/>
    <row r="1003" ht="13.5" customHeight="1"/>
    <row r="1004" ht="13.5" customHeight="1"/>
    <row r="1005" ht="13.5" customHeight="1"/>
    <row r="1006" ht="13.5" customHeight="1"/>
    <row r="1007" ht="13.5" customHeight="1"/>
    <row r="1008" ht="13.5" customHeight="1"/>
    <row r="1009" ht="13.5" customHeight="1"/>
    <row r="1010" ht="13.5" customHeight="1"/>
    <row r="1011" ht="13.5" customHeight="1"/>
    <row r="1012" ht="13.5" customHeight="1"/>
  </sheetData>
  <mergeCells count="1">
    <mergeCell ref="B1:F3"/>
  </mergeCells>
  <pageMargins left="0.7" right="0.7" top="0.75" bottom="0.75" header="0" footer="0"/>
  <pageSetup paperSize="9" orientation="portrait"/>
  <tableParts count="1">
    <tablePart r:id="rId1"/>
  </tablePar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D947A6-267D-0D4B-8CF7-CC7FA9468F15}">
  <dimension ref="A1:BG1003"/>
  <sheetViews>
    <sheetView topLeftCell="Y23" zoomScaleNormal="100" workbookViewId="0">
      <selection activeCell="AF30" sqref="AF30"/>
    </sheetView>
  </sheetViews>
  <sheetFormatPr defaultColWidth="12.625" defaultRowHeight="15" customHeight="1"/>
  <cols>
    <col min="1" max="1" width="36.625" customWidth="1"/>
    <col min="2" max="2" width="28.125" customWidth="1"/>
    <col min="3" max="3" width="21" customWidth="1"/>
    <col min="4" max="4" width="17.5" customWidth="1"/>
    <col min="5" max="5" width="16.125" customWidth="1"/>
    <col min="6" max="6" width="21.5" customWidth="1"/>
    <col min="7" max="7" width="22.625" customWidth="1"/>
    <col min="8" max="8" width="18.625" customWidth="1"/>
    <col min="9" max="9" width="19.625" customWidth="1"/>
    <col min="10" max="10" width="18.875" customWidth="1"/>
    <col min="11" max="11" width="21.625" customWidth="1"/>
    <col min="12" max="12" width="17.375" customWidth="1"/>
    <col min="13" max="13" width="15.125" customWidth="1"/>
    <col min="14" max="14" width="15.625" customWidth="1"/>
    <col min="15" max="15" width="28.5" customWidth="1"/>
    <col min="16" max="16" width="13.125" customWidth="1"/>
    <col min="17" max="17" width="21.875" customWidth="1"/>
    <col min="18" max="18" width="27" customWidth="1"/>
    <col min="19" max="19" width="20.5" customWidth="1"/>
    <col min="20" max="22" width="7.625" customWidth="1"/>
    <col min="23" max="23" width="31.875" customWidth="1"/>
    <col min="24" max="24" width="7.625" customWidth="1"/>
    <col min="25" max="25" width="8.375" customWidth="1"/>
    <col min="26" max="26" width="21.625" customWidth="1"/>
    <col min="27" max="27" width="12" customWidth="1"/>
    <col min="28" max="28" width="16.5" customWidth="1"/>
    <col min="29" max="29" width="6" customWidth="1"/>
    <col min="30" max="30" width="13.625" customWidth="1"/>
  </cols>
  <sheetData>
    <row r="1" spans="1:59" ht="171" customHeight="1">
      <c r="A1" s="703"/>
      <c r="B1" s="704"/>
      <c r="C1" s="705"/>
      <c r="D1" s="16"/>
      <c r="E1" s="572" t="s">
        <v>1079</v>
      </c>
      <c r="F1" s="704"/>
      <c r="G1" s="704"/>
      <c r="H1" s="705"/>
      <c r="I1" s="16"/>
      <c r="J1" s="16"/>
      <c r="K1" s="16"/>
      <c r="L1" s="16"/>
      <c r="M1" s="16"/>
      <c r="N1" s="16"/>
      <c r="O1" s="16"/>
      <c r="P1" s="16"/>
      <c r="Q1" s="16"/>
      <c r="R1" s="16"/>
      <c r="S1" s="16"/>
      <c r="T1" s="16"/>
      <c r="U1" s="16"/>
      <c r="V1" s="16"/>
      <c r="W1" s="16"/>
      <c r="X1" s="16"/>
      <c r="Y1" s="16"/>
      <c r="Z1" s="16"/>
      <c r="AA1" s="16"/>
      <c r="AB1" s="16"/>
      <c r="AC1" s="16"/>
      <c r="AD1" s="16"/>
    </row>
    <row r="2" spans="1:59">
      <c r="A2" s="58" t="s">
        <v>404</v>
      </c>
      <c r="B2" s="152" t="s">
        <v>405</v>
      </c>
      <c r="C2" s="59"/>
      <c r="D2" s="16"/>
      <c r="E2" s="60" t="s">
        <v>406</v>
      </c>
      <c r="F2" s="153" t="s">
        <v>1080</v>
      </c>
      <c r="G2" s="154"/>
      <c r="H2" s="61"/>
      <c r="I2" s="16"/>
      <c r="J2" s="16"/>
      <c r="K2" s="16"/>
      <c r="L2" s="16"/>
      <c r="M2" s="16"/>
      <c r="N2" s="16"/>
      <c r="O2" s="16"/>
      <c r="P2" s="16"/>
      <c r="Q2" s="16"/>
      <c r="R2" s="16"/>
      <c r="S2" s="16"/>
      <c r="T2" s="16"/>
      <c r="U2" s="16"/>
      <c r="V2" s="16"/>
      <c r="W2" s="16"/>
      <c r="X2" s="16"/>
      <c r="Y2" s="16"/>
      <c r="Z2" s="15"/>
      <c r="AA2" s="15"/>
      <c r="AB2" s="15"/>
      <c r="AC2" s="15"/>
      <c r="AD2" s="16"/>
      <c r="AE2" s="16"/>
      <c r="AF2" s="16"/>
      <c r="AG2" s="16"/>
      <c r="AH2" s="16"/>
      <c r="AI2" s="17"/>
      <c r="AJ2" s="17"/>
      <c r="AK2" s="17"/>
      <c r="AL2" s="17"/>
      <c r="AM2" s="17"/>
      <c r="AN2" s="17"/>
      <c r="AO2" s="17"/>
      <c r="AP2" s="17"/>
      <c r="AQ2" s="17"/>
      <c r="AR2" s="18"/>
      <c r="AS2" s="17"/>
      <c r="AT2" s="17"/>
      <c r="AU2" s="16"/>
      <c r="AV2" s="16"/>
      <c r="AW2" s="16"/>
      <c r="AX2" s="16"/>
      <c r="AY2" s="16"/>
      <c r="AZ2" s="16"/>
      <c r="BA2" s="16"/>
    </row>
    <row r="3" spans="1:59">
      <c r="A3" s="62" t="s">
        <v>408</v>
      </c>
      <c r="B3" s="155">
        <v>4</v>
      </c>
      <c r="C3" s="156"/>
      <c r="D3" s="16"/>
      <c r="E3" s="63" t="s">
        <v>409</v>
      </c>
      <c r="F3" s="189">
        <v>45785</v>
      </c>
      <c r="G3" s="158"/>
      <c r="H3" s="159"/>
      <c r="I3" s="16"/>
      <c r="J3" s="16"/>
      <c r="K3" s="16"/>
      <c r="L3" s="16"/>
      <c r="M3" s="16"/>
      <c r="N3" s="16"/>
      <c r="O3" s="16"/>
      <c r="P3" s="16"/>
      <c r="Q3" s="16"/>
      <c r="R3" s="16"/>
      <c r="S3" s="16"/>
      <c r="T3" s="16"/>
      <c r="U3" s="16"/>
      <c r="V3" s="16"/>
      <c r="W3" s="16"/>
      <c r="X3" s="16"/>
      <c r="Y3" s="16"/>
      <c r="Z3" s="16"/>
      <c r="AA3" s="16"/>
      <c r="AB3" s="16"/>
      <c r="AC3" s="16"/>
      <c r="AD3" s="16"/>
    </row>
    <row r="4" spans="1:59">
      <c r="A4" s="160" t="s">
        <v>410</v>
      </c>
      <c r="B4" s="161">
        <v>45812</v>
      </c>
      <c r="C4" s="162"/>
      <c r="D4" s="16"/>
      <c r="E4" s="163"/>
      <c r="F4" s="164"/>
      <c r="G4" s="165"/>
      <c r="H4" s="166"/>
      <c r="I4" s="16"/>
      <c r="J4" s="16"/>
      <c r="K4" s="16"/>
      <c r="L4" s="16"/>
      <c r="M4" s="16"/>
      <c r="N4" s="16"/>
      <c r="O4" s="16"/>
      <c r="P4" s="16"/>
      <c r="Q4" s="16"/>
      <c r="R4" s="16"/>
      <c r="S4" s="16"/>
      <c r="T4" s="16"/>
      <c r="U4" s="16"/>
      <c r="V4" s="16"/>
      <c r="W4" s="16"/>
      <c r="X4" s="16"/>
      <c r="Y4" s="16"/>
      <c r="Z4" s="16"/>
      <c r="AA4" s="16"/>
      <c r="AB4" s="16"/>
      <c r="AC4" s="16"/>
      <c r="AD4" s="16"/>
    </row>
    <row r="5" spans="1:59">
      <c r="A5" s="167" t="s">
        <v>411</v>
      </c>
      <c r="B5" s="168"/>
      <c r="C5" s="167"/>
      <c r="D5" s="16"/>
      <c r="E5" s="169" t="s">
        <v>412</v>
      </c>
      <c r="F5" s="169"/>
      <c r="G5" s="158"/>
      <c r="H5" s="169"/>
      <c r="I5" s="16"/>
      <c r="J5" s="16"/>
      <c r="K5" s="16"/>
      <c r="L5" s="16"/>
      <c r="M5" s="16"/>
      <c r="N5" s="16"/>
      <c r="O5" s="16"/>
      <c r="P5" s="16"/>
      <c r="Q5" s="16"/>
      <c r="R5" s="16"/>
      <c r="S5" s="16"/>
      <c r="T5" s="16"/>
      <c r="U5" s="16"/>
      <c r="V5" s="16"/>
      <c r="W5" s="16"/>
      <c r="X5" s="16"/>
      <c r="Y5" s="16"/>
      <c r="Z5" s="16"/>
      <c r="AA5" s="16"/>
      <c r="AB5" s="16"/>
      <c r="AC5" s="16"/>
      <c r="AD5" s="16"/>
    </row>
    <row r="6" spans="1:59">
      <c r="A6" s="15"/>
      <c r="B6" s="64"/>
      <c r="C6" s="16"/>
      <c r="D6" s="16"/>
      <c r="E6" s="16"/>
      <c r="F6" s="16"/>
      <c r="G6" s="16"/>
      <c r="H6" s="16"/>
      <c r="I6" s="16"/>
      <c r="J6" s="64"/>
      <c r="K6" s="16"/>
      <c r="L6" s="16"/>
      <c r="M6" s="16"/>
      <c r="N6" s="16"/>
      <c r="O6" s="16"/>
      <c r="P6" s="16"/>
      <c r="Q6" s="16"/>
      <c r="R6" s="16"/>
      <c r="S6" s="16"/>
      <c r="T6" s="16"/>
      <c r="U6" s="16"/>
      <c r="V6" s="16"/>
      <c r="W6" s="16"/>
      <c r="X6" s="16"/>
      <c r="Y6" s="16"/>
      <c r="Z6" s="16"/>
      <c r="AA6" s="16"/>
      <c r="AB6" s="16"/>
      <c r="AC6" s="16"/>
      <c r="AD6" s="16"/>
    </row>
    <row r="7" spans="1:59">
      <c r="A7" s="170" t="s">
        <v>413</v>
      </c>
      <c r="B7" s="59">
        <v>35</v>
      </c>
      <c r="C7" s="16"/>
      <c r="D7" s="573" t="s">
        <v>414</v>
      </c>
      <c r="E7" s="701"/>
      <c r="F7" s="701"/>
      <c r="G7" s="701"/>
      <c r="H7" s="701"/>
      <c r="I7" s="701"/>
      <c r="J7" s="16"/>
      <c r="K7" s="16"/>
      <c r="L7" s="16"/>
      <c r="M7" s="16"/>
      <c r="N7" s="16"/>
      <c r="O7" s="16"/>
      <c r="P7" s="16"/>
      <c r="Q7" s="16"/>
      <c r="R7" s="16"/>
      <c r="S7" s="16"/>
      <c r="T7" s="16"/>
      <c r="U7" s="16"/>
      <c r="V7" s="16"/>
      <c r="W7" s="16"/>
      <c r="X7" s="16"/>
      <c r="Y7" s="16"/>
      <c r="Z7" s="16"/>
      <c r="AA7" s="16"/>
      <c r="AB7" s="16"/>
      <c r="AC7" s="16"/>
      <c r="AD7" s="16"/>
    </row>
    <row r="8" spans="1:59" ht="14.25" customHeight="1">
      <c r="A8" s="171" t="s">
        <v>415</v>
      </c>
      <c r="B8" s="172">
        <f ca="1">M21-M17</f>
        <v>2508.3534307595437</v>
      </c>
      <c r="C8" s="16" t="s">
        <v>416</v>
      </c>
      <c r="D8" s="574" t="s">
        <v>417</v>
      </c>
      <c r="E8" s="704"/>
      <c r="F8" s="704"/>
      <c r="G8" s="704"/>
      <c r="H8" s="704"/>
      <c r="I8" s="704"/>
      <c r="J8" s="16"/>
      <c r="K8" s="16"/>
      <c r="L8" s="16"/>
      <c r="M8" s="16"/>
      <c r="N8" s="16"/>
      <c r="O8" s="16"/>
      <c r="P8" s="16"/>
      <c r="Q8" s="16"/>
      <c r="R8" s="16"/>
      <c r="S8" s="16"/>
      <c r="T8" s="16"/>
      <c r="U8" s="16"/>
      <c r="V8" s="16"/>
      <c r="W8" s="16"/>
      <c r="X8" s="16"/>
      <c r="Y8" s="16"/>
      <c r="Z8" s="16"/>
      <c r="AA8" s="16"/>
      <c r="AB8" s="16"/>
      <c r="AC8" s="16"/>
    </row>
    <row r="9" spans="1:59">
      <c r="A9" s="65" t="s">
        <v>418</v>
      </c>
      <c r="B9" s="173" t="s">
        <v>419</v>
      </c>
      <c r="C9" s="16"/>
      <c r="D9" s="16"/>
      <c r="E9" s="17"/>
      <c r="F9" s="17"/>
      <c r="G9" s="17"/>
      <c r="H9" s="17"/>
      <c r="I9" s="17"/>
      <c r="J9" s="17"/>
      <c r="K9" s="17"/>
      <c r="L9" s="17"/>
      <c r="M9" s="17"/>
      <c r="N9" s="17"/>
      <c r="O9" s="17"/>
      <c r="P9" s="17"/>
      <c r="Q9" s="16"/>
      <c r="R9" s="17"/>
      <c r="S9" s="17"/>
      <c r="T9" s="17"/>
      <c r="U9" s="17"/>
      <c r="V9" s="17"/>
      <c r="W9" s="17"/>
      <c r="X9" s="17"/>
      <c r="Y9" s="17"/>
      <c r="Z9" s="17"/>
      <c r="AA9" s="17"/>
      <c r="AB9" s="17"/>
      <c r="AC9" s="17"/>
      <c r="AD9" s="18" t="s">
        <v>242</v>
      </c>
    </row>
    <row r="10" spans="1:59">
      <c r="A10" s="174" t="s">
        <v>420</v>
      </c>
      <c r="B10" s="66">
        <f>COUNTA(A38:A42)</f>
        <v>2</v>
      </c>
      <c r="C10" s="16"/>
      <c r="D10" s="16"/>
      <c r="E10" s="17"/>
      <c r="F10" s="17"/>
      <c r="G10" s="17"/>
      <c r="H10" s="17"/>
      <c r="I10" s="17"/>
      <c r="J10" s="17"/>
      <c r="K10" s="17"/>
      <c r="L10" s="17"/>
      <c r="M10" s="17"/>
      <c r="N10" s="17"/>
      <c r="O10" s="17"/>
      <c r="P10" s="17"/>
      <c r="Q10" s="16"/>
      <c r="R10" s="17"/>
      <c r="S10" s="17"/>
      <c r="T10" s="17"/>
      <c r="U10" s="17"/>
      <c r="V10" s="17"/>
      <c r="W10" s="17"/>
      <c r="X10" s="17"/>
      <c r="Y10" s="17"/>
      <c r="Z10" s="17"/>
      <c r="AA10" s="17"/>
      <c r="AB10" s="17"/>
      <c r="AC10" s="17"/>
      <c r="AD10" s="18"/>
    </row>
    <row r="11" spans="1:59">
      <c r="A11" s="171" t="s">
        <v>421</v>
      </c>
      <c r="B11" s="238">
        <f>SUM(B38:B42)</f>
        <v>51</v>
      </c>
      <c r="C11" s="16"/>
      <c r="D11" s="16"/>
      <c r="E11" s="17"/>
      <c r="F11" s="17"/>
      <c r="G11" s="17"/>
      <c r="H11" s="17"/>
      <c r="I11" s="17"/>
      <c r="J11" s="17"/>
      <c r="K11" s="17"/>
      <c r="L11" s="17"/>
      <c r="M11" s="17"/>
      <c r="N11" s="17"/>
      <c r="O11" s="17"/>
      <c r="P11" s="17"/>
      <c r="Q11" s="16"/>
      <c r="R11" s="17"/>
      <c r="S11" s="17"/>
      <c r="T11" s="17"/>
      <c r="U11" s="17"/>
      <c r="V11" s="17"/>
      <c r="W11" s="17"/>
      <c r="X11" s="17"/>
      <c r="Y11" s="17"/>
      <c r="Z11" s="17"/>
      <c r="AA11" s="17"/>
      <c r="AB11" s="17"/>
      <c r="AC11" s="17"/>
      <c r="AD11" s="18"/>
    </row>
    <row r="12" spans="1:59">
      <c r="A12" s="239" t="s">
        <v>422</v>
      </c>
      <c r="B12" s="240" t="s">
        <v>319</v>
      </c>
      <c r="C12" s="16"/>
      <c r="D12" s="16"/>
      <c r="E12" s="17"/>
      <c r="F12" s="17"/>
      <c r="G12" s="17"/>
      <c r="H12" s="17"/>
      <c r="I12" s="17"/>
      <c r="J12" s="17"/>
      <c r="K12" s="17"/>
      <c r="L12" s="17"/>
      <c r="M12" s="17"/>
      <c r="N12" s="17"/>
      <c r="O12" s="17"/>
      <c r="P12" s="17"/>
      <c r="Q12" s="16"/>
      <c r="R12" s="17"/>
      <c r="S12" s="17"/>
      <c r="T12" s="17"/>
      <c r="U12" s="17"/>
      <c r="V12" s="17"/>
      <c r="W12" s="17"/>
      <c r="X12" s="17"/>
      <c r="Y12" s="17"/>
      <c r="Z12" s="17"/>
      <c r="AA12" s="17"/>
      <c r="AB12" s="17"/>
      <c r="AC12" s="17"/>
      <c r="AD12" s="18"/>
    </row>
    <row r="13" spans="1:59">
      <c r="A13" s="16"/>
      <c r="B13" s="16"/>
      <c r="C13" s="16"/>
      <c r="D13" s="16"/>
      <c r="E13" s="17"/>
      <c r="F13" s="17"/>
      <c r="G13" s="17"/>
      <c r="H13" s="17"/>
      <c r="I13" s="17"/>
      <c r="J13" s="17"/>
      <c r="K13" s="17"/>
      <c r="L13" s="17"/>
      <c r="M13" s="17"/>
      <c r="N13" s="17"/>
      <c r="O13" s="17"/>
      <c r="P13" s="17"/>
      <c r="Q13" s="16"/>
      <c r="R13" s="17"/>
      <c r="S13" s="17"/>
      <c r="T13" s="17"/>
      <c r="U13" s="17"/>
      <c r="V13" s="17"/>
      <c r="W13" s="17"/>
      <c r="X13" s="17"/>
      <c r="Y13" s="17"/>
      <c r="Z13" s="17"/>
      <c r="AA13" s="17"/>
      <c r="AB13" s="17"/>
      <c r="AC13" s="17"/>
      <c r="AD13" s="17" t="str" cm="1">
        <f t="array" ref="AD13:BF14">Constants!A2:AC3</f>
        <v>SC1</v>
      </c>
      <c r="AE13" s="17" t="str">
        <v>SC1 - Half</v>
      </c>
      <c r="AF13" s="17" t="str">
        <v>SC2</v>
      </c>
      <c r="AG13" s="17" t="str">
        <v>SC2 - Half</v>
      </c>
      <c r="AH13" s="17" t="str">
        <v>SC3</v>
      </c>
      <c r="AI13" s="17" t="str">
        <v>SC4</v>
      </c>
      <c r="AJ13" s="17" t="str">
        <v>SC5</v>
      </c>
      <c r="AK13" s="17" t="str">
        <v>SC6</v>
      </c>
      <c r="AL13" s="17" t="str">
        <v>Dojo</v>
      </c>
      <c r="AM13" s="17" t="str">
        <v>Boulder Wall</v>
      </c>
      <c r="AN13" s="17" t="str">
        <v>Climbing Wall</v>
      </c>
      <c r="AO13" s="17" t="str">
        <v>Artificial Hockey field</v>
      </c>
      <c r="AP13" s="17" t="str">
        <v>Artificial Hockey field - Half</v>
      </c>
      <c r="AQ13" s="17" t="str">
        <v>Artificial Soccer field</v>
      </c>
      <c r="AR13" s="17" t="str">
        <v>Artificial Soccer field - Half</v>
      </c>
      <c r="AS13" s="17" t="str">
        <v>Basketball</v>
      </c>
      <c r="AT13" s="17" t="str">
        <v>Bastille field</v>
      </c>
      <c r="AU13" s="17" t="str">
        <v>Beach fields</v>
      </c>
      <c r="AV13" s="17" t="str">
        <v>Shooting range</v>
      </c>
      <c r="AW13" s="17" t="str">
        <v>Multi/Lacrosse field</v>
      </c>
      <c r="AX13" s="17" t="str">
        <v>Multi/Lacrosse field - Half</v>
      </c>
      <c r="AY13" s="17" t="str">
        <v>Bootcamp field</v>
      </c>
      <c r="AZ13" s="17" t="str">
        <v>Multi/Baseball field</v>
      </c>
      <c r="BA13" s="17" t="str">
        <v>Tennis court</v>
      </c>
      <c r="BB13" s="17" t="str">
        <v>Utrack</v>
      </c>
      <c r="BC13" s="22" t="str">
        <v>Verreveld</v>
      </c>
      <c r="BD13" s="22" t="str">
        <v>Wsc</v>
      </c>
      <c r="BE13" s="22" t="str">
        <v>Indoor pool</v>
      </c>
      <c r="BF13" s="22" t="str">
        <v>Outdoor pool</v>
      </c>
      <c r="BG13" s="22"/>
    </row>
    <row r="14" spans="1:59" ht="15.95" thickBot="1">
      <c r="A14" s="175" t="s">
        <v>423</v>
      </c>
      <c r="B14" s="16"/>
      <c r="C14" s="16"/>
      <c r="D14" s="16"/>
      <c r="E14" s="16"/>
      <c r="F14" s="16"/>
      <c r="G14" s="175" t="s">
        <v>424</v>
      </c>
      <c r="I14" s="17"/>
      <c r="J14" s="17"/>
      <c r="K14" s="176" t="s">
        <v>425</v>
      </c>
      <c r="L14" s="17"/>
      <c r="M14" s="176" t="s">
        <v>426</v>
      </c>
      <c r="N14" s="17"/>
      <c r="O14" s="17"/>
      <c r="P14" s="17"/>
      <c r="Q14" s="17"/>
      <c r="R14" s="17"/>
      <c r="S14" s="16"/>
      <c r="T14" s="17"/>
      <c r="U14" s="17"/>
      <c r="V14" s="17"/>
      <c r="W14" s="17"/>
      <c r="X14" s="17"/>
      <c r="Y14" s="17"/>
      <c r="Z14" s="17"/>
      <c r="AA14" s="17"/>
      <c r="AB14" s="17"/>
      <c r="AC14" s="17"/>
      <c r="AD14" s="19">
        <v>67.5</v>
      </c>
      <c r="AE14" s="19">
        <v>35</v>
      </c>
      <c r="AF14" s="19">
        <v>67.5</v>
      </c>
      <c r="AG14" s="19">
        <v>35</v>
      </c>
      <c r="AH14" s="19">
        <v>40</v>
      </c>
      <c r="AI14" s="19">
        <v>40</v>
      </c>
      <c r="AJ14" s="19">
        <v>35</v>
      </c>
      <c r="AK14" s="19">
        <v>35</v>
      </c>
      <c r="AL14" s="19">
        <v>40</v>
      </c>
      <c r="AM14" s="19">
        <v>27.5</v>
      </c>
      <c r="AN14" s="19">
        <v>45</v>
      </c>
      <c r="AO14" s="19">
        <v>75</v>
      </c>
      <c r="AP14" s="19">
        <v>40</v>
      </c>
      <c r="AQ14" s="19">
        <v>75</v>
      </c>
      <c r="AR14" s="19">
        <v>40</v>
      </c>
      <c r="AS14" s="19">
        <v>30</v>
      </c>
      <c r="AT14" s="19">
        <v>50</v>
      </c>
      <c r="AU14" s="19">
        <v>75</v>
      </c>
      <c r="AV14" s="19">
        <v>40</v>
      </c>
      <c r="AW14" s="19">
        <v>75</v>
      </c>
      <c r="AX14" s="19">
        <v>40</v>
      </c>
      <c r="AY14" s="19">
        <v>50</v>
      </c>
      <c r="AZ14" s="19">
        <v>65</v>
      </c>
      <c r="BA14" s="19">
        <v>35</v>
      </c>
      <c r="BB14" s="19">
        <v>45</v>
      </c>
      <c r="BC14" s="19">
        <v>50</v>
      </c>
      <c r="BD14" s="19">
        <v>0</v>
      </c>
      <c r="BE14" s="19">
        <v>65</v>
      </c>
      <c r="BF14" s="20">
        <v>70</v>
      </c>
      <c r="BG14" s="20"/>
    </row>
    <row r="15" spans="1:59" ht="15.95" thickTop="1">
      <c r="A15" s="67"/>
      <c r="B15" s="68" t="str">
        <f>Constants!H6</f>
        <v>Performance training</v>
      </c>
      <c r="C15" s="68" t="str">
        <f>Constants!H7</f>
        <v>Performance coaching</v>
      </c>
      <c r="D15" s="68" t="str">
        <f>Constants!H8</f>
        <v>Dangerous</v>
      </c>
      <c r="E15" s="69" t="str">
        <f>Constants!H9</f>
        <v>Recreational</v>
      </c>
      <c r="F15" s="69" t="s">
        <v>290</v>
      </c>
      <c r="G15" s="70"/>
      <c r="H15" s="71" t="s">
        <v>427</v>
      </c>
      <c r="I15" s="72" t="s">
        <v>272</v>
      </c>
      <c r="J15" s="70" t="s">
        <v>5</v>
      </c>
      <c r="K15" s="72" t="s">
        <v>428</v>
      </c>
      <c r="L15" s="70" t="s">
        <v>429</v>
      </c>
      <c r="M15" s="73" cm="1">
        <f t="array" ref="M15">(SUM(IF($D$46:$D$50="PT",($F$46:$F$50)/1.5+IF($G$46:$G$50="yes",1)))+SUM(IF($D$46:$D$50="Extern",($F$46:$F$50)/1.5+IF($G$46:$G$50="yes",1)))+SUM(IF($D$46:$D$50="PT-ZZP",($F$46:$F$50)/1.5+IF($G$46:$G$50="yes",1))))*Constants!B10</f>
        <v>500</v>
      </c>
      <c r="N15" s="17"/>
      <c r="O15" s="17"/>
      <c r="P15" s="17"/>
      <c r="Q15" s="17"/>
      <c r="R15" s="16"/>
      <c r="S15" s="17"/>
      <c r="T15" s="17"/>
      <c r="U15" s="17"/>
      <c r="V15" s="17"/>
      <c r="W15" s="17"/>
      <c r="X15" s="17"/>
      <c r="Y15" s="17"/>
      <c r="Z15" s="17"/>
      <c r="AA15" s="17"/>
      <c r="AB15" s="17"/>
      <c r="AC15" s="17"/>
      <c r="AD15" s="16">
        <f t="shared" ref="AD15:BF15" si="0">SUMIF($B$71:$B$88,AD13,$F$71:$F$88)</f>
        <v>0</v>
      </c>
      <c r="AE15" s="16">
        <f t="shared" si="0"/>
        <v>0</v>
      </c>
      <c r="AF15" s="16">
        <f t="shared" si="0"/>
        <v>9</v>
      </c>
      <c r="AG15" s="16">
        <f t="shared" si="0"/>
        <v>0</v>
      </c>
      <c r="AH15" s="16">
        <f t="shared" si="0"/>
        <v>0</v>
      </c>
      <c r="AI15" s="16">
        <f t="shared" si="0"/>
        <v>0</v>
      </c>
      <c r="AJ15" s="16">
        <f t="shared" si="0"/>
        <v>0</v>
      </c>
      <c r="AK15" s="16">
        <f t="shared" si="0"/>
        <v>0</v>
      </c>
      <c r="AL15" s="16">
        <f t="shared" si="0"/>
        <v>0</v>
      </c>
      <c r="AM15" s="16">
        <f t="shared" si="0"/>
        <v>0</v>
      </c>
      <c r="AN15" s="16">
        <f t="shared" si="0"/>
        <v>0</v>
      </c>
      <c r="AO15" s="16">
        <f t="shared" si="0"/>
        <v>0</v>
      </c>
      <c r="AP15" s="16">
        <f t="shared" si="0"/>
        <v>0</v>
      </c>
      <c r="AQ15" s="16">
        <f t="shared" si="0"/>
        <v>0</v>
      </c>
      <c r="AR15" s="16">
        <f t="shared" si="0"/>
        <v>0</v>
      </c>
      <c r="AS15" s="16">
        <f t="shared" si="0"/>
        <v>0</v>
      </c>
      <c r="AT15" s="16">
        <f t="shared" si="0"/>
        <v>0</v>
      </c>
      <c r="AU15" s="16">
        <f t="shared" si="0"/>
        <v>0</v>
      </c>
      <c r="AV15" s="16">
        <f t="shared" si="0"/>
        <v>0</v>
      </c>
      <c r="AW15" s="16">
        <f t="shared" si="0"/>
        <v>0</v>
      </c>
      <c r="AX15" s="16">
        <f t="shared" si="0"/>
        <v>0</v>
      </c>
      <c r="AY15" s="16">
        <f t="shared" si="0"/>
        <v>0</v>
      </c>
      <c r="AZ15" s="16">
        <f t="shared" si="0"/>
        <v>66</v>
      </c>
      <c r="BA15" s="16">
        <f t="shared" si="0"/>
        <v>0</v>
      </c>
      <c r="BB15" s="16">
        <f t="shared" si="0"/>
        <v>0</v>
      </c>
      <c r="BC15" s="16">
        <f t="shared" si="0"/>
        <v>0</v>
      </c>
      <c r="BD15" s="16">
        <f t="shared" si="0"/>
        <v>0</v>
      </c>
      <c r="BE15" s="16">
        <f t="shared" si="0"/>
        <v>0</v>
      </c>
      <c r="BF15" s="16">
        <f t="shared" si="0"/>
        <v>0</v>
      </c>
    </row>
    <row r="16" spans="1:59">
      <c r="A16" s="74" t="str">
        <f>Constants!E6</f>
        <v>PT</v>
      </c>
      <c r="B16" s="16">
        <f>SUMIFS('High-Tech Hitters'!$F$55:$F$67,'High-Tech Hitters'!$B$55:$B$67, B$15,'High-Tech Hitters'!$H$55:$H$67,$A16)*(1+Constants!$B$7)</f>
        <v>75.599999999999994</v>
      </c>
      <c r="C16" s="16">
        <f>SUMIFS('High-Tech Hitters'!$F$55:$F$67,'High-Tech Hitters'!$B$55:$B$67, C$15,'High-Tech Hitters'!$H$55:$H$67,$A16)</f>
        <v>0</v>
      </c>
      <c r="D16" s="16">
        <f>SUMIFS('High-Tech Hitters'!$F$55:$F$67,'High-Tech Hitters'!$B$55:$B$67, D$15,'High-Tech Hitters'!$H$55:$H$67,$A16)*(1+Constants!$B$7)</f>
        <v>0</v>
      </c>
      <c r="E16" s="16">
        <f>SUMIFS('High-Tech Hitters'!$F$55:$F$67,'High-Tech Hitters'!$B$55:$B$67, E$15,'High-Tech Hitters'!$H$55:$H$67,$A16)*(1+Constants!$B$7)</f>
        <v>0</v>
      </c>
      <c r="F16" s="16">
        <f>SUMIFS('High-Tech Hitters'!$F$55:$F$67,'High-Tech Hitters'!$B$55:$B$67, F$15,'High-Tech Hitters'!$H$55:$H$67,$A16)*(1+Constants!$B$7)</f>
        <v>0</v>
      </c>
      <c r="G16" s="74" t="s">
        <v>430</v>
      </c>
      <c r="H16" s="16">
        <f>SUMIF('High-Tech Hitters'!$B$71:$B$89,"&lt;&gt;External",'High-Tech Hitters'!$F$71:$F$89)</f>
        <v>75</v>
      </c>
      <c r="I16" s="75">
        <f>SUMIF('High-Tech Hitters'!$B$71:$B$89,"External",'High-Tech Hitters'!$F$71:$F$89)</f>
        <v>42</v>
      </c>
      <c r="J16" s="234">
        <f>SUM($F$92:$F$105)</f>
        <v>1206.75</v>
      </c>
      <c r="K16" s="76">
        <f>IF(OR(ISBLANK(B7),ISBLANK(B9)), "ERROR",MAX(MIN(J16,B7*Constants!B15)-Constants!B14*B7,0)*IF(B9="yes",Constants!B16,IF(B9="no",Constants!B17,0)))</f>
        <v>685.40000000000009</v>
      </c>
      <c r="L16" s="77" t="s">
        <v>360</v>
      </c>
      <c r="M16" s="76">
        <f>E16*Constants!B6+E17*Constants!B8+E22+E21</f>
        <v>0</v>
      </c>
      <c r="N16" s="17"/>
      <c r="O16" s="17"/>
      <c r="P16" s="17"/>
      <c r="Q16" s="17"/>
      <c r="R16" s="16"/>
      <c r="S16" s="17"/>
      <c r="T16" s="17"/>
      <c r="U16" s="17"/>
      <c r="V16" s="17"/>
      <c r="W16" s="17"/>
      <c r="X16" s="17"/>
      <c r="Y16" s="17"/>
      <c r="Z16" s="17"/>
      <c r="AA16" s="17"/>
      <c r="AB16" s="17"/>
      <c r="AC16" s="17"/>
      <c r="AD16" s="19">
        <f t="shared" ref="AD16:BF16" si="1">AD14*AD15</f>
        <v>0</v>
      </c>
      <c r="AE16" s="19">
        <f t="shared" si="1"/>
        <v>0</v>
      </c>
      <c r="AF16" s="19">
        <f t="shared" si="1"/>
        <v>607.5</v>
      </c>
      <c r="AG16" s="19">
        <f t="shared" si="1"/>
        <v>0</v>
      </c>
      <c r="AH16" s="19">
        <f t="shared" si="1"/>
        <v>0</v>
      </c>
      <c r="AI16" s="19">
        <f t="shared" si="1"/>
        <v>0</v>
      </c>
      <c r="AJ16" s="19">
        <f t="shared" si="1"/>
        <v>0</v>
      </c>
      <c r="AK16" s="19">
        <f t="shared" si="1"/>
        <v>0</v>
      </c>
      <c r="AL16" s="19">
        <f t="shared" si="1"/>
        <v>0</v>
      </c>
      <c r="AM16" s="19">
        <f t="shared" si="1"/>
        <v>0</v>
      </c>
      <c r="AN16" s="19">
        <f t="shared" si="1"/>
        <v>0</v>
      </c>
      <c r="AO16" s="19">
        <f t="shared" si="1"/>
        <v>0</v>
      </c>
      <c r="AP16" s="19">
        <f t="shared" si="1"/>
        <v>0</v>
      </c>
      <c r="AQ16" s="19">
        <f t="shared" si="1"/>
        <v>0</v>
      </c>
      <c r="AR16" s="19">
        <f t="shared" si="1"/>
        <v>0</v>
      </c>
      <c r="AS16" s="19">
        <f t="shared" si="1"/>
        <v>0</v>
      </c>
      <c r="AT16" s="19">
        <f t="shared" si="1"/>
        <v>0</v>
      </c>
      <c r="AU16" s="19">
        <f t="shared" si="1"/>
        <v>0</v>
      </c>
      <c r="AV16" s="19">
        <f t="shared" si="1"/>
        <v>0</v>
      </c>
      <c r="AW16" s="19">
        <f t="shared" si="1"/>
        <v>0</v>
      </c>
      <c r="AX16" s="19">
        <f t="shared" si="1"/>
        <v>0</v>
      </c>
      <c r="AY16" s="19">
        <f t="shared" si="1"/>
        <v>0</v>
      </c>
      <c r="AZ16" s="19">
        <f t="shared" si="1"/>
        <v>4290</v>
      </c>
      <c r="BA16" s="19">
        <f t="shared" si="1"/>
        <v>0</v>
      </c>
      <c r="BB16" s="19">
        <f t="shared" si="1"/>
        <v>0</v>
      </c>
      <c r="BC16" s="19">
        <f t="shared" si="1"/>
        <v>0</v>
      </c>
      <c r="BD16" s="19">
        <f t="shared" si="1"/>
        <v>0</v>
      </c>
      <c r="BE16" s="19">
        <f t="shared" si="1"/>
        <v>0</v>
      </c>
      <c r="BF16" s="19">
        <f t="shared" si="1"/>
        <v>0</v>
      </c>
    </row>
    <row r="17" spans="1:36">
      <c r="A17" s="74" t="str">
        <f>Constants!E7</f>
        <v>PT-V</v>
      </c>
      <c r="B17" s="16">
        <f>SUMIFS('High-Tech Hitters'!$F$55:$F$67,'High-Tech Hitters'!$B$55:$B$67, B$15,'High-Tech Hitters'!$H$55:$H$67,$A17)*(1+Constants!$B$9)</f>
        <v>0</v>
      </c>
      <c r="C17" s="16">
        <f>SUMIFS('High-Tech Hitters'!$F$55:$F$67,'High-Tech Hitters'!$B$55:$B$67, C$15,'High-Tech Hitters'!$H$55:$H$67,$A17)</f>
        <v>0</v>
      </c>
      <c r="D17" s="16">
        <f>SUMIFS('High-Tech Hitters'!$F$55:$F$67,'High-Tech Hitters'!$B$55:$B$67, D$15,'High-Tech Hitters'!$H$55:$H$67,$A17)*(1+Constants!$B$9)</f>
        <v>0</v>
      </c>
      <c r="E17" s="16">
        <f>SUMIFS('High-Tech Hitters'!$F$55:$F$67,'High-Tech Hitters'!$B$55:$B$67, E$15,'High-Tech Hitters'!$H$55:$H$67,$A17)*(1+Constants!$B$9)</f>
        <v>0</v>
      </c>
      <c r="F17" s="16">
        <f>SUMIFS('High-Tech Hitters'!$F$55:$F$67,'High-Tech Hitters'!$B$55:$B$67, F$15,'High-Tech Hitters'!$H$55:$H$67,$A17)</f>
        <v>0</v>
      </c>
      <c r="G17" s="74" t="s">
        <v>38</v>
      </c>
      <c r="H17" s="78">
        <f>SUM(AD16:BZ16)</f>
        <v>4897.5</v>
      </c>
      <c r="I17" s="76" cm="1">
        <f t="array" ref="I17">SUM(IF($B$71:$B$87="External",$F$71:$F$87*$H$71:$H$87,0))</f>
        <v>453.75</v>
      </c>
      <c r="J17" s="79"/>
      <c r="K17" s="80"/>
      <c r="L17" s="77" t="s">
        <v>63</v>
      </c>
      <c r="M17" s="76">
        <f>J16-K16</f>
        <v>521.34999999999991</v>
      </c>
      <c r="N17" s="17"/>
      <c r="O17" s="17"/>
      <c r="P17" s="17"/>
      <c r="Q17" s="17"/>
      <c r="R17" s="16"/>
      <c r="S17" s="17"/>
      <c r="T17" s="17"/>
      <c r="U17" s="17"/>
      <c r="V17" s="17"/>
      <c r="W17" s="17"/>
      <c r="X17" s="17"/>
      <c r="Y17" s="17"/>
      <c r="Z17" s="17"/>
      <c r="AA17" s="17"/>
      <c r="AB17" s="17"/>
      <c r="AC17" s="17"/>
      <c r="AD17" s="17"/>
      <c r="AE17" s="17"/>
    </row>
    <row r="18" spans="1:36">
      <c r="A18" s="74" t="str">
        <f>Constants!E8</f>
        <v>PT-ZZP</v>
      </c>
      <c r="B18" s="16">
        <f>SUMIFS('High-Tech Hitters'!$F$55:$F$67,'High-Tech Hitters'!$B$55:$B$67, B$15,'High-Tech Hitters'!$H$55:$H$67,$A18)*(1+Constants!$B$7)</f>
        <v>0</v>
      </c>
      <c r="C18" s="16">
        <f>SUMIFS('High-Tech Hitters'!$F$55:$F$67,'High-Tech Hitters'!$B$55:$B$67, C$15,'High-Tech Hitters'!$H$55:$H$67,$A18)</f>
        <v>0</v>
      </c>
      <c r="D18" s="16">
        <f>SUMIFS('High-Tech Hitters'!$F$55:$F$67,'High-Tech Hitters'!$B$55:$B$67, D$15,'High-Tech Hitters'!$H$55:$H$67,$A18)*(1+Constants!$B$7)</f>
        <v>0</v>
      </c>
      <c r="E18" s="16">
        <f>SUMIFS('High-Tech Hitters'!$F$55:$F$67,'High-Tech Hitters'!$B$55:$B$67, E$15,'High-Tech Hitters'!$H$55:$H$67,$A18)*(1+Constants!$B$7)</f>
        <v>0</v>
      </c>
      <c r="F18" s="16">
        <f>SUMIFS('High-Tech Hitters'!$F$55:$F$67,'High-Tech Hitters'!$B$55:$B$67, F$15,'High-Tech Hitters'!$H$55:$H$67,$A18)*(1+Constants!$B$7)</f>
        <v>0</v>
      </c>
      <c r="G18" s="74"/>
      <c r="H18" s="78"/>
      <c r="I18" s="76"/>
      <c r="J18" s="79"/>
      <c r="K18" s="80"/>
      <c r="L18" s="77" t="s">
        <v>60</v>
      </c>
      <c r="M18" s="76" t="str">
        <f>IF(I17-Constants!I17*$B$7&gt;0,$I$17-Constants!I17*$B$7,"-")</f>
        <v>-</v>
      </c>
      <c r="N18" s="17"/>
      <c r="O18" s="17"/>
      <c r="P18" s="17"/>
      <c r="Q18" s="17"/>
      <c r="R18" s="16"/>
      <c r="S18" s="17"/>
      <c r="T18" s="17"/>
      <c r="U18" s="17"/>
      <c r="V18" s="17"/>
      <c r="W18" s="17"/>
      <c r="X18" s="17"/>
      <c r="Y18" s="17"/>
      <c r="Z18" s="17"/>
      <c r="AA18" s="17"/>
      <c r="AB18" s="17"/>
      <c r="AC18" s="17"/>
      <c r="AD18" s="17"/>
      <c r="AE18" s="17"/>
    </row>
    <row r="19" spans="1:36">
      <c r="A19" s="74" t="str">
        <f>Constants!E9</f>
        <v>RT</v>
      </c>
      <c r="B19" s="16">
        <f>SUMIFS('High-Tech Hitters'!$F$55:$F$67,'High-Tech Hitters'!$B$55:$B$67, B$15,'High-Tech Hitters'!$H$55:$H$67,$A19)</f>
        <v>0</v>
      </c>
      <c r="C19" s="16">
        <f>SUMIFS('High-Tech Hitters'!$F$55:$F$67,'High-Tech Hitters'!$B$55:$B$67, C$15,'High-Tech Hitters'!$H$55:$H$67,$A19)</f>
        <v>0</v>
      </c>
      <c r="D19" s="16">
        <f>SUMIFS('High-Tech Hitters'!$F$55:$F$67,'High-Tech Hitters'!$B$55:$B$67, D$15,'High-Tech Hitters'!$H$55:$H$67,$A19)</f>
        <v>0</v>
      </c>
      <c r="E19" s="16">
        <f>SUMIFS('High-Tech Hitters'!$F$55:$F$67,'High-Tech Hitters'!$B$55:$B$67, E$15,'High-Tech Hitters'!$H$55:$H$67,$A19)</f>
        <v>63</v>
      </c>
      <c r="F19" s="16">
        <f>SUMIFS('High-Tech Hitters'!$F$55:$F$67,'High-Tech Hitters'!$B$55:$B$67, F$15,'High-Tech Hitters'!$H$55:$H$67,$A19)</f>
        <v>0</v>
      </c>
      <c r="G19" s="74" t="s">
        <v>396</v>
      </c>
      <c r="H19" s="78"/>
      <c r="I19" s="76">
        <f>IF(B7*Constants!I17&lt;I17,B7*Constants!I17,I17)</f>
        <v>453.75</v>
      </c>
      <c r="J19" s="79"/>
      <c r="K19" s="80"/>
      <c r="L19" s="77" t="s">
        <v>431</v>
      </c>
      <c r="M19" s="255">
        <f ca="1">Constants!C31*B7+Data!L16</f>
        <v>2008.3534307595437</v>
      </c>
      <c r="N19" s="17"/>
      <c r="O19" s="17"/>
      <c r="P19" s="17"/>
      <c r="Q19" s="17"/>
      <c r="R19" s="16"/>
      <c r="S19" s="17"/>
      <c r="T19" s="17"/>
      <c r="U19" s="17"/>
      <c r="V19" s="17"/>
      <c r="W19" s="17"/>
      <c r="X19" s="17"/>
      <c r="Y19" s="17"/>
      <c r="Z19" s="17"/>
      <c r="AA19" s="17"/>
      <c r="AB19" s="17"/>
      <c r="AC19" s="17"/>
      <c r="AD19" s="17"/>
      <c r="AE19" s="17"/>
    </row>
    <row r="20" spans="1:36">
      <c r="A20" s="74" t="str">
        <f>Constants!E10</f>
        <v>Extern</v>
      </c>
      <c r="B20" s="16">
        <f>SUMIFS('High-Tech Hitters'!$F$55:$F$67,'High-Tech Hitters'!$B$55:$B$67, B$15,'High-Tech Hitters'!$H$55:$H$67,$A20)</f>
        <v>0</v>
      </c>
      <c r="C20" s="16">
        <f>SUMIFS('High-Tech Hitters'!$F$55:$F$67,'High-Tech Hitters'!$B$55:$B$67, C$15,'High-Tech Hitters'!$H$55:$H$67,$A20)</f>
        <v>0</v>
      </c>
      <c r="D20" s="16">
        <f>SUMIFS('High-Tech Hitters'!$F$55:$F$67,'High-Tech Hitters'!$B$55:$B$67, D$15,'High-Tech Hitters'!$H$55:$H$67,$A20)</f>
        <v>0</v>
      </c>
      <c r="E20" s="16">
        <f>SUMIFS('High-Tech Hitters'!$F$55:$F$67,'High-Tech Hitters'!$B$55:$B$67, E$15,'High-Tech Hitters'!$H$55:$H$67,$A20)</f>
        <v>0</v>
      </c>
      <c r="F20" s="16">
        <f>SUMIFS('High-Tech Hitters'!$F$55:$F$67,'High-Tech Hitters'!$B$55:$B$67, F$15,'High-Tech Hitters'!$H$55:$H$67,$A20)</f>
        <v>0</v>
      </c>
      <c r="G20" s="81"/>
      <c r="H20" s="16"/>
      <c r="I20" s="75"/>
      <c r="J20" s="79"/>
      <c r="K20" s="82"/>
      <c r="L20" s="83"/>
      <c r="M20" s="84"/>
      <c r="N20" s="17"/>
      <c r="O20" s="17"/>
      <c r="P20" s="17"/>
      <c r="Q20" s="17"/>
      <c r="R20" s="16"/>
      <c r="S20" s="17"/>
      <c r="T20" s="17"/>
      <c r="U20" s="17"/>
      <c r="V20" s="17"/>
      <c r="W20" s="17"/>
      <c r="X20" s="17"/>
      <c r="Y20" s="17"/>
      <c r="Z20" s="17"/>
      <c r="AA20" s="17"/>
      <c r="AB20" s="17"/>
      <c r="AC20" s="17"/>
      <c r="AD20" s="17"/>
      <c r="AE20" s="17"/>
    </row>
    <row r="21" spans="1:36">
      <c r="A21" s="74" t="str">
        <f>CONCATENATE(A18," Costs")</f>
        <v>PT-ZZP Costs</v>
      </c>
      <c r="B21" s="78">
        <f t="array" ref="B21">SUM(IF('High-Tech Hitters'!$B$55:$B$67=B$15,IF('High-Tech Hitters'!$H$55:$H$67="PT-ZZP",'High-Tech Hitters'!$F$55:$F$67*'High-Tech Hitters'!$I$55:$I$67*(1+Constants!$B$7),0),0))</f>
        <v>0</v>
      </c>
      <c r="C21" s="78">
        <f t="array" ref="C21">SUM(IF('High-Tech Hitters'!$B$55:$B$67=C$15,IF('High-Tech Hitters'!$H$55:$H$67="PT-ZZP",'High-Tech Hitters'!$F$55:$F$67*'High-Tech Hitters'!$I$55:$I$67,0),0))</f>
        <v>0</v>
      </c>
      <c r="D21" s="78">
        <f t="array" ref="D21">SUM(IF('High-Tech Hitters'!$B$55:$B$67=D$15,IF('High-Tech Hitters'!$H$55:$H$67="PT-ZZP",'High-Tech Hitters'!$F$55:$F$67*'High-Tech Hitters'!$I$55:$I$67*(1+Constants!$B$7),0),0))</f>
        <v>0</v>
      </c>
      <c r="E21" s="78">
        <f t="array" ref="E21">SUM(IF('High-Tech Hitters'!$B$55:$B$67=E$15,IF('High-Tech Hitters'!$H$55:$H$67="PT-ZZP",'High-Tech Hitters'!$F$55:$F$67*'High-Tech Hitters'!$I$55:$I$67*(1+Constants!$B$7),0),0))</f>
        <v>0</v>
      </c>
      <c r="F21" s="78">
        <f t="array" ref="F21">SUM(IF('High-Tech Hitters'!$B$55:$B$67=F$15,IF('High-Tech Hitters'!$H$55:$H$67="PT-ZZP",'High-Tech Hitters'!$F$55:$F$67*'High-Tech Hitters'!$I$55:$I$67*(1+Constants!$B$7),0),0))</f>
        <v>0</v>
      </c>
      <c r="G21" s="81"/>
      <c r="H21" s="16"/>
      <c r="I21" s="75"/>
      <c r="J21" s="79"/>
      <c r="K21" s="82"/>
      <c r="L21" s="77" t="s">
        <v>5</v>
      </c>
      <c r="M21" s="76">
        <f ca="1">SUM(M15:M20)</f>
        <v>3029.7034307595436</v>
      </c>
      <c r="N21" s="17"/>
      <c r="O21" s="17"/>
      <c r="P21" s="17"/>
      <c r="Q21" s="17"/>
      <c r="R21" s="16"/>
      <c r="S21" s="17"/>
      <c r="T21" s="17"/>
      <c r="U21" s="17"/>
      <c r="V21" s="17"/>
      <c r="W21" s="17"/>
      <c r="X21" s="17"/>
      <c r="Y21" s="17"/>
      <c r="Z21" s="17"/>
      <c r="AA21" s="17"/>
      <c r="AB21" s="17"/>
      <c r="AC21" s="17"/>
      <c r="AD21" s="17"/>
      <c r="AE21" s="17"/>
    </row>
    <row r="22" spans="1:36" ht="15.75" customHeight="1" thickBot="1">
      <c r="A22" s="74" t="str">
        <f>CONCATENATE(A20," Costs")</f>
        <v>Extern Costs</v>
      </c>
      <c r="B22" s="78">
        <f t="array" ref="B22">SUM(IF('High-Tech Hitters'!$B$55:$B$67=B$15,IF('High-Tech Hitters'!$H$55:$H$67="Extern",'High-Tech Hitters'!$F$55:$F$67*'High-Tech Hitters'!$I$55:$I$67,0),0))</f>
        <v>0</v>
      </c>
      <c r="C22" s="78">
        <f t="array" ref="C22">SUM(IF('High-Tech Hitters'!$B$55:$B$67=C$15,IF('High-Tech Hitters'!$H$55:$H$67="Extern",'High-Tech Hitters'!$F$55:$F$67*'High-Tech Hitters'!$I$55:$I$67,0),0))</f>
        <v>0</v>
      </c>
      <c r="D22" s="78">
        <f t="array" ref="D22">SUM(IF('High-Tech Hitters'!$B$55:$B$67=D$15,IF('High-Tech Hitters'!$H$55:$H$67="Extern",'High-Tech Hitters'!$F$55:$F$67*'High-Tech Hitters'!$I$55:$I$67,0),0))</f>
        <v>0</v>
      </c>
      <c r="E22" s="78">
        <f t="array" ref="E22">SUM(IF('High-Tech Hitters'!$B$55:$B$67=E$15,IF('High-Tech Hitters'!$H$55:$H$67="Extern",'High-Tech Hitters'!$F$55:$F$67*'High-Tech Hitters'!$I$55:$I$67,0),0))</f>
        <v>0</v>
      </c>
      <c r="F22" s="76">
        <f t="array" ref="F22">SUM(IF('High-Tech Hitters'!$B$55:$B$67=F$15,IF('High-Tech Hitters'!$H$55:$H$67="Extern",'High-Tech Hitters'!$F$55:$F$67*'High-Tech Hitters'!$I$55:$I$67,0),0))</f>
        <v>0</v>
      </c>
      <c r="G22" s="85"/>
      <c r="H22" s="177"/>
      <c r="I22" s="86"/>
      <c r="J22" s="87"/>
      <c r="K22" s="88"/>
      <c r="L22" s="87"/>
      <c r="M22" s="88"/>
      <c r="N22" s="17"/>
      <c r="O22" s="17"/>
      <c r="P22" s="17"/>
      <c r="Q22" s="17"/>
      <c r="R22" s="16"/>
      <c r="S22" s="17"/>
      <c r="T22" s="17"/>
      <c r="U22" s="17"/>
      <c r="V22" s="17"/>
      <c r="W22" s="17"/>
      <c r="X22" s="17"/>
      <c r="Y22" s="17"/>
      <c r="Z22" s="17"/>
      <c r="AA22" s="17"/>
      <c r="AB22" s="17"/>
      <c r="AC22" s="17"/>
      <c r="AD22" s="17"/>
      <c r="AE22" s="17"/>
    </row>
    <row r="23" spans="1:36" ht="15" customHeight="1" thickTop="1">
      <c r="A23" s="74" t="s">
        <v>432</v>
      </c>
      <c r="B23" s="78"/>
      <c r="C23" s="78"/>
      <c r="D23" s="78"/>
      <c r="E23" s="78"/>
      <c r="F23" s="76">
        <f t="array" ref="F23">SUMIFS('High-Tech Hitters'!$F$55:$F$67,'High-Tech Hitters'!$B$55:$B$67,"Mentorship",'High-Tech Hitters'!$H$55:$H$67,"PT-V")*Constants!B8+SUMIFS('High-Tech Hitters'!$F$55:$F$67,'High-Tech Hitters'!$B$55:$B$67,"Mentorship",'High-Tech Hitters'!$H$55:$H$67,"PT")*Constants!B6+SUMPRODUCT(IF('High-Tech Hitters'!$B$55:$B$67="Mentorship",IF('High-Tech Hitters'!$H$55:$H$67="PT-ZZP",'High-Tech Hitters'!$F$55:$F$67*'High-Tech Hitters'!$I$55:$I$67,0)))</f>
        <v>0</v>
      </c>
    </row>
    <row r="24" spans="1:36" ht="15" customHeight="1" thickBot="1">
      <c r="A24" s="89" t="s">
        <v>433</v>
      </c>
      <c r="B24" s="178"/>
      <c r="C24" s="178"/>
      <c r="D24" s="178"/>
      <c r="E24" s="178">
        <f>SUMIF('High-Tech Hitters'!$B$55:$B$67,"External Trainer Course",'High-Tech Hitters'!$I$55:$I$67)</f>
        <v>0</v>
      </c>
      <c r="F24" s="90"/>
    </row>
    <row r="25" spans="1:36" ht="15.75" customHeight="1" thickTop="1">
      <c r="A25" s="16"/>
      <c r="B25" s="16"/>
      <c r="C25" s="16"/>
      <c r="D25" s="16"/>
      <c r="E25" s="17"/>
      <c r="F25" s="17"/>
      <c r="G25" s="17"/>
      <c r="H25" s="17"/>
      <c r="I25" s="17"/>
      <c r="J25" s="17"/>
      <c r="K25" s="17"/>
      <c r="L25" s="17"/>
      <c r="M25" s="17"/>
      <c r="N25" s="17"/>
      <c r="O25" s="17"/>
      <c r="P25" s="17"/>
      <c r="Q25" s="16"/>
      <c r="R25" s="17"/>
      <c r="S25" s="17"/>
      <c r="T25" s="17"/>
      <c r="U25" s="17"/>
      <c r="V25" s="17"/>
      <c r="W25" s="17"/>
      <c r="X25" s="17"/>
      <c r="Y25" s="17"/>
      <c r="Z25" s="17"/>
      <c r="AA25" s="17"/>
      <c r="AB25" s="17"/>
      <c r="AC25" s="17"/>
      <c r="AD25" s="17"/>
    </row>
    <row r="26" spans="1:36" ht="15.75" customHeight="1">
      <c r="A26" s="16"/>
      <c r="B26" s="16"/>
      <c r="C26" s="16"/>
      <c r="D26" s="16"/>
      <c r="E26" s="17"/>
      <c r="F26" s="17"/>
      <c r="G26" s="17"/>
      <c r="H26" s="17"/>
      <c r="I26" s="17"/>
      <c r="J26" s="17"/>
      <c r="K26" s="17"/>
      <c r="L26" s="17"/>
      <c r="M26" s="17"/>
      <c r="N26" s="17"/>
      <c r="O26" s="17"/>
      <c r="P26" s="17"/>
      <c r="Q26" s="16"/>
      <c r="R26" s="17"/>
      <c r="S26" s="17"/>
      <c r="T26" s="17"/>
      <c r="U26" s="17"/>
      <c r="V26" s="17"/>
      <c r="W26" s="17"/>
      <c r="X26" s="17"/>
      <c r="Y26" s="17"/>
      <c r="Z26" s="17"/>
      <c r="AA26" s="17"/>
      <c r="AB26" s="17"/>
      <c r="AC26" s="17"/>
      <c r="AD26" s="17"/>
    </row>
    <row r="27" spans="1:36" ht="15.75" customHeight="1" thickBot="1">
      <c r="A27" s="91" t="s">
        <v>434</v>
      </c>
      <c r="B27" s="17"/>
      <c r="C27" s="17"/>
      <c r="D27" s="17"/>
      <c r="E27" s="17"/>
      <c r="F27" s="17"/>
      <c r="G27" s="92"/>
      <c r="H27" s="19"/>
      <c r="I27" s="17"/>
      <c r="J27" s="17"/>
      <c r="K27" s="17"/>
      <c r="L27" s="17"/>
      <c r="M27" s="17"/>
      <c r="N27" s="17"/>
      <c r="O27" s="17"/>
      <c r="P27" s="17"/>
      <c r="Q27" s="16"/>
      <c r="R27" s="17"/>
      <c r="S27" s="17"/>
      <c r="T27" s="17"/>
      <c r="U27" s="17"/>
      <c r="V27" s="17"/>
      <c r="W27" s="17"/>
      <c r="X27" s="17"/>
      <c r="Y27" s="17"/>
      <c r="Z27" s="17"/>
      <c r="AA27" s="17"/>
      <c r="AB27" s="17"/>
      <c r="AC27" s="17"/>
      <c r="AD27" s="17"/>
    </row>
    <row r="28" spans="1:36" ht="15.75" customHeight="1" thickTop="1" thickBot="1">
      <c r="A28" s="706" t="s">
        <v>435</v>
      </c>
      <c r="B28" s="707"/>
      <c r="C28" s="707"/>
      <c r="D28" s="707"/>
      <c r="E28" s="707"/>
      <c r="F28" s="708"/>
      <c r="G28" s="15"/>
      <c r="H28" s="17"/>
      <c r="I28" s="17"/>
      <c r="J28" s="17"/>
      <c r="K28" s="17"/>
      <c r="L28" s="17"/>
      <c r="M28" s="17"/>
      <c r="N28" s="17"/>
      <c r="O28" s="17"/>
      <c r="P28" s="17"/>
      <c r="Q28" s="16"/>
      <c r="R28" s="17"/>
      <c r="S28" s="17"/>
      <c r="T28" s="17"/>
      <c r="U28" s="17"/>
      <c r="V28" s="17"/>
      <c r="W28" s="17"/>
      <c r="X28" s="17"/>
      <c r="Y28" s="17"/>
      <c r="Z28" s="17"/>
      <c r="AA28" s="17"/>
      <c r="AB28" s="17"/>
      <c r="AC28" s="17"/>
      <c r="AD28" s="242" t="s">
        <v>436</v>
      </c>
      <c r="AE28" s="16"/>
      <c r="AF28" s="128"/>
      <c r="AG28" s="51"/>
      <c r="AH28" s="51"/>
      <c r="AI28" s="51"/>
      <c r="AJ28" s="51"/>
    </row>
    <row r="29" spans="1:36" ht="15.75" customHeight="1" thickBot="1">
      <c r="A29" s="709" t="s">
        <v>437</v>
      </c>
      <c r="B29" s="696"/>
      <c r="C29" s="696"/>
      <c r="D29" s="696"/>
      <c r="E29" s="696"/>
      <c r="F29" s="710"/>
      <c r="G29" s="17"/>
      <c r="H29" s="17"/>
      <c r="I29" s="17"/>
      <c r="J29" s="17"/>
      <c r="K29" s="17"/>
      <c r="L29" s="17"/>
      <c r="M29" s="17"/>
      <c r="N29" s="17"/>
      <c r="O29" s="17"/>
      <c r="P29" s="17"/>
      <c r="Q29" s="16"/>
      <c r="R29" s="17"/>
      <c r="S29" s="17"/>
      <c r="T29" s="17"/>
      <c r="U29" s="17"/>
      <c r="V29" s="17"/>
      <c r="W29" s="17"/>
      <c r="X29" s="17"/>
      <c r="Y29" s="17"/>
      <c r="Z29" s="17"/>
      <c r="AA29" s="17"/>
      <c r="AB29" s="17"/>
      <c r="AC29" s="17"/>
      <c r="AD29" s="243" t="s">
        <v>438</v>
      </c>
      <c r="AE29" s="243" t="s">
        <v>439</v>
      </c>
      <c r="AF29" s="243" t="s">
        <v>440</v>
      </c>
      <c r="AG29" s="711" t="s">
        <v>441</v>
      </c>
      <c r="AH29" s="712"/>
      <c r="AI29" s="711" t="s">
        <v>434</v>
      </c>
      <c r="AJ29" s="712"/>
    </row>
    <row r="30" spans="1:36" ht="15.75" customHeight="1" thickBot="1">
      <c r="A30" s="709" t="s">
        <v>442</v>
      </c>
      <c r="B30" s="696"/>
      <c r="C30" s="696"/>
      <c r="D30" s="696"/>
      <c r="E30" s="696"/>
      <c r="F30" s="710"/>
      <c r="G30" s="17"/>
      <c r="H30" s="17"/>
      <c r="I30" s="17"/>
      <c r="J30" s="17"/>
      <c r="K30" s="17"/>
      <c r="L30" s="17"/>
      <c r="M30" s="17"/>
      <c r="N30" s="17"/>
      <c r="O30" s="17"/>
      <c r="P30" s="17"/>
      <c r="Q30" s="16"/>
      <c r="R30" s="17"/>
      <c r="S30" s="17"/>
      <c r="T30" s="17"/>
      <c r="U30" s="17"/>
      <c r="V30" s="17"/>
      <c r="W30" s="17"/>
      <c r="X30" s="17"/>
      <c r="Y30" s="17"/>
      <c r="Z30" s="17"/>
      <c r="AA30" s="17"/>
      <c r="AB30" s="17"/>
      <c r="AC30" s="17"/>
      <c r="AD30" s="244" t="str">
        <f>IF($B$12="individual",Constants!F55,Constants!L55)</f>
        <v>member count</v>
      </c>
      <c r="AE30" s="244">
        <f>B7</f>
        <v>35</v>
      </c>
      <c r="AF30" s="269">
        <f>IF(AE30&gt;=301,5,IF(AE30&gt;=176,4,IF(AE30&gt;=101,3,IF(AE30&gt;=51,2,1))))</f>
        <v>1</v>
      </c>
      <c r="AG30" s="560"/>
      <c r="AH30" s="560"/>
      <c r="AI30" s="560" t="s">
        <v>443</v>
      </c>
      <c r="AJ30" s="560"/>
    </row>
    <row r="31" spans="1:36" ht="15" customHeight="1" thickBot="1">
      <c r="A31" s="709" t="s">
        <v>444</v>
      </c>
      <c r="B31" s="696"/>
      <c r="C31" s="696"/>
      <c r="D31" s="696"/>
      <c r="E31" s="696"/>
      <c r="F31" s="710"/>
      <c r="G31" s="17"/>
      <c r="H31" s="17"/>
      <c r="I31" s="17"/>
      <c r="J31" s="17"/>
      <c r="K31" s="17"/>
      <c r="L31" s="17"/>
      <c r="M31" s="17"/>
      <c r="N31" s="17"/>
      <c r="O31" s="17"/>
      <c r="P31" s="17"/>
      <c r="Q31" s="16"/>
      <c r="R31" s="17"/>
      <c r="S31" s="17"/>
      <c r="T31" s="17"/>
      <c r="U31" s="17"/>
      <c r="V31" s="17"/>
      <c r="W31" s="17"/>
      <c r="X31" s="17"/>
      <c r="Y31" s="17"/>
      <c r="Z31" s="17"/>
      <c r="AA31" s="17"/>
      <c r="AB31" s="17"/>
      <c r="AC31" s="17"/>
      <c r="AD31" s="244" t="str">
        <f>IF($B$12="individual",Constants!F56,Constants!L56)</f>
        <v>number of trainings per week</v>
      </c>
      <c r="AE31" s="244" cm="1">
        <f t="array" ref="AE31">SUMPRODUCT(C55:C67*D55:D67)/42</f>
        <v>3.0476190476190474</v>
      </c>
      <c r="AF31" s="270">
        <f>IF(AE31&gt;=4,3,IF(AE31&gt;=3,2,IF(AE31&gt;=2,1,0)))</f>
        <v>2</v>
      </c>
      <c r="AG31" s="560"/>
      <c r="AH31" s="560"/>
      <c r="AI31" s="560"/>
      <c r="AJ31" s="560"/>
    </row>
    <row r="32" spans="1:36" ht="15.75" customHeight="1" thickBot="1">
      <c r="A32" s="709" t="s">
        <v>445</v>
      </c>
      <c r="B32" s="696"/>
      <c r="C32" s="696"/>
      <c r="D32" s="696"/>
      <c r="E32" s="696"/>
      <c r="F32" s="710"/>
      <c r="G32" s="17"/>
      <c r="H32" s="16"/>
      <c r="I32" s="16"/>
      <c r="J32" s="16"/>
      <c r="K32" s="17"/>
      <c r="L32" s="17"/>
      <c r="M32" s="17"/>
      <c r="N32" s="17"/>
      <c r="O32" s="17"/>
      <c r="P32" s="17"/>
      <c r="Q32" s="16"/>
      <c r="R32" s="17"/>
      <c r="S32" s="17"/>
      <c r="T32" s="17"/>
      <c r="U32" s="17"/>
      <c r="V32" s="17"/>
      <c r="W32" s="17"/>
      <c r="X32" s="17"/>
      <c r="Y32" s="17"/>
      <c r="Z32" s="17"/>
      <c r="AA32" s="17"/>
      <c r="AB32" s="17"/>
      <c r="AC32" s="17"/>
      <c r="AD32" s="244" t="str">
        <f>IF($B$12="individual",Constants!F57,Constants!L57)</f>
        <v>number of trainings weeks per year</v>
      </c>
      <c r="AE32" s="252">
        <v>42</v>
      </c>
      <c r="AF32" s="250">
        <f>IF(AE32&gt;=40,3,IF(AE32&gt;=35,2,1))</f>
        <v>3</v>
      </c>
      <c r="AG32" s="560"/>
      <c r="AH32" s="560"/>
      <c r="AI32" s="560"/>
      <c r="AJ32" s="560"/>
    </row>
    <row r="33" spans="1:58" ht="15.75" customHeight="1" thickBot="1">
      <c r="A33" s="93" t="s">
        <v>446</v>
      </c>
      <c r="F33" s="94"/>
      <c r="G33" s="17"/>
      <c r="H33" s="16"/>
      <c r="I33" s="16"/>
      <c r="J33" s="16"/>
      <c r="K33" s="17"/>
      <c r="L33" s="17"/>
      <c r="M33" s="17"/>
      <c r="N33" s="17"/>
      <c r="O33" s="17"/>
      <c r="P33" s="17"/>
      <c r="Q33" s="16"/>
      <c r="R33" s="17"/>
      <c r="S33" s="17"/>
      <c r="T33" s="17"/>
      <c r="U33" s="17"/>
      <c r="V33" s="17"/>
      <c r="W33" s="17"/>
      <c r="X33" s="17"/>
      <c r="Y33" s="17"/>
      <c r="Z33" s="17"/>
      <c r="AA33" s="17"/>
      <c r="AB33" s="17"/>
      <c r="AC33" s="17"/>
      <c r="AD33" s="244" t="str">
        <f>IF($B$12="individual",Constants!F58,Constants!L58)</f>
        <v>number of training hours by RT / PT-V</v>
      </c>
      <c r="AE33" s="251">
        <f>(SUMIF(H55:H67,"RT",F55:F67)+SUMIF(H55:H67,"PT-V",F55:F67))/SUM(F55:F67)</f>
        <v>0.5</v>
      </c>
      <c r="AF33" s="270">
        <f>IF(AE33&gt;0.9,3,IF(AE33&gt;0.6,2,IF(AE33&gt;0.3,1,0)))</f>
        <v>1</v>
      </c>
      <c r="AG33" s="560"/>
      <c r="AH33" s="560"/>
      <c r="AI33" s="560"/>
      <c r="AJ33" s="560"/>
    </row>
    <row r="34" spans="1:58" ht="15.75" customHeight="1" thickBot="1">
      <c r="A34" s="713" t="s">
        <v>447</v>
      </c>
      <c r="B34" s="714"/>
      <c r="C34" s="714"/>
      <c r="D34" s="714"/>
      <c r="E34" s="714"/>
      <c r="F34" s="715"/>
      <c r="G34" s="17"/>
      <c r="H34" s="16"/>
      <c r="I34" s="16"/>
      <c r="J34" s="16"/>
      <c r="K34" s="17"/>
      <c r="L34" s="17"/>
      <c r="M34" s="17"/>
      <c r="N34" s="17"/>
      <c r="O34" s="17"/>
      <c r="P34" s="17"/>
      <c r="Q34" s="16"/>
      <c r="R34" s="17"/>
      <c r="S34" s="17"/>
      <c r="T34" s="17"/>
      <c r="U34" s="17"/>
      <c r="V34" s="17"/>
      <c r="W34" s="17"/>
      <c r="X34" s="17"/>
      <c r="Y34" s="17"/>
      <c r="Z34" s="17"/>
      <c r="AA34" s="17"/>
      <c r="AB34" s="17"/>
      <c r="AC34" s="17"/>
      <c r="AD34" s="244" t="str">
        <f>IF($B$12="individual",Constants!F59,Constants!L59)</f>
        <v>number of training groups / teams</v>
      </c>
      <c r="AE34" s="244">
        <f>B10</f>
        <v>2</v>
      </c>
      <c r="AF34" s="271">
        <f>IF(AE34&gt;9,3,IF(AE34&gt;4,2,IF(AE34&gt;2,1,0)))</f>
        <v>0</v>
      </c>
      <c r="AG34" s="560"/>
      <c r="AH34" s="560"/>
      <c r="AI34" s="560"/>
      <c r="AJ34" s="560"/>
    </row>
    <row r="35" spans="1:58" ht="15.75" customHeight="1" thickTop="1" thickBot="1">
      <c r="A35" s="16"/>
      <c r="G35" s="17"/>
      <c r="H35" s="16"/>
      <c r="I35" s="16"/>
      <c r="J35" s="16"/>
      <c r="K35" s="17"/>
      <c r="L35" s="17"/>
      <c r="M35" s="17"/>
      <c r="N35" s="17"/>
      <c r="O35" s="17"/>
      <c r="P35" s="17"/>
      <c r="Q35" s="16"/>
      <c r="R35" s="17"/>
      <c r="S35" s="17"/>
      <c r="T35" s="17"/>
      <c r="U35" s="17"/>
      <c r="V35" s="17"/>
      <c r="W35" s="17"/>
      <c r="X35" s="17"/>
      <c r="Y35" s="17"/>
      <c r="Z35" s="17"/>
      <c r="AA35" s="17"/>
      <c r="AB35" s="17"/>
      <c r="AC35" s="17"/>
      <c r="AD35" s="244" t="str">
        <f>IF($B$12="individual",Constants!F60,Constants!L60)</f>
        <v>number of competitions organised</v>
      </c>
      <c r="AE35" s="249">
        <v>1</v>
      </c>
      <c r="AF35" s="271">
        <f>IF(AE35&gt;=4,5,IF(AE35&gt;=2,3,IF(AE35&gt;=1,1,0)))</f>
        <v>1</v>
      </c>
      <c r="AG35" s="560"/>
      <c r="AH35" s="560"/>
      <c r="AI35" s="560"/>
      <c r="AJ35" s="560"/>
    </row>
    <row r="36" spans="1:58" ht="15.75" customHeight="1" thickBot="1">
      <c r="A36" s="179" t="s">
        <v>448</v>
      </c>
      <c r="B36" s="16"/>
      <c r="C36" s="16"/>
      <c r="D36" s="16"/>
      <c r="E36" s="16"/>
      <c r="F36" s="16"/>
      <c r="G36" s="16"/>
      <c r="H36" s="16"/>
      <c r="I36" s="16"/>
      <c r="J36" s="16"/>
      <c r="K36" s="16"/>
      <c r="L36" s="16"/>
      <c r="M36" s="16"/>
      <c r="N36" s="16"/>
      <c r="O36" s="16"/>
      <c r="P36" s="16"/>
      <c r="Q36" s="16"/>
      <c r="R36" s="16"/>
      <c r="S36" s="16"/>
      <c r="T36" s="16"/>
      <c r="U36" s="16"/>
      <c r="V36" s="16"/>
      <c r="W36" s="16"/>
      <c r="X36" s="16"/>
      <c r="Y36" s="16"/>
      <c r="Z36" s="16"/>
      <c r="AA36" s="16"/>
      <c r="AB36" s="18"/>
      <c r="AC36" s="16"/>
      <c r="AD36" s="244" t="str">
        <f>IF($B$12="individual",Constants!F61,Constants!L61)</f>
        <v>number of social activities</v>
      </c>
      <c r="AE36" s="249">
        <v>10</v>
      </c>
      <c r="AF36" s="271">
        <f>IF(AE36&gt;=20,2,IF(AE36&gt;=10,1,0))</f>
        <v>1</v>
      </c>
      <c r="AG36" s="560"/>
      <c r="AH36" s="560"/>
      <c r="AI36" s="560"/>
      <c r="AJ36" s="560"/>
    </row>
    <row r="37" spans="1:58" ht="15" customHeight="1" thickTop="1" thickBot="1">
      <c r="A37" s="258" t="s">
        <v>449</v>
      </c>
      <c r="B37" s="259" t="s">
        <v>450</v>
      </c>
      <c r="C37" s="258" t="s">
        <v>451</v>
      </c>
      <c r="D37" s="258" t="s">
        <v>452</v>
      </c>
      <c r="E37" s="258" t="s">
        <v>453</v>
      </c>
      <c r="F37" s="258" t="s">
        <v>454</v>
      </c>
      <c r="G37" s="259" t="s">
        <v>455</v>
      </c>
      <c r="H37" s="561" t="s">
        <v>456</v>
      </c>
      <c r="I37" s="716"/>
      <c r="J37" s="717"/>
      <c r="K37" s="98"/>
      <c r="L37" s="98"/>
      <c r="M37" s="98"/>
      <c r="N37" s="98"/>
      <c r="O37" s="98"/>
      <c r="P37" s="98"/>
      <c r="Q37" s="98"/>
      <c r="R37" s="98"/>
      <c r="S37" s="98"/>
      <c r="T37" s="98"/>
      <c r="U37" s="96"/>
      <c r="V37" s="96"/>
      <c r="W37" s="96"/>
      <c r="X37" s="96"/>
      <c r="Y37" s="99"/>
      <c r="Z37" s="96"/>
      <c r="AA37" s="96"/>
      <c r="AB37" s="100"/>
      <c r="AC37" s="100"/>
      <c r="AD37" s="244" t="str">
        <f>IF($B$12="individual",Constants!F62,Constants!L62)</f>
        <v>number of bar days</v>
      </c>
      <c r="AE37" s="249">
        <v>10</v>
      </c>
      <c r="AF37" s="271">
        <f>IF(AE37&gt;=15,2,IF(AE37&gt;=8,1,0))</f>
        <v>1</v>
      </c>
      <c r="AG37" s="560"/>
      <c r="AH37" s="560"/>
      <c r="AI37" s="560"/>
      <c r="AJ37" s="560"/>
      <c r="AK37" s="100"/>
      <c r="AL37" s="100"/>
      <c r="AM37" s="100"/>
      <c r="AN37" s="100"/>
      <c r="AO37" s="100"/>
      <c r="AP37" s="100"/>
      <c r="AQ37" s="100"/>
      <c r="AR37" s="100"/>
      <c r="AS37" s="100"/>
      <c r="AT37" s="100"/>
      <c r="AU37" s="100"/>
      <c r="AV37" s="100"/>
      <c r="AW37" s="100"/>
      <c r="AX37" s="100"/>
      <c r="AY37" s="100"/>
      <c r="AZ37" s="100"/>
      <c r="BA37" s="100"/>
      <c r="BB37" s="100"/>
      <c r="BC37" s="100"/>
      <c r="BD37" s="100"/>
      <c r="BE37" s="100"/>
      <c r="BF37" s="100"/>
    </row>
    <row r="38" spans="1:58" ht="14.25" customHeight="1" thickTop="1" thickBot="1">
      <c r="A38" s="312" t="s">
        <v>1081</v>
      </c>
      <c r="B38" s="323">
        <v>26</v>
      </c>
      <c r="C38" s="312">
        <v>2</v>
      </c>
      <c r="D38" s="312">
        <v>42</v>
      </c>
      <c r="E38" s="312" t="s">
        <v>55</v>
      </c>
      <c r="F38" s="324" t="s">
        <v>1082</v>
      </c>
      <c r="G38" s="323"/>
      <c r="H38" s="618"/>
      <c r="I38" s="741"/>
      <c r="J38" s="742"/>
      <c r="K38" s="16"/>
      <c r="L38" s="16"/>
      <c r="M38" s="16"/>
      <c r="N38" s="16"/>
      <c r="O38" s="16"/>
      <c r="P38" s="16"/>
      <c r="Q38" s="16"/>
      <c r="R38" s="16"/>
      <c r="S38" s="16"/>
      <c r="T38" s="16"/>
      <c r="U38" s="16"/>
      <c r="V38" s="16"/>
      <c r="W38" s="16"/>
      <c r="X38" s="16"/>
      <c r="Y38" s="17"/>
      <c r="Z38" s="16"/>
      <c r="AA38" s="16"/>
      <c r="AD38" s="244" t="str">
        <f>IF($B$12="individual",Constants!F63,Constants!L63)</f>
        <v>own bar / extra location</v>
      </c>
      <c r="AE38" s="249">
        <v>0</v>
      </c>
      <c r="AF38" s="271">
        <f>IF(AE38&gt;=15,2,IF(AE38&gt;=8,1,0))</f>
        <v>0</v>
      </c>
      <c r="AG38" s="560"/>
      <c r="AH38" s="560"/>
      <c r="AI38" s="560"/>
      <c r="AJ38" s="560"/>
    </row>
    <row r="39" spans="1:58" ht="14.25" customHeight="1" thickBot="1">
      <c r="A39" s="312" t="s">
        <v>1083</v>
      </c>
      <c r="B39" s="323">
        <v>25</v>
      </c>
      <c r="C39" s="312">
        <v>2</v>
      </c>
      <c r="D39" s="312">
        <v>42</v>
      </c>
      <c r="E39" s="328" t="s">
        <v>57</v>
      </c>
      <c r="F39" s="327" t="s">
        <v>1084</v>
      </c>
      <c r="G39" s="325"/>
      <c r="H39" s="743"/>
      <c r="I39" s="744"/>
      <c r="J39" s="745"/>
      <c r="K39" s="16"/>
      <c r="L39" s="16"/>
      <c r="M39" s="16"/>
      <c r="N39" s="16"/>
      <c r="O39" s="16"/>
      <c r="P39" s="16"/>
      <c r="Q39" s="16"/>
      <c r="R39" s="16"/>
      <c r="S39" s="16"/>
      <c r="T39" s="16"/>
      <c r="U39" s="16"/>
      <c r="V39" s="16"/>
      <c r="W39" s="16"/>
      <c r="X39" s="16"/>
      <c r="Y39" s="17"/>
      <c r="Z39" s="16"/>
      <c r="AA39" s="16"/>
      <c r="AD39" s="244" t="str">
        <f>IF($B$12="individual",Constants!F65,Constants!L64)</f>
        <v>number of facilities used</v>
      </c>
      <c r="AE39" s="249">
        <v>3</v>
      </c>
      <c r="AF39" s="273">
        <f>IF(B12="individual", IF(AE39&gt;10, 5, IF(AE39&gt;6, 3, IF(AE39&gt;2, 1, 0))), IF(AE39&gt;3, 3, IF(AE39&gt;1, 2, 1)))</f>
        <v>2</v>
      </c>
      <c r="AG39" s="560"/>
      <c r="AH39" s="560"/>
      <c r="AI39" s="560"/>
      <c r="AJ39" s="560"/>
    </row>
    <row r="40" spans="1:58" ht="15.75" customHeight="1" thickBot="1">
      <c r="A40" s="231"/>
      <c r="B40" s="232"/>
      <c r="C40" s="231"/>
      <c r="D40" s="232"/>
      <c r="E40" s="245"/>
      <c r="F40" s="261"/>
      <c r="G40" s="231"/>
      <c r="H40" s="743"/>
      <c r="I40" s="744"/>
      <c r="J40" s="745"/>
      <c r="K40" s="16"/>
      <c r="L40" s="16"/>
      <c r="M40" s="16"/>
      <c r="N40" s="16"/>
      <c r="O40" s="16"/>
      <c r="P40" s="16"/>
      <c r="Q40" s="16"/>
      <c r="R40" s="16"/>
      <c r="S40" s="16"/>
      <c r="T40" s="16"/>
      <c r="U40" s="16"/>
      <c r="V40" s="16"/>
      <c r="W40" s="16"/>
      <c r="X40" s="16"/>
      <c r="Y40" s="16"/>
      <c r="Z40" s="16"/>
      <c r="AA40" s="16"/>
      <c r="AD40" s="231" t="str">
        <f>IF($B$12="individual",Constants!F64,Constants!L65)</f>
        <v>ratio of competing teams / training teams</v>
      </c>
      <c r="AE40" s="231">
        <f>IF(AD40="n/a","",COUNTA(A46:A50)/COUNTA(A38:A42))</f>
        <v>0.5</v>
      </c>
      <c r="AF40" s="272">
        <f>IF(B12="group", IF(AE40&gt;0.15, 5, IF(AE40&gt;0.1, 3, IF(AE40&gt;0.05, 1, 0))), " ")</f>
        <v>5</v>
      </c>
      <c r="AG40" s="560"/>
      <c r="AH40" s="560"/>
      <c r="AI40" s="560"/>
      <c r="AJ40" s="560"/>
    </row>
    <row r="41" spans="1:58" ht="15.75" customHeight="1" thickBot="1">
      <c r="A41" s="231"/>
      <c r="B41" s="232"/>
      <c r="C41" s="231"/>
      <c r="D41" s="232"/>
      <c r="E41" s="245"/>
      <c r="F41" s="261"/>
      <c r="G41" s="231"/>
      <c r="H41" s="743"/>
      <c r="I41" s="744"/>
      <c r="J41" s="745"/>
      <c r="K41" s="16"/>
      <c r="L41" s="16"/>
      <c r="M41" s="16"/>
      <c r="N41" s="16"/>
      <c r="O41" s="16"/>
      <c r="P41" s="16"/>
      <c r="Q41" s="16"/>
      <c r="R41" s="16"/>
      <c r="S41" s="16"/>
      <c r="T41" s="16"/>
      <c r="U41" s="16"/>
      <c r="V41" s="16"/>
      <c r="W41" s="16"/>
      <c r="X41" s="16"/>
      <c r="Y41" s="16"/>
      <c r="Z41" s="16"/>
      <c r="AA41" s="16"/>
      <c r="AD41" s="16"/>
      <c r="AE41" s="275" t="s">
        <v>461</v>
      </c>
      <c r="AF41" s="277">
        <f>SUM(AF30:AF40)</f>
        <v>17</v>
      </c>
      <c r="AG41" s="247"/>
      <c r="AH41" s="245"/>
      <c r="AI41" s="246"/>
      <c r="AJ41" s="247"/>
    </row>
    <row r="42" spans="1:58" ht="15.75" customHeight="1" thickBot="1">
      <c r="A42" s="231"/>
      <c r="B42" s="326"/>
      <c r="C42" s="245"/>
      <c r="D42" s="232"/>
      <c r="E42" s="261"/>
      <c r="F42" s="261"/>
      <c r="G42" s="231"/>
      <c r="H42" s="746"/>
      <c r="I42" s="747"/>
      <c r="J42" s="748"/>
      <c r="K42" s="16"/>
      <c r="L42" s="16"/>
      <c r="M42" s="16"/>
      <c r="N42" s="16"/>
      <c r="O42" s="16"/>
      <c r="P42" s="16"/>
      <c r="Q42" s="16"/>
      <c r="R42" s="16"/>
      <c r="S42" s="16"/>
      <c r="T42" s="16"/>
      <c r="U42" s="16"/>
      <c r="V42" s="16"/>
      <c r="W42" s="16"/>
      <c r="X42" s="16"/>
      <c r="Y42" s="16"/>
      <c r="Z42" s="16"/>
      <c r="AA42" s="16"/>
    </row>
    <row r="43" spans="1:58" ht="15.75" customHeight="1" thickTop="1">
      <c r="A43" s="18"/>
      <c r="B43" s="18"/>
      <c r="C43" s="18"/>
      <c r="D43" s="18"/>
      <c r="E43" s="18"/>
      <c r="F43" s="18"/>
      <c r="G43" s="17"/>
      <c r="H43" s="17"/>
      <c r="I43" s="17"/>
      <c r="J43" s="17"/>
      <c r="K43" s="17"/>
      <c r="L43" s="17"/>
      <c r="M43" s="17"/>
      <c r="N43" s="17"/>
      <c r="O43" s="17"/>
      <c r="P43" s="17"/>
      <c r="Q43" s="16"/>
      <c r="R43" s="17"/>
      <c r="S43" s="17"/>
      <c r="T43" s="17"/>
      <c r="U43" s="17"/>
      <c r="V43" s="17"/>
      <c r="W43" s="17"/>
      <c r="X43" s="17"/>
      <c r="Y43" s="17"/>
      <c r="Z43" s="17"/>
      <c r="AA43" s="17"/>
      <c r="AB43" s="17"/>
      <c r="AC43" s="17"/>
      <c r="AD43" s="17"/>
    </row>
    <row r="44" spans="1:58" ht="15.75" customHeight="1" thickBot="1">
      <c r="A44" s="179" t="s">
        <v>462</v>
      </c>
      <c r="B44" s="169"/>
      <c r="C44" s="16"/>
      <c r="D44" s="16"/>
      <c r="E44" s="16"/>
      <c r="F44" s="16"/>
      <c r="G44" s="16"/>
      <c r="H44" s="16"/>
      <c r="I44" s="16"/>
      <c r="J44" s="16"/>
      <c r="K44" s="16"/>
      <c r="L44" s="16"/>
      <c r="M44" s="16"/>
      <c r="N44" s="16"/>
      <c r="O44" s="16"/>
      <c r="P44" s="16"/>
      <c r="Q44" s="16"/>
      <c r="R44" s="16"/>
      <c r="S44" s="16"/>
      <c r="T44" s="16"/>
      <c r="U44" s="16"/>
      <c r="V44" s="16"/>
      <c r="W44" s="16"/>
      <c r="X44" s="16"/>
      <c r="Y44" s="16"/>
      <c r="Z44" s="16"/>
      <c r="AA44" s="16"/>
      <c r="AB44" s="18"/>
      <c r="AC44" s="16"/>
      <c r="AD44" s="16"/>
    </row>
    <row r="45" spans="1:58" ht="15" customHeight="1" thickTop="1" thickBot="1">
      <c r="A45" s="258" t="s">
        <v>449</v>
      </c>
      <c r="B45" s="259" t="s">
        <v>450</v>
      </c>
      <c r="C45" s="258" t="s">
        <v>463</v>
      </c>
      <c r="D45" s="258" t="s">
        <v>464</v>
      </c>
      <c r="E45" s="258" t="s">
        <v>465</v>
      </c>
      <c r="F45" s="258" t="s">
        <v>466</v>
      </c>
      <c r="G45" s="258" t="s">
        <v>467</v>
      </c>
      <c r="H45" s="259" t="s">
        <v>455</v>
      </c>
      <c r="I45" s="561" t="s">
        <v>456</v>
      </c>
      <c r="J45" s="716"/>
      <c r="K45" s="717"/>
      <c r="L45" s="98"/>
      <c r="M45" s="98"/>
      <c r="N45" s="98"/>
      <c r="O45" s="98"/>
      <c r="P45" s="98"/>
      <c r="Q45" s="98"/>
      <c r="R45" s="98"/>
      <c r="S45" s="98"/>
      <c r="T45" s="98"/>
      <c r="U45" s="98"/>
      <c r="V45" s="96"/>
      <c r="W45" s="96"/>
      <c r="X45" s="96"/>
      <c r="Y45" s="96"/>
      <c r="Z45" s="99"/>
      <c r="AA45" s="96"/>
      <c r="AB45" s="96"/>
      <c r="AC45" s="100"/>
      <c r="AD45" s="100"/>
      <c r="AE45" s="100"/>
      <c r="AF45" s="100"/>
      <c r="AG45" s="100"/>
      <c r="AH45" s="100"/>
      <c r="AI45" s="100"/>
      <c r="AJ45" s="100"/>
      <c r="AK45" s="100"/>
      <c r="AL45" s="100"/>
      <c r="AM45" s="100"/>
      <c r="AN45" s="100"/>
      <c r="AO45" s="100"/>
      <c r="AP45" s="100"/>
      <c r="AQ45" s="100"/>
      <c r="AR45" s="100"/>
      <c r="AS45" s="100"/>
      <c r="AT45" s="100"/>
      <c r="AU45" s="100"/>
      <c r="AV45" s="100"/>
      <c r="AW45" s="100"/>
      <c r="AX45" s="100"/>
      <c r="AY45" s="100"/>
      <c r="AZ45" s="100"/>
      <c r="BA45" s="100"/>
      <c r="BB45" s="100"/>
      <c r="BC45" s="100"/>
      <c r="BD45" s="100"/>
      <c r="BE45" s="100"/>
      <c r="BF45" s="100"/>
    </row>
    <row r="46" spans="1:58" ht="14.25" customHeight="1" thickTop="1">
      <c r="A46" s="312" t="s">
        <v>1083</v>
      </c>
      <c r="B46" s="323">
        <v>25</v>
      </c>
      <c r="C46" s="312" t="s">
        <v>1085</v>
      </c>
      <c r="D46" s="312" t="s">
        <v>57</v>
      </c>
      <c r="E46" s="327">
        <v>1</v>
      </c>
      <c r="F46" s="327">
        <v>1.5</v>
      </c>
      <c r="G46" s="323" t="s">
        <v>471</v>
      </c>
      <c r="H46" s="323" t="s">
        <v>1086</v>
      </c>
      <c r="I46" s="618"/>
      <c r="J46" s="741"/>
      <c r="K46" s="742"/>
      <c r="L46" s="16"/>
      <c r="M46" s="16"/>
      <c r="N46" s="16"/>
      <c r="O46" s="16"/>
      <c r="P46" s="16"/>
      <c r="Q46" s="16"/>
      <c r="R46" s="16"/>
      <c r="S46" s="16"/>
      <c r="T46" s="16"/>
      <c r="U46" s="16"/>
      <c r="V46" s="16"/>
      <c r="W46" s="16"/>
      <c r="X46" s="16"/>
      <c r="Y46" s="16"/>
      <c r="Z46" s="17"/>
      <c r="AA46" s="16"/>
      <c r="AB46" s="16"/>
    </row>
    <row r="47" spans="1:58" ht="14.25" customHeight="1">
      <c r="A47" s="312"/>
      <c r="B47" s="323"/>
      <c r="C47" s="312"/>
      <c r="D47" s="312"/>
      <c r="E47" s="328"/>
      <c r="F47" s="327"/>
      <c r="G47" s="323"/>
      <c r="H47" s="323"/>
      <c r="I47" s="743"/>
      <c r="J47" s="744"/>
      <c r="K47" s="745"/>
      <c r="L47" s="16"/>
      <c r="M47" s="16"/>
      <c r="N47" s="16"/>
      <c r="O47" s="16"/>
      <c r="P47" s="16"/>
      <c r="Q47" s="16"/>
      <c r="R47" s="16"/>
      <c r="S47" s="16"/>
      <c r="T47" s="16"/>
      <c r="U47" s="16"/>
      <c r="V47" s="16"/>
      <c r="W47" s="16"/>
      <c r="X47" s="16"/>
      <c r="Y47" s="16"/>
      <c r="Z47" s="17"/>
      <c r="AA47" s="16"/>
      <c r="AB47" s="16"/>
    </row>
    <row r="48" spans="1:58" ht="15.75" customHeight="1">
      <c r="A48" s="323"/>
      <c r="B48" s="323"/>
      <c r="C48" s="323"/>
      <c r="D48" s="312"/>
      <c r="E48" s="328"/>
      <c r="F48" s="327"/>
      <c r="G48" s="329"/>
      <c r="H48" s="323"/>
      <c r="I48" s="743"/>
      <c r="J48" s="744"/>
      <c r="K48" s="745"/>
      <c r="L48" s="16"/>
      <c r="M48" s="16"/>
      <c r="N48" s="16"/>
      <c r="O48" s="16"/>
      <c r="P48" s="16"/>
      <c r="Q48" s="16"/>
      <c r="R48" s="16"/>
      <c r="S48" s="16"/>
      <c r="T48" s="16"/>
      <c r="U48" s="16"/>
      <c r="V48" s="16"/>
      <c r="W48" s="16"/>
      <c r="X48" s="16"/>
      <c r="Y48" s="16"/>
      <c r="Z48" s="16"/>
      <c r="AA48" s="16"/>
      <c r="AB48" s="16"/>
    </row>
    <row r="49" spans="1:30" ht="15.75" customHeight="1">
      <c r="A49" s="231"/>
      <c r="B49" s="232"/>
      <c r="C49" s="231"/>
      <c r="D49" s="269"/>
      <c r="E49" s="245"/>
      <c r="F49" s="261"/>
      <c r="G49" s="263"/>
      <c r="H49" s="231"/>
      <c r="I49" s="743"/>
      <c r="J49" s="744"/>
      <c r="K49" s="745"/>
      <c r="L49" s="16"/>
      <c r="M49" s="16"/>
      <c r="N49" s="16"/>
      <c r="O49" s="16"/>
      <c r="P49" s="16"/>
      <c r="Q49" s="16"/>
      <c r="R49" s="16"/>
      <c r="S49" s="16"/>
      <c r="T49" s="16"/>
      <c r="U49" s="16"/>
      <c r="V49" s="16"/>
      <c r="W49" s="16"/>
      <c r="X49" s="16"/>
      <c r="Y49" s="16"/>
      <c r="Z49" s="16"/>
      <c r="AA49" s="16"/>
      <c r="AB49" s="16"/>
    </row>
    <row r="50" spans="1:30" ht="15.75" customHeight="1" thickBot="1">
      <c r="A50" s="231"/>
      <c r="B50" s="326"/>
      <c r="C50" s="245"/>
      <c r="D50" s="245"/>
      <c r="E50" s="261"/>
      <c r="F50" s="261"/>
      <c r="G50" s="263"/>
      <c r="H50" s="231"/>
      <c r="I50" s="746"/>
      <c r="J50" s="747"/>
      <c r="K50" s="748"/>
      <c r="L50" s="16"/>
      <c r="M50" s="16"/>
      <c r="N50" s="16"/>
      <c r="O50" s="16"/>
      <c r="P50" s="16"/>
      <c r="Q50" s="16"/>
      <c r="R50" s="16"/>
      <c r="S50" s="16"/>
      <c r="T50" s="16"/>
      <c r="U50" s="16"/>
      <c r="V50" s="16"/>
      <c r="W50" s="16"/>
      <c r="X50" s="16"/>
      <c r="Y50" s="16"/>
      <c r="Z50" s="16"/>
      <c r="AA50" s="16"/>
      <c r="AB50" s="16"/>
    </row>
    <row r="51" spans="1:30" ht="15.75" customHeight="1" thickTop="1">
      <c r="A51" s="15"/>
      <c r="B51" s="16"/>
      <c r="C51" s="16"/>
      <c r="D51" s="16"/>
      <c r="E51" s="16"/>
      <c r="F51" s="16"/>
      <c r="G51" s="16"/>
      <c r="H51" s="16"/>
      <c r="I51" s="16"/>
      <c r="J51" s="16"/>
      <c r="K51" s="16"/>
      <c r="L51" s="16"/>
      <c r="M51" s="16"/>
      <c r="N51" s="16"/>
      <c r="O51" s="16"/>
      <c r="P51" s="16"/>
      <c r="Q51" s="16"/>
      <c r="R51" s="16"/>
      <c r="S51" s="16"/>
      <c r="T51" s="16"/>
      <c r="U51" s="16"/>
      <c r="V51" s="16"/>
      <c r="W51" s="16"/>
      <c r="X51" s="16"/>
      <c r="Y51" s="16"/>
      <c r="Z51" s="16"/>
      <c r="AA51" s="16"/>
      <c r="AB51" s="16"/>
      <c r="AC51" s="16"/>
      <c r="AD51" s="16"/>
    </row>
    <row r="52" spans="1:30" ht="15.75" customHeight="1">
      <c r="A52" s="15"/>
      <c r="B52" s="16"/>
      <c r="C52" s="16"/>
      <c r="D52" s="16"/>
      <c r="E52" s="16"/>
      <c r="F52" s="16"/>
      <c r="G52" s="16"/>
      <c r="H52" s="16"/>
      <c r="I52" s="16"/>
      <c r="J52" s="16"/>
      <c r="K52" s="16"/>
      <c r="L52" s="16"/>
      <c r="M52" s="16"/>
      <c r="N52" s="16"/>
      <c r="O52" s="16"/>
      <c r="P52" s="16"/>
      <c r="Q52" s="16"/>
      <c r="W52" s="16"/>
      <c r="X52" s="16"/>
      <c r="Y52" s="16"/>
      <c r="Z52" s="16"/>
      <c r="AA52" s="16"/>
      <c r="AB52" s="16"/>
      <c r="AC52" s="16"/>
      <c r="AD52" s="16"/>
    </row>
    <row r="53" spans="1:30" ht="15.75" customHeight="1" thickBot="1">
      <c r="A53" s="186" t="s">
        <v>475</v>
      </c>
      <c r="B53" s="231"/>
      <c r="C53" s="231"/>
      <c r="D53" s="231"/>
      <c r="E53" s="231"/>
      <c r="F53" s="231"/>
      <c r="G53" s="231"/>
      <c r="H53" s="231"/>
      <c r="I53" s="231"/>
      <c r="J53" s="231"/>
      <c r="K53" s="16"/>
      <c r="L53" s="16"/>
      <c r="M53" s="16"/>
      <c r="N53" s="16"/>
      <c r="O53" s="16"/>
      <c r="P53" s="16"/>
      <c r="Q53" s="16"/>
      <c r="W53" s="16"/>
      <c r="X53" s="16"/>
      <c r="Y53" s="16"/>
      <c r="Z53" s="16"/>
      <c r="AA53" s="16"/>
      <c r="AB53" s="16"/>
      <c r="AC53" s="16"/>
      <c r="AD53" s="16"/>
    </row>
    <row r="54" spans="1:30" ht="15.75" customHeight="1" thickTop="1" thickBot="1">
      <c r="A54" s="230" t="s">
        <v>476</v>
      </c>
      <c r="B54" s="230" t="s">
        <v>477</v>
      </c>
      <c r="C54" s="230" t="s">
        <v>478</v>
      </c>
      <c r="D54" s="230" t="s">
        <v>479</v>
      </c>
      <c r="E54" s="230" t="s">
        <v>480</v>
      </c>
      <c r="F54" s="230" t="s">
        <v>481</v>
      </c>
      <c r="G54" s="230" t="s">
        <v>482</v>
      </c>
      <c r="H54" s="230" t="s">
        <v>453</v>
      </c>
      <c r="I54" s="230" t="s">
        <v>483</v>
      </c>
      <c r="J54" s="230" t="s">
        <v>484</v>
      </c>
      <c r="K54" s="721" t="s">
        <v>485</v>
      </c>
      <c r="L54" s="716"/>
      <c r="M54" s="722"/>
      <c r="N54" s="15"/>
      <c r="O54" s="16"/>
      <c r="P54" s="16"/>
      <c r="Q54" s="16"/>
      <c r="W54" s="16"/>
      <c r="X54" s="16"/>
      <c r="Y54" s="16"/>
      <c r="Z54" s="16"/>
      <c r="AA54" s="16"/>
      <c r="AB54" s="16"/>
    </row>
    <row r="55" spans="1:30" ht="15" customHeight="1" thickTop="1">
      <c r="A55" s="319" t="s">
        <v>1087</v>
      </c>
      <c r="B55" s="319" t="s">
        <v>287</v>
      </c>
      <c r="C55" s="232">
        <v>22</v>
      </c>
      <c r="D55" s="232">
        <v>2</v>
      </c>
      <c r="E55" s="232">
        <v>1.5</v>
      </c>
      <c r="F55" s="279">
        <f>Table_4168296[[#This Row],['# Weeks]]*Table_4168296[[#This Row],[Total hours/week]]</f>
        <v>33</v>
      </c>
      <c r="G55" s="384" t="s">
        <v>1088</v>
      </c>
      <c r="H55" s="319" t="s">
        <v>55</v>
      </c>
      <c r="I55" s="339" t="str">
        <f t="shared" ref="I55:I67" si="2">IF(H55 = "PT-V","n/a",IF(H55 = "PT","n/a",IF(H55 = "RT","n/a",IF(OR(H55 = "Extern",H55 = "PT-ZZP"), "Please fill in", 0))))</f>
        <v>n/a</v>
      </c>
      <c r="J55" s="231" t="s">
        <v>1089</v>
      </c>
      <c r="K55" s="564" t="s">
        <v>1090</v>
      </c>
      <c r="L55" s="741"/>
      <c r="M55" s="742"/>
      <c r="N55" s="16"/>
      <c r="O55" s="16"/>
      <c r="P55" s="16"/>
      <c r="Q55" s="16"/>
      <c r="W55" s="16"/>
      <c r="X55" s="16"/>
      <c r="Y55" s="16"/>
      <c r="Z55" s="16"/>
      <c r="AA55" s="16"/>
      <c r="AB55" s="16"/>
    </row>
    <row r="56" spans="1:30" ht="15.75" customHeight="1">
      <c r="A56" s="231" t="s">
        <v>1091</v>
      </c>
      <c r="B56" s="319" t="s">
        <v>287</v>
      </c>
      <c r="C56" s="232">
        <v>20</v>
      </c>
      <c r="D56" s="232">
        <v>1</v>
      </c>
      <c r="E56" s="232">
        <v>1.5</v>
      </c>
      <c r="F56" s="262">
        <f>Table_4168296[[#This Row],['# Weeks]]*Table_4168296[[#This Row],[Total hours/week]]</f>
        <v>30</v>
      </c>
      <c r="G56" s="384" t="s">
        <v>1088</v>
      </c>
      <c r="H56" s="319" t="s">
        <v>55</v>
      </c>
      <c r="I56" s="339" t="str">
        <f t="shared" si="2"/>
        <v>n/a</v>
      </c>
      <c r="J56" s="231"/>
      <c r="K56" s="749"/>
      <c r="L56" s="744"/>
      <c r="M56" s="745"/>
      <c r="N56" s="16"/>
      <c r="O56" s="16"/>
      <c r="P56" s="16"/>
      <c r="Q56" s="16"/>
      <c r="W56" s="16"/>
      <c r="X56" s="16"/>
      <c r="Y56" s="16"/>
      <c r="Z56" s="16"/>
      <c r="AA56" s="16"/>
      <c r="AB56" s="16"/>
    </row>
    <row r="57" spans="1:30" ht="14.25" customHeight="1">
      <c r="A57" s="319" t="s">
        <v>1092</v>
      </c>
      <c r="B57" s="319" t="s">
        <v>278</v>
      </c>
      <c r="C57" s="232">
        <v>22</v>
      </c>
      <c r="D57" s="232">
        <v>2</v>
      </c>
      <c r="E57" s="232">
        <v>1.5</v>
      </c>
      <c r="F57" s="262">
        <f>Table_4168296[[#This Row],['# Weeks]]*Table_4168296[[#This Row],[Total hours/week]]</f>
        <v>33</v>
      </c>
      <c r="G57" s="319" t="s">
        <v>1093</v>
      </c>
      <c r="H57" s="319" t="s">
        <v>57</v>
      </c>
      <c r="I57" s="339" t="str">
        <f t="shared" si="2"/>
        <v>n/a</v>
      </c>
      <c r="J57" s="231"/>
      <c r="K57" s="749"/>
      <c r="L57" s="744"/>
      <c r="M57" s="745"/>
      <c r="N57" s="16"/>
      <c r="O57" s="16"/>
      <c r="P57" s="16"/>
      <c r="Q57" s="16"/>
      <c r="W57" s="16"/>
      <c r="X57" s="16"/>
      <c r="Y57" s="16"/>
      <c r="Z57" s="16"/>
      <c r="AA57" s="16"/>
      <c r="AB57" s="16"/>
    </row>
    <row r="58" spans="1:30" ht="15.75" customHeight="1">
      <c r="A58" s="319" t="s">
        <v>1094</v>
      </c>
      <c r="B58" s="319" t="s">
        <v>278</v>
      </c>
      <c r="C58" s="232">
        <v>20</v>
      </c>
      <c r="D58" s="232">
        <v>1</v>
      </c>
      <c r="E58" s="232">
        <v>1.5</v>
      </c>
      <c r="F58" s="262">
        <f>Table_4168296[[#This Row],['# Weeks]]*Table_4168296[[#This Row],[Total hours/week]]</f>
        <v>30</v>
      </c>
      <c r="G58" s="319" t="s">
        <v>1093</v>
      </c>
      <c r="H58" s="319" t="s">
        <v>57</v>
      </c>
      <c r="I58" s="339" t="str">
        <f t="shared" si="2"/>
        <v>n/a</v>
      </c>
      <c r="J58" s="231"/>
      <c r="K58" s="749"/>
      <c r="L58" s="744"/>
      <c r="M58" s="745"/>
      <c r="N58" s="16"/>
      <c r="O58" s="16"/>
      <c r="P58" s="16"/>
      <c r="Q58" s="16"/>
      <c r="W58" s="16"/>
      <c r="X58" s="16"/>
      <c r="Y58" s="16"/>
      <c r="Z58" s="16"/>
      <c r="AA58" s="16"/>
      <c r="AB58" s="16"/>
    </row>
    <row r="59" spans="1:30" ht="15.75" customHeight="1">
      <c r="A59" s="319"/>
      <c r="B59" s="319"/>
      <c r="C59" s="231"/>
      <c r="D59" s="231"/>
      <c r="E59" s="231"/>
      <c r="F59" s="319">
        <f>Table_4168296[[#This Row],['# Weeks]]*Table_4168296[[#This Row],[Total hours/week]]</f>
        <v>0</v>
      </c>
      <c r="G59" s="231"/>
      <c r="H59" s="319"/>
      <c r="I59" s="331">
        <f t="shared" si="2"/>
        <v>0</v>
      </c>
      <c r="J59" s="231"/>
      <c r="K59" s="749"/>
      <c r="L59" s="744"/>
      <c r="M59" s="745"/>
      <c r="N59" s="16"/>
      <c r="O59" s="16"/>
      <c r="P59" s="16"/>
      <c r="Q59" s="16"/>
      <c r="W59" s="16"/>
      <c r="X59" s="16"/>
      <c r="Y59" s="16"/>
      <c r="Z59" s="16"/>
      <c r="AA59" s="16"/>
      <c r="AB59" s="16"/>
    </row>
    <row r="60" spans="1:30" ht="15.75" customHeight="1">
      <c r="A60" s="319"/>
      <c r="B60" s="319"/>
      <c r="C60" s="231"/>
      <c r="D60" s="231"/>
      <c r="E60" s="231"/>
      <c r="F60" s="319">
        <f>Table_4168296[[#This Row],['# Weeks]]*Table_4168296[[#This Row],[Total hours/week]]</f>
        <v>0</v>
      </c>
      <c r="G60" s="319"/>
      <c r="H60" s="319"/>
      <c r="I60" s="331">
        <f t="shared" si="2"/>
        <v>0</v>
      </c>
      <c r="J60" s="231"/>
      <c r="K60" s="749"/>
      <c r="L60" s="744"/>
      <c r="M60" s="745"/>
      <c r="N60" s="16"/>
      <c r="O60" s="16"/>
      <c r="P60" s="16"/>
      <c r="Q60" s="16"/>
      <c r="W60" s="16"/>
      <c r="X60" s="16"/>
      <c r="Y60" s="16"/>
      <c r="Z60" s="16"/>
      <c r="AA60" s="16"/>
      <c r="AB60" s="16"/>
    </row>
    <row r="61" spans="1:30" ht="15.75" customHeight="1">
      <c r="A61" s="319"/>
      <c r="B61" s="319"/>
      <c r="C61" s="231"/>
      <c r="D61" s="231"/>
      <c r="E61" s="231"/>
      <c r="F61" s="319">
        <f>Table_4168296[[#This Row],['# Weeks]]*Table_4168296[[#This Row],[Total hours/week]]</f>
        <v>0</v>
      </c>
      <c r="G61" s="319"/>
      <c r="H61" s="319"/>
      <c r="I61" s="331">
        <f t="shared" si="2"/>
        <v>0</v>
      </c>
      <c r="J61" s="231"/>
      <c r="K61" s="749"/>
      <c r="L61" s="744"/>
      <c r="M61" s="745"/>
      <c r="N61" s="16"/>
      <c r="O61" s="16"/>
      <c r="P61" s="16"/>
      <c r="Q61" s="16"/>
      <c r="W61" s="16"/>
      <c r="X61" s="16"/>
      <c r="Y61" s="16"/>
      <c r="Z61" s="16"/>
      <c r="AA61" s="16"/>
      <c r="AB61" s="16"/>
    </row>
    <row r="62" spans="1:30" ht="15.75" customHeight="1">
      <c r="A62" s="319"/>
      <c r="B62" s="319"/>
      <c r="C62" s="261"/>
      <c r="D62" s="261"/>
      <c r="E62" s="261"/>
      <c r="F62" s="262">
        <f>Table_4168296[[#This Row],['# Weeks]]*Table_4168296[[#This Row],[Total hours/week]]</f>
        <v>0</v>
      </c>
      <c r="G62" s="319"/>
      <c r="H62" s="319"/>
      <c r="I62" s="331">
        <f t="shared" si="2"/>
        <v>0</v>
      </c>
      <c r="J62" s="231"/>
      <c r="K62" s="749"/>
      <c r="L62" s="744"/>
      <c r="M62" s="745"/>
      <c r="N62" s="16"/>
      <c r="O62" s="16"/>
      <c r="P62" s="16"/>
      <c r="Q62" s="16"/>
      <c r="W62" s="16"/>
      <c r="X62" s="16"/>
      <c r="Y62" s="16"/>
      <c r="Z62" s="16"/>
      <c r="AA62" s="16"/>
      <c r="AB62" s="16"/>
    </row>
    <row r="63" spans="1:30" ht="15.75" customHeight="1">
      <c r="A63" s="319"/>
      <c r="B63" s="319"/>
      <c r="C63" s="261"/>
      <c r="D63" s="261"/>
      <c r="E63" s="261"/>
      <c r="F63" s="262">
        <f>Table_4168296[[#This Row],['# Weeks]]*Table_4168296[[#This Row],[Total hours/week]]</f>
        <v>0</v>
      </c>
      <c r="G63" s="319"/>
      <c r="H63" s="319"/>
      <c r="I63" s="331">
        <f t="shared" si="2"/>
        <v>0</v>
      </c>
      <c r="J63" s="231"/>
      <c r="K63" s="749"/>
      <c r="L63" s="744"/>
      <c r="M63" s="745"/>
      <c r="N63" s="16"/>
      <c r="O63" s="16"/>
      <c r="P63" s="16"/>
      <c r="Q63" s="16"/>
      <c r="W63" s="16"/>
      <c r="X63" s="16"/>
      <c r="Y63" s="16"/>
      <c r="Z63" s="16"/>
      <c r="AA63" s="16"/>
      <c r="AB63" s="16"/>
    </row>
    <row r="64" spans="1:30" ht="15.75" customHeight="1">
      <c r="A64" s="231"/>
      <c r="B64" s="319"/>
      <c r="C64" s="232"/>
      <c r="D64" s="232"/>
      <c r="E64" s="261"/>
      <c r="F64" s="262">
        <f>Table_4168296[[#This Row],['# Weeks]]*Table_4168296[[#This Row],[Total hours/week]]</f>
        <v>0</v>
      </c>
      <c r="G64" s="231"/>
      <c r="H64" s="319"/>
      <c r="I64" s="331">
        <f t="shared" si="2"/>
        <v>0</v>
      </c>
      <c r="J64" s="231"/>
      <c r="K64" s="749"/>
      <c r="L64" s="744"/>
      <c r="M64" s="745"/>
      <c r="N64" s="16"/>
      <c r="O64" s="16"/>
      <c r="P64" s="16"/>
      <c r="Q64" s="16"/>
      <c r="W64" s="16"/>
      <c r="X64" s="16"/>
      <c r="Y64" s="16"/>
      <c r="Z64" s="16"/>
      <c r="AA64" s="16"/>
      <c r="AB64" s="16"/>
    </row>
    <row r="65" spans="1:30" ht="15.75" customHeight="1">
      <c r="A65" s="231"/>
      <c r="B65" s="319"/>
      <c r="C65" s="232"/>
      <c r="D65" s="232"/>
      <c r="E65" s="261"/>
      <c r="F65" s="262">
        <f>Table_4168296[[#This Row],['# Weeks]]*Table_4168296[[#This Row],[Total hours/week]]</f>
        <v>0</v>
      </c>
      <c r="G65" s="231"/>
      <c r="H65" s="319"/>
      <c r="I65" s="331">
        <f t="shared" si="2"/>
        <v>0</v>
      </c>
      <c r="J65" s="231"/>
      <c r="K65" s="749"/>
      <c r="L65" s="744"/>
      <c r="M65" s="745"/>
      <c r="N65" s="16"/>
      <c r="O65" s="16"/>
      <c r="P65" s="16"/>
      <c r="Q65" s="16"/>
      <c r="W65" s="16"/>
      <c r="X65" s="16"/>
      <c r="Y65" s="16"/>
      <c r="Z65" s="16"/>
      <c r="AA65" s="16"/>
      <c r="AB65" s="16"/>
    </row>
    <row r="66" spans="1:30" ht="15.75" customHeight="1">
      <c r="A66" s="231"/>
      <c r="B66" s="319"/>
      <c r="C66" s="232"/>
      <c r="D66" s="232"/>
      <c r="E66" s="261"/>
      <c r="F66" s="262">
        <f>Table_4168296[[#This Row],['# Weeks]]*Table_4168296[[#This Row],[Total hours/week]]</f>
        <v>0</v>
      </c>
      <c r="G66" s="231"/>
      <c r="H66" s="319"/>
      <c r="I66" s="331">
        <f t="shared" si="2"/>
        <v>0</v>
      </c>
      <c r="J66" s="231"/>
      <c r="K66" s="749"/>
      <c r="L66" s="744"/>
      <c r="M66" s="745"/>
      <c r="N66" s="16"/>
      <c r="O66" s="16"/>
      <c r="P66" s="16"/>
      <c r="Q66" s="16"/>
      <c r="W66" s="16"/>
      <c r="X66" s="16"/>
      <c r="Y66" s="16"/>
      <c r="Z66" s="16"/>
      <c r="AA66" s="16"/>
      <c r="AB66" s="16"/>
    </row>
    <row r="67" spans="1:30" ht="15.75" customHeight="1" thickBot="1">
      <c r="A67" s="231"/>
      <c r="B67" s="319"/>
      <c r="C67" s="245"/>
      <c r="D67" s="232"/>
      <c r="E67" s="261"/>
      <c r="F67" s="262">
        <f>Table_4168296[[#This Row],['# Weeks]]*Table_4168296[[#This Row],[Total hours/week]]</f>
        <v>0</v>
      </c>
      <c r="G67" s="263"/>
      <c r="H67" s="263"/>
      <c r="I67" s="264">
        <f t="shared" si="2"/>
        <v>0</v>
      </c>
      <c r="J67" s="231"/>
      <c r="K67" s="746"/>
      <c r="L67" s="747"/>
      <c r="M67" s="748"/>
      <c r="N67" s="16"/>
      <c r="O67" s="16"/>
      <c r="P67" s="16"/>
      <c r="Q67" s="16"/>
      <c r="W67" s="16"/>
      <c r="X67" s="16"/>
      <c r="Y67" s="16"/>
      <c r="Z67" s="16"/>
      <c r="AA67" s="16"/>
      <c r="AB67" s="16"/>
    </row>
    <row r="68" spans="1:30" ht="15.75" customHeight="1" thickTop="1">
      <c r="A68" s="16"/>
      <c r="B68" s="16"/>
      <c r="C68" s="16"/>
      <c r="D68" s="16"/>
      <c r="E68" s="16"/>
      <c r="F68" s="16"/>
      <c r="G68" s="16"/>
      <c r="H68" s="16"/>
      <c r="I68" s="16"/>
      <c r="J68" s="16"/>
      <c r="K68" s="16"/>
      <c r="L68" s="16"/>
      <c r="M68" s="16"/>
      <c r="N68" s="16"/>
      <c r="O68" s="16"/>
      <c r="P68" s="16"/>
      <c r="Q68" s="16"/>
      <c r="W68" s="16"/>
      <c r="X68" s="16"/>
      <c r="Y68" s="16"/>
      <c r="Z68" s="16"/>
      <c r="AA68" s="16"/>
      <c r="AB68" s="16"/>
      <c r="AC68" s="16"/>
      <c r="AD68" s="16"/>
    </row>
    <row r="69" spans="1:30" ht="15.75" customHeight="1" thickBot="1">
      <c r="A69" s="186" t="s">
        <v>499</v>
      </c>
      <c r="B69" s="231"/>
      <c r="C69" s="231"/>
      <c r="D69" s="231"/>
      <c r="E69" s="231"/>
      <c r="F69" s="231"/>
      <c r="G69" s="231"/>
      <c r="H69" s="231"/>
      <c r="I69" s="231"/>
      <c r="J69" s="231"/>
      <c r="K69" s="123"/>
      <c r="L69" s="123"/>
      <c r="M69" s="16"/>
      <c r="N69" s="16"/>
      <c r="O69" s="16"/>
      <c r="P69" s="16"/>
      <c r="Q69" s="16"/>
      <c r="W69" s="16"/>
      <c r="X69" s="16"/>
      <c r="Y69" s="16"/>
      <c r="Z69" s="16"/>
      <c r="AA69" s="16"/>
      <c r="AB69" s="16"/>
      <c r="AC69" s="16"/>
      <c r="AD69" s="16"/>
    </row>
    <row r="70" spans="1:30" ht="15.75" customHeight="1" thickTop="1" thickBot="1">
      <c r="A70" s="230" t="s">
        <v>476</v>
      </c>
      <c r="B70" s="230" t="s">
        <v>500</v>
      </c>
      <c r="C70" s="230" t="s">
        <v>501</v>
      </c>
      <c r="D70" s="230" t="s">
        <v>502</v>
      </c>
      <c r="E70" s="230" t="s">
        <v>503</v>
      </c>
      <c r="F70" s="230" t="s">
        <v>504</v>
      </c>
      <c r="G70" s="230" t="s">
        <v>505</v>
      </c>
      <c r="H70" s="230" t="s">
        <v>506</v>
      </c>
      <c r="I70" s="230" t="s">
        <v>507</v>
      </c>
      <c r="J70" s="230" t="s">
        <v>508</v>
      </c>
      <c r="K70" s="561" t="s">
        <v>441</v>
      </c>
      <c r="L70" s="561"/>
      <c r="M70" s="561"/>
      <c r="N70" s="561"/>
      <c r="O70" s="570"/>
      <c r="P70" s="726" t="s">
        <v>434</v>
      </c>
      <c r="Q70" s="727"/>
      <c r="R70" s="16"/>
      <c r="S70" s="16"/>
      <c r="V70" s="16"/>
      <c r="W70" s="16"/>
      <c r="X70" s="16"/>
      <c r="Y70" s="16"/>
      <c r="Z70" s="16"/>
      <c r="AA70" s="16"/>
    </row>
    <row r="71" spans="1:30" ht="15.75" customHeight="1" thickTop="1">
      <c r="A71" s="327" t="s">
        <v>1087</v>
      </c>
      <c r="B71" s="323" t="s">
        <v>265</v>
      </c>
      <c r="C71" s="323" t="s">
        <v>1095</v>
      </c>
      <c r="D71" s="323">
        <v>1.5</v>
      </c>
      <c r="E71" s="328">
        <v>22</v>
      </c>
      <c r="F71" s="326">
        <f>'High-Tech Hitters'!$D71*'High-Tech Hitters'!$E71</f>
        <v>33</v>
      </c>
      <c r="G71" s="328">
        <v>3</v>
      </c>
      <c r="H71" s="332">
        <f>IF($B71= "","-",IF($B71= "External","Specify location tariff", INDEX(Constants!$3:$3,MATCH($B71,Constants!$2:$2,0))))</f>
        <v>65</v>
      </c>
      <c r="I71" s="333">
        <f t="shared" ref="I71:I87" si="3">IF($H71="-","-",IF($H71="Specify location tariff","-",$H71*$F71))</f>
        <v>2145</v>
      </c>
      <c r="J71" s="332" t="s">
        <v>1096</v>
      </c>
      <c r="K71" s="611"/>
      <c r="L71" s="611"/>
      <c r="M71" s="611"/>
      <c r="N71" s="611"/>
      <c r="O71" s="612"/>
      <c r="P71" s="564" t="s">
        <v>511</v>
      </c>
      <c r="Q71" s="565"/>
      <c r="R71" s="16"/>
      <c r="S71" s="16"/>
      <c r="V71" s="16"/>
      <c r="W71" s="16"/>
      <c r="X71" s="16"/>
      <c r="Y71" s="16"/>
      <c r="Z71" s="16"/>
      <c r="AA71" s="16"/>
    </row>
    <row r="72" spans="1:30" ht="15.75" customHeight="1">
      <c r="A72" s="323" t="s">
        <v>1091</v>
      </c>
      <c r="B72" s="323" t="s">
        <v>272</v>
      </c>
      <c r="C72" s="323" t="s">
        <v>1097</v>
      </c>
      <c r="D72" s="323">
        <v>1.5</v>
      </c>
      <c r="E72" s="328">
        <v>17</v>
      </c>
      <c r="F72" s="326">
        <f>'High-Tech Hitters'!$D72*'High-Tech Hitters'!$E72</f>
        <v>25.5</v>
      </c>
      <c r="G72" s="328">
        <v>3</v>
      </c>
      <c r="H72" s="332">
        <v>0</v>
      </c>
      <c r="I72" s="333">
        <f t="shared" si="3"/>
        <v>0</v>
      </c>
      <c r="J72" s="332" t="s">
        <v>1098</v>
      </c>
      <c r="K72" s="562"/>
      <c r="L72" s="562"/>
      <c r="M72" s="562"/>
      <c r="N72" s="562"/>
      <c r="O72" s="614"/>
      <c r="P72" s="566"/>
      <c r="Q72" s="567"/>
      <c r="R72" s="16"/>
      <c r="S72" s="16"/>
      <c r="V72" s="16"/>
      <c r="W72" s="16"/>
      <c r="X72" s="16"/>
      <c r="Y72" s="16"/>
      <c r="Z72" s="16"/>
      <c r="AA72" s="16"/>
    </row>
    <row r="73" spans="1:30" ht="15.75" customHeight="1">
      <c r="A73" s="323" t="s">
        <v>1092</v>
      </c>
      <c r="B73" s="323" t="s">
        <v>265</v>
      </c>
      <c r="C73" s="323" t="s">
        <v>1099</v>
      </c>
      <c r="D73" s="323">
        <v>1.5</v>
      </c>
      <c r="E73" s="328">
        <v>22</v>
      </c>
      <c r="F73" s="326">
        <f>'High-Tech Hitters'!$D73*'High-Tech Hitters'!$E73</f>
        <v>33</v>
      </c>
      <c r="G73" s="328">
        <v>1</v>
      </c>
      <c r="H73" s="332">
        <f>IF($B73= "","-",IF($B73= "External","Specify location tariff", INDEX(Constants!$3:$3,MATCH($B73,Constants!$2:$2,0))))</f>
        <v>65</v>
      </c>
      <c r="I73" s="333">
        <f t="shared" si="3"/>
        <v>2145</v>
      </c>
      <c r="J73" s="332" t="s">
        <v>1096</v>
      </c>
      <c r="K73" s="562"/>
      <c r="L73" s="562"/>
      <c r="M73" s="562"/>
      <c r="N73" s="562"/>
      <c r="O73" s="614"/>
      <c r="P73" s="566"/>
      <c r="Q73" s="567"/>
      <c r="R73" s="16"/>
      <c r="S73" s="16"/>
      <c r="V73" s="16"/>
      <c r="W73" s="16"/>
      <c r="X73" s="16"/>
      <c r="Y73" s="16"/>
      <c r="Z73" s="16"/>
      <c r="AA73" s="16"/>
    </row>
    <row r="74" spans="1:30" ht="15.75" customHeight="1">
      <c r="A74" s="327" t="s">
        <v>1094</v>
      </c>
      <c r="B74" s="323" t="s">
        <v>272</v>
      </c>
      <c r="C74" s="323" t="s">
        <v>1100</v>
      </c>
      <c r="D74" s="323">
        <v>1.5</v>
      </c>
      <c r="E74" s="328">
        <v>11</v>
      </c>
      <c r="F74" s="326">
        <f>'High-Tech Hitters'!$D74*'High-Tech Hitters'!$E74</f>
        <v>16.5</v>
      </c>
      <c r="G74" s="328">
        <v>1</v>
      </c>
      <c r="H74" s="332">
        <v>27.5</v>
      </c>
      <c r="I74" s="333">
        <f t="shared" si="3"/>
        <v>453.75</v>
      </c>
      <c r="J74" s="332" t="s">
        <v>1101</v>
      </c>
      <c r="K74" s="562"/>
      <c r="L74" s="562"/>
      <c r="M74" s="562"/>
      <c r="N74" s="562"/>
      <c r="O74" s="614"/>
      <c r="P74" s="566"/>
      <c r="Q74" s="567"/>
      <c r="R74" s="16"/>
      <c r="S74" s="16"/>
      <c r="V74" s="16"/>
      <c r="W74" s="16"/>
      <c r="X74" s="16"/>
      <c r="Y74" s="16"/>
      <c r="Z74" s="16"/>
      <c r="AA74" s="16"/>
    </row>
    <row r="75" spans="1:30" ht="15.75" customHeight="1">
      <c r="A75" s="231" t="s">
        <v>1094</v>
      </c>
      <c r="B75" s="231" t="s">
        <v>245</v>
      </c>
      <c r="C75" s="323" t="s">
        <v>1102</v>
      </c>
      <c r="D75" s="327">
        <v>1.5</v>
      </c>
      <c r="E75" s="328">
        <v>6</v>
      </c>
      <c r="F75" s="326">
        <f>'High-Tech Hitters'!$D75*'High-Tech Hitters'!$E75</f>
        <v>9</v>
      </c>
      <c r="G75" s="328">
        <v>1</v>
      </c>
      <c r="H75" s="332">
        <f>IF($B75= "","-",IF($B75= "External","Specify location tariff", INDEX(Constants!$3:$3,MATCH($B75,Constants!$2:$2,0))))</f>
        <v>67.5</v>
      </c>
      <c r="I75" s="333">
        <f t="shared" si="3"/>
        <v>607.5</v>
      </c>
      <c r="J75" s="247"/>
      <c r="K75" s="562"/>
      <c r="L75" s="562"/>
      <c r="M75" s="562"/>
      <c r="N75" s="562"/>
      <c r="O75" s="614"/>
      <c r="P75" s="566"/>
      <c r="Q75" s="567"/>
      <c r="R75" s="16"/>
      <c r="S75" s="16"/>
      <c r="V75" s="16"/>
      <c r="W75" s="16"/>
      <c r="X75" s="16"/>
      <c r="Y75" s="16"/>
      <c r="Z75" s="16"/>
      <c r="AA75" s="16"/>
    </row>
    <row r="76" spans="1:30" ht="15.75" customHeight="1">
      <c r="A76" s="231"/>
      <c r="B76" s="231"/>
      <c r="C76" s="232"/>
      <c r="D76" s="261"/>
      <c r="E76" s="245"/>
      <c r="F76" s="326">
        <f>'High-Tech Hitters'!$D76*'High-Tech Hitters'!$E76</f>
        <v>0</v>
      </c>
      <c r="G76" s="245"/>
      <c r="H76" s="332" t="str">
        <f>IF($B76= "","-",IF($B76= "External","Specify location tariff", INDEX(Constants!$3:$3,MATCH($B76,Constants!$2:$2,0))))</f>
        <v>-</v>
      </c>
      <c r="I76" s="333" t="str">
        <f t="shared" si="3"/>
        <v>-</v>
      </c>
      <c r="J76" s="247"/>
      <c r="K76" s="562"/>
      <c r="L76" s="562"/>
      <c r="M76" s="562"/>
      <c r="N76" s="562"/>
      <c r="O76" s="614"/>
      <c r="P76" s="566"/>
      <c r="Q76" s="567"/>
      <c r="R76" s="16"/>
      <c r="S76" s="16"/>
      <c r="V76" s="16"/>
      <c r="W76" s="16"/>
      <c r="X76" s="16"/>
      <c r="Y76" s="16"/>
      <c r="Z76" s="16"/>
      <c r="AA76" s="16"/>
    </row>
    <row r="77" spans="1:30" ht="15.75" customHeight="1">
      <c r="A77" s="231"/>
      <c r="B77" s="231"/>
      <c r="C77" s="232"/>
      <c r="D77" s="261"/>
      <c r="E77" s="245"/>
      <c r="F77" s="326">
        <f>'High-Tech Hitters'!$D77*'High-Tech Hitters'!$E77</f>
        <v>0</v>
      </c>
      <c r="G77" s="245"/>
      <c r="H77" s="332" t="str">
        <f>IF($B77= "","-",IF($B77= "External","Specify location tariff", INDEX(Constants!$3:$3,MATCH($B77,Constants!$2:$2,0))))</f>
        <v>-</v>
      </c>
      <c r="I77" s="333" t="str">
        <f t="shared" si="3"/>
        <v>-</v>
      </c>
      <c r="J77" s="247"/>
      <c r="K77" s="562"/>
      <c r="L77" s="562"/>
      <c r="M77" s="562"/>
      <c r="N77" s="562"/>
      <c r="O77" s="614"/>
      <c r="P77" s="566"/>
      <c r="Q77" s="567"/>
      <c r="R77" s="16"/>
      <c r="S77" s="16"/>
      <c r="V77" s="16"/>
      <c r="W77" s="16"/>
      <c r="X77" s="16"/>
      <c r="Y77" s="16"/>
      <c r="Z77" s="16"/>
      <c r="AA77" s="16"/>
    </row>
    <row r="78" spans="1:30" ht="15.75" customHeight="1">
      <c r="A78" s="231"/>
      <c r="B78" s="231"/>
      <c r="C78" s="232"/>
      <c r="D78" s="261"/>
      <c r="E78" s="245"/>
      <c r="F78" s="326">
        <f>'High-Tech Hitters'!$D78*'High-Tech Hitters'!$E78</f>
        <v>0</v>
      </c>
      <c r="G78" s="245"/>
      <c r="H78" s="332" t="str">
        <f>IF($B78= "","-",IF($B78= "External","Specify location tariff", INDEX(Constants!$3:$3,MATCH($B78,Constants!$2:$2,0))))</f>
        <v>-</v>
      </c>
      <c r="I78" s="333" t="str">
        <f t="shared" si="3"/>
        <v>-</v>
      </c>
      <c r="J78" s="247"/>
      <c r="K78" s="562"/>
      <c r="L78" s="562"/>
      <c r="M78" s="562"/>
      <c r="N78" s="562"/>
      <c r="O78" s="614"/>
      <c r="P78" s="566"/>
      <c r="Q78" s="567"/>
      <c r="R78" s="16"/>
      <c r="S78" s="16"/>
      <c r="V78" s="16"/>
      <c r="W78" s="16"/>
      <c r="X78" s="16"/>
      <c r="Y78" s="16"/>
      <c r="Z78" s="16"/>
      <c r="AA78" s="16"/>
    </row>
    <row r="79" spans="1:30" ht="15.75" customHeight="1">
      <c r="A79" s="231"/>
      <c r="B79" s="231"/>
      <c r="C79" s="232"/>
      <c r="D79" s="261"/>
      <c r="E79" s="245"/>
      <c r="F79" s="326">
        <f>'High-Tech Hitters'!$D79*'High-Tech Hitters'!$E79</f>
        <v>0</v>
      </c>
      <c r="G79" s="245"/>
      <c r="H79" s="332" t="str">
        <f>IF($B79= "","-",IF($B79= "External","Specify location tariff", INDEX(Constants!$3:$3,MATCH($B79,Constants!$2:$2,0))))</f>
        <v>-</v>
      </c>
      <c r="I79" s="333" t="str">
        <f t="shared" si="3"/>
        <v>-</v>
      </c>
      <c r="J79" s="247"/>
      <c r="K79" s="562"/>
      <c r="L79" s="562"/>
      <c r="M79" s="562"/>
      <c r="N79" s="562"/>
      <c r="O79" s="614"/>
      <c r="P79" s="566"/>
      <c r="Q79" s="567"/>
      <c r="R79" s="16"/>
      <c r="S79" s="16"/>
      <c r="V79" s="16"/>
      <c r="W79" s="16"/>
      <c r="X79" s="16"/>
      <c r="Y79" s="16"/>
      <c r="Z79" s="16"/>
      <c r="AA79" s="16"/>
    </row>
    <row r="80" spans="1:30" ht="15.75" customHeight="1">
      <c r="A80" s="231"/>
      <c r="B80" s="231"/>
      <c r="C80" s="232"/>
      <c r="D80" s="261"/>
      <c r="E80" s="245"/>
      <c r="F80" s="326">
        <f>'High-Tech Hitters'!$D80*'High-Tech Hitters'!$E80</f>
        <v>0</v>
      </c>
      <c r="G80" s="245"/>
      <c r="H80" s="332" t="str">
        <f>IF($B80= "","-",IF($B80= "External","Specify location tariff", INDEX(Constants!$3:$3,MATCH($B80,Constants!$2:$2,0))))</f>
        <v>-</v>
      </c>
      <c r="I80" s="333" t="str">
        <f t="shared" si="3"/>
        <v>-</v>
      </c>
      <c r="J80" s="247"/>
      <c r="K80" s="562"/>
      <c r="L80" s="562"/>
      <c r="M80" s="562"/>
      <c r="N80" s="562"/>
      <c r="O80" s="614"/>
      <c r="P80" s="566"/>
      <c r="Q80" s="567"/>
      <c r="R80" s="16"/>
      <c r="S80" s="16"/>
      <c r="V80" s="16"/>
      <c r="W80" s="16"/>
      <c r="X80" s="16"/>
      <c r="Y80" s="16"/>
      <c r="Z80" s="16"/>
      <c r="AA80" s="16"/>
    </row>
    <row r="81" spans="1:30" ht="15.75" customHeight="1">
      <c r="A81" s="231"/>
      <c r="B81" s="231"/>
      <c r="C81" s="232"/>
      <c r="D81" s="261"/>
      <c r="E81" s="245"/>
      <c r="F81" s="326">
        <f>'High-Tech Hitters'!$D81*'High-Tech Hitters'!$E81</f>
        <v>0</v>
      </c>
      <c r="G81" s="245"/>
      <c r="H81" s="332" t="str">
        <f>IF($B81= "","-",IF($B81= "External","Specify location tariff", INDEX(Constants!$3:$3,MATCH($B81,Constants!$2:$2,0))))</f>
        <v>-</v>
      </c>
      <c r="I81" s="333" t="str">
        <f t="shared" si="3"/>
        <v>-</v>
      </c>
      <c r="J81" s="247"/>
      <c r="K81" s="562"/>
      <c r="L81" s="562"/>
      <c r="M81" s="562"/>
      <c r="N81" s="562"/>
      <c r="O81" s="614"/>
      <c r="P81" s="566"/>
      <c r="Q81" s="567"/>
      <c r="R81" s="16"/>
      <c r="S81" s="16"/>
      <c r="V81" s="16"/>
      <c r="W81" s="16"/>
      <c r="X81" s="16"/>
      <c r="Y81" s="16"/>
      <c r="Z81" s="16"/>
      <c r="AA81" s="16"/>
    </row>
    <row r="82" spans="1:30" ht="15.75" customHeight="1">
      <c r="A82" s="231"/>
      <c r="B82" s="231"/>
      <c r="C82" s="232"/>
      <c r="D82" s="261"/>
      <c r="E82" s="245"/>
      <c r="F82" s="326">
        <f>'High-Tech Hitters'!$D82*'High-Tech Hitters'!$E82</f>
        <v>0</v>
      </c>
      <c r="G82" s="245"/>
      <c r="H82" s="332" t="str">
        <f>IF($B82= "","-",IF($B82= "External","Specify location tariff", INDEX(Constants!$3:$3,MATCH($B82,Constants!$2:$2,0))))</f>
        <v>-</v>
      </c>
      <c r="I82" s="333" t="str">
        <f t="shared" si="3"/>
        <v>-</v>
      </c>
      <c r="J82" s="247"/>
      <c r="K82" s="562"/>
      <c r="L82" s="562"/>
      <c r="M82" s="562"/>
      <c r="N82" s="562"/>
      <c r="O82" s="614"/>
      <c r="P82" s="566"/>
      <c r="Q82" s="567"/>
      <c r="R82" s="16"/>
      <c r="S82" s="16"/>
      <c r="V82" s="16"/>
      <c r="W82" s="16"/>
      <c r="X82" s="16"/>
      <c r="Y82" s="16"/>
      <c r="Z82" s="16"/>
      <c r="AA82" s="16"/>
    </row>
    <row r="83" spans="1:30" ht="15.75" customHeight="1">
      <c r="A83" s="231"/>
      <c r="B83" s="231"/>
      <c r="C83" s="232"/>
      <c r="D83" s="261"/>
      <c r="E83" s="245"/>
      <c r="F83" s="326">
        <f>'High-Tech Hitters'!$D83*'High-Tech Hitters'!$E83</f>
        <v>0</v>
      </c>
      <c r="G83" s="245"/>
      <c r="H83" s="332" t="str">
        <f>IF($B83= "","-",IF($B83= "External","Specify location tariff", INDEX(Constants!$3:$3,MATCH($B83,Constants!$2:$2,0))))</f>
        <v>-</v>
      </c>
      <c r="I83" s="333" t="str">
        <f t="shared" si="3"/>
        <v>-</v>
      </c>
      <c r="J83" s="247"/>
      <c r="K83" s="562"/>
      <c r="L83" s="562"/>
      <c r="M83" s="562"/>
      <c r="N83" s="562"/>
      <c r="O83" s="614"/>
      <c r="P83" s="566"/>
      <c r="Q83" s="567"/>
      <c r="R83" s="16"/>
      <c r="S83" s="16"/>
      <c r="V83" s="16"/>
      <c r="W83" s="16"/>
      <c r="X83" s="16"/>
      <c r="Y83" s="16"/>
      <c r="Z83" s="16"/>
      <c r="AA83" s="16"/>
    </row>
    <row r="84" spans="1:30" ht="15.75" customHeight="1">
      <c r="A84" s="231"/>
      <c r="B84" s="231"/>
      <c r="C84" s="232"/>
      <c r="D84" s="261"/>
      <c r="E84" s="245"/>
      <c r="F84" s="326">
        <f>'High-Tech Hitters'!$D84*'High-Tech Hitters'!$E84</f>
        <v>0</v>
      </c>
      <c r="G84" s="245"/>
      <c r="H84" s="332" t="str">
        <f>IF($B84= "","-",IF($B84= "External","Specify location tariff", INDEX(Constants!$3:$3,MATCH($B84,Constants!$2:$2,0))))</f>
        <v>-</v>
      </c>
      <c r="I84" s="333" t="str">
        <f t="shared" si="3"/>
        <v>-</v>
      </c>
      <c r="J84" s="247"/>
      <c r="K84" s="562"/>
      <c r="L84" s="562"/>
      <c r="M84" s="562"/>
      <c r="N84" s="562"/>
      <c r="O84" s="614"/>
      <c r="P84" s="566"/>
      <c r="Q84" s="567"/>
      <c r="R84" s="16"/>
      <c r="S84" s="16"/>
      <c r="V84" s="16"/>
      <c r="W84" s="16"/>
      <c r="X84" s="16"/>
      <c r="Y84" s="16"/>
      <c r="Z84" s="16"/>
      <c r="AA84" s="16"/>
    </row>
    <row r="85" spans="1:30" ht="15.75" customHeight="1">
      <c r="A85" s="231"/>
      <c r="B85" s="231"/>
      <c r="C85" s="232"/>
      <c r="D85" s="261"/>
      <c r="E85" s="245"/>
      <c r="F85" s="326">
        <f>'High-Tech Hitters'!$D85*'High-Tech Hitters'!$E85</f>
        <v>0</v>
      </c>
      <c r="G85" s="245"/>
      <c r="H85" s="332" t="str">
        <f>IF($B85= "","-",IF($B85= "External","Specify location tariff", INDEX(Constants!$3:$3,MATCH($B85,Constants!$2:$2,0))))</f>
        <v>-</v>
      </c>
      <c r="I85" s="333" t="str">
        <f t="shared" si="3"/>
        <v>-</v>
      </c>
      <c r="J85" s="247"/>
      <c r="K85" s="562"/>
      <c r="L85" s="562"/>
      <c r="M85" s="562"/>
      <c r="N85" s="562"/>
      <c r="O85" s="614"/>
      <c r="P85" s="566"/>
      <c r="Q85" s="567"/>
      <c r="R85" s="16"/>
      <c r="S85" s="16"/>
      <c r="V85" s="16"/>
      <c r="W85" s="16"/>
      <c r="X85" s="16"/>
      <c r="Y85" s="16"/>
      <c r="Z85" s="16"/>
      <c r="AA85" s="16"/>
    </row>
    <row r="86" spans="1:30" ht="15.75" customHeight="1">
      <c r="A86" s="231"/>
      <c r="B86" s="231"/>
      <c r="C86" s="232"/>
      <c r="D86" s="261"/>
      <c r="E86" s="245"/>
      <c r="F86" s="326">
        <f>'High-Tech Hitters'!$D86*'High-Tech Hitters'!$E86</f>
        <v>0</v>
      </c>
      <c r="G86" s="245"/>
      <c r="H86" s="332" t="str">
        <f>IF($B86= "","-",IF($B86= "External","Specify location tariff", INDEX(Constants!$3:$3,MATCH($B86,Constants!$2:$2,0))))</f>
        <v>-</v>
      </c>
      <c r="I86" s="333" t="str">
        <f t="shared" si="3"/>
        <v>-</v>
      </c>
      <c r="J86" s="247"/>
      <c r="K86" s="562"/>
      <c r="L86" s="562"/>
      <c r="M86" s="562"/>
      <c r="N86" s="562"/>
      <c r="O86" s="614"/>
      <c r="P86" s="566"/>
      <c r="Q86" s="567"/>
      <c r="R86" s="16"/>
      <c r="S86" s="16"/>
      <c r="V86" s="16"/>
      <c r="W86" s="16"/>
      <c r="X86" s="16"/>
      <c r="Y86" s="16"/>
      <c r="Z86" s="16"/>
      <c r="AA86" s="16"/>
    </row>
    <row r="87" spans="1:30" ht="15.75" customHeight="1" thickBot="1">
      <c r="A87" s="231"/>
      <c r="B87" s="231"/>
      <c r="C87" s="232"/>
      <c r="D87" s="261"/>
      <c r="E87" s="245"/>
      <c r="F87" s="326">
        <f>'High-Tech Hitters'!$D87*'High-Tech Hitters'!$E87</f>
        <v>0</v>
      </c>
      <c r="G87" s="245"/>
      <c r="H87" s="332" t="str">
        <f>IF($B87= "","-",IF($B87= "External","Specify location tariff", INDEX(Constants!$3:$3,MATCH($B87,Constants!$2:$2,0))))</f>
        <v>-</v>
      </c>
      <c r="I87" s="333" t="str">
        <f t="shared" si="3"/>
        <v>-</v>
      </c>
      <c r="J87" s="247"/>
      <c r="K87" s="616"/>
      <c r="L87" s="616"/>
      <c r="M87" s="616"/>
      <c r="N87" s="616"/>
      <c r="O87" s="617"/>
      <c r="P87" s="568"/>
      <c r="Q87" s="569"/>
      <c r="R87" s="16"/>
      <c r="S87" s="16"/>
      <c r="V87" s="16"/>
      <c r="W87" s="16"/>
      <c r="X87" s="16"/>
      <c r="Y87" s="16"/>
      <c r="Z87" s="16"/>
      <c r="AA87" s="16"/>
    </row>
    <row r="88" spans="1:30" ht="15.75" customHeight="1" thickTop="1">
      <c r="A88" s="15"/>
      <c r="B88" s="16"/>
      <c r="C88" s="16"/>
      <c r="D88" s="16"/>
      <c r="E88" s="16"/>
      <c r="F88" s="16"/>
      <c r="G88" s="16"/>
      <c r="H88" s="16"/>
      <c r="I88" s="16"/>
      <c r="J88" s="16"/>
      <c r="K88" s="16"/>
      <c r="L88" s="16"/>
      <c r="M88" s="16"/>
      <c r="N88" s="16"/>
      <c r="O88" s="16"/>
      <c r="P88" s="16"/>
      <c r="Q88" s="16"/>
      <c r="R88" s="16"/>
      <c r="S88" s="16"/>
      <c r="T88" s="16"/>
      <c r="U88" s="16"/>
      <c r="V88" s="16"/>
      <c r="W88" s="16"/>
      <c r="X88" s="16"/>
      <c r="Y88" s="16"/>
      <c r="Z88" s="16"/>
      <c r="AA88" s="16"/>
      <c r="AB88" s="16"/>
      <c r="AC88" s="16"/>
      <c r="AD88" s="16"/>
    </row>
    <row r="89" spans="1:30" ht="15.75" customHeight="1">
      <c r="A89" s="15"/>
      <c r="B89" s="16"/>
      <c r="C89" s="16"/>
      <c r="D89" s="16"/>
      <c r="E89" s="16"/>
      <c r="F89" s="16"/>
      <c r="G89" s="16"/>
      <c r="H89" s="16"/>
      <c r="I89" s="16"/>
      <c r="J89" s="16"/>
      <c r="K89" s="16"/>
      <c r="L89" s="16"/>
      <c r="M89" s="16"/>
      <c r="N89" s="16"/>
      <c r="O89" s="16"/>
      <c r="P89" s="16"/>
      <c r="Q89" s="16"/>
      <c r="R89" s="16"/>
      <c r="S89" s="16"/>
      <c r="T89" s="16"/>
      <c r="U89" s="16"/>
      <c r="V89" s="16"/>
      <c r="W89" s="16"/>
      <c r="X89" s="16"/>
      <c r="Y89" s="16"/>
      <c r="Z89" s="16"/>
      <c r="AA89" s="16"/>
      <c r="AB89" s="16"/>
      <c r="AC89" s="16"/>
      <c r="AD89" s="16"/>
    </row>
    <row r="90" spans="1:30" ht="15.75" customHeight="1" thickBot="1">
      <c r="A90" s="186" t="s">
        <v>519</v>
      </c>
      <c r="B90" s="16"/>
      <c r="C90" s="128"/>
      <c r="D90" s="51"/>
      <c r="E90" s="51"/>
      <c r="F90" s="51"/>
      <c r="G90" s="51"/>
      <c r="H90" s="51"/>
      <c r="I90" s="51"/>
      <c r="J90" s="51"/>
      <c r="K90" s="51"/>
      <c r="L90" s="232"/>
      <c r="M90" s="231"/>
      <c r="N90" s="16"/>
      <c r="O90" s="16"/>
      <c r="P90" s="16"/>
      <c r="Q90" s="16"/>
      <c r="R90" s="16"/>
      <c r="S90" s="16"/>
      <c r="T90" s="16"/>
      <c r="U90" s="16"/>
      <c r="V90" s="16"/>
      <c r="W90" s="16"/>
      <c r="X90" s="16"/>
      <c r="Y90" s="16"/>
      <c r="Z90" s="16"/>
      <c r="AA90" s="16"/>
      <c r="AB90" s="16"/>
      <c r="AC90" s="16"/>
      <c r="AD90" s="16"/>
    </row>
    <row r="91" spans="1:30" ht="15" customHeight="1" thickTop="1" thickBot="1">
      <c r="A91" s="230" t="s">
        <v>438</v>
      </c>
      <c r="B91" s="230" t="s">
        <v>439</v>
      </c>
      <c r="C91" s="230" t="s">
        <v>520</v>
      </c>
      <c r="D91" s="230" t="s">
        <v>521</v>
      </c>
      <c r="E91" s="230" t="s">
        <v>522</v>
      </c>
      <c r="F91" s="230" t="s">
        <v>523</v>
      </c>
      <c r="G91" s="230" t="s">
        <v>508</v>
      </c>
      <c r="H91" s="721" t="s">
        <v>441</v>
      </c>
      <c r="I91" s="728"/>
      <c r="J91" s="729" t="s">
        <v>434</v>
      </c>
      <c r="K91" s="730"/>
      <c r="L91" s="16"/>
      <c r="M91" s="16"/>
      <c r="N91" s="16"/>
      <c r="O91" s="16"/>
      <c r="P91" s="117"/>
      <c r="Q91" s="15"/>
      <c r="R91" s="16"/>
      <c r="S91" s="130"/>
      <c r="T91" s="16"/>
      <c r="U91" s="16"/>
      <c r="V91" s="16"/>
      <c r="W91" s="241"/>
      <c r="X91" s="16"/>
      <c r="Y91" s="16"/>
      <c r="Z91" s="16"/>
      <c r="AA91" s="16"/>
      <c r="AB91" s="16"/>
    </row>
    <row r="92" spans="1:30" ht="14.25" customHeight="1" thickTop="1">
      <c r="A92" s="244" t="s">
        <v>1103</v>
      </c>
      <c r="B92" s="244" t="s">
        <v>687</v>
      </c>
      <c r="C92" s="339">
        <v>548</v>
      </c>
      <c r="D92" s="250">
        <v>1</v>
      </c>
      <c r="E92" s="338">
        <v>80</v>
      </c>
      <c r="F92" s="246">
        <f>IF(Table_6170298[[#This Row],[Item]]="",0,Table_6170298[[#This Row],[Purchase / Running costs]]/Table_6170298[[#This Row],[Depreciation period]])</f>
        <v>548</v>
      </c>
      <c r="G92" s="247"/>
      <c r="H92" s="653"/>
      <c r="I92" s="750"/>
      <c r="J92" s="628" t="s">
        <v>526</v>
      </c>
      <c r="K92" s="730"/>
      <c r="L92" s="16"/>
      <c r="M92" s="16"/>
      <c r="N92" s="16"/>
      <c r="O92" s="16"/>
      <c r="P92" s="16"/>
      <c r="Q92" s="133"/>
      <c r="R92" s="16"/>
      <c r="S92" s="16"/>
      <c r="T92" s="16"/>
      <c r="U92" s="16"/>
      <c r="V92" s="16"/>
      <c r="W92" s="16"/>
      <c r="X92" s="16"/>
      <c r="Y92" s="16"/>
      <c r="Z92" s="16"/>
      <c r="AA92" s="16"/>
      <c r="AB92" s="16"/>
    </row>
    <row r="93" spans="1:30" ht="15.75" customHeight="1">
      <c r="A93" s="244" t="s">
        <v>1104</v>
      </c>
      <c r="B93" s="244" t="s">
        <v>687</v>
      </c>
      <c r="C93" s="339">
        <v>875</v>
      </c>
      <c r="D93" s="250">
        <v>4</v>
      </c>
      <c r="E93" s="338">
        <v>7</v>
      </c>
      <c r="F93" s="246">
        <f>IF(Table_6170298[[#This Row],[Item]]="",0,Table_6170298[[#This Row],[Purchase / Running costs]]/Table_6170298[[#This Row],[Depreciation period]])</f>
        <v>218.75</v>
      </c>
      <c r="G93" s="247"/>
      <c r="H93" s="744"/>
      <c r="I93" s="751"/>
      <c r="J93" s="702"/>
      <c r="K93" s="732"/>
      <c r="L93" s="16"/>
      <c r="M93" s="16"/>
      <c r="N93" s="16"/>
      <c r="O93" s="16"/>
      <c r="P93" s="16"/>
      <c r="Q93" s="16"/>
      <c r="R93" s="16"/>
      <c r="S93" s="16"/>
      <c r="T93" s="16"/>
      <c r="U93" s="16"/>
      <c r="V93" s="16"/>
      <c r="W93" s="16"/>
      <c r="X93" s="16"/>
      <c r="Y93" s="16"/>
      <c r="Z93" s="16"/>
      <c r="AA93" s="16"/>
      <c r="AB93" s="16"/>
    </row>
    <row r="94" spans="1:30" ht="15.75" customHeight="1">
      <c r="A94" s="244" t="s">
        <v>1105</v>
      </c>
      <c r="B94" s="244" t="s">
        <v>687</v>
      </c>
      <c r="C94" s="339">
        <v>120</v>
      </c>
      <c r="D94" s="250">
        <v>5</v>
      </c>
      <c r="E94" s="338">
        <v>3</v>
      </c>
      <c r="F94" s="246">
        <f>IF(Table_6170298[[#This Row],[Item]]="",0,Table_6170298[[#This Row],[Purchase / Running costs]]/Table_6170298[[#This Row],[Depreciation period]])</f>
        <v>24</v>
      </c>
      <c r="G94" s="247"/>
      <c r="H94" s="744"/>
      <c r="I94" s="751"/>
      <c r="J94" s="702"/>
      <c r="K94" s="732"/>
      <c r="L94" s="16"/>
      <c r="M94" s="16"/>
      <c r="N94" s="16"/>
      <c r="O94" s="16"/>
      <c r="P94" s="16"/>
      <c r="Q94" s="16"/>
      <c r="R94" s="16"/>
      <c r="S94" s="16"/>
      <c r="T94" s="16"/>
      <c r="U94" s="16"/>
      <c r="V94" s="16"/>
      <c r="W94" s="16"/>
      <c r="X94" s="16"/>
      <c r="Y94" s="16"/>
      <c r="Z94" s="16"/>
      <c r="AA94" s="16"/>
      <c r="AB94" s="16"/>
    </row>
    <row r="95" spans="1:30" ht="15.75" customHeight="1">
      <c r="A95" s="244" t="s">
        <v>1106</v>
      </c>
      <c r="B95" s="244" t="s">
        <v>687</v>
      </c>
      <c r="C95" s="339">
        <v>250</v>
      </c>
      <c r="D95" s="250">
        <v>5</v>
      </c>
      <c r="E95" s="338">
        <v>5</v>
      </c>
      <c r="F95" s="246">
        <f>IF(Table_6170298[[#This Row],[Item]]="",0,Table_6170298[[#This Row],[Purchase / Running costs]]/Table_6170298[[#This Row],[Depreciation period]])</f>
        <v>50</v>
      </c>
      <c r="G95" s="247"/>
      <c r="H95" s="744"/>
      <c r="I95" s="751"/>
      <c r="J95" s="702"/>
      <c r="K95" s="732"/>
      <c r="L95" s="16"/>
      <c r="M95" s="16"/>
      <c r="N95" s="16"/>
      <c r="O95" s="16"/>
      <c r="P95" s="16"/>
      <c r="Q95" s="16"/>
      <c r="R95" s="16"/>
      <c r="S95" s="16"/>
      <c r="T95" s="16"/>
      <c r="U95" s="16"/>
      <c r="V95" s="16"/>
      <c r="W95" s="16"/>
      <c r="X95" s="16"/>
      <c r="Y95" s="16"/>
      <c r="Z95" s="16"/>
      <c r="AA95" s="16"/>
      <c r="AB95" s="16"/>
    </row>
    <row r="96" spans="1:30" ht="15.75" customHeight="1">
      <c r="A96" s="244" t="s">
        <v>1107</v>
      </c>
      <c r="B96" s="244" t="s">
        <v>687</v>
      </c>
      <c r="C96" s="339">
        <v>220</v>
      </c>
      <c r="D96" s="250">
        <v>10</v>
      </c>
      <c r="E96" s="338">
        <v>1</v>
      </c>
      <c r="F96" s="246">
        <f>IF(Table_6170298[[#This Row],[Item]]="",0,Table_6170298[[#This Row],[Purchase / Running costs]]/Table_6170298[[#This Row],[Depreciation period]])</f>
        <v>22</v>
      </c>
      <c r="G96" s="247"/>
      <c r="H96" s="744"/>
      <c r="I96" s="751"/>
      <c r="J96" s="702"/>
      <c r="K96" s="732"/>
      <c r="L96" s="16"/>
      <c r="M96" s="16"/>
      <c r="N96" s="16"/>
      <c r="O96" s="16"/>
      <c r="P96" s="16"/>
      <c r="Q96" s="16"/>
      <c r="R96" s="16"/>
      <c r="S96" s="16"/>
      <c r="T96" s="16"/>
      <c r="U96" s="16"/>
      <c r="V96" s="16"/>
      <c r="W96" s="16"/>
      <c r="X96" s="16"/>
      <c r="Y96" s="16"/>
      <c r="Z96" s="16"/>
      <c r="AA96" s="16"/>
      <c r="AB96" s="16"/>
    </row>
    <row r="97" spans="1:30" ht="15.75" customHeight="1">
      <c r="A97" s="244" t="s">
        <v>1108</v>
      </c>
      <c r="B97" s="244" t="s">
        <v>687</v>
      </c>
      <c r="C97" s="339">
        <v>240</v>
      </c>
      <c r="D97" s="250">
        <v>2</v>
      </c>
      <c r="E97" s="338">
        <v>6</v>
      </c>
      <c r="F97" s="246">
        <f>IF(Table_6170298[[#This Row],[Item]]="",0,Table_6170298[[#This Row],[Purchase / Running costs]]/Table_6170298[[#This Row],[Depreciation period]])</f>
        <v>120</v>
      </c>
      <c r="G97" s="247"/>
      <c r="H97" s="744"/>
      <c r="I97" s="751"/>
      <c r="J97" s="702"/>
      <c r="K97" s="732"/>
      <c r="L97" s="16"/>
      <c r="M97" s="16"/>
      <c r="N97" s="16"/>
      <c r="O97" s="16"/>
      <c r="P97" s="16"/>
      <c r="Q97" s="16"/>
      <c r="R97" s="16"/>
      <c r="S97" s="16"/>
      <c r="T97" s="16"/>
      <c r="U97" s="16"/>
      <c r="V97" s="16"/>
      <c r="W97" s="16"/>
      <c r="X97" s="16"/>
      <c r="Y97" s="16"/>
      <c r="Z97" s="16"/>
      <c r="AA97" s="16"/>
      <c r="AB97" s="16"/>
    </row>
    <row r="98" spans="1:30" ht="15.75" customHeight="1">
      <c r="A98" s="244" t="s">
        <v>1109</v>
      </c>
      <c r="B98" s="244" t="s">
        <v>687</v>
      </c>
      <c r="C98" s="339">
        <v>120</v>
      </c>
      <c r="D98" s="250">
        <v>5</v>
      </c>
      <c r="E98" s="338">
        <v>2</v>
      </c>
      <c r="F98" s="246">
        <f>IF(Table_6170298[[#This Row],[Item]]="",0,Table_6170298[[#This Row],[Purchase / Running costs]]/Table_6170298[[#This Row],[Depreciation period]])</f>
        <v>24</v>
      </c>
      <c r="G98" s="247"/>
      <c r="H98" s="744"/>
      <c r="I98" s="751"/>
      <c r="J98" s="702"/>
      <c r="K98" s="732"/>
      <c r="L98" s="16"/>
      <c r="M98" s="16"/>
      <c r="N98" s="16"/>
      <c r="O98" s="16"/>
      <c r="P98" s="16"/>
      <c r="Q98" s="16"/>
      <c r="R98" s="16"/>
      <c r="S98" s="16"/>
      <c r="T98" s="16"/>
      <c r="U98" s="16"/>
      <c r="V98" s="16"/>
      <c r="W98" s="16"/>
      <c r="X98" s="16"/>
      <c r="Y98" s="16"/>
      <c r="Z98" s="16"/>
      <c r="AA98" s="16"/>
      <c r="AB98" s="16"/>
    </row>
    <row r="99" spans="1:30" ht="15.75" customHeight="1">
      <c r="A99" s="244" t="s">
        <v>1110</v>
      </c>
      <c r="B99" s="244" t="s">
        <v>687</v>
      </c>
      <c r="C99" s="339">
        <v>500</v>
      </c>
      <c r="D99" s="250">
        <v>5</v>
      </c>
      <c r="E99" s="338">
        <v>2</v>
      </c>
      <c r="F99" s="246">
        <f>IF(Table_6170298[[#This Row],[Item]]="",0,Table_6170298[[#This Row],[Purchase / Running costs]]/Table_6170298[[#This Row],[Depreciation period]])</f>
        <v>100</v>
      </c>
      <c r="G99" s="247"/>
      <c r="H99" s="744"/>
      <c r="I99" s="751"/>
      <c r="J99" s="702"/>
      <c r="K99" s="732"/>
      <c r="L99" s="16"/>
      <c r="M99" s="16"/>
      <c r="N99" s="16"/>
      <c r="O99" s="16"/>
      <c r="P99" s="16"/>
      <c r="Q99" s="16"/>
      <c r="R99" s="16"/>
      <c r="S99" s="16"/>
      <c r="T99" s="16"/>
      <c r="U99" s="16"/>
      <c r="V99" s="16"/>
      <c r="W99" s="16"/>
      <c r="X99" s="16"/>
      <c r="Y99" s="16"/>
      <c r="Z99" s="16"/>
      <c r="AA99" s="16"/>
      <c r="AB99" s="16"/>
    </row>
    <row r="100" spans="1:30" ht="15.75" customHeight="1">
      <c r="A100" s="244" t="s">
        <v>1111</v>
      </c>
      <c r="B100" s="244" t="s">
        <v>687</v>
      </c>
      <c r="C100" s="339">
        <v>100</v>
      </c>
      <c r="D100" s="250">
        <v>1</v>
      </c>
      <c r="E100" s="338">
        <v>1</v>
      </c>
      <c r="F100" s="246">
        <f>IF(Table_6170298[[#This Row],[Item]]="",0,Table_6170298[[#This Row],[Purchase / Running costs]]/Table_6170298[[#This Row],[Depreciation period]])</f>
        <v>100</v>
      </c>
      <c r="G100" s="247"/>
      <c r="H100" s="744"/>
      <c r="I100" s="751"/>
      <c r="J100" s="702"/>
      <c r="K100" s="732"/>
      <c r="L100" s="16"/>
      <c r="M100" s="16"/>
      <c r="N100" s="16"/>
      <c r="O100" s="16"/>
      <c r="P100" s="16"/>
      <c r="Q100" s="16"/>
      <c r="R100" s="16"/>
      <c r="S100" s="16"/>
      <c r="T100" s="16"/>
      <c r="U100" s="16"/>
      <c r="V100" s="16"/>
      <c r="W100" s="16"/>
      <c r="X100" s="16"/>
      <c r="Y100" s="16"/>
      <c r="Z100" s="16"/>
      <c r="AA100" s="16"/>
      <c r="AB100" s="16"/>
    </row>
    <row r="101" spans="1:30" ht="15.75" customHeight="1">
      <c r="A101" s="231"/>
      <c r="B101" s="244"/>
      <c r="C101" s="246">
        <v>0</v>
      </c>
      <c r="D101" s="247"/>
      <c r="E101" s="245"/>
      <c r="F101" s="246">
        <f>IF(Table_6170298[[#This Row],[Item]]="",0,Table_6170298[[#This Row],[Purchase / Running costs]]/Table_6170298[[#This Row],[Depreciation period]])</f>
        <v>0</v>
      </c>
      <c r="G101" s="247"/>
      <c r="H101" s="744"/>
      <c r="I101" s="751"/>
      <c r="J101" s="702"/>
      <c r="K101" s="732"/>
      <c r="L101" s="16"/>
      <c r="M101" s="16"/>
      <c r="N101" s="16"/>
      <c r="O101" s="16"/>
      <c r="P101" s="16"/>
      <c r="Q101" s="16"/>
      <c r="R101" s="16"/>
      <c r="S101" s="16"/>
      <c r="T101" s="16"/>
      <c r="U101" s="16"/>
      <c r="V101" s="16"/>
      <c r="W101" s="16"/>
      <c r="X101" s="16"/>
      <c r="Y101" s="16"/>
      <c r="Z101" s="16"/>
      <c r="AA101" s="16"/>
      <c r="AB101" s="16"/>
    </row>
    <row r="102" spans="1:30" ht="15.75" customHeight="1">
      <c r="A102" s="231"/>
      <c r="B102" s="244"/>
      <c r="C102" s="246">
        <v>0</v>
      </c>
      <c r="D102" s="247"/>
      <c r="E102" s="245"/>
      <c r="F102" s="246">
        <f>IF(Table_6170298[[#This Row],[Item]]="",0,Table_6170298[[#This Row],[Purchase / Running costs]]/Table_6170298[[#This Row],[Depreciation period]])</f>
        <v>0</v>
      </c>
      <c r="G102" s="247"/>
      <c r="H102" s="744"/>
      <c r="I102" s="751"/>
      <c r="J102" s="702"/>
      <c r="K102" s="732"/>
      <c r="L102" s="16"/>
      <c r="M102" s="16"/>
      <c r="N102" s="16"/>
      <c r="O102" s="16"/>
      <c r="P102" s="16"/>
      <c r="Q102" s="16"/>
      <c r="R102" s="16"/>
      <c r="S102" s="16"/>
      <c r="T102" s="16"/>
      <c r="U102" s="16"/>
      <c r="V102" s="16"/>
      <c r="W102" s="16"/>
      <c r="X102" s="16"/>
      <c r="Y102" s="16"/>
      <c r="Z102" s="16"/>
      <c r="AA102" s="16"/>
      <c r="AB102" s="16"/>
    </row>
    <row r="103" spans="1:30" ht="15.75" customHeight="1">
      <c r="A103" s="231"/>
      <c r="B103" s="244"/>
      <c r="C103" s="246">
        <v>0</v>
      </c>
      <c r="D103" s="247"/>
      <c r="E103" s="245"/>
      <c r="F103" s="246">
        <f>IF(Table_6170298[[#This Row],[Item]]="",0,Table_6170298[[#This Row],[Purchase / Running costs]]/Table_6170298[[#This Row],[Depreciation period]])</f>
        <v>0</v>
      </c>
      <c r="G103" s="247"/>
      <c r="H103" s="744"/>
      <c r="I103" s="751"/>
      <c r="J103" s="702"/>
      <c r="K103" s="732"/>
      <c r="L103" s="16"/>
      <c r="M103" s="16"/>
      <c r="N103" s="16"/>
      <c r="O103" s="16"/>
      <c r="P103" s="16"/>
      <c r="Q103" s="16"/>
      <c r="R103" s="16"/>
      <c r="S103" s="16"/>
      <c r="T103" s="16"/>
      <c r="U103" s="16"/>
      <c r="V103" s="16"/>
      <c r="W103" s="16"/>
      <c r="X103" s="16"/>
      <c r="Y103" s="16"/>
      <c r="Z103" s="16"/>
      <c r="AA103" s="16"/>
      <c r="AB103" s="16"/>
    </row>
    <row r="104" spans="1:30" ht="15.75" customHeight="1">
      <c r="A104" s="231"/>
      <c r="B104" s="244"/>
      <c r="C104" s="246">
        <v>0</v>
      </c>
      <c r="D104" s="247"/>
      <c r="E104" s="245"/>
      <c r="F104" s="246">
        <f>IF(Table_6170298[[#This Row],[Item]]="",0,Table_6170298[[#This Row],[Purchase / Running costs]]/Table_6170298[[#This Row],[Depreciation period]])</f>
        <v>0</v>
      </c>
      <c r="G104" s="247"/>
      <c r="H104" s="744"/>
      <c r="I104" s="751"/>
      <c r="J104" s="702"/>
      <c r="K104" s="732"/>
      <c r="L104" s="16"/>
      <c r="M104" s="16"/>
      <c r="N104" s="16"/>
      <c r="O104" s="16"/>
      <c r="P104" s="16"/>
      <c r="Q104" s="16"/>
      <c r="R104" s="16"/>
      <c r="S104" s="16"/>
      <c r="T104" s="16"/>
      <c r="U104" s="16"/>
      <c r="V104" s="16"/>
      <c r="W104" s="16"/>
      <c r="X104" s="16"/>
      <c r="Y104" s="16"/>
      <c r="Z104" s="16"/>
      <c r="AA104" s="16"/>
      <c r="AB104" s="16"/>
    </row>
    <row r="105" spans="1:30" ht="15.75" customHeight="1" thickBot="1">
      <c r="A105" s="231"/>
      <c r="B105" s="244"/>
      <c r="C105" s="246">
        <v>0</v>
      </c>
      <c r="D105" s="247"/>
      <c r="E105" s="245"/>
      <c r="F105" s="246">
        <f>IF(Table_6170298[[#This Row],[Item]]="",0,Table_6170298[[#This Row],[Purchase / Running costs]]/Table_6170298[[#This Row],[Depreciation period]])</f>
        <v>0</v>
      </c>
      <c r="G105" s="247"/>
      <c r="H105" s="747"/>
      <c r="I105" s="748"/>
      <c r="J105" s="752"/>
      <c r="K105" s="734"/>
      <c r="L105" s="16"/>
      <c r="M105" s="16"/>
      <c r="N105" s="16"/>
      <c r="O105" s="16"/>
      <c r="P105" s="16"/>
      <c r="Q105" s="16"/>
      <c r="R105" s="16"/>
      <c r="S105" s="16"/>
      <c r="T105" s="16"/>
      <c r="U105" s="16"/>
      <c r="V105" s="16"/>
      <c r="W105" s="16"/>
      <c r="X105" s="16"/>
      <c r="Y105" s="16"/>
      <c r="Z105" s="16"/>
      <c r="AA105" s="16"/>
      <c r="AB105" s="16"/>
    </row>
    <row r="106" spans="1:30" ht="15.75" customHeight="1" thickTop="1">
      <c r="A106" s="15"/>
      <c r="B106" s="131"/>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c r="AD106" s="16"/>
    </row>
    <row r="107" spans="1:30" ht="15.75" customHeight="1">
      <c r="A107" s="15"/>
      <c r="B107" s="131"/>
      <c r="C107" s="16"/>
      <c r="D107" s="16"/>
      <c r="E107" s="16"/>
      <c r="F107" s="16"/>
      <c r="G107" s="16"/>
      <c r="I107" s="16"/>
      <c r="J107" s="16"/>
      <c r="K107" s="16"/>
      <c r="L107" s="16"/>
      <c r="M107" s="16"/>
      <c r="N107" s="16"/>
      <c r="O107" s="16"/>
      <c r="P107" s="16"/>
      <c r="Q107" s="16"/>
      <c r="R107" s="16"/>
      <c r="S107" s="16"/>
      <c r="T107" s="16"/>
      <c r="U107" s="16"/>
      <c r="V107" s="16"/>
      <c r="W107" s="16"/>
      <c r="X107" s="16"/>
      <c r="Y107" s="16"/>
      <c r="Z107" s="16"/>
      <c r="AA107" s="16"/>
      <c r="AB107" s="16"/>
      <c r="AC107" s="16"/>
      <c r="AD107" s="16"/>
    </row>
    <row r="108" spans="1:30" ht="15.75" customHeight="1">
      <c r="H108" s="51"/>
      <c r="I108" s="51"/>
      <c r="J108" s="51"/>
      <c r="K108" s="51"/>
      <c r="L108" s="16"/>
      <c r="M108" s="16"/>
      <c r="N108" s="16"/>
      <c r="O108" s="16"/>
      <c r="P108" s="16"/>
      <c r="Q108" s="16"/>
      <c r="R108" s="16"/>
      <c r="S108" s="16"/>
      <c r="T108" s="16"/>
      <c r="U108" s="16"/>
      <c r="V108" s="16"/>
      <c r="W108" s="16"/>
      <c r="X108" s="16"/>
      <c r="Y108" s="16"/>
      <c r="Z108" s="16"/>
      <c r="AA108" s="16"/>
      <c r="AB108" s="16"/>
      <c r="AC108" s="16"/>
      <c r="AD108" s="16"/>
    </row>
    <row r="109" spans="1:30" ht="15.75" customHeight="1">
      <c r="L109" s="16"/>
      <c r="M109" s="16"/>
      <c r="N109" s="16"/>
      <c r="O109" s="16"/>
      <c r="P109" s="16"/>
      <c r="Q109" s="16"/>
      <c r="R109" s="16"/>
      <c r="S109" s="16"/>
      <c r="T109" s="16"/>
      <c r="U109" s="16"/>
      <c r="V109" s="16"/>
      <c r="W109" s="16"/>
      <c r="X109" s="16"/>
      <c r="Y109" s="16"/>
      <c r="Z109" s="16"/>
      <c r="AA109" s="16"/>
      <c r="AB109" s="16"/>
      <c r="AC109" s="16"/>
      <c r="AD109" s="16"/>
    </row>
    <row r="110" spans="1:30" ht="15.75" customHeight="1">
      <c r="L110" s="16"/>
      <c r="M110" s="16"/>
      <c r="N110" s="16"/>
      <c r="O110" s="16"/>
      <c r="P110" s="16"/>
      <c r="Q110" s="16"/>
      <c r="R110" s="16"/>
      <c r="S110" s="16"/>
      <c r="T110" s="16"/>
      <c r="U110" s="16"/>
      <c r="V110" s="16"/>
      <c r="W110" s="16"/>
      <c r="X110" s="16"/>
      <c r="Y110" s="16"/>
      <c r="Z110" s="16"/>
      <c r="AA110" s="16"/>
      <c r="AB110" s="16"/>
      <c r="AC110" s="16"/>
      <c r="AD110" s="16"/>
    </row>
    <row r="111" spans="1:30" ht="15.75" customHeight="1">
      <c r="L111" s="16"/>
      <c r="M111" s="16"/>
      <c r="N111" s="16"/>
      <c r="O111" s="16"/>
      <c r="P111" s="16"/>
      <c r="Q111" s="16"/>
      <c r="R111" s="16"/>
      <c r="S111" s="16"/>
      <c r="T111" s="16"/>
      <c r="U111" s="16"/>
      <c r="V111" s="16"/>
      <c r="W111" s="16"/>
      <c r="X111" s="16"/>
      <c r="Y111" s="16"/>
      <c r="Z111" s="16"/>
      <c r="AA111" s="16"/>
      <c r="AB111" s="16"/>
      <c r="AC111" s="16"/>
      <c r="AD111" s="16"/>
    </row>
    <row r="112" spans="1:30" ht="15.75" customHeight="1">
      <c r="L112" s="16"/>
      <c r="M112" s="16"/>
      <c r="N112" s="16"/>
      <c r="O112" s="16"/>
      <c r="P112" s="16"/>
      <c r="Q112" s="16"/>
      <c r="R112" s="16"/>
      <c r="S112" s="16"/>
      <c r="T112" s="16"/>
      <c r="U112" s="16"/>
      <c r="V112" s="16"/>
      <c r="W112" s="16"/>
      <c r="X112" s="16"/>
      <c r="Y112" s="16"/>
      <c r="Z112" s="16"/>
      <c r="AA112" s="16"/>
      <c r="AB112" s="16"/>
      <c r="AC112" s="16"/>
      <c r="AD112" s="16"/>
    </row>
    <row r="113" spans="1:30" ht="15.75" customHeight="1">
      <c r="L113" s="16"/>
      <c r="M113" s="16"/>
      <c r="N113" s="16"/>
      <c r="O113" s="16"/>
      <c r="P113" s="16"/>
      <c r="Q113" s="16"/>
      <c r="R113" s="16"/>
      <c r="S113" s="16"/>
      <c r="T113" s="16"/>
      <c r="U113" s="16"/>
      <c r="V113" s="16"/>
      <c r="W113" s="16"/>
      <c r="X113" s="16"/>
      <c r="Y113" s="16"/>
      <c r="Z113" s="16"/>
      <c r="AA113" s="16"/>
      <c r="AB113" s="16"/>
      <c r="AC113" s="16"/>
      <c r="AD113" s="16"/>
    </row>
    <row r="114" spans="1:30" ht="15.75" customHeight="1">
      <c r="L114" s="16"/>
      <c r="M114" s="16"/>
      <c r="N114" s="16"/>
      <c r="O114" s="16"/>
      <c r="P114" s="16"/>
      <c r="Q114" s="16"/>
      <c r="R114" s="16"/>
      <c r="S114" s="16"/>
      <c r="T114" s="16"/>
      <c r="U114" s="16"/>
      <c r="V114" s="16"/>
      <c r="W114" s="16"/>
      <c r="X114" s="16"/>
      <c r="Y114" s="16"/>
      <c r="Z114" s="16"/>
      <c r="AA114" s="16"/>
      <c r="AB114" s="16"/>
      <c r="AC114" s="16"/>
      <c r="AD114" s="16"/>
    </row>
    <row r="115" spans="1:30" ht="15.75" customHeight="1">
      <c r="L115" s="16"/>
      <c r="M115" s="16"/>
      <c r="N115" s="16"/>
      <c r="O115" s="16"/>
      <c r="P115" s="735"/>
      <c r="Q115" s="696"/>
      <c r="R115" s="696"/>
      <c r="S115" s="16"/>
      <c r="T115" s="16"/>
      <c r="U115" s="16"/>
      <c r="V115" s="16"/>
      <c r="W115" s="16"/>
      <c r="X115" s="16"/>
      <c r="Y115" s="16"/>
      <c r="Z115" s="16"/>
      <c r="AA115" s="16"/>
      <c r="AB115" s="16"/>
      <c r="AC115" s="16"/>
      <c r="AD115" s="16"/>
    </row>
    <row r="116" spans="1:30" ht="15.75" customHeight="1">
      <c r="L116" s="16"/>
      <c r="M116" s="16"/>
      <c r="N116" s="16"/>
      <c r="O116" s="16"/>
      <c r="P116" s="735"/>
      <c r="Q116" s="696"/>
      <c r="R116" s="696"/>
      <c r="S116" s="16"/>
      <c r="T116" s="16"/>
      <c r="U116" s="16"/>
      <c r="V116" s="16"/>
      <c r="W116" s="16"/>
      <c r="X116" s="16"/>
      <c r="Y116" s="16"/>
      <c r="Z116" s="16"/>
      <c r="AA116" s="16"/>
      <c r="AB116" s="16"/>
      <c r="AC116" s="16"/>
      <c r="AD116" s="16"/>
    </row>
    <row r="117" spans="1:30" ht="15.75" customHeight="1">
      <c r="L117" s="16"/>
      <c r="M117" s="16"/>
      <c r="N117" s="16"/>
      <c r="O117" s="16"/>
      <c r="P117" s="735"/>
      <c r="Q117" s="696"/>
      <c r="R117" s="696"/>
      <c r="S117" s="16"/>
      <c r="T117" s="16"/>
      <c r="U117" s="16"/>
      <c r="V117" s="16"/>
      <c r="W117" s="16"/>
      <c r="X117" s="16"/>
      <c r="Y117" s="16"/>
      <c r="Z117" s="16"/>
      <c r="AA117" s="16"/>
      <c r="AB117" s="16"/>
      <c r="AC117" s="16"/>
      <c r="AD117" s="16"/>
    </row>
    <row r="118" spans="1:30" ht="15.75" customHeight="1">
      <c r="L118" s="16"/>
      <c r="M118" s="16"/>
      <c r="N118" s="16"/>
      <c r="O118" s="16"/>
      <c r="P118" s="735"/>
      <c r="Q118" s="696"/>
      <c r="R118" s="696"/>
      <c r="S118" s="16"/>
      <c r="T118" s="16"/>
      <c r="U118" s="16"/>
      <c r="V118" s="16"/>
      <c r="W118" s="16"/>
      <c r="X118" s="16"/>
      <c r="Y118" s="16"/>
      <c r="Z118" s="16"/>
      <c r="AA118" s="16"/>
      <c r="AB118" s="16"/>
      <c r="AC118" s="16"/>
      <c r="AD118" s="16"/>
    </row>
    <row r="119" spans="1:30" ht="15.75" customHeight="1">
      <c r="L119" s="16"/>
      <c r="M119" s="16"/>
      <c r="N119" s="16"/>
      <c r="O119" s="16"/>
      <c r="P119" s="735"/>
      <c r="Q119" s="696"/>
      <c r="R119" s="696"/>
      <c r="S119" s="16"/>
      <c r="T119" s="16"/>
      <c r="U119" s="16"/>
      <c r="V119" s="16"/>
      <c r="W119" s="16"/>
      <c r="X119" s="16"/>
      <c r="Y119" s="16"/>
      <c r="Z119" s="16"/>
      <c r="AA119" s="16"/>
      <c r="AB119" s="16"/>
      <c r="AC119" s="16"/>
      <c r="AD119" s="16"/>
    </row>
    <row r="120" spans="1:30" ht="15.75" customHeight="1">
      <c r="L120" s="16"/>
      <c r="M120" s="16"/>
      <c r="N120" s="16"/>
      <c r="O120" s="16"/>
      <c r="P120" s="735"/>
      <c r="Q120" s="696"/>
      <c r="R120" s="696"/>
      <c r="S120" s="16"/>
      <c r="T120" s="16"/>
      <c r="U120" s="16"/>
      <c r="V120" s="16"/>
      <c r="W120" s="16"/>
      <c r="X120" s="16"/>
      <c r="Y120" s="16"/>
      <c r="Z120" s="16"/>
      <c r="AA120" s="16"/>
      <c r="AB120" s="16"/>
      <c r="AC120" s="16"/>
      <c r="AD120" s="16"/>
    </row>
    <row r="121" spans="1:30" ht="15.75" customHeight="1">
      <c r="H121" s="248"/>
      <c r="I121" s="248"/>
      <c r="J121" s="228"/>
      <c r="K121" s="228"/>
      <c r="L121" s="16"/>
      <c r="M121" s="16"/>
      <c r="N121" s="16"/>
      <c r="O121" s="16"/>
      <c r="P121" s="735"/>
      <c r="Q121" s="696"/>
      <c r="R121" s="696"/>
      <c r="S121" s="16"/>
      <c r="T121" s="16"/>
      <c r="U121" s="16"/>
      <c r="V121" s="16"/>
      <c r="W121" s="16"/>
      <c r="X121" s="16"/>
      <c r="Y121" s="16"/>
      <c r="Z121" s="16"/>
      <c r="AA121" s="16"/>
      <c r="AB121" s="16"/>
      <c r="AC121" s="16"/>
      <c r="AD121" s="16"/>
    </row>
    <row r="122" spans="1:30" ht="15.75" customHeight="1">
      <c r="A122" s="231"/>
      <c r="B122" s="231"/>
      <c r="C122" s="246"/>
      <c r="D122" s="247"/>
      <c r="E122" s="245"/>
      <c r="F122" s="246"/>
      <c r="G122" s="247"/>
      <c r="H122" s="248"/>
      <c r="I122" s="248"/>
      <c r="J122" s="228"/>
      <c r="K122" s="228"/>
      <c r="L122" s="16"/>
      <c r="M122" s="16"/>
      <c r="N122" s="16"/>
      <c r="O122" s="16"/>
      <c r="P122" s="16"/>
      <c r="Q122" s="16"/>
      <c r="R122" s="16"/>
      <c r="S122" s="16"/>
      <c r="T122" s="16"/>
      <c r="U122" s="16"/>
      <c r="V122" s="16"/>
      <c r="W122" s="16"/>
      <c r="X122" s="16"/>
      <c r="Y122" s="16"/>
      <c r="Z122" s="16"/>
      <c r="AA122" s="16"/>
      <c r="AB122" s="16"/>
      <c r="AC122" s="16"/>
      <c r="AD122" s="16"/>
    </row>
    <row r="123" spans="1:30" ht="15.75" customHeight="1">
      <c r="A123" s="231"/>
      <c r="B123" s="16"/>
      <c r="C123" s="246"/>
      <c r="D123" s="247"/>
      <c r="E123" s="245"/>
      <c r="F123" s="246"/>
      <c r="G123" s="247"/>
      <c r="H123" s="228"/>
      <c r="I123" s="228"/>
      <c r="J123" s="228"/>
      <c r="K123" s="228"/>
      <c r="L123" s="16"/>
      <c r="M123" s="735"/>
      <c r="N123" s="696"/>
      <c r="O123" s="696"/>
      <c r="P123" s="735"/>
      <c r="Q123" s="696"/>
      <c r="R123" s="696"/>
      <c r="S123" s="696"/>
      <c r="T123" s="696"/>
      <c r="U123" s="16"/>
      <c r="V123" s="16"/>
      <c r="W123" s="16"/>
      <c r="X123" s="16"/>
      <c r="Y123" s="16"/>
      <c r="Z123" s="16"/>
      <c r="AA123" s="16"/>
      <c r="AB123" s="16"/>
      <c r="AC123" s="16"/>
      <c r="AD123" s="16"/>
    </row>
    <row r="124" spans="1:30" ht="15.75" customHeight="1">
      <c r="A124" s="16"/>
      <c r="B124" s="16"/>
      <c r="C124" s="16"/>
      <c r="D124" s="16"/>
      <c r="E124" s="16"/>
      <c r="F124" s="16"/>
      <c r="G124" s="16"/>
      <c r="H124" s="16"/>
      <c r="I124" s="16"/>
      <c r="J124" s="16"/>
      <c r="K124" s="16"/>
      <c r="L124" s="16"/>
      <c r="M124" s="735"/>
      <c r="N124" s="696"/>
      <c r="O124" s="696"/>
      <c r="P124" s="735"/>
      <c r="Q124" s="696"/>
      <c r="R124" s="696"/>
      <c r="S124" s="696"/>
      <c r="T124" s="696"/>
      <c r="U124" s="16"/>
      <c r="V124" s="16"/>
      <c r="W124" s="16"/>
      <c r="X124" s="16"/>
      <c r="Y124" s="16"/>
      <c r="Z124" s="16"/>
      <c r="AA124" s="16"/>
      <c r="AB124" s="16"/>
      <c r="AC124" s="16"/>
      <c r="AD124" s="16"/>
    </row>
    <row r="125" spans="1:30" ht="15.75" customHeight="1">
      <c r="A125" s="16"/>
      <c r="B125" s="16"/>
      <c r="C125" s="16"/>
      <c r="D125" s="16"/>
      <c r="E125" s="16"/>
      <c r="F125" s="16"/>
      <c r="G125" s="16"/>
      <c r="H125" s="16"/>
      <c r="I125" s="16"/>
      <c r="J125" s="16"/>
      <c r="K125" s="16"/>
      <c r="L125" s="16"/>
      <c r="M125" s="735"/>
      <c r="N125" s="696"/>
      <c r="O125" s="696"/>
      <c r="P125" s="696"/>
      <c r="Q125" s="696"/>
      <c r="R125" s="696"/>
      <c r="S125" s="696"/>
      <c r="T125" s="696"/>
      <c r="U125" s="16"/>
      <c r="V125" s="16"/>
      <c r="W125" s="16"/>
      <c r="X125" s="16"/>
      <c r="Y125" s="16"/>
      <c r="Z125" s="16"/>
      <c r="AA125" s="16"/>
      <c r="AB125" s="16"/>
      <c r="AC125" s="16"/>
      <c r="AD125" s="16"/>
    </row>
    <row r="126" spans="1:30" ht="15.75" customHeight="1">
      <c r="A126" s="16"/>
      <c r="B126" s="16"/>
      <c r="C126" s="16"/>
      <c r="D126" s="16"/>
      <c r="E126" s="16"/>
      <c r="F126" s="16"/>
      <c r="G126" s="16"/>
      <c r="H126" s="16"/>
      <c r="I126" s="16"/>
      <c r="J126" s="16"/>
      <c r="K126" s="16"/>
      <c r="L126" s="16"/>
      <c r="M126" s="735"/>
      <c r="N126" s="696"/>
      <c r="O126" s="696"/>
      <c r="P126" s="696"/>
      <c r="Q126" s="696"/>
      <c r="R126" s="696"/>
      <c r="S126" s="696"/>
      <c r="T126" s="696"/>
      <c r="U126" s="16"/>
      <c r="V126" s="16"/>
      <c r="W126" s="16"/>
      <c r="X126" s="16"/>
      <c r="Y126" s="16"/>
      <c r="Z126" s="16"/>
      <c r="AA126" s="16"/>
      <c r="AB126" s="16"/>
      <c r="AC126" s="16"/>
      <c r="AD126" s="16"/>
    </row>
    <row r="127" spans="1:30" ht="15.75" customHeight="1">
      <c r="A127" s="16"/>
      <c r="B127" s="16"/>
      <c r="C127" s="16"/>
      <c r="D127" s="16"/>
      <c r="E127" s="16"/>
      <c r="F127" s="16"/>
      <c r="G127" s="16"/>
      <c r="H127" s="16"/>
      <c r="I127" s="16"/>
      <c r="J127" s="16"/>
      <c r="K127" s="16"/>
      <c r="L127" s="16"/>
      <c r="M127" s="735"/>
      <c r="N127" s="696"/>
      <c r="O127" s="696"/>
      <c r="P127" s="696"/>
      <c r="Q127" s="696"/>
      <c r="R127" s="696"/>
      <c r="S127" s="696"/>
      <c r="T127" s="696"/>
      <c r="U127" s="16"/>
      <c r="V127" s="16"/>
      <c r="W127" s="16"/>
      <c r="X127" s="16"/>
      <c r="Y127" s="16"/>
      <c r="Z127" s="16"/>
      <c r="AA127" s="16"/>
      <c r="AB127" s="16"/>
      <c r="AC127" s="16"/>
      <c r="AD127" s="16"/>
    </row>
    <row r="128" spans="1:30" ht="15.75" customHeight="1">
      <c r="A128" s="16"/>
      <c r="B128" s="16"/>
      <c r="C128" s="16"/>
      <c r="D128" s="16"/>
      <c r="E128" s="16"/>
      <c r="F128" s="16"/>
      <c r="G128" s="16"/>
      <c r="H128" s="16"/>
      <c r="I128" s="16"/>
      <c r="J128" s="16"/>
      <c r="K128" s="16"/>
      <c r="L128" s="16"/>
      <c r="M128" s="735"/>
      <c r="N128" s="696"/>
      <c r="O128" s="696"/>
      <c r="P128" s="696"/>
      <c r="Q128" s="696"/>
      <c r="R128" s="696"/>
      <c r="S128" s="696"/>
      <c r="T128" s="696"/>
      <c r="U128" s="16"/>
      <c r="V128" s="16"/>
      <c r="W128" s="16"/>
      <c r="X128" s="16"/>
      <c r="Y128" s="16"/>
      <c r="Z128" s="16"/>
      <c r="AA128" s="16"/>
      <c r="AB128" s="16"/>
      <c r="AC128" s="16"/>
      <c r="AD128" s="16"/>
    </row>
    <row r="129" spans="1:30" ht="15.75" customHeight="1">
      <c r="A129" s="16"/>
      <c r="B129" s="16"/>
      <c r="C129" s="16"/>
      <c r="D129" s="16"/>
      <c r="E129" s="16"/>
      <c r="F129" s="16"/>
      <c r="G129" s="16"/>
      <c r="H129" s="16"/>
      <c r="I129" s="16"/>
      <c r="J129" s="16"/>
      <c r="K129" s="16"/>
      <c r="L129" s="16"/>
      <c r="M129" s="735"/>
      <c r="N129" s="696"/>
      <c r="O129" s="696"/>
      <c r="P129" s="696"/>
      <c r="Q129" s="696"/>
      <c r="R129" s="696"/>
      <c r="S129" s="696"/>
      <c r="T129" s="696"/>
      <c r="U129" s="16"/>
      <c r="V129" s="16"/>
      <c r="W129" s="16"/>
      <c r="X129" s="16"/>
      <c r="Y129" s="16"/>
      <c r="Z129" s="16"/>
      <c r="AA129" s="16"/>
      <c r="AB129" s="16"/>
      <c r="AC129" s="16"/>
      <c r="AD129" s="16"/>
    </row>
    <row r="130" spans="1:30" ht="15.75" customHeight="1">
      <c r="A130" s="16"/>
      <c r="B130" s="16"/>
      <c r="C130" s="16"/>
      <c r="D130" s="16"/>
      <c r="E130" s="16"/>
      <c r="F130" s="16"/>
      <c r="G130" s="16"/>
      <c r="H130" s="16"/>
      <c r="I130" s="16"/>
      <c r="J130" s="16"/>
      <c r="K130" s="16"/>
      <c r="L130" s="16"/>
      <c r="M130" s="735"/>
      <c r="N130" s="696"/>
      <c r="O130" s="696"/>
      <c r="P130" s="696"/>
      <c r="Q130" s="696"/>
      <c r="R130" s="696"/>
      <c r="S130" s="696"/>
      <c r="T130" s="696"/>
      <c r="U130" s="16"/>
      <c r="V130" s="16"/>
      <c r="W130" s="16"/>
      <c r="X130" s="16"/>
      <c r="Y130" s="16"/>
      <c r="Z130" s="16"/>
      <c r="AA130" s="16"/>
      <c r="AB130" s="16"/>
      <c r="AC130" s="16"/>
      <c r="AD130" s="16"/>
    </row>
    <row r="131" spans="1:30" ht="15.75" customHeight="1">
      <c r="A131" s="16"/>
      <c r="B131" s="16"/>
      <c r="C131" s="16"/>
      <c r="D131" s="16"/>
      <c r="E131" s="16"/>
      <c r="F131" s="16"/>
      <c r="G131" s="16"/>
      <c r="H131" s="16"/>
      <c r="I131" s="16"/>
      <c r="J131" s="16"/>
      <c r="K131" s="16"/>
      <c r="L131" s="16"/>
      <c r="M131" s="735"/>
      <c r="N131" s="696"/>
      <c r="O131" s="696"/>
      <c r="P131" s="696"/>
      <c r="Q131" s="696"/>
      <c r="R131" s="696"/>
      <c r="S131" s="696"/>
      <c r="T131" s="696"/>
      <c r="U131" s="16"/>
      <c r="V131" s="16"/>
      <c r="W131" s="16"/>
      <c r="X131" s="16"/>
      <c r="Y131" s="16"/>
      <c r="Z131" s="16"/>
      <c r="AA131" s="16"/>
      <c r="AB131" s="16"/>
      <c r="AC131" s="16"/>
      <c r="AD131" s="16"/>
    </row>
    <row r="132" spans="1:30" ht="15.75" customHeight="1">
      <c r="A132" s="16"/>
      <c r="B132" s="16"/>
      <c r="C132" s="16"/>
      <c r="D132" s="16"/>
      <c r="E132" s="16"/>
      <c r="F132" s="16"/>
      <c r="G132" s="16"/>
      <c r="H132" s="16"/>
      <c r="I132" s="16"/>
      <c r="J132" s="16"/>
      <c r="K132" s="16"/>
      <c r="L132" s="16"/>
      <c r="M132" s="735"/>
      <c r="N132" s="696"/>
      <c r="O132" s="696"/>
      <c r="P132" s="696"/>
      <c r="Q132" s="696"/>
      <c r="R132" s="696"/>
      <c r="S132" s="696"/>
      <c r="T132" s="696"/>
      <c r="U132" s="16"/>
      <c r="V132" s="16"/>
      <c r="W132" s="16"/>
      <c r="X132" s="16"/>
      <c r="Y132" s="16"/>
      <c r="Z132" s="16"/>
      <c r="AA132" s="16"/>
      <c r="AB132" s="16"/>
      <c r="AC132" s="16"/>
      <c r="AD132" s="16"/>
    </row>
    <row r="133" spans="1:30" ht="15.75" customHeight="1">
      <c r="A133" s="16"/>
      <c r="B133" s="16"/>
      <c r="C133" s="16"/>
      <c r="D133" s="16"/>
      <c r="E133" s="16"/>
      <c r="F133" s="16"/>
      <c r="G133" s="16"/>
      <c r="H133" s="16"/>
      <c r="I133" s="16"/>
      <c r="J133" s="16"/>
      <c r="K133" s="16"/>
      <c r="L133" s="16"/>
      <c r="M133" s="735"/>
      <c r="N133" s="696"/>
      <c r="O133" s="696"/>
      <c r="P133" s="696"/>
      <c r="Q133" s="696"/>
      <c r="R133" s="696"/>
      <c r="S133" s="696"/>
      <c r="T133" s="696"/>
      <c r="U133" s="16"/>
      <c r="V133" s="16"/>
      <c r="W133" s="16"/>
      <c r="X133" s="16"/>
      <c r="Y133" s="16"/>
      <c r="Z133" s="16"/>
      <c r="AA133" s="16"/>
      <c r="AB133" s="16"/>
      <c r="AC133" s="16"/>
      <c r="AD133" s="16"/>
    </row>
    <row r="134" spans="1:30" ht="15.75" customHeight="1">
      <c r="A134" s="16"/>
      <c r="B134" s="16"/>
      <c r="C134" s="16"/>
      <c r="D134" s="16"/>
      <c r="E134" s="16"/>
      <c r="F134" s="16"/>
      <c r="G134" s="16"/>
      <c r="H134" s="16"/>
      <c r="I134" s="16"/>
      <c r="J134" s="16"/>
      <c r="K134" s="16"/>
      <c r="L134" s="16"/>
      <c r="M134" s="735"/>
      <c r="N134" s="696"/>
      <c r="O134" s="696"/>
      <c r="P134" s="696"/>
      <c r="Q134" s="696"/>
      <c r="R134" s="696"/>
      <c r="S134" s="696"/>
      <c r="T134" s="696"/>
      <c r="U134" s="16"/>
      <c r="V134" s="16"/>
      <c r="W134" s="16"/>
      <c r="X134" s="16"/>
      <c r="Y134" s="16"/>
      <c r="Z134" s="16"/>
      <c r="AA134" s="16"/>
      <c r="AB134" s="16"/>
      <c r="AC134" s="16"/>
      <c r="AD134" s="16"/>
    </row>
    <row r="135" spans="1:30" ht="15.75" customHeight="1">
      <c r="A135" s="16"/>
      <c r="B135" s="16"/>
      <c r="C135" s="16"/>
      <c r="D135" s="16"/>
      <c r="E135" s="16"/>
      <c r="F135" s="16"/>
      <c r="G135" s="16"/>
      <c r="H135" s="16"/>
      <c r="I135" s="16"/>
      <c r="J135" s="16"/>
      <c r="K135" s="16"/>
      <c r="L135" s="16"/>
      <c r="M135" s="735"/>
      <c r="N135" s="696"/>
      <c r="O135" s="696"/>
      <c r="P135" s="696"/>
      <c r="Q135" s="696"/>
      <c r="R135" s="696"/>
      <c r="S135" s="696"/>
      <c r="T135" s="696"/>
      <c r="U135" s="16"/>
      <c r="V135" s="16"/>
      <c r="W135" s="16"/>
      <c r="X135" s="16"/>
      <c r="Y135" s="16"/>
      <c r="Z135" s="16"/>
      <c r="AA135" s="16"/>
      <c r="AB135" s="16"/>
      <c r="AC135" s="16"/>
      <c r="AD135" s="16"/>
    </row>
    <row r="136" spans="1:30" ht="15.75" customHeight="1">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c r="AA136" s="16"/>
      <c r="AB136" s="16"/>
      <c r="AC136" s="16"/>
      <c r="AD136" s="16"/>
    </row>
    <row r="137" spans="1:30" ht="15.75" customHeight="1">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c r="AA137" s="16"/>
      <c r="AB137" s="16"/>
      <c r="AC137" s="16"/>
      <c r="AD137" s="16"/>
    </row>
    <row r="138" spans="1:30" ht="15.75" customHeight="1">
      <c r="A138" s="16"/>
      <c r="B138" s="16"/>
      <c r="C138" s="16"/>
      <c r="D138" s="16"/>
      <c r="E138" s="16"/>
      <c r="F138" s="16"/>
      <c r="G138" s="16"/>
      <c r="H138" s="16"/>
      <c r="I138" s="16"/>
      <c r="J138" s="16"/>
      <c r="K138" s="16"/>
      <c r="L138" s="16"/>
      <c r="M138" s="735"/>
      <c r="N138" s="696"/>
      <c r="O138" s="696"/>
      <c r="P138" s="735"/>
      <c r="Q138" s="696"/>
      <c r="R138" s="696"/>
      <c r="S138" s="696"/>
      <c r="T138" s="696"/>
      <c r="U138" s="16"/>
      <c r="V138" s="16"/>
      <c r="W138" s="16"/>
      <c r="X138" s="16"/>
      <c r="Y138" s="16"/>
      <c r="Z138" s="16"/>
      <c r="AA138" s="16"/>
      <c r="AB138" s="16"/>
      <c r="AC138" s="16"/>
      <c r="AD138" s="16"/>
    </row>
    <row r="139" spans="1:30" ht="15.75" customHeight="1">
      <c r="A139" s="16"/>
      <c r="B139" s="16"/>
      <c r="C139" s="16"/>
      <c r="D139" s="16"/>
      <c r="E139" s="16"/>
      <c r="F139" s="16"/>
      <c r="G139" s="16"/>
      <c r="H139" s="16"/>
      <c r="I139" s="16"/>
      <c r="J139" s="16"/>
      <c r="K139" s="16"/>
      <c r="L139" s="16"/>
      <c r="M139" s="735"/>
      <c r="N139" s="696"/>
      <c r="O139" s="696"/>
      <c r="P139" s="735"/>
      <c r="Q139" s="696"/>
      <c r="R139" s="696"/>
      <c r="S139" s="696"/>
      <c r="T139" s="696"/>
      <c r="U139" s="16"/>
      <c r="V139" s="16"/>
      <c r="W139" s="16"/>
      <c r="X139" s="16"/>
      <c r="Y139" s="16"/>
      <c r="Z139" s="16"/>
      <c r="AA139" s="16"/>
      <c r="AB139" s="16"/>
      <c r="AC139" s="16"/>
      <c r="AD139" s="16"/>
    </row>
    <row r="140" spans="1:30" ht="15.75" customHeight="1">
      <c r="A140" s="16"/>
      <c r="B140" s="16"/>
      <c r="C140" s="16"/>
      <c r="D140" s="16"/>
      <c r="E140" s="16"/>
      <c r="F140" s="16"/>
      <c r="G140" s="16"/>
      <c r="H140" s="16"/>
      <c r="I140" s="16"/>
      <c r="J140" s="16"/>
      <c r="K140" s="16"/>
      <c r="L140" s="16"/>
      <c r="M140" s="735"/>
      <c r="N140" s="696"/>
      <c r="O140" s="696"/>
      <c r="P140" s="696"/>
      <c r="Q140" s="696"/>
      <c r="R140" s="696"/>
      <c r="S140" s="696"/>
      <c r="T140" s="696"/>
      <c r="U140" s="16"/>
      <c r="V140" s="16"/>
      <c r="W140" s="16"/>
      <c r="X140" s="16"/>
      <c r="Y140" s="16"/>
      <c r="Z140" s="16"/>
      <c r="AA140" s="16"/>
      <c r="AB140" s="16"/>
      <c r="AC140" s="16"/>
      <c r="AD140" s="16"/>
    </row>
    <row r="141" spans="1:30" ht="15.75" customHeight="1">
      <c r="A141" s="16"/>
      <c r="B141" s="16"/>
      <c r="C141" s="16"/>
      <c r="D141" s="16"/>
      <c r="E141" s="16"/>
      <c r="F141" s="16"/>
      <c r="G141" s="16"/>
      <c r="H141" s="16"/>
      <c r="I141" s="16"/>
      <c r="J141" s="16"/>
      <c r="K141" s="16"/>
      <c r="L141" s="16"/>
      <c r="M141" s="735"/>
      <c r="N141" s="696"/>
      <c r="O141" s="696"/>
      <c r="P141" s="696"/>
      <c r="Q141" s="696"/>
      <c r="R141" s="696"/>
      <c r="S141" s="696"/>
      <c r="T141" s="696"/>
      <c r="U141" s="16"/>
      <c r="V141" s="16"/>
      <c r="W141" s="16"/>
      <c r="X141" s="16"/>
      <c r="Y141" s="16"/>
      <c r="Z141" s="16"/>
      <c r="AA141" s="16"/>
      <c r="AB141" s="16"/>
      <c r="AC141" s="16"/>
      <c r="AD141" s="16"/>
    </row>
    <row r="142" spans="1:30" ht="15.75" customHeight="1">
      <c r="A142" s="16"/>
      <c r="B142" s="16"/>
      <c r="C142" s="16"/>
      <c r="D142" s="16"/>
      <c r="E142" s="16"/>
      <c r="F142" s="16"/>
      <c r="G142" s="16"/>
      <c r="H142" s="16"/>
      <c r="I142" s="16"/>
      <c r="J142" s="16"/>
      <c r="K142" s="16"/>
      <c r="L142" s="16"/>
      <c r="M142" s="735"/>
      <c r="N142" s="696"/>
      <c r="O142" s="696"/>
      <c r="P142" s="696"/>
      <c r="Q142" s="696"/>
      <c r="R142" s="696"/>
      <c r="S142" s="696"/>
      <c r="T142" s="696"/>
      <c r="U142" s="16"/>
      <c r="V142" s="16"/>
      <c r="W142" s="16"/>
      <c r="X142" s="16"/>
      <c r="Y142" s="16"/>
      <c r="Z142" s="16"/>
      <c r="AA142" s="16"/>
      <c r="AB142" s="16"/>
      <c r="AC142" s="16"/>
      <c r="AD142" s="16"/>
    </row>
    <row r="143" spans="1:30" ht="15.75" customHeight="1">
      <c r="A143" s="16"/>
      <c r="B143" s="16"/>
      <c r="C143" s="16"/>
      <c r="D143" s="16"/>
      <c r="E143" s="16"/>
      <c r="F143" s="16"/>
      <c r="G143" s="16"/>
      <c r="H143" s="16"/>
      <c r="I143" s="16"/>
      <c r="J143" s="16"/>
      <c r="K143" s="16"/>
      <c r="L143" s="16"/>
      <c r="M143" s="735"/>
      <c r="N143" s="696"/>
      <c r="O143" s="696"/>
      <c r="P143" s="696"/>
      <c r="Q143" s="696"/>
      <c r="R143" s="696"/>
      <c r="S143" s="696"/>
      <c r="T143" s="696"/>
      <c r="U143" s="16"/>
      <c r="V143" s="16"/>
      <c r="W143" s="16"/>
      <c r="X143" s="16"/>
      <c r="Y143" s="16"/>
      <c r="Z143" s="16"/>
      <c r="AA143" s="16"/>
      <c r="AB143" s="16"/>
      <c r="AC143" s="16"/>
      <c r="AD143" s="16"/>
    </row>
    <row r="144" spans="1:30" ht="15.75" customHeight="1">
      <c r="A144" s="16"/>
      <c r="B144" s="16"/>
      <c r="C144" s="16"/>
      <c r="D144" s="16"/>
      <c r="E144" s="16"/>
      <c r="F144" s="16"/>
      <c r="G144" s="16"/>
      <c r="H144" s="16"/>
      <c r="I144" s="16"/>
      <c r="J144" s="16"/>
      <c r="K144" s="16"/>
      <c r="L144" s="16"/>
      <c r="M144" s="735"/>
      <c r="N144" s="696"/>
      <c r="O144" s="696"/>
      <c r="P144" s="696"/>
      <c r="Q144" s="696"/>
      <c r="R144" s="696"/>
      <c r="S144" s="696"/>
      <c r="T144" s="696"/>
      <c r="U144" s="16"/>
      <c r="V144" s="16"/>
      <c r="W144" s="16"/>
      <c r="X144" s="16"/>
      <c r="Y144" s="16"/>
      <c r="Z144" s="16"/>
      <c r="AA144" s="16"/>
      <c r="AB144" s="16"/>
      <c r="AC144" s="16"/>
      <c r="AD144" s="16"/>
    </row>
    <row r="145" spans="1:30" ht="15.75" customHeight="1">
      <c r="A145" s="16"/>
      <c r="B145" s="16"/>
      <c r="C145" s="16"/>
      <c r="D145" s="16"/>
      <c r="E145" s="16"/>
      <c r="F145" s="16"/>
      <c r="G145" s="16"/>
      <c r="H145" s="16"/>
      <c r="I145" s="16"/>
      <c r="J145" s="16"/>
      <c r="K145" s="16"/>
      <c r="L145" s="16"/>
      <c r="M145" s="735"/>
      <c r="N145" s="696"/>
      <c r="O145" s="696"/>
      <c r="P145" s="696"/>
      <c r="Q145" s="696"/>
      <c r="R145" s="696"/>
      <c r="S145" s="696"/>
      <c r="T145" s="696"/>
      <c r="U145" s="16"/>
      <c r="V145" s="16"/>
      <c r="W145" s="16"/>
      <c r="X145" s="16"/>
      <c r="Y145" s="16"/>
      <c r="Z145" s="16"/>
      <c r="AA145" s="16"/>
      <c r="AB145" s="16"/>
      <c r="AC145" s="16"/>
      <c r="AD145" s="16"/>
    </row>
    <row r="146" spans="1:30" ht="15.75" customHeight="1">
      <c r="A146" s="16"/>
      <c r="B146" s="16"/>
      <c r="C146" s="16"/>
      <c r="D146" s="16"/>
      <c r="E146" s="16"/>
      <c r="F146" s="16"/>
      <c r="G146" s="16"/>
      <c r="H146" s="16"/>
      <c r="I146" s="16"/>
      <c r="J146" s="16"/>
      <c r="K146" s="16"/>
      <c r="L146" s="16"/>
      <c r="M146" s="735"/>
      <c r="N146" s="696"/>
      <c r="O146" s="696"/>
      <c r="P146" s="696"/>
      <c r="Q146" s="696"/>
      <c r="R146" s="696"/>
      <c r="S146" s="696"/>
      <c r="T146" s="696"/>
      <c r="U146" s="16"/>
      <c r="V146" s="16"/>
      <c r="W146" s="16"/>
      <c r="X146" s="16"/>
      <c r="Y146" s="16"/>
      <c r="Z146" s="16"/>
      <c r="AA146" s="16"/>
      <c r="AB146" s="16"/>
      <c r="AC146" s="16"/>
      <c r="AD146" s="16"/>
    </row>
    <row r="147" spans="1:30" ht="15.75" customHeight="1">
      <c r="A147" s="16"/>
      <c r="B147" s="16"/>
      <c r="C147" s="16"/>
      <c r="D147" s="16"/>
      <c r="E147" s="16"/>
      <c r="F147" s="16"/>
      <c r="G147" s="16"/>
      <c r="H147" s="16"/>
      <c r="I147" s="16"/>
      <c r="J147" s="16"/>
      <c r="K147" s="16"/>
      <c r="L147" s="16"/>
      <c r="M147" s="735"/>
      <c r="N147" s="696"/>
      <c r="O147" s="696"/>
      <c r="P147" s="696"/>
      <c r="Q147" s="696"/>
      <c r="R147" s="696"/>
      <c r="S147" s="696"/>
      <c r="T147" s="696"/>
      <c r="U147" s="16"/>
      <c r="V147" s="16"/>
      <c r="W147" s="16"/>
      <c r="X147" s="16"/>
      <c r="Y147" s="16"/>
      <c r="Z147" s="16"/>
      <c r="AA147" s="16"/>
      <c r="AB147" s="16"/>
      <c r="AC147" s="16"/>
      <c r="AD147" s="16"/>
    </row>
    <row r="148" spans="1:30" ht="15.75" customHeight="1">
      <c r="A148" s="16"/>
      <c r="B148" s="16"/>
      <c r="C148" s="16"/>
      <c r="D148" s="16"/>
      <c r="E148" s="16"/>
      <c r="F148" s="16"/>
      <c r="G148" s="16"/>
      <c r="H148" s="16"/>
      <c r="I148" s="16"/>
      <c r="J148" s="16"/>
      <c r="K148" s="16"/>
      <c r="L148" s="16"/>
      <c r="M148" s="735"/>
      <c r="N148" s="696"/>
      <c r="O148" s="696"/>
      <c r="P148" s="696"/>
      <c r="Q148" s="696"/>
      <c r="R148" s="696"/>
      <c r="S148" s="696"/>
      <c r="T148" s="696"/>
      <c r="U148" s="16"/>
      <c r="V148" s="16"/>
      <c r="W148" s="16"/>
      <c r="X148" s="16"/>
      <c r="Y148" s="16"/>
      <c r="Z148" s="16"/>
      <c r="AA148" s="16"/>
      <c r="AB148" s="16"/>
      <c r="AC148" s="16"/>
      <c r="AD148" s="16"/>
    </row>
    <row r="149" spans="1:30" ht="15.75" customHeight="1">
      <c r="A149" s="16"/>
      <c r="B149" s="16"/>
      <c r="C149" s="16"/>
      <c r="D149" s="16"/>
      <c r="E149" s="16"/>
      <c r="F149" s="16"/>
      <c r="G149" s="16"/>
      <c r="H149" s="16"/>
      <c r="I149" s="16"/>
      <c r="J149" s="16"/>
      <c r="K149" s="16"/>
      <c r="L149" s="16"/>
      <c r="M149" s="735"/>
      <c r="N149" s="696"/>
      <c r="O149" s="696"/>
      <c r="P149" s="696"/>
      <c r="Q149" s="696"/>
      <c r="R149" s="696"/>
      <c r="S149" s="696"/>
      <c r="T149" s="696"/>
      <c r="U149" s="16"/>
      <c r="V149" s="16"/>
      <c r="W149" s="16"/>
      <c r="X149" s="16"/>
      <c r="Y149" s="16"/>
      <c r="Z149" s="16"/>
      <c r="AA149" s="16"/>
      <c r="AB149" s="16"/>
      <c r="AC149" s="16"/>
      <c r="AD149" s="16"/>
    </row>
    <row r="150" spans="1:30" ht="15.75" customHeight="1">
      <c r="A150" s="16"/>
      <c r="B150" s="16"/>
      <c r="C150" s="16"/>
      <c r="D150" s="16"/>
      <c r="E150" s="16"/>
      <c r="F150" s="16"/>
      <c r="G150" s="16"/>
      <c r="H150" s="16"/>
      <c r="I150" s="16"/>
      <c r="J150" s="16"/>
      <c r="K150" s="16"/>
      <c r="L150" s="16"/>
      <c r="M150" s="735"/>
      <c r="N150" s="696"/>
      <c r="O150" s="696"/>
      <c r="P150" s="696"/>
      <c r="Q150" s="696"/>
      <c r="R150" s="696"/>
      <c r="S150" s="696"/>
      <c r="T150" s="696"/>
      <c r="U150" s="16"/>
      <c r="V150" s="16"/>
      <c r="W150" s="16"/>
      <c r="X150" s="16"/>
      <c r="Y150" s="16"/>
      <c r="Z150" s="16"/>
      <c r="AA150" s="16"/>
      <c r="AB150" s="16"/>
      <c r="AC150" s="16"/>
      <c r="AD150" s="16"/>
    </row>
    <row r="151" spans="1:30" ht="15.75" customHeight="1">
      <c r="A151" s="16"/>
      <c r="B151" s="16"/>
      <c r="C151" s="16"/>
      <c r="D151" s="16"/>
      <c r="E151" s="16"/>
      <c r="F151" s="16"/>
      <c r="G151" s="16"/>
      <c r="H151" s="16"/>
      <c r="I151" s="16"/>
      <c r="J151" s="16"/>
      <c r="K151" s="16"/>
      <c r="L151" s="16"/>
      <c r="M151" s="735"/>
      <c r="N151" s="696"/>
      <c r="O151" s="696"/>
      <c r="P151" s="696"/>
      <c r="Q151" s="696"/>
      <c r="R151" s="696"/>
      <c r="S151" s="696"/>
      <c r="T151" s="696"/>
      <c r="U151" s="16"/>
      <c r="V151" s="16"/>
      <c r="W151" s="16"/>
      <c r="X151" s="16"/>
      <c r="Y151" s="16"/>
      <c r="Z151" s="16"/>
      <c r="AA151" s="16"/>
      <c r="AB151" s="16"/>
      <c r="AC151" s="16"/>
      <c r="AD151" s="16"/>
    </row>
    <row r="152" spans="1:30" ht="15.75" customHeight="1">
      <c r="A152" s="16"/>
      <c r="B152" s="16"/>
      <c r="C152" s="16"/>
      <c r="D152" s="16"/>
      <c r="E152" s="16"/>
      <c r="F152" s="16"/>
      <c r="G152" s="16"/>
      <c r="H152" s="16"/>
      <c r="I152" s="16"/>
      <c r="J152" s="16"/>
      <c r="K152" s="16"/>
      <c r="L152" s="16"/>
      <c r="M152" s="735"/>
      <c r="N152" s="696"/>
      <c r="O152" s="696"/>
      <c r="P152" s="696"/>
      <c r="Q152" s="696"/>
      <c r="R152" s="696"/>
      <c r="S152" s="696"/>
      <c r="T152" s="696"/>
      <c r="U152" s="16"/>
      <c r="V152" s="16"/>
      <c r="W152" s="16"/>
      <c r="X152" s="16"/>
      <c r="Y152" s="16"/>
      <c r="Z152" s="16"/>
      <c r="AA152" s="16"/>
      <c r="AB152" s="16"/>
      <c r="AC152" s="16"/>
      <c r="AD152" s="16"/>
    </row>
    <row r="153" spans="1:30" ht="15.75" customHeight="1">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c r="AA153" s="16"/>
      <c r="AB153" s="16"/>
      <c r="AC153" s="16"/>
      <c r="AD153" s="16"/>
    </row>
    <row r="154" spans="1:30" ht="15.75" customHeight="1">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c r="AA154" s="16"/>
      <c r="AB154" s="16"/>
      <c r="AC154" s="16"/>
      <c r="AD154" s="16"/>
    </row>
    <row r="155" spans="1:30" ht="15.75" customHeight="1">
      <c r="A155" s="16"/>
      <c r="B155" s="735"/>
      <c r="C155" s="696"/>
      <c r="D155" s="16"/>
      <c r="E155" s="16"/>
      <c r="F155" s="16"/>
      <c r="G155" s="16"/>
      <c r="H155" s="16"/>
      <c r="I155" s="16"/>
      <c r="J155" s="16"/>
      <c r="K155" s="16"/>
      <c r="L155" s="16"/>
      <c r="M155" s="735"/>
      <c r="N155" s="696"/>
      <c r="O155" s="696"/>
      <c r="P155" s="735"/>
      <c r="Q155" s="696"/>
      <c r="R155" s="696"/>
      <c r="S155" s="696"/>
      <c r="T155" s="696"/>
      <c r="U155" s="16"/>
      <c r="V155" s="16"/>
      <c r="W155" s="16"/>
      <c r="X155" s="16"/>
      <c r="Y155" s="16"/>
      <c r="Z155" s="16"/>
      <c r="AA155" s="16"/>
      <c r="AB155" s="16"/>
      <c r="AC155" s="16"/>
      <c r="AD155" s="16"/>
    </row>
    <row r="156" spans="1:30" ht="15.75" customHeight="1">
      <c r="A156" s="16"/>
      <c r="B156" s="735"/>
      <c r="C156" s="696"/>
      <c r="D156" s="16"/>
      <c r="E156" s="16"/>
      <c r="F156" s="16"/>
      <c r="G156" s="16"/>
      <c r="H156" s="16"/>
      <c r="I156" s="16"/>
      <c r="J156" s="16"/>
      <c r="K156" s="16"/>
      <c r="L156" s="16"/>
      <c r="M156" s="735"/>
      <c r="N156" s="696"/>
      <c r="O156" s="696"/>
      <c r="P156" s="735"/>
      <c r="Q156" s="696"/>
      <c r="R156" s="696"/>
      <c r="S156" s="696"/>
      <c r="T156" s="696"/>
      <c r="U156" s="16"/>
      <c r="V156" s="16"/>
      <c r="W156" s="16"/>
      <c r="X156" s="16"/>
      <c r="Y156" s="16"/>
      <c r="Z156" s="16"/>
      <c r="AA156" s="16"/>
      <c r="AB156" s="16"/>
      <c r="AC156" s="16"/>
      <c r="AD156" s="16"/>
    </row>
    <row r="157" spans="1:30" ht="15.75" customHeight="1">
      <c r="A157" s="16"/>
      <c r="B157" s="735"/>
      <c r="C157" s="696"/>
      <c r="D157" s="16"/>
      <c r="E157" s="16"/>
      <c r="F157" s="16"/>
      <c r="G157" s="16"/>
      <c r="H157" s="16"/>
      <c r="I157" s="16"/>
      <c r="J157" s="16"/>
      <c r="K157" s="16"/>
      <c r="L157" s="16"/>
      <c r="M157" s="735"/>
      <c r="N157" s="696"/>
      <c r="O157" s="696"/>
      <c r="P157" s="696"/>
      <c r="Q157" s="696"/>
      <c r="R157" s="696"/>
      <c r="S157" s="696"/>
      <c r="T157" s="696"/>
      <c r="U157" s="16"/>
      <c r="V157" s="16"/>
      <c r="W157" s="16"/>
      <c r="X157" s="16"/>
      <c r="Y157" s="16"/>
      <c r="Z157" s="16"/>
      <c r="AA157" s="16"/>
      <c r="AB157" s="16"/>
      <c r="AC157" s="16"/>
      <c r="AD157" s="16"/>
    </row>
    <row r="158" spans="1:30" ht="15.75" customHeight="1">
      <c r="A158" s="16"/>
      <c r="B158" s="735"/>
      <c r="C158" s="696"/>
      <c r="D158" s="16"/>
      <c r="E158" s="16"/>
      <c r="F158" s="16"/>
      <c r="G158" s="16"/>
      <c r="H158" s="16"/>
      <c r="I158" s="16"/>
      <c r="J158" s="16"/>
      <c r="K158" s="16"/>
      <c r="L158" s="16"/>
      <c r="M158" s="735"/>
      <c r="N158" s="696"/>
      <c r="O158" s="696"/>
      <c r="P158" s="696"/>
      <c r="Q158" s="696"/>
      <c r="R158" s="696"/>
      <c r="S158" s="696"/>
      <c r="T158" s="696"/>
      <c r="U158" s="16"/>
      <c r="V158" s="16"/>
      <c r="W158" s="16"/>
      <c r="X158" s="16"/>
      <c r="Y158" s="16"/>
      <c r="Z158" s="16"/>
      <c r="AA158" s="16"/>
      <c r="AB158" s="16"/>
      <c r="AC158" s="16"/>
      <c r="AD158" s="16"/>
    </row>
    <row r="159" spans="1:30" ht="15.75" customHeight="1">
      <c r="A159" s="16"/>
      <c r="B159" s="735"/>
      <c r="C159" s="696"/>
      <c r="D159" s="16"/>
      <c r="E159" s="16"/>
      <c r="F159" s="16"/>
      <c r="G159" s="16"/>
      <c r="H159" s="16"/>
      <c r="I159" s="16"/>
      <c r="J159" s="16"/>
      <c r="K159" s="16"/>
      <c r="L159" s="16"/>
      <c r="M159" s="735"/>
      <c r="N159" s="696"/>
      <c r="O159" s="696"/>
      <c r="P159" s="696"/>
      <c r="Q159" s="696"/>
      <c r="R159" s="696"/>
      <c r="S159" s="696"/>
      <c r="T159" s="696"/>
      <c r="U159" s="16"/>
      <c r="V159" s="16"/>
      <c r="W159" s="16"/>
      <c r="X159" s="16"/>
      <c r="Y159" s="16"/>
      <c r="Z159" s="16"/>
      <c r="AA159" s="16"/>
      <c r="AB159" s="16"/>
      <c r="AC159" s="16"/>
      <c r="AD159" s="16"/>
    </row>
    <row r="160" spans="1:30" ht="15.75" customHeight="1">
      <c r="A160" s="16"/>
      <c r="B160" s="735"/>
      <c r="C160" s="696"/>
      <c r="D160" s="16"/>
      <c r="E160" s="16"/>
      <c r="F160" s="16"/>
      <c r="G160" s="16"/>
      <c r="H160" s="16"/>
      <c r="I160" s="16"/>
      <c r="J160" s="16"/>
      <c r="K160" s="16"/>
      <c r="L160" s="16"/>
      <c r="M160" s="735"/>
      <c r="N160" s="696"/>
      <c r="O160" s="696"/>
      <c r="P160" s="696"/>
      <c r="Q160" s="696"/>
      <c r="R160" s="696"/>
      <c r="S160" s="696"/>
      <c r="T160" s="696"/>
      <c r="U160" s="16"/>
      <c r="V160" s="16"/>
      <c r="W160" s="16"/>
      <c r="X160" s="16"/>
      <c r="Y160" s="16"/>
      <c r="Z160" s="16"/>
      <c r="AA160" s="16"/>
      <c r="AB160" s="16"/>
      <c r="AC160" s="16"/>
      <c r="AD160" s="16"/>
    </row>
    <row r="161" spans="1:30" ht="15.75" customHeight="1">
      <c r="A161" s="16"/>
      <c r="B161" s="735"/>
      <c r="C161" s="696"/>
      <c r="D161" s="16"/>
      <c r="E161" s="16"/>
      <c r="F161" s="16"/>
      <c r="G161" s="16"/>
      <c r="H161" s="16"/>
      <c r="I161" s="16"/>
      <c r="J161" s="16"/>
      <c r="K161" s="16"/>
      <c r="L161" s="16"/>
      <c r="M161" s="735"/>
      <c r="N161" s="696"/>
      <c r="O161" s="696"/>
      <c r="P161" s="696"/>
      <c r="Q161" s="696"/>
      <c r="R161" s="696"/>
      <c r="S161" s="696"/>
      <c r="T161" s="696"/>
      <c r="U161" s="16"/>
      <c r="V161" s="16"/>
      <c r="W161" s="16"/>
      <c r="X161" s="16"/>
      <c r="Y161" s="16"/>
      <c r="Z161" s="16"/>
      <c r="AA161" s="16"/>
      <c r="AB161" s="16"/>
      <c r="AC161" s="16"/>
      <c r="AD161" s="16"/>
    </row>
    <row r="162" spans="1:30" ht="15.75" customHeight="1">
      <c r="A162" s="16"/>
      <c r="B162" s="735"/>
      <c r="C162" s="696"/>
      <c r="D162" s="16"/>
      <c r="E162" s="16"/>
      <c r="F162" s="16"/>
      <c r="G162" s="16"/>
      <c r="H162" s="16"/>
      <c r="I162" s="16"/>
      <c r="J162" s="16"/>
      <c r="K162" s="16"/>
      <c r="L162" s="16"/>
      <c r="M162" s="735"/>
      <c r="N162" s="696"/>
      <c r="O162" s="696"/>
      <c r="P162" s="696"/>
      <c r="Q162" s="696"/>
      <c r="R162" s="696"/>
      <c r="S162" s="696"/>
      <c r="T162" s="696"/>
      <c r="U162" s="16"/>
      <c r="V162" s="16"/>
      <c r="W162" s="16"/>
      <c r="X162" s="16"/>
      <c r="Y162" s="16"/>
      <c r="Z162" s="16"/>
      <c r="AA162" s="16"/>
      <c r="AB162" s="16"/>
      <c r="AC162" s="16"/>
      <c r="AD162" s="16"/>
    </row>
    <row r="163" spans="1:30" ht="15.75" customHeight="1">
      <c r="A163" s="16"/>
      <c r="B163" s="735"/>
      <c r="C163" s="696"/>
      <c r="D163" s="16"/>
      <c r="E163" s="16"/>
      <c r="F163" s="16"/>
      <c r="G163" s="16"/>
      <c r="H163" s="16"/>
      <c r="I163" s="16"/>
      <c r="J163" s="16"/>
      <c r="K163" s="16"/>
      <c r="L163" s="16"/>
      <c r="M163" s="735"/>
      <c r="N163" s="696"/>
      <c r="O163" s="696"/>
      <c r="P163" s="696"/>
      <c r="Q163" s="696"/>
      <c r="R163" s="696"/>
      <c r="S163" s="696"/>
      <c r="T163" s="696"/>
      <c r="U163" s="16"/>
      <c r="V163" s="16"/>
      <c r="W163" s="16"/>
      <c r="X163" s="16"/>
      <c r="Y163" s="16"/>
      <c r="Z163" s="16"/>
      <c r="AA163" s="16"/>
      <c r="AB163" s="16"/>
      <c r="AC163" s="16"/>
      <c r="AD163" s="16"/>
    </row>
    <row r="164" spans="1:30" ht="15.75" customHeight="1">
      <c r="A164" s="16"/>
      <c r="B164" s="735"/>
      <c r="C164" s="696"/>
      <c r="D164" s="16"/>
      <c r="E164" s="16"/>
      <c r="F164" s="16"/>
      <c r="G164" s="16"/>
      <c r="H164" s="16"/>
      <c r="I164" s="16"/>
      <c r="J164" s="16"/>
      <c r="K164" s="16"/>
      <c r="L164" s="16"/>
      <c r="M164" s="735"/>
      <c r="N164" s="696"/>
      <c r="O164" s="696"/>
      <c r="P164" s="696"/>
      <c r="Q164" s="696"/>
      <c r="R164" s="696"/>
      <c r="S164" s="696"/>
      <c r="T164" s="696"/>
      <c r="U164" s="16"/>
      <c r="V164" s="16"/>
      <c r="W164" s="16"/>
      <c r="X164" s="16"/>
      <c r="Y164" s="16"/>
      <c r="Z164" s="16"/>
      <c r="AA164" s="16"/>
      <c r="AB164" s="16"/>
      <c r="AC164" s="16"/>
      <c r="AD164" s="16"/>
    </row>
    <row r="165" spans="1:30" ht="15.75" customHeight="1">
      <c r="A165" s="16"/>
      <c r="B165" s="735"/>
      <c r="C165" s="696"/>
      <c r="D165" s="16"/>
      <c r="E165" s="16"/>
      <c r="F165" s="16"/>
      <c r="G165" s="16"/>
      <c r="H165" s="16"/>
      <c r="I165" s="16"/>
      <c r="J165" s="16"/>
      <c r="K165" s="16"/>
      <c r="L165" s="16"/>
      <c r="M165" s="735"/>
      <c r="N165" s="696"/>
      <c r="O165" s="696"/>
      <c r="P165" s="696"/>
      <c r="Q165" s="696"/>
      <c r="R165" s="696"/>
      <c r="S165" s="696"/>
      <c r="T165" s="696"/>
      <c r="U165" s="16"/>
      <c r="V165" s="16"/>
      <c r="W165" s="16"/>
      <c r="X165" s="16"/>
      <c r="Y165" s="16"/>
      <c r="Z165" s="16"/>
      <c r="AA165" s="16"/>
      <c r="AB165" s="16"/>
      <c r="AC165" s="16"/>
      <c r="AD165" s="16"/>
    </row>
    <row r="166" spans="1:30" ht="15.75" customHeight="1">
      <c r="A166" s="16"/>
      <c r="B166" s="735"/>
      <c r="C166" s="696"/>
      <c r="D166" s="16"/>
      <c r="E166" s="16"/>
      <c r="F166" s="16"/>
      <c r="G166" s="16"/>
      <c r="H166" s="16"/>
      <c r="I166" s="16"/>
      <c r="J166" s="16"/>
      <c r="K166" s="16"/>
      <c r="L166" s="16"/>
      <c r="M166" s="735"/>
      <c r="N166" s="696"/>
      <c r="O166" s="696"/>
      <c r="P166" s="696"/>
      <c r="Q166" s="696"/>
      <c r="R166" s="696"/>
      <c r="S166" s="696"/>
      <c r="T166" s="696"/>
      <c r="U166" s="16"/>
      <c r="V166" s="16"/>
      <c r="W166" s="16"/>
      <c r="X166" s="16"/>
      <c r="Y166" s="16"/>
      <c r="Z166" s="16"/>
      <c r="AA166" s="16"/>
      <c r="AB166" s="16"/>
      <c r="AC166" s="16"/>
      <c r="AD166" s="16"/>
    </row>
    <row r="167" spans="1:30" ht="15.75" customHeight="1">
      <c r="A167" s="16"/>
      <c r="B167" s="735"/>
      <c r="C167" s="696"/>
      <c r="D167" s="16"/>
      <c r="E167" s="16"/>
      <c r="F167" s="16"/>
      <c r="G167" s="16"/>
      <c r="H167" s="16"/>
      <c r="I167" s="16"/>
      <c r="J167" s="16"/>
      <c r="K167" s="16"/>
      <c r="L167" s="16"/>
      <c r="M167" s="735"/>
      <c r="N167" s="696"/>
      <c r="O167" s="696"/>
      <c r="P167" s="696"/>
      <c r="Q167" s="696"/>
      <c r="R167" s="696"/>
      <c r="S167" s="696"/>
      <c r="T167" s="696"/>
      <c r="U167" s="16"/>
      <c r="V167" s="16"/>
      <c r="W167" s="16"/>
      <c r="X167" s="16"/>
      <c r="Y167" s="16"/>
      <c r="Z167" s="16"/>
      <c r="AA167" s="16"/>
      <c r="AB167" s="16"/>
      <c r="AC167" s="16"/>
      <c r="AD167" s="16"/>
    </row>
    <row r="168" spans="1:30" ht="15.75" customHeight="1">
      <c r="A168" s="16"/>
      <c r="B168" s="735"/>
      <c r="C168" s="696"/>
      <c r="D168" s="16"/>
      <c r="E168" s="16"/>
      <c r="F168" s="16"/>
      <c r="G168" s="16"/>
      <c r="H168" s="16"/>
      <c r="I168" s="16"/>
      <c r="J168" s="16"/>
      <c r="K168" s="16"/>
      <c r="L168" s="16"/>
      <c r="M168" s="735"/>
      <c r="N168" s="696"/>
      <c r="O168" s="696"/>
      <c r="P168" s="696"/>
      <c r="Q168" s="696"/>
      <c r="R168" s="696"/>
      <c r="S168" s="696"/>
      <c r="T168" s="696"/>
      <c r="U168" s="16"/>
      <c r="V168" s="16"/>
      <c r="W168" s="16"/>
      <c r="X168" s="16"/>
      <c r="Y168" s="16"/>
      <c r="Z168" s="16"/>
      <c r="AA168" s="16"/>
      <c r="AB168" s="16"/>
      <c r="AC168" s="16"/>
      <c r="AD168" s="16"/>
    </row>
    <row r="169" spans="1:30" ht="15.75" customHeight="1">
      <c r="A169" s="16"/>
      <c r="B169" s="735"/>
      <c r="C169" s="696"/>
      <c r="D169" s="16"/>
      <c r="E169" s="16"/>
      <c r="F169" s="16"/>
      <c r="G169" s="16"/>
      <c r="H169" s="16"/>
      <c r="I169" s="16"/>
      <c r="J169" s="16"/>
      <c r="K169" s="16"/>
      <c r="L169" s="16"/>
      <c r="M169" s="735"/>
      <c r="N169" s="696"/>
      <c r="O169" s="696"/>
      <c r="P169" s="696"/>
      <c r="Q169" s="696"/>
      <c r="R169" s="696"/>
      <c r="S169" s="696"/>
      <c r="T169" s="696"/>
      <c r="U169" s="16"/>
      <c r="V169" s="16"/>
      <c r="W169" s="16"/>
      <c r="X169" s="16"/>
      <c r="Y169" s="16"/>
      <c r="Z169" s="16"/>
      <c r="AA169" s="16"/>
      <c r="AB169" s="16"/>
      <c r="AC169" s="16"/>
      <c r="AD169" s="16"/>
    </row>
    <row r="170" spans="1:30" ht="15.75" customHeight="1">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c r="AA170" s="16"/>
      <c r="AB170" s="16"/>
      <c r="AC170" s="16"/>
      <c r="AD170" s="16"/>
    </row>
    <row r="171" spans="1:30" ht="15.75" customHeight="1">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c r="AA171" s="16"/>
      <c r="AB171" s="16"/>
      <c r="AC171" s="16"/>
      <c r="AD171" s="16"/>
    </row>
    <row r="172" spans="1:30" ht="15.75" customHeight="1">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row>
    <row r="173" spans="1:30" ht="15.75" customHeight="1">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c r="AC173" s="16"/>
      <c r="AD173" s="16"/>
    </row>
    <row r="174" spans="1:30" ht="15.75" customHeight="1">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c r="AC174" s="16"/>
      <c r="AD174" s="16"/>
    </row>
    <row r="175" spans="1:30" ht="15.75" customHeight="1">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c r="AA175" s="16"/>
      <c r="AB175" s="16"/>
      <c r="AC175" s="16"/>
      <c r="AD175" s="16"/>
    </row>
    <row r="176" spans="1:30" ht="15.75" customHeight="1">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c r="AD176" s="16"/>
    </row>
    <row r="177" spans="1:30" ht="15.75" customHeight="1">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c r="AD177" s="16"/>
    </row>
    <row r="178" spans="1:30" ht="15.75" customHeight="1">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c r="AA178" s="16"/>
      <c r="AB178" s="16"/>
      <c r="AC178" s="16"/>
      <c r="AD178" s="16"/>
    </row>
    <row r="179" spans="1:30" ht="15.75" customHeight="1">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c r="AD179" s="16"/>
    </row>
    <row r="180" spans="1:30" ht="15.75" customHeight="1">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c r="AD180" s="16"/>
    </row>
    <row r="181" spans="1:30" ht="15.75" customHeight="1">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c r="AD181" s="16"/>
    </row>
    <row r="182" spans="1:30" ht="15.75" customHeight="1">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c r="AD182" s="16"/>
    </row>
    <row r="183" spans="1:30" ht="15.75" customHeight="1">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c r="AD183" s="16"/>
    </row>
    <row r="184" spans="1:30" ht="15.75" customHeight="1">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c r="AD184" s="16"/>
    </row>
    <row r="185" spans="1:30" ht="15.75" customHeight="1">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c r="AD185" s="16"/>
    </row>
    <row r="186" spans="1:30" ht="15.75" customHeight="1">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c r="AD186" s="16"/>
    </row>
    <row r="187" spans="1:30" ht="15.75" customHeight="1">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16"/>
      <c r="AB187" s="16"/>
      <c r="AC187" s="16"/>
      <c r="AD187" s="16"/>
    </row>
    <row r="188" spans="1:30" ht="15.75" customHeight="1">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c r="AD188" s="16"/>
    </row>
    <row r="189" spans="1:30" ht="15.75" customHeight="1">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c r="AD189" s="16"/>
    </row>
    <row r="190" spans="1:30" ht="15.75" customHeight="1">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c r="AD190" s="16"/>
    </row>
    <row r="191" spans="1:30" ht="15.75" customHeight="1">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c r="AD191" s="16"/>
    </row>
    <row r="192" spans="1:30" ht="15.75" customHeight="1">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c r="AD192" s="16"/>
    </row>
    <row r="193" spans="1:30" ht="15.75" customHeight="1">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c r="AA193" s="16"/>
      <c r="AB193" s="16"/>
      <c r="AC193" s="16"/>
      <c r="AD193" s="16"/>
    </row>
    <row r="194" spans="1:30" ht="15.75" customHeight="1">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c r="AA194" s="16"/>
      <c r="AB194" s="16"/>
      <c r="AC194" s="16"/>
      <c r="AD194" s="16"/>
    </row>
    <row r="195" spans="1:30" ht="15.75" customHeight="1">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c r="AA195" s="16"/>
      <c r="AB195" s="16"/>
      <c r="AC195" s="16"/>
      <c r="AD195" s="16"/>
    </row>
    <row r="196" spans="1:30" ht="15.75" customHeight="1">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c r="AA196" s="16"/>
      <c r="AB196" s="16"/>
      <c r="AC196" s="16"/>
      <c r="AD196" s="16"/>
    </row>
    <row r="197" spans="1:30" ht="15.75" customHeight="1">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c r="AD197" s="16"/>
    </row>
    <row r="198" spans="1:30" ht="15.75" customHeight="1">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c r="AD198" s="16"/>
    </row>
    <row r="199" spans="1:30" ht="15.75" customHeight="1">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c r="AA199" s="16"/>
      <c r="AB199" s="16"/>
      <c r="AC199" s="16"/>
      <c r="AD199" s="16"/>
    </row>
    <row r="200" spans="1:30" ht="15.75" customHeight="1">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c r="AA200" s="16"/>
      <c r="AB200" s="16"/>
      <c r="AC200" s="16"/>
      <c r="AD200" s="16"/>
    </row>
    <row r="201" spans="1:30" ht="15.75" customHeight="1">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c r="AD201" s="16"/>
    </row>
    <row r="202" spans="1:30" ht="15.75" customHeight="1">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c r="AD202" s="16"/>
    </row>
    <row r="203" spans="1:30" ht="15.75" customHeight="1">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c r="AA203" s="16"/>
      <c r="AB203" s="16"/>
      <c r="AC203" s="16"/>
      <c r="AD203" s="16"/>
    </row>
    <row r="204" spans="1:30" ht="15.75" customHeight="1">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c r="AA204" s="16"/>
      <c r="AB204" s="16"/>
      <c r="AC204" s="16"/>
      <c r="AD204" s="16"/>
    </row>
    <row r="205" spans="1:30" ht="15.75" customHeight="1">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c r="AD205" s="16"/>
    </row>
    <row r="206" spans="1:30" ht="15.75" customHeight="1">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row>
    <row r="207" spans="1:30" ht="15.75" customHeight="1">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c r="AD207" s="16"/>
    </row>
    <row r="208" spans="1:30" ht="15.75" customHeight="1">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c r="AD208" s="16"/>
    </row>
    <row r="209" spans="1:30" ht="15.75" customHeight="1">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c r="AD209" s="16"/>
    </row>
    <row r="210" spans="1:30" ht="15.75" customHeight="1">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c r="AD210" s="16"/>
    </row>
    <row r="211" spans="1:30" ht="15.75" customHeight="1">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row>
    <row r="212" spans="1:30" ht="15.75" customHeight="1">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c r="AD212" s="16"/>
    </row>
    <row r="213" spans="1:30" ht="15.75" customHeight="1">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c r="AD213" s="16"/>
    </row>
    <row r="214" spans="1:30" ht="15.75" customHeight="1">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row>
    <row r="215" spans="1:30" ht="15.75" customHeight="1">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c r="AD215" s="16"/>
    </row>
    <row r="216" spans="1:30" ht="15.75" customHeight="1">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c r="AD216" s="16"/>
    </row>
    <row r="217" spans="1:30" ht="15.75" customHeight="1">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c r="AD217" s="16"/>
    </row>
    <row r="218" spans="1:30" ht="15.75" customHeight="1">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c r="AD218" s="16"/>
    </row>
    <row r="219" spans="1:30" ht="15.75" customHeight="1">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c r="AD219" s="16"/>
    </row>
    <row r="220" spans="1:30" ht="15.75" customHeight="1">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c r="AD220" s="16"/>
    </row>
    <row r="221" spans="1:30" ht="15.75" customHeight="1">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row>
    <row r="222" spans="1:30" ht="15.75" customHeight="1">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row>
    <row r="223" spans="1:30" ht="15.75" customHeight="1">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c r="AD223" s="16"/>
    </row>
    <row r="224" spans="1:30" ht="15.75" customHeight="1">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c r="AD224" s="16"/>
    </row>
    <row r="225" spans="1:30" ht="15.75" customHeight="1">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16"/>
    </row>
    <row r="226" spans="1:30" ht="15.75" customHeight="1">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row>
    <row r="227" spans="1:30" ht="15.75" customHeight="1">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16"/>
    </row>
    <row r="228" spans="1:30" ht="15.75" customHeight="1">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c r="AD228" s="16"/>
    </row>
    <row r="229" spans="1:30" ht="15.75" customHeight="1">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c r="AD229" s="16"/>
    </row>
    <row r="230" spans="1:30" ht="15.75" customHeight="1">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row>
    <row r="231" spans="1:30" ht="15.75" customHeight="1">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c r="AD231" s="16"/>
    </row>
    <row r="232" spans="1:30" ht="15.75" customHeight="1">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c r="AD232" s="16"/>
    </row>
    <row r="233" spans="1:30" ht="15.75" customHeight="1">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c r="AD233" s="16"/>
    </row>
    <row r="234" spans="1:30" ht="15.75" customHeight="1">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c r="AD234" s="16"/>
    </row>
    <row r="235" spans="1:30" ht="15.75" customHeight="1">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row>
    <row r="236" spans="1:30" ht="15.75" customHeight="1">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c r="AD236" s="16"/>
    </row>
    <row r="237" spans="1:30" ht="15.75" customHeight="1">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c r="AD237" s="16"/>
    </row>
    <row r="238" spans="1:30" ht="15.75" customHeight="1">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c r="AD238" s="16"/>
    </row>
    <row r="239" spans="1:30" ht="15.75" customHeight="1">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c r="AD239" s="16"/>
    </row>
    <row r="240" spans="1:30" ht="15.75" customHeight="1">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c r="AD240" s="16"/>
    </row>
    <row r="241" spans="1:30" ht="15.75" customHeight="1">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c r="AD241" s="16"/>
    </row>
    <row r="242" spans="1:30" ht="15.75" customHeight="1">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c r="AD242" s="16"/>
    </row>
    <row r="243" spans="1:30" ht="15.75" customHeight="1">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c r="AD243" s="16"/>
    </row>
    <row r="244" spans="1:30" ht="15.75" customHeight="1">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16"/>
    </row>
    <row r="245" spans="1:30" ht="15.75" customHeight="1">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c r="AD245" s="16"/>
    </row>
    <row r="246" spans="1:30" ht="15.75" customHeight="1">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row>
    <row r="247" spans="1:30" ht="15.75" customHeight="1">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c r="AD247" s="16"/>
    </row>
    <row r="248" spans="1:30" ht="15.75" customHeight="1">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row>
    <row r="249" spans="1:30" ht="15.75" customHeight="1">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row>
    <row r="250" spans="1:30" ht="15.75" customHeight="1">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c r="AD250" s="16"/>
    </row>
    <row r="251" spans="1:30" ht="15.75" customHeight="1">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row>
    <row r="252" spans="1:30" ht="15.75" customHeight="1">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16"/>
    </row>
    <row r="253" spans="1:30" ht="15.75" customHeight="1">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c r="AD253" s="16"/>
    </row>
    <row r="254" spans="1:30" ht="15.75" customHeight="1">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row>
    <row r="255" spans="1:30" ht="15.75" customHeight="1">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c r="AD255" s="16"/>
    </row>
    <row r="256" spans="1:30" ht="15.75" customHeight="1">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row>
    <row r="257" spans="1:30" ht="15.75" customHeight="1">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c r="AD257" s="16"/>
    </row>
    <row r="258" spans="1:30" ht="15.75" customHeight="1">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c r="AD258" s="16"/>
    </row>
    <row r="259" spans="1:30" ht="15.75" customHeight="1">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row>
    <row r="260" spans="1:30" ht="15.75" customHeight="1">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row>
    <row r="261" spans="1:30" ht="15.75" customHeight="1">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c r="AD261" s="16"/>
    </row>
    <row r="262" spans="1:30" ht="15.75" customHeight="1">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row>
    <row r="263" spans="1:30" ht="15.75" customHeight="1">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row>
    <row r="264" spans="1:30" ht="15.75" customHeight="1">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c r="AD264" s="16"/>
    </row>
    <row r="265" spans="1:30" ht="15.75" customHeight="1">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row>
    <row r="266" spans="1:30" ht="15.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row>
    <row r="267" spans="1:30" ht="15.75" customHeight="1">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row>
    <row r="268" spans="1:30" ht="15.75" customHeight="1">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c r="AD268" s="16"/>
    </row>
    <row r="269" spans="1:30" ht="15.75" customHeight="1">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row>
    <row r="270" spans="1:30" ht="15.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row>
    <row r="271" spans="1:30" ht="15.75" customHeight="1">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c r="AD271" s="16"/>
    </row>
    <row r="272" spans="1:30" ht="15.75" customHeight="1">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c r="AD272" s="16"/>
    </row>
    <row r="273" spans="1:30" ht="15.75" customHeight="1">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c r="AD273" s="16"/>
    </row>
    <row r="274" spans="1:30" ht="15.75" customHeight="1">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c r="AD274" s="16"/>
    </row>
    <row r="275" spans="1:30" ht="15.75" customHeight="1">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c r="AD275" s="16"/>
    </row>
    <row r="276" spans="1:30" ht="15.75" customHeight="1">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row>
    <row r="277" spans="1:30" ht="15.75" customHeight="1">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16"/>
    </row>
    <row r="278" spans="1:30" ht="15.75" customHeight="1">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row>
    <row r="279" spans="1:30" ht="15.75" customHeight="1">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16"/>
    </row>
    <row r="280" spans="1:30" ht="15.75" customHeight="1">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c r="AD280" s="16"/>
    </row>
    <row r="281" spans="1:30" ht="15.75" customHeight="1">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c r="AD281" s="16"/>
    </row>
    <row r="282" spans="1:30" ht="15.75" customHeight="1">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c r="AD282" s="16"/>
    </row>
    <row r="283" spans="1:30" ht="15.75" customHeight="1">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c r="AD283" s="16"/>
    </row>
    <row r="284" spans="1:30" ht="15.75" customHeight="1">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c r="AD284" s="16"/>
    </row>
    <row r="285" spans="1:30" ht="15.75" customHeight="1">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c r="AD285" s="16"/>
    </row>
    <row r="286" spans="1:30" ht="15.75" customHeight="1">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row>
    <row r="287" spans="1:30" ht="15.75" customHeight="1">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row>
    <row r="288" spans="1:30" ht="15.75" customHeight="1">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row>
    <row r="289" spans="1:30" ht="15.75" customHeight="1">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row>
    <row r="290" spans="1:30" ht="15.75" customHeight="1">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row>
    <row r="291" spans="1:30" ht="15.75" customHeight="1">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c r="AD291" s="16"/>
    </row>
    <row r="292" spans="1:30" ht="15.75" customHeight="1">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row>
    <row r="293" spans="1:30" ht="15.75" customHeight="1">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row>
    <row r="294" spans="1:30" ht="15.75" customHeight="1">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row>
    <row r="295" spans="1:30" ht="15.75" customHeight="1">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row>
    <row r="296" spans="1:30" ht="15.75" customHeight="1">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row>
    <row r="297" spans="1:30" ht="15.75" customHeight="1">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row>
    <row r="298" spans="1:30" ht="15.75" customHeight="1">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row>
    <row r="299" spans="1:30" ht="15.75" customHeight="1">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row>
    <row r="300" spans="1:30" ht="15.75" customHeight="1">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row>
    <row r="301" spans="1:30" ht="15.75" customHeight="1">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c r="AD301" s="16"/>
    </row>
    <row r="302" spans="1:30" ht="15.75" customHeight="1">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c r="AD302" s="16"/>
    </row>
    <row r="303" spans="1:30" ht="15.75" customHeight="1">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row>
    <row r="304" spans="1:30" ht="15.75" customHeight="1">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c r="AD304" s="16"/>
    </row>
    <row r="305" spans="1:30" ht="15.75" customHeight="1">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c r="AD305" s="16"/>
    </row>
    <row r="306" spans="1:30" ht="15.75" customHeight="1"/>
    <row r="307" spans="1:30" ht="15.75" customHeight="1"/>
    <row r="308" spans="1:30" ht="15.75" customHeight="1"/>
    <row r="309" spans="1:30" ht="15.75" customHeight="1"/>
    <row r="310" spans="1:30" ht="15.75" customHeight="1"/>
    <row r="311" spans="1:30" ht="15.75" customHeight="1"/>
    <row r="312" spans="1:30" ht="15.75" customHeight="1"/>
    <row r="313" spans="1:30" ht="15.75" customHeight="1"/>
    <row r="314" spans="1:30" ht="15.75" customHeight="1"/>
    <row r="315" spans="1:30" ht="15.75" customHeight="1"/>
    <row r="316" spans="1:30" ht="15.75" customHeight="1"/>
    <row r="317" spans="1:30" ht="15.75" customHeight="1"/>
    <row r="318" spans="1:30" ht="15.75" customHeight="1"/>
    <row r="319" spans="1:30" ht="15.75" customHeight="1"/>
    <row r="320" spans="1:3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99">
    <mergeCell ref="K55:M67"/>
    <mergeCell ref="A30:F30"/>
    <mergeCell ref="A31:F31"/>
    <mergeCell ref="A32:F32"/>
    <mergeCell ref="A34:F34"/>
    <mergeCell ref="A29:F29"/>
    <mergeCell ref="A1:C1"/>
    <mergeCell ref="E1:H1"/>
    <mergeCell ref="D7:I7"/>
    <mergeCell ref="D8:I8"/>
    <mergeCell ref="A28:F28"/>
    <mergeCell ref="H92:I105"/>
    <mergeCell ref="J92:K105"/>
    <mergeCell ref="AG29:AH29"/>
    <mergeCell ref="AI29:AJ29"/>
    <mergeCell ref="AG30:AH40"/>
    <mergeCell ref="AI30:AJ40"/>
    <mergeCell ref="H37:J37"/>
    <mergeCell ref="K71:O87"/>
    <mergeCell ref="P71:Q87"/>
    <mergeCell ref="H91:I91"/>
    <mergeCell ref="J91:K91"/>
    <mergeCell ref="K70:O70"/>
    <mergeCell ref="H38:J42"/>
    <mergeCell ref="I45:K45"/>
    <mergeCell ref="I46:K50"/>
    <mergeCell ref="K54:M54"/>
    <mergeCell ref="P115:R115"/>
    <mergeCell ref="P70:Q70"/>
    <mergeCell ref="P116:R116"/>
    <mergeCell ref="P117:R117"/>
    <mergeCell ref="P118:R118"/>
    <mergeCell ref="P119:R119"/>
    <mergeCell ref="P120:R120"/>
    <mergeCell ref="M135:O135"/>
    <mergeCell ref="P121:R121"/>
    <mergeCell ref="M123:O123"/>
    <mergeCell ref="P123:T123"/>
    <mergeCell ref="M124:O124"/>
    <mergeCell ref="P124:T135"/>
    <mergeCell ref="M125:O125"/>
    <mergeCell ref="M126:O126"/>
    <mergeCell ref="M127:O127"/>
    <mergeCell ref="M128:O128"/>
    <mergeCell ref="M129:O129"/>
    <mergeCell ref="M130:O130"/>
    <mergeCell ref="M131:O131"/>
    <mergeCell ref="M132:O132"/>
    <mergeCell ref="M133:O133"/>
    <mergeCell ref="M134:O134"/>
    <mergeCell ref="M151:O151"/>
    <mergeCell ref="M138:O138"/>
    <mergeCell ref="P138:T138"/>
    <mergeCell ref="M139:O139"/>
    <mergeCell ref="P139:T152"/>
    <mergeCell ref="M140:O140"/>
    <mergeCell ref="M141:O141"/>
    <mergeCell ref="M142:O142"/>
    <mergeCell ref="M143:O143"/>
    <mergeCell ref="M144:O144"/>
    <mergeCell ref="M145:O145"/>
    <mergeCell ref="M146:O146"/>
    <mergeCell ref="M147:O147"/>
    <mergeCell ref="M148:O148"/>
    <mergeCell ref="M149:O149"/>
    <mergeCell ref="M150:O150"/>
    <mergeCell ref="P155:T155"/>
    <mergeCell ref="B156:C156"/>
    <mergeCell ref="M156:O156"/>
    <mergeCell ref="P156:T169"/>
    <mergeCell ref="B157:C157"/>
    <mergeCell ref="M157:O157"/>
    <mergeCell ref="B158:C158"/>
    <mergeCell ref="B161:C161"/>
    <mergeCell ref="M161:O161"/>
    <mergeCell ref="B160:C160"/>
    <mergeCell ref="M160:O160"/>
    <mergeCell ref="B162:C162"/>
    <mergeCell ref="M162:O162"/>
    <mergeCell ref="B163:C163"/>
    <mergeCell ref="M163:O163"/>
    <mergeCell ref="B164:C164"/>
    <mergeCell ref="M152:O152"/>
    <mergeCell ref="B155:C155"/>
    <mergeCell ref="M155:O155"/>
    <mergeCell ref="M158:O158"/>
    <mergeCell ref="B159:C159"/>
    <mergeCell ref="M159:O159"/>
    <mergeCell ref="M164:O164"/>
    <mergeCell ref="B168:C168"/>
    <mergeCell ref="M168:O168"/>
    <mergeCell ref="B169:C169"/>
    <mergeCell ref="M169:O169"/>
    <mergeCell ref="B165:C165"/>
    <mergeCell ref="M165:O165"/>
    <mergeCell ref="B166:C166"/>
    <mergeCell ref="M166:O166"/>
    <mergeCell ref="B167:C167"/>
    <mergeCell ref="M167:O167"/>
  </mergeCells>
  <conditionalFormatting sqref="I55:I66">
    <cfRule type="containsText" dxfId="512" priority="1" operator="containsText" text="5">
      <formula>NOT(ISERROR(SEARCH(("5"),(I55))))</formula>
    </cfRule>
    <cfRule type="containsText" dxfId="511" priority="2" operator="containsText" text="42">
      <formula>NOT(ISERROR(SEARCH(("42"),(I55))))</formula>
    </cfRule>
    <cfRule type="containsText" dxfId="510" priority="3" operator="containsText" text="Please fill in">
      <formula>NOT(ISERROR(SEARCH(("Please fill in"),(I55))))</formula>
    </cfRule>
  </conditionalFormatting>
  <dataValidations count="5">
    <dataValidation type="list" allowBlank="1" showErrorMessage="1" sqref="D47:D50 H59:H67" xr:uid="{B633A92A-4C0A-B646-A51A-8CA8B8B84C40}">
      <formula1>'High-Tech Hitters'!TypesOfTrainers</formula1>
    </dataValidation>
    <dataValidation type="list" allowBlank="1" showErrorMessage="1" sqref="B9" xr:uid="{D3892A12-5A11-5343-8A71-36E2C4B3821C}">
      <formula1>"yes,no,partial"</formula1>
    </dataValidation>
    <dataValidation type="list" allowBlank="1" sqref="G46:G50" xr:uid="{DD5C60FD-CFEF-594B-A0CE-14F39C67084B}">
      <formula1>"yes,no"</formula1>
    </dataValidation>
    <dataValidation type="list" allowBlank="1" showErrorMessage="1" sqref="D46 H55:H58" xr:uid="{C7575AD8-F4E6-BB47-8E24-19B308D5DCAF}">
      <formula1>'https://universiteittwente.sharepoint.com/sites/SportsCoordinatorsSUT/Gedeelde documenten/General/(WIP) FAM Sheets - Regulations 2025-28 - Version April 2025.xlsx'!TypesOfTrainers</formula1>
    </dataValidation>
    <dataValidation type="list" allowBlank="1" showErrorMessage="1" sqref="B71:B75" xr:uid="{7CC3DDAC-3240-EB4E-AD0A-F63D2A2B51E8}">
      <formula1>'https://universiteittwente.sharepoint.com/sites/SportsCoordinatorsSUT/Gedeelde documenten/General/(WIP) FAM Sheets - Regulations 2025-28 - Version April 2025.xlsx'!LocationNames</formula1>
    </dataValidation>
  </dataValidations>
  <pageMargins left="0.7" right="0.7" top="0.75" bottom="0.75" header="0" footer="0"/>
  <pageSetup paperSize="9" orientation="portrait"/>
  <drawing r:id="rId1"/>
  <legacyDrawing r:id="rId2"/>
  <tableParts count="6">
    <tablePart r:id="rId3"/>
    <tablePart r:id="rId4"/>
    <tablePart r:id="rId5"/>
    <tablePart r:id="rId6"/>
    <tablePart r:id="rId7"/>
    <tablePart r:id="rId8"/>
  </tableParts>
  <extLst>
    <ext xmlns:x14="http://schemas.microsoft.com/office/spreadsheetml/2009/9/main" uri="{CCE6A557-97BC-4b89-ADB6-D9C93CAAB3DF}">
      <x14:dataValidations xmlns:xm="http://schemas.microsoft.com/office/excel/2006/main" count="4">
        <x14:dataValidation type="list" allowBlank="1" showInputMessage="1" showErrorMessage="1" xr:uid="{0AD4AF70-3828-E842-A216-7B0F0738F0A8}">
          <x14:formula1>
            <xm:f>Constants!$M$6:$M$7</xm:f>
          </x14:formula1>
          <xm:sqref>B101:B107</xm:sqref>
        </x14:dataValidation>
        <x14:dataValidation type="list" allowBlank="1" showInputMessage="1" showErrorMessage="1" xr:uid="{4C83ACE6-7D9C-8347-BF46-25C292740A2A}">
          <x14:formula1>
            <xm:f>Constants!$C$55:$C$56</xm:f>
          </x14:formula1>
          <xm:sqref>B12</xm:sqref>
        </x14:dataValidation>
        <x14:dataValidation type="list" allowBlank="1" showErrorMessage="1" xr:uid="{77C1803A-9D0A-2A46-ACFB-EF526853C208}">
          <x14:formula1>
            <xm:f>Constants!$H$6:$H$13</xm:f>
          </x14:formula1>
          <xm:sqref>B55:B67</xm:sqref>
        </x14:dataValidation>
        <x14:dataValidation type="list" allowBlank="1" showErrorMessage="1" xr:uid="{7082ECDD-AA90-5D44-B219-2257D5F2A5C9}">
          <x14:formula1>
            <xm:f>Constants!$A$2:$AD$2</xm:f>
          </x14:formula1>
          <xm:sqref>B76:B87</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81131C-B23B-064C-866D-A523FEC9C5D9}">
  <dimension ref="A1:BG1003"/>
  <sheetViews>
    <sheetView topLeftCell="A56" zoomScale="125" zoomScaleNormal="150" workbookViewId="0">
      <selection activeCell="AF30" sqref="AF30"/>
    </sheetView>
  </sheetViews>
  <sheetFormatPr defaultColWidth="12.625" defaultRowHeight="15" customHeight="1"/>
  <cols>
    <col min="1" max="1" width="36.625" customWidth="1"/>
    <col min="2" max="2" width="28.125" customWidth="1"/>
    <col min="3" max="3" width="21" customWidth="1"/>
    <col min="4" max="4" width="17.5" customWidth="1"/>
    <col min="5" max="5" width="16.125" customWidth="1"/>
    <col min="6" max="6" width="21.5" customWidth="1"/>
    <col min="7" max="7" width="22.625" customWidth="1"/>
    <col min="8" max="8" width="18.625" customWidth="1"/>
    <col min="9" max="9" width="19.625" customWidth="1"/>
    <col min="10" max="10" width="18.875" customWidth="1"/>
    <col min="11" max="11" width="21.625" customWidth="1"/>
    <col min="12" max="12" width="17.375" customWidth="1"/>
    <col min="13" max="13" width="15.125" customWidth="1"/>
    <col min="14" max="14" width="15.625" customWidth="1"/>
    <col min="15" max="15" width="28.5" customWidth="1"/>
    <col min="16" max="16" width="13.125" customWidth="1"/>
    <col min="17" max="17" width="21.875" customWidth="1"/>
    <col min="18" max="18" width="27" customWidth="1"/>
    <col min="19" max="19" width="20.5" customWidth="1"/>
    <col min="20" max="22" width="7.625" customWidth="1"/>
    <col min="23" max="23" width="31.875" customWidth="1"/>
    <col min="24" max="24" width="7.625" customWidth="1"/>
    <col min="25" max="25" width="8.375" customWidth="1"/>
    <col min="26" max="26" width="21.625" customWidth="1"/>
    <col min="27" max="27" width="12" customWidth="1"/>
    <col min="28" max="28" width="16.5" customWidth="1"/>
    <col min="29" max="29" width="6" customWidth="1"/>
    <col min="30" max="30" width="13.625" customWidth="1"/>
  </cols>
  <sheetData>
    <row r="1" spans="1:59" ht="171" customHeight="1">
      <c r="A1" s="703"/>
      <c r="B1" s="704"/>
      <c r="C1" s="705"/>
      <c r="D1" s="16"/>
      <c r="E1" s="572" t="s">
        <v>350</v>
      </c>
      <c r="F1" s="704"/>
      <c r="G1" s="704"/>
      <c r="H1" s="705"/>
      <c r="I1" s="16"/>
      <c r="J1" s="16"/>
      <c r="K1" s="16"/>
      <c r="L1" s="16"/>
      <c r="M1" s="16"/>
      <c r="N1" s="16"/>
      <c r="O1" s="16"/>
      <c r="P1" s="16"/>
      <c r="Q1" s="16"/>
      <c r="R1" s="16"/>
      <c r="S1" s="16"/>
      <c r="T1" s="16"/>
      <c r="U1" s="16"/>
      <c r="V1" s="16"/>
      <c r="W1" s="16"/>
      <c r="X1" s="16"/>
      <c r="Y1" s="16"/>
      <c r="Z1" s="16"/>
      <c r="AA1" s="16"/>
      <c r="AB1" s="16"/>
      <c r="AC1" s="16"/>
      <c r="AD1" s="16"/>
    </row>
    <row r="2" spans="1:59">
      <c r="A2" s="58" t="s">
        <v>404</v>
      </c>
      <c r="B2" s="152" t="s">
        <v>405</v>
      </c>
      <c r="C2" s="59"/>
      <c r="D2" s="16"/>
      <c r="E2" s="60" t="s">
        <v>406</v>
      </c>
      <c r="F2" s="153" t="s">
        <v>1112</v>
      </c>
      <c r="G2" s="154"/>
      <c r="H2" s="61"/>
      <c r="I2" s="16"/>
      <c r="J2" s="16"/>
      <c r="K2" s="16"/>
      <c r="L2" s="16"/>
      <c r="M2" s="16"/>
      <c r="N2" s="16"/>
      <c r="O2" s="16"/>
      <c r="P2" s="16"/>
      <c r="Q2" s="16"/>
      <c r="R2" s="16"/>
      <c r="S2" s="16"/>
      <c r="T2" s="16"/>
      <c r="U2" s="16"/>
      <c r="V2" s="16"/>
      <c r="W2" s="16"/>
      <c r="X2" s="16"/>
      <c r="Y2" s="16"/>
      <c r="Z2" s="15"/>
      <c r="AA2" s="15"/>
      <c r="AB2" s="15"/>
      <c r="AC2" s="15"/>
      <c r="AD2" s="16"/>
      <c r="AE2" s="16"/>
      <c r="AF2" s="16"/>
      <c r="AG2" s="16"/>
      <c r="AH2" s="16"/>
      <c r="AI2" s="17"/>
      <c r="AJ2" s="17"/>
      <c r="AK2" s="17"/>
      <c r="AL2" s="17"/>
      <c r="AM2" s="17"/>
      <c r="AN2" s="17"/>
      <c r="AO2" s="17"/>
      <c r="AP2" s="17"/>
      <c r="AQ2" s="17"/>
      <c r="AR2" s="18"/>
      <c r="AS2" s="17"/>
      <c r="AT2" s="17"/>
      <c r="AU2" s="16"/>
      <c r="AV2" s="16"/>
      <c r="AW2" s="16"/>
      <c r="AX2" s="16"/>
      <c r="AY2" s="16"/>
      <c r="AZ2" s="16"/>
      <c r="BA2" s="16"/>
    </row>
    <row r="3" spans="1:59">
      <c r="A3" s="62" t="s">
        <v>408</v>
      </c>
      <c r="B3" s="155">
        <v>1</v>
      </c>
      <c r="C3" s="156"/>
      <c r="D3" s="16"/>
      <c r="E3" s="63" t="s">
        <v>409</v>
      </c>
      <c r="F3" s="189">
        <v>45792</v>
      </c>
      <c r="G3" s="158"/>
      <c r="H3" s="159"/>
      <c r="I3" s="16"/>
      <c r="J3" s="16"/>
      <c r="K3" s="16"/>
      <c r="L3" s="16"/>
      <c r="M3" s="16"/>
      <c r="N3" s="16"/>
      <c r="O3" s="16"/>
      <c r="P3" s="16"/>
      <c r="Q3" s="16"/>
      <c r="R3" s="16"/>
      <c r="S3" s="16"/>
      <c r="T3" s="16"/>
      <c r="U3" s="16"/>
      <c r="V3" s="16"/>
      <c r="W3" s="16"/>
      <c r="X3" s="16"/>
      <c r="Y3" s="16"/>
      <c r="Z3" s="16"/>
      <c r="AA3" s="16"/>
      <c r="AB3" s="16"/>
      <c r="AC3" s="16"/>
      <c r="AD3" s="16"/>
    </row>
    <row r="4" spans="1:59">
      <c r="A4" s="160" t="s">
        <v>410</v>
      </c>
      <c r="B4" s="161">
        <v>45812</v>
      </c>
      <c r="C4" s="162"/>
      <c r="D4" s="16"/>
      <c r="E4" s="163"/>
      <c r="F4" s="164"/>
      <c r="G4" s="165"/>
      <c r="H4" s="166"/>
      <c r="I4" s="16"/>
      <c r="J4" s="16"/>
      <c r="K4" s="16"/>
      <c r="L4" s="16"/>
      <c r="M4" s="16"/>
      <c r="N4" s="16"/>
      <c r="O4" s="16"/>
      <c r="P4" s="16"/>
      <c r="Q4" s="16"/>
      <c r="R4" s="16"/>
      <c r="S4" s="16"/>
      <c r="T4" s="16"/>
      <c r="U4" s="16"/>
      <c r="V4" s="16"/>
      <c r="W4" s="16"/>
      <c r="X4" s="16"/>
      <c r="Y4" s="16"/>
      <c r="Z4" s="16"/>
      <c r="AA4" s="16"/>
      <c r="AB4" s="16"/>
      <c r="AC4" s="16"/>
      <c r="AD4" s="16"/>
    </row>
    <row r="5" spans="1:59">
      <c r="A5" s="167" t="s">
        <v>411</v>
      </c>
      <c r="B5" s="168"/>
      <c r="C5" s="167"/>
      <c r="D5" s="16"/>
      <c r="E5" s="169" t="s">
        <v>412</v>
      </c>
      <c r="F5" s="169"/>
      <c r="G5" s="158"/>
      <c r="H5" s="169"/>
      <c r="I5" s="16"/>
      <c r="J5" s="16"/>
      <c r="K5" s="16"/>
      <c r="L5" s="16"/>
      <c r="M5" s="16"/>
      <c r="N5" s="16"/>
      <c r="O5" s="16"/>
      <c r="P5" s="16"/>
      <c r="Q5" s="16"/>
      <c r="R5" s="16"/>
      <c r="S5" s="16"/>
      <c r="T5" s="16"/>
      <c r="U5" s="16"/>
      <c r="V5" s="16"/>
      <c r="W5" s="16"/>
      <c r="X5" s="16"/>
      <c r="Y5" s="16"/>
      <c r="Z5" s="16"/>
      <c r="AA5" s="16"/>
      <c r="AB5" s="16"/>
      <c r="AC5" s="16"/>
      <c r="AD5" s="16"/>
    </row>
    <row r="6" spans="1:59">
      <c r="A6" s="15"/>
      <c r="B6" s="64"/>
      <c r="C6" s="16"/>
      <c r="D6" s="16"/>
      <c r="E6" s="16"/>
      <c r="F6" s="16"/>
      <c r="G6" s="16"/>
      <c r="H6" s="16"/>
      <c r="I6" s="16"/>
      <c r="J6" s="64"/>
      <c r="K6" s="16"/>
      <c r="L6" s="16"/>
      <c r="M6" s="16"/>
      <c r="N6" s="16"/>
      <c r="O6" s="16"/>
      <c r="P6" s="16"/>
      <c r="Q6" s="16"/>
      <c r="R6" s="16"/>
      <c r="S6" s="16"/>
      <c r="T6" s="16"/>
      <c r="U6" s="16"/>
      <c r="V6" s="16"/>
      <c r="W6" s="16"/>
      <c r="X6" s="16"/>
      <c r="Y6" s="16"/>
      <c r="Z6" s="16"/>
      <c r="AA6" s="16"/>
      <c r="AB6" s="16"/>
      <c r="AC6" s="16"/>
      <c r="AD6" s="16"/>
    </row>
    <row r="7" spans="1:59">
      <c r="A7" s="170" t="s">
        <v>413</v>
      </c>
      <c r="B7" s="59">
        <v>61</v>
      </c>
      <c r="C7" s="16"/>
      <c r="D7" s="573" t="s">
        <v>414</v>
      </c>
      <c r="E7" s="701"/>
      <c r="F7" s="701"/>
      <c r="G7" s="701"/>
      <c r="H7" s="701"/>
      <c r="I7" s="701"/>
      <c r="J7" s="16"/>
      <c r="K7" s="16"/>
      <c r="L7" s="16"/>
      <c r="M7" s="16"/>
      <c r="N7" s="16"/>
      <c r="O7" s="16"/>
      <c r="P7" s="16"/>
      <c r="Q7" s="16"/>
      <c r="R7" s="16"/>
      <c r="S7" s="16"/>
      <c r="T7" s="16"/>
      <c r="U7" s="16"/>
      <c r="V7" s="16"/>
      <c r="W7" s="16"/>
      <c r="X7" s="16"/>
      <c r="Y7" s="16"/>
      <c r="Z7" s="16"/>
      <c r="AA7" s="16"/>
      <c r="AB7" s="16"/>
      <c r="AC7" s="16"/>
      <c r="AD7" s="16"/>
    </row>
    <row r="8" spans="1:59" ht="14.25" customHeight="1">
      <c r="A8" s="171" t="s">
        <v>415</v>
      </c>
      <c r="B8" s="172">
        <f ca="1">M21-M17</f>
        <v>3745.257997174107</v>
      </c>
      <c r="C8" s="16" t="s">
        <v>416</v>
      </c>
      <c r="D8" s="574" t="s">
        <v>417</v>
      </c>
      <c r="E8" s="704"/>
      <c r="F8" s="704"/>
      <c r="G8" s="704"/>
      <c r="H8" s="704"/>
      <c r="I8" s="704"/>
      <c r="J8" s="16"/>
      <c r="K8" s="16"/>
      <c r="L8" s="16"/>
      <c r="M8" s="16"/>
      <c r="N8" s="16"/>
      <c r="O8" s="16"/>
      <c r="P8" s="16"/>
      <c r="Q8" s="16"/>
      <c r="R8" s="16"/>
      <c r="S8" s="16"/>
      <c r="T8" s="16"/>
      <c r="U8" s="16"/>
      <c r="V8" s="16"/>
      <c r="W8" s="16"/>
      <c r="X8" s="16"/>
      <c r="Y8" s="16"/>
      <c r="Z8" s="16"/>
      <c r="AA8" s="16"/>
      <c r="AB8" s="16"/>
      <c r="AC8" s="16"/>
    </row>
    <row r="9" spans="1:59">
      <c r="A9" s="65" t="s">
        <v>418</v>
      </c>
      <c r="B9" s="173" t="s">
        <v>419</v>
      </c>
      <c r="C9" s="16"/>
      <c r="D9" s="16"/>
      <c r="E9" s="17"/>
      <c r="F9" s="17"/>
      <c r="G9" s="17"/>
      <c r="H9" s="17"/>
      <c r="I9" s="17"/>
      <c r="J9" s="17"/>
      <c r="K9" s="17"/>
      <c r="L9" s="17"/>
      <c r="M9" s="17"/>
      <c r="N9" s="17"/>
      <c r="O9" s="17"/>
      <c r="P9" s="17"/>
      <c r="Q9" s="16"/>
      <c r="R9" s="17"/>
      <c r="S9" s="17"/>
      <c r="T9" s="17"/>
      <c r="U9" s="17"/>
      <c r="V9" s="17"/>
      <c r="W9" s="17"/>
      <c r="X9" s="17"/>
      <c r="Y9" s="17"/>
      <c r="Z9" s="17"/>
      <c r="AA9" s="17"/>
      <c r="AB9" s="17"/>
      <c r="AC9" s="17"/>
      <c r="AD9" s="18" t="s">
        <v>242</v>
      </c>
    </row>
    <row r="10" spans="1:59">
      <c r="A10" s="174" t="s">
        <v>420</v>
      </c>
      <c r="B10" s="66">
        <f>COUNTA(A38:A42)</f>
        <v>5</v>
      </c>
      <c r="C10" s="16"/>
      <c r="D10" s="16"/>
      <c r="E10" s="17"/>
      <c r="F10" s="17"/>
      <c r="G10" s="17"/>
      <c r="H10" s="17"/>
      <c r="I10" s="17"/>
      <c r="J10" s="17"/>
      <c r="K10" s="17"/>
      <c r="L10" s="17"/>
      <c r="M10" s="17"/>
      <c r="N10" s="17"/>
      <c r="O10" s="17"/>
      <c r="P10" s="17"/>
      <c r="Q10" s="16"/>
      <c r="R10" s="17"/>
      <c r="S10" s="17"/>
      <c r="T10" s="17"/>
      <c r="U10" s="17"/>
      <c r="V10" s="17"/>
      <c r="W10" s="17"/>
      <c r="X10" s="17"/>
      <c r="Y10" s="17"/>
      <c r="Z10" s="17"/>
      <c r="AA10" s="17"/>
      <c r="AB10" s="17"/>
      <c r="AC10" s="17"/>
      <c r="AD10" s="18"/>
    </row>
    <row r="11" spans="1:59">
      <c r="A11" s="171" t="s">
        <v>421</v>
      </c>
      <c r="B11" s="238">
        <f>SUM(B38:B42)</f>
        <v>81</v>
      </c>
      <c r="C11" s="16"/>
      <c r="D11" s="16"/>
      <c r="E11" s="17"/>
      <c r="F11" s="17"/>
      <c r="G11" s="17"/>
      <c r="H11" s="17"/>
      <c r="I11" s="17"/>
      <c r="J11" s="17"/>
      <c r="K11" s="17"/>
      <c r="L11" s="17"/>
      <c r="M11" s="17"/>
      <c r="N11" s="17"/>
      <c r="O11" s="17"/>
      <c r="P11" s="17"/>
      <c r="Q11" s="16"/>
      <c r="R11" s="17"/>
      <c r="S11" s="17"/>
      <c r="T11" s="17"/>
      <c r="U11" s="17"/>
      <c r="V11" s="17"/>
      <c r="W11" s="17"/>
      <c r="X11" s="17"/>
      <c r="Y11" s="17"/>
      <c r="Z11" s="17"/>
      <c r="AA11" s="17"/>
      <c r="AB11" s="17"/>
      <c r="AC11" s="17"/>
      <c r="AD11" s="18"/>
    </row>
    <row r="12" spans="1:59">
      <c r="A12" s="239" t="s">
        <v>422</v>
      </c>
      <c r="B12" s="240" t="s">
        <v>317</v>
      </c>
      <c r="C12" s="16"/>
      <c r="D12" s="16"/>
      <c r="E12" s="17"/>
      <c r="F12" s="17"/>
      <c r="G12" s="17"/>
      <c r="H12" s="17"/>
      <c r="I12" s="17"/>
      <c r="J12" s="17"/>
      <c r="K12" s="17"/>
      <c r="L12" s="17"/>
      <c r="M12" s="17"/>
      <c r="N12" s="17"/>
      <c r="O12" s="17"/>
      <c r="P12" s="17"/>
      <c r="Q12" s="16"/>
      <c r="R12" s="17"/>
      <c r="S12" s="17"/>
      <c r="T12" s="17"/>
      <c r="U12" s="17"/>
      <c r="V12" s="17"/>
      <c r="W12" s="17"/>
      <c r="X12" s="17"/>
      <c r="Y12" s="17"/>
      <c r="Z12" s="17"/>
      <c r="AA12" s="17"/>
      <c r="AB12" s="17"/>
      <c r="AC12" s="17"/>
      <c r="AD12" s="18"/>
    </row>
    <row r="13" spans="1:59">
      <c r="A13" s="16"/>
      <c r="B13" s="16"/>
      <c r="C13" s="16"/>
      <c r="D13" s="16"/>
      <c r="E13" s="17"/>
      <c r="F13" s="17"/>
      <c r="G13" s="17"/>
      <c r="H13" s="17"/>
      <c r="I13" s="17"/>
      <c r="J13" s="17"/>
      <c r="K13" s="17"/>
      <c r="L13" s="17"/>
      <c r="M13" s="17"/>
      <c r="N13" s="17"/>
      <c r="O13" s="17"/>
      <c r="P13" s="17"/>
      <c r="Q13" s="16"/>
      <c r="R13" s="17"/>
      <c r="S13" s="17"/>
      <c r="T13" s="17"/>
      <c r="U13" s="17"/>
      <c r="V13" s="17"/>
      <c r="W13" s="17"/>
      <c r="X13" s="17"/>
      <c r="Y13" s="17"/>
      <c r="Z13" s="17"/>
      <c r="AA13" s="17"/>
      <c r="AB13" s="17"/>
      <c r="AC13" s="17"/>
      <c r="AD13" s="17" t="str" cm="1">
        <f t="array" ref="AD13:BF14">Constants!A2:AC3</f>
        <v>SC1</v>
      </c>
      <c r="AE13" s="17" t="str">
        <v>SC1 - Half</v>
      </c>
      <c r="AF13" s="17" t="str">
        <v>SC2</v>
      </c>
      <c r="AG13" s="17" t="str">
        <v>SC2 - Half</v>
      </c>
      <c r="AH13" s="17" t="str">
        <v>SC3</v>
      </c>
      <c r="AI13" s="17" t="str">
        <v>SC4</v>
      </c>
      <c r="AJ13" s="17" t="str">
        <v>SC5</v>
      </c>
      <c r="AK13" s="17" t="str">
        <v>SC6</v>
      </c>
      <c r="AL13" s="17" t="str">
        <v>Dojo</v>
      </c>
      <c r="AM13" s="17" t="str">
        <v>Boulder Wall</v>
      </c>
      <c r="AN13" s="17" t="str">
        <v>Climbing Wall</v>
      </c>
      <c r="AO13" s="17" t="str">
        <v>Artificial Hockey field</v>
      </c>
      <c r="AP13" s="17" t="str">
        <v>Artificial Hockey field - Half</v>
      </c>
      <c r="AQ13" s="17" t="str">
        <v>Artificial Soccer field</v>
      </c>
      <c r="AR13" s="17" t="str">
        <v>Artificial Soccer field - Half</v>
      </c>
      <c r="AS13" s="17" t="str">
        <v>Basketball</v>
      </c>
      <c r="AT13" s="17" t="str">
        <v>Bastille field</v>
      </c>
      <c r="AU13" s="17" t="str">
        <v>Beach fields</v>
      </c>
      <c r="AV13" s="17" t="str">
        <v>Shooting range</v>
      </c>
      <c r="AW13" s="17" t="str">
        <v>Multi/Lacrosse field</v>
      </c>
      <c r="AX13" s="17" t="str">
        <v>Multi/Lacrosse field - Half</v>
      </c>
      <c r="AY13" s="17" t="str">
        <v>Bootcamp field</v>
      </c>
      <c r="AZ13" s="17" t="str">
        <v>Multi/Baseball field</v>
      </c>
      <c r="BA13" s="17" t="str">
        <v>Tennis court</v>
      </c>
      <c r="BB13" s="17" t="str">
        <v>Utrack</v>
      </c>
      <c r="BC13" s="22" t="str">
        <v>Verreveld</v>
      </c>
      <c r="BD13" s="22" t="str">
        <v>Wsc</v>
      </c>
      <c r="BE13" s="22" t="str">
        <v>Indoor pool</v>
      </c>
      <c r="BF13" s="22" t="str">
        <v>Outdoor pool</v>
      </c>
      <c r="BG13" s="22"/>
    </row>
    <row r="14" spans="1:59" ht="15.95" thickBot="1">
      <c r="A14" s="175" t="s">
        <v>423</v>
      </c>
      <c r="B14" s="16"/>
      <c r="C14" s="16"/>
      <c r="D14" s="16"/>
      <c r="E14" s="16"/>
      <c r="F14" s="16"/>
      <c r="G14" s="175" t="s">
        <v>424</v>
      </c>
      <c r="I14" s="17"/>
      <c r="J14" s="17"/>
      <c r="K14" s="176" t="s">
        <v>425</v>
      </c>
      <c r="L14" s="17"/>
      <c r="M14" s="176" t="s">
        <v>426</v>
      </c>
      <c r="N14" s="17"/>
      <c r="O14" s="17"/>
      <c r="P14" s="17"/>
      <c r="Q14" s="17"/>
      <c r="R14" s="17"/>
      <c r="S14" s="16"/>
      <c r="T14" s="17"/>
      <c r="U14" s="17"/>
      <c r="V14" s="17"/>
      <c r="W14" s="17"/>
      <c r="X14" s="17"/>
      <c r="Y14" s="17"/>
      <c r="Z14" s="17"/>
      <c r="AA14" s="17"/>
      <c r="AB14" s="17"/>
      <c r="AC14" s="17"/>
      <c r="AD14" s="19">
        <v>67.5</v>
      </c>
      <c r="AE14" s="19">
        <v>35</v>
      </c>
      <c r="AF14" s="19">
        <v>67.5</v>
      </c>
      <c r="AG14" s="19">
        <v>35</v>
      </c>
      <c r="AH14" s="19">
        <v>40</v>
      </c>
      <c r="AI14" s="19">
        <v>40</v>
      </c>
      <c r="AJ14" s="19">
        <v>35</v>
      </c>
      <c r="AK14" s="19">
        <v>35</v>
      </c>
      <c r="AL14" s="19">
        <v>40</v>
      </c>
      <c r="AM14" s="19">
        <v>27.5</v>
      </c>
      <c r="AN14" s="19">
        <v>45</v>
      </c>
      <c r="AO14" s="19">
        <v>75</v>
      </c>
      <c r="AP14" s="19">
        <v>40</v>
      </c>
      <c r="AQ14" s="19">
        <v>75</v>
      </c>
      <c r="AR14" s="19">
        <v>40</v>
      </c>
      <c r="AS14" s="19">
        <v>30</v>
      </c>
      <c r="AT14" s="19">
        <v>50</v>
      </c>
      <c r="AU14" s="19">
        <v>75</v>
      </c>
      <c r="AV14" s="19">
        <v>40</v>
      </c>
      <c r="AW14" s="19">
        <v>75</v>
      </c>
      <c r="AX14" s="19">
        <v>40</v>
      </c>
      <c r="AY14" s="19">
        <v>50</v>
      </c>
      <c r="AZ14" s="19">
        <v>65</v>
      </c>
      <c r="BA14" s="19">
        <v>35</v>
      </c>
      <c r="BB14" s="19">
        <v>45</v>
      </c>
      <c r="BC14" s="19">
        <v>50</v>
      </c>
      <c r="BD14" s="19">
        <v>0</v>
      </c>
      <c r="BE14" s="19">
        <v>65</v>
      </c>
      <c r="BF14" s="20">
        <v>70</v>
      </c>
      <c r="BG14" s="20"/>
    </row>
    <row r="15" spans="1:59" ht="15.95" thickTop="1">
      <c r="A15" s="67"/>
      <c r="B15" s="68" t="str">
        <f>Constants!H6</f>
        <v>Performance training</v>
      </c>
      <c r="C15" s="68" t="str">
        <f>Constants!H7</f>
        <v>Performance coaching</v>
      </c>
      <c r="D15" s="68" t="str">
        <f>Constants!H8</f>
        <v>Dangerous</v>
      </c>
      <c r="E15" s="69" t="str">
        <f>Constants!H9</f>
        <v>Recreational</v>
      </c>
      <c r="F15" s="69" t="s">
        <v>290</v>
      </c>
      <c r="G15" s="70"/>
      <c r="H15" s="71" t="s">
        <v>427</v>
      </c>
      <c r="I15" s="72" t="s">
        <v>272</v>
      </c>
      <c r="J15" s="70" t="s">
        <v>5</v>
      </c>
      <c r="K15" s="72" t="s">
        <v>428</v>
      </c>
      <c r="L15" s="70" t="s">
        <v>429</v>
      </c>
      <c r="M15" s="73" cm="1">
        <f t="array" ref="M15">(SUM(IF($D$46:$D$50="PT",($F$46:$F$50)/1.5+IF($G$46:$G$50="yes",1)))+SUM(IF($D$46:$D$50="Extern",($F$46:$F$50)/1.5+IF($G$46:$G$50="yes",1)))+SUM(IF($D$46:$D$50="PT-ZZP",($F$46:$F$50)/1.5+IF($G$46:$G$50="yes",1))))*Constants!B10</f>
        <v>666.66666666666663</v>
      </c>
      <c r="N15" s="17"/>
      <c r="O15" s="17"/>
      <c r="P15" s="17"/>
      <c r="Q15" s="17"/>
      <c r="R15" s="16"/>
      <c r="S15" s="17"/>
      <c r="T15" s="17"/>
      <c r="U15" s="17"/>
      <c r="V15" s="17"/>
      <c r="W15" s="17"/>
      <c r="X15" s="17"/>
      <c r="Y15" s="17"/>
      <c r="Z15" s="17"/>
      <c r="AA15" s="17"/>
      <c r="AB15" s="17"/>
      <c r="AC15" s="17"/>
      <c r="AD15" s="16">
        <f t="shared" ref="AD15:BF15" si="0">SUMIF($B$71:$B$88,AD13,$F$71:$F$88)</f>
        <v>0</v>
      </c>
      <c r="AE15" s="16">
        <f t="shared" si="0"/>
        <v>0</v>
      </c>
      <c r="AF15" s="16">
        <f t="shared" si="0"/>
        <v>0</v>
      </c>
      <c r="AG15" s="16">
        <f t="shared" si="0"/>
        <v>0</v>
      </c>
      <c r="AH15" s="16">
        <f t="shared" si="0"/>
        <v>0</v>
      </c>
      <c r="AI15" s="16">
        <f t="shared" si="0"/>
        <v>0</v>
      </c>
      <c r="AJ15" s="16">
        <f t="shared" si="0"/>
        <v>0</v>
      </c>
      <c r="AK15" s="16">
        <f t="shared" si="0"/>
        <v>31.5</v>
      </c>
      <c r="AL15" s="16">
        <f t="shared" si="0"/>
        <v>0</v>
      </c>
      <c r="AM15" s="16">
        <f t="shared" si="0"/>
        <v>0</v>
      </c>
      <c r="AN15" s="16">
        <f t="shared" si="0"/>
        <v>0</v>
      </c>
      <c r="AO15" s="16">
        <f t="shared" si="0"/>
        <v>0</v>
      </c>
      <c r="AP15" s="16">
        <f t="shared" si="0"/>
        <v>0</v>
      </c>
      <c r="AQ15" s="16">
        <f t="shared" si="0"/>
        <v>0</v>
      </c>
      <c r="AR15" s="16">
        <f t="shared" si="0"/>
        <v>0</v>
      </c>
      <c r="AS15" s="16">
        <f t="shared" si="0"/>
        <v>0</v>
      </c>
      <c r="AT15" s="16">
        <f t="shared" si="0"/>
        <v>0</v>
      </c>
      <c r="AU15" s="16">
        <f t="shared" si="0"/>
        <v>0</v>
      </c>
      <c r="AV15" s="16">
        <f t="shared" si="0"/>
        <v>0</v>
      </c>
      <c r="AW15" s="16">
        <f t="shared" si="0"/>
        <v>0</v>
      </c>
      <c r="AX15" s="16">
        <f t="shared" si="0"/>
        <v>0</v>
      </c>
      <c r="AY15" s="16">
        <f t="shared" si="0"/>
        <v>0</v>
      </c>
      <c r="AZ15" s="16">
        <f t="shared" si="0"/>
        <v>0</v>
      </c>
      <c r="BA15" s="16">
        <f t="shared" si="0"/>
        <v>0</v>
      </c>
      <c r="BB15" s="16">
        <f t="shared" si="0"/>
        <v>21</v>
      </c>
      <c r="BC15" s="16">
        <f t="shared" si="0"/>
        <v>0</v>
      </c>
      <c r="BD15" s="16">
        <f t="shared" si="0"/>
        <v>0</v>
      </c>
      <c r="BE15" s="16">
        <f t="shared" si="0"/>
        <v>0</v>
      </c>
      <c r="BF15" s="16">
        <f t="shared" si="0"/>
        <v>0</v>
      </c>
    </row>
    <row r="16" spans="1:59">
      <c r="A16" s="74" t="str">
        <f>Constants!E6</f>
        <v>PT</v>
      </c>
      <c r="B16" s="16">
        <f>SUMIFS('Klein Verzet'!$F$55:$F$67,'Klein Verzet'!$B$55:$B$67, B$15,'Klein Verzet'!$H$55:$H$67,$A16)*(1+Constants!$B$7)</f>
        <v>97.2</v>
      </c>
      <c r="C16" s="16">
        <f>SUMIFS('Klein Verzet'!$F$55:$F$67,'Klein Verzet'!$B$55:$B$67, C$15,'Klein Verzet'!$H$55:$H$67,$A16)</f>
        <v>0</v>
      </c>
      <c r="D16" s="16">
        <f>SUMIFS('Klein Verzet'!$F$55:$F$67,'Klein Verzet'!$B$55:$B$67, D$15,'Klein Verzet'!$H$55:$H$67,$A16)*(1+Constants!$B$7)</f>
        <v>0</v>
      </c>
      <c r="E16" s="16">
        <f>SUMIFS('Klein Verzet'!$F$55:$F$67,'Klein Verzet'!$B$55:$B$67, E$15,'Klein Verzet'!$H$55:$H$67,$A16)*(1+Constants!$B$7)</f>
        <v>0</v>
      </c>
      <c r="F16" s="16">
        <f>SUMIFS('Klein Verzet'!$F$55:$F$67,'Klein Verzet'!$B$55:$B$67, F$15,'Klein Verzet'!$H$55:$H$67,$A16)*(1+Constants!$B$7)</f>
        <v>25.2</v>
      </c>
      <c r="G16" s="74" t="s">
        <v>430</v>
      </c>
      <c r="H16" s="16">
        <f>SUMIF('Klein Verzet'!$B$71:$B$89,"&lt;&gt;External",'Klein Verzet'!$F$71:$F$89)</f>
        <v>52.5</v>
      </c>
      <c r="I16" s="75">
        <f>SUMIF('Klein Verzet'!$B$71:$B$89,"External",'Klein Verzet'!$F$71:$F$89)</f>
        <v>0</v>
      </c>
      <c r="J16" s="234">
        <f>SUM($F$92:$F$105)</f>
        <v>492</v>
      </c>
      <c r="K16" s="76">
        <f>IF(OR(ISBLANK(B7),ISBLANK(B9)), "ERROR",MAX(MIN(J16,B7*Constants!B15)-Constants!B14*B7,0)*IF(B9="yes",Constants!B16,IF(B9="no",Constants!B17,0)))</f>
        <v>0</v>
      </c>
      <c r="L16" s="77" t="s">
        <v>360</v>
      </c>
      <c r="M16" s="76">
        <f>E16*Constants!B6+E17*Constants!B8+E22+E21</f>
        <v>0</v>
      </c>
      <c r="N16" s="17"/>
      <c r="O16" s="17"/>
      <c r="P16" s="17"/>
      <c r="Q16" s="17"/>
      <c r="R16" s="16"/>
      <c r="S16" s="17"/>
      <c r="T16" s="17"/>
      <c r="U16" s="17"/>
      <c r="V16" s="17"/>
      <c r="W16" s="17"/>
      <c r="X16" s="17"/>
      <c r="Y16" s="17"/>
      <c r="Z16" s="17"/>
      <c r="AA16" s="17"/>
      <c r="AB16" s="17"/>
      <c r="AC16" s="17"/>
      <c r="AD16" s="19">
        <f t="shared" ref="AD16:BF16" si="1">AD14*AD15</f>
        <v>0</v>
      </c>
      <c r="AE16" s="19">
        <f t="shared" si="1"/>
        <v>0</v>
      </c>
      <c r="AF16" s="19">
        <f t="shared" si="1"/>
        <v>0</v>
      </c>
      <c r="AG16" s="19">
        <f t="shared" si="1"/>
        <v>0</v>
      </c>
      <c r="AH16" s="19">
        <f t="shared" si="1"/>
        <v>0</v>
      </c>
      <c r="AI16" s="19">
        <f t="shared" si="1"/>
        <v>0</v>
      </c>
      <c r="AJ16" s="19">
        <f t="shared" si="1"/>
        <v>0</v>
      </c>
      <c r="AK16" s="19">
        <f t="shared" si="1"/>
        <v>1102.5</v>
      </c>
      <c r="AL16" s="19">
        <f t="shared" si="1"/>
        <v>0</v>
      </c>
      <c r="AM16" s="19">
        <f t="shared" si="1"/>
        <v>0</v>
      </c>
      <c r="AN16" s="19">
        <f t="shared" si="1"/>
        <v>0</v>
      </c>
      <c r="AO16" s="19">
        <f t="shared" si="1"/>
        <v>0</v>
      </c>
      <c r="AP16" s="19">
        <f t="shared" si="1"/>
        <v>0</v>
      </c>
      <c r="AQ16" s="19">
        <f t="shared" si="1"/>
        <v>0</v>
      </c>
      <c r="AR16" s="19">
        <f t="shared" si="1"/>
        <v>0</v>
      </c>
      <c r="AS16" s="19">
        <f t="shared" si="1"/>
        <v>0</v>
      </c>
      <c r="AT16" s="19">
        <f t="shared" si="1"/>
        <v>0</v>
      </c>
      <c r="AU16" s="19">
        <f t="shared" si="1"/>
        <v>0</v>
      </c>
      <c r="AV16" s="19">
        <f t="shared" si="1"/>
        <v>0</v>
      </c>
      <c r="AW16" s="19">
        <f t="shared" si="1"/>
        <v>0</v>
      </c>
      <c r="AX16" s="19">
        <f t="shared" si="1"/>
        <v>0</v>
      </c>
      <c r="AY16" s="19">
        <f t="shared" si="1"/>
        <v>0</v>
      </c>
      <c r="AZ16" s="19">
        <f t="shared" si="1"/>
        <v>0</v>
      </c>
      <c r="BA16" s="19">
        <f t="shared" si="1"/>
        <v>0</v>
      </c>
      <c r="BB16" s="19">
        <f t="shared" si="1"/>
        <v>945</v>
      </c>
      <c r="BC16" s="19">
        <f t="shared" si="1"/>
        <v>0</v>
      </c>
      <c r="BD16" s="19">
        <f t="shared" si="1"/>
        <v>0</v>
      </c>
      <c r="BE16" s="19">
        <f t="shared" si="1"/>
        <v>0</v>
      </c>
      <c r="BF16" s="19">
        <f t="shared" si="1"/>
        <v>0</v>
      </c>
    </row>
    <row r="17" spans="1:36">
      <c r="A17" s="74" t="str">
        <f>Constants!E7</f>
        <v>PT-V</v>
      </c>
      <c r="B17" s="16">
        <f>SUMIFS('Klein Verzet'!$F$55:$F$67,'Klein Verzet'!$B$55:$B$67, B$15,'Klein Verzet'!$H$55:$H$67,$A17)*(1+Constants!$B$9)</f>
        <v>0</v>
      </c>
      <c r="C17" s="16">
        <f>SUMIFS('Klein Verzet'!$F$55:$F$67,'Klein Verzet'!$B$55:$B$67, C$15,'Klein Verzet'!$H$55:$H$67,$A17)</f>
        <v>0</v>
      </c>
      <c r="D17" s="16">
        <f>SUMIFS('Klein Verzet'!$F$55:$F$67,'Klein Verzet'!$B$55:$B$67, D$15,'Klein Verzet'!$H$55:$H$67,$A17)*(1+Constants!$B$9)</f>
        <v>0</v>
      </c>
      <c r="E17" s="16">
        <f>SUMIFS('Klein Verzet'!$F$55:$F$67,'Klein Verzet'!$B$55:$B$67, E$15,'Klein Verzet'!$H$55:$H$67,$A17)*(1+Constants!$B$9)</f>
        <v>0</v>
      </c>
      <c r="F17" s="16">
        <f>SUMIFS('Klein Verzet'!$F$55:$F$67,'Klein Verzet'!$B$55:$B$67, F$15,'Klein Verzet'!$H$55:$H$67,$A17)</f>
        <v>0</v>
      </c>
      <c r="G17" s="74" t="s">
        <v>38</v>
      </c>
      <c r="H17" s="78">
        <f>SUM(AD16:BZ16)</f>
        <v>2047.5</v>
      </c>
      <c r="I17" s="76" cm="1">
        <f t="array" ref="I17">SUM(IF($B$71:$B$87="External",$F$71:$F$87*$H$71:$H$87,0))</f>
        <v>0</v>
      </c>
      <c r="J17" s="79"/>
      <c r="K17" s="80"/>
      <c r="L17" s="77" t="s">
        <v>63</v>
      </c>
      <c r="M17" s="76">
        <f>J16-K16</f>
        <v>492</v>
      </c>
      <c r="N17" s="17"/>
      <c r="O17" s="17"/>
      <c r="P17" s="17"/>
      <c r="Q17" s="17"/>
      <c r="R17" s="16"/>
      <c r="S17" s="17"/>
      <c r="T17" s="17"/>
      <c r="U17" s="17"/>
      <c r="V17" s="17"/>
      <c r="W17" s="17"/>
      <c r="X17" s="17"/>
      <c r="Y17" s="17"/>
      <c r="Z17" s="17"/>
      <c r="AA17" s="17"/>
      <c r="AB17" s="17"/>
      <c r="AC17" s="17"/>
      <c r="AD17" s="17"/>
      <c r="AE17" s="17"/>
    </row>
    <row r="18" spans="1:36">
      <c r="A18" s="74" t="str">
        <f>Constants!E8</f>
        <v>PT-ZZP</v>
      </c>
      <c r="B18" s="16">
        <f>SUMIFS('Klein Verzet'!$F$55:$F$67,'Klein Verzet'!$B$55:$B$67, B$15,'Klein Verzet'!$H$55:$H$67,$A18)*(1+Constants!$B$7)</f>
        <v>0</v>
      </c>
      <c r="C18" s="16">
        <f>SUMIFS('Klein Verzet'!$F$55:$F$67,'Klein Verzet'!$B$55:$B$67, C$15,'Klein Verzet'!$H$55:$H$67,$A18)</f>
        <v>0</v>
      </c>
      <c r="D18" s="16">
        <f>SUMIFS('Klein Verzet'!$F$55:$F$67,'Klein Verzet'!$B$55:$B$67, D$15,'Klein Verzet'!$H$55:$H$67,$A18)*(1+Constants!$B$7)</f>
        <v>0</v>
      </c>
      <c r="E18" s="16">
        <f>SUMIFS('Klein Verzet'!$F$55:$F$67,'Klein Verzet'!$B$55:$B$67, E$15,'Klein Verzet'!$H$55:$H$67,$A18)*(1+Constants!$B$7)</f>
        <v>0</v>
      </c>
      <c r="F18" s="16">
        <f>SUMIFS('Klein Verzet'!$F$55:$F$67,'Klein Verzet'!$B$55:$B$67, F$15,'Klein Verzet'!$H$55:$H$67,$A18)*(1+Constants!$B$7)</f>
        <v>0</v>
      </c>
      <c r="G18" s="74"/>
      <c r="H18" s="78"/>
      <c r="I18" s="76"/>
      <c r="J18" s="79"/>
      <c r="K18" s="80"/>
      <c r="L18" s="77" t="s">
        <v>60</v>
      </c>
      <c r="M18" s="76" t="str">
        <f>IF(I17-Constants!I17*$B$7&gt;0,$I$17-Constants!I17*$B$7,"-")</f>
        <v>-</v>
      </c>
      <c r="N18" s="17"/>
      <c r="O18" s="17"/>
      <c r="P18" s="17"/>
      <c r="Q18" s="17"/>
      <c r="R18" s="16"/>
      <c r="S18" s="17"/>
      <c r="T18" s="17"/>
      <c r="U18" s="17"/>
      <c r="V18" s="17"/>
      <c r="W18" s="17"/>
      <c r="X18" s="17"/>
      <c r="Y18" s="17"/>
      <c r="Z18" s="17"/>
      <c r="AA18" s="17"/>
      <c r="AB18" s="17"/>
      <c r="AC18" s="17"/>
      <c r="AD18" s="17"/>
      <c r="AE18" s="17"/>
    </row>
    <row r="19" spans="1:36">
      <c r="A19" s="74" t="str">
        <f>Constants!E9</f>
        <v>RT</v>
      </c>
      <c r="B19" s="16">
        <f>SUMIFS('Klein Verzet'!$F$55:$F$67,'Klein Verzet'!$B$55:$B$67, B$15,'Klein Verzet'!$H$55:$H$67,$A19)</f>
        <v>0</v>
      </c>
      <c r="C19" s="16">
        <f>SUMIFS('Klein Verzet'!$F$55:$F$67,'Klein Verzet'!$B$55:$B$67, C$15,'Klein Verzet'!$H$55:$H$67,$A19)</f>
        <v>0</v>
      </c>
      <c r="D19" s="16">
        <f>SUMIFS('Klein Verzet'!$F$55:$F$67,'Klein Verzet'!$B$55:$B$67, D$15,'Klein Verzet'!$H$55:$H$67,$A19)</f>
        <v>0</v>
      </c>
      <c r="E19" s="16">
        <f>SUMIFS('Klein Verzet'!$F$55:$F$67,'Klein Verzet'!$B$55:$B$67, E$15,'Klein Verzet'!$H$55:$H$67,$A19)</f>
        <v>232.5</v>
      </c>
      <c r="F19" s="16">
        <f>SUMIFS('Klein Verzet'!$F$55:$F$67,'Klein Verzet'!$B$55:$B$67, F$15,'Klein Verzet'!$H$55:$H$67,$A19)</f>
        <v>0</v>
      </c>
      <c r="G19" s="74" t="s">
        <v>396</v>
      </c>
      <c r="H19" s="78"/>
      <c r="I19" s="76">
        <f>IF(B7*Constants!I17&lt;I17,B7*Constants!I17,I17)</f>
        <v>0</v>
      </c>
      <c r="J19" s="79"/>
      <c r="K19" s="80"/>
      <c r="L19" s="77" t="s">
        <v>431</v>
      </c>
      <c r="M19" s="255">
        <f ca="1">Constants!C31*B7+Data!L18</f>
        <v>3078.5913305074409</v>
      </c>
      <c r="N19" s="17"/>
      <c r="O19" s="17"/>
      <c r="P19" s="17"/>
      <c r="Q19" s="17"/>
      <c r="R19" s="16"/>
      <c r="S19" s="17"/>
      <c r="T19" s="17"/>
      <c r="U19" s="17"/>
      <c r="V19" s="17"/>
      <c r="W19" s="17"/>
      <c r="X19" s="17"/>
      <c r="Y19" s="17"/>
      <c r="Z19" s="17"/>
      <c r="AA19" s="17"/>
      <c r="AB19" s="17"/>
      <c r="AC19" s="17"/>
      <c r="AD19" s="17"/>
      <c r="AE19" s="17"/>
    </row>
    <row r="20" spans="1:36">
      <c r="A20" s="74" t="str">
        <f>Constants!E10</f>
        <v>Extern</v>
      </c>
      <c r="B20" s="16">
        <f>SUMIFS('Klein Verzet'!$F$55:$F$67,'Klein Verzet'!$B$55:$B$67, B$15,'Klein Verzet'!$H$55:$H$67,$A20)</f>
        <v>0</v>
      </c>
      <c r="C20" s="16">
        <f>SUMIFS('Klein Verzet'!$F$55:$F$67,'Klein Verzet'!$B$55:$B$67, C$15,'Klein Verzet'!$H$55:$H$67,$A20)</f>
        <v>0</v>
      </c>
      <c r="D20" s="16">
        <f>SUMIFS('Klein Verzet'!$F$55:$F$67,'Klein Verzet'!$B$55:$B$67, D$15,'Klein Verzet'!$H$55:$H$67,$A20)</f>
        <v>0</v>
      </c>
      <c r="E20" s="16">
        <f>SUMIFS('Klein Verzet'!$F$55:$F$67,'Klein Verzet'!$B$55:$B$67, E$15,'Klein Verzet'!$H$55:$H$67,$A20)</f>
        <v>0</v>
      </c>
      <c r="F20" s="16">
        <f>SUMIFS('Klein Verzet'!$F$55:$F$67,'Klein Verzet'!$B$55:$B$67, F$15,'Klein Verzet'!$H$55:$H$67,$A20)</f>
        <v>0</v>
      </c>
      <c r="G20" s="81"/>
      <c r="H20" s="16"/>
      <c r="I20" s="75"/>
      <c r="J20" s="79"/>
      <c r="K20" s="82"/>
      <c r="L20" s="83"/>
      <c r="M20" s="84"/>
      <c r="N20" s="17"/>
      <c r="O20" s="17"/>
      <c r="P20" s="17"/>
      <c r="Q20" s="17"/>
      <c r="R20" s="16"/>
      <c r="S20" s="17"/>
      <c r="T20" s="17"/>
      <c r="U20" s="17"/>
      <c r="V20" s="17"/>
      <c r="W20" s="17"/>
      <c r="X20" s="17"/>
      <c r="Y20" s="17"/>
      <c r="Z20" s="17"/>
      <c r="AA20" s="17"/>
      <c r="AB20" s="17"/>
      <c r="AC20" s="17"/>
      <c r="AD20" s="17"/>
      <c r="AE20" s="17"/>
    </row>
    <row r="21" spans="1:36">
      <c r="A21" s="74" t="str">
        <f>CONCATENATE(A18," Costs")</f>
        <v>PT-ZZP Costs</v>
      </c>
      <c r="B21" s="78">
        <f t="array" ref="B21">SUM(IF('Klein Verzet'!$B$55:$B$67=B$15,IF('Klein Verzet'!$H$55:$H$67="PT-ZZP",'Klein Verzet'!$F$55:$F$67*'Klein Verzet'!$I$55:$I$67*(1+Constants!$B$7),0),0))</f>
        <v>0</v>
      </c>
      <c r="C21" s="78">
        <f t="array" ref="C21">SUM(IF('Klein Verzet'!$B$55:$B$67=C$15,IF('Klein Verzet'!$H$55:$H$67="PT-ZZP",'Klein Verzet'!$F$55:$F$67*'Klein Verzet'!$I$55:$I$67,0),0))</f>
        <v>0</v>
      </c>
      <c r="D21" s="78">
        <f t="array" ref="D21">SUM(IF('Klein Verzet'!$B$55:$B$67=D$15,IF('Klein Verzet'!$H$55:$H$67="PT-ZZP",'Klein Verzet'!$F$55:$F$67*'Klein Verzet'!$I$55:$I$67*(1+Constants!$B$7),0),0))</f>
        <v>0</v>
      </c>
      <c r="E21" s="78">
        <f t="array" ref="E21">SUM(IF('Klein Verzet'!$B$55:$B$67=E$15,IF('Klein Verzet'!$H$55:$H$67="PT-ZZP",'Klein Verzet'!$F$55:$F$67*'Klein Verzet'!$I$55:$I$67*(1+Constants!$B$7),0),0))</f>
        <v>0</v>
      </c>
      <c r="F21" s="78">
        <f t="array" ref="F21">SUM(IF('Klein Verzet'!$B$55:$B$67=F$15,IF('Klein Verzet'!$H$55:$H$67="PT-ZZP",'Klein Verzet'!$F$55:$F$67*'Klein Verzet'!$I$55:$I$67*(1+Constants!$B$7),0),0))</f>
        <v>0</v>
      </c>
      <c r="G21" s="81"/>
      <c r="H21" s="16"/>
      <c r="I21" s="75"/>
      <c r="J21" s="79"/>
      <c r="K21" s="82"/>
      <c r="L21" s="77" t="s">
        <v>5</v>
      </c>
      <c r="M21" s="76">
        <f ca="1">SUM(M15:M20)</f>
        <v>4237.257997174107</v>
      </c>
      <c r="N21" s="17"/>
      <c r="O21" s="17"/>
      <c r="P21" s="17"/>
      <c r="Q21" s="17"/>
      <c r="R21" s="16"/>
      <c r="S21" s="17"/>
      <c r="T21" s="17"/>
      <c r="U21" s="17"/>
      <c r="V21" s="17"/>
      <c r="W21" s="17"/>
      <c r="X21" s="17"/>
      <c r="Y21" s="17"/>
      <c r="Z21" s="17"/>
      <c r="AA21" s="17"/>
      <c r="AB21" s="17"/>
      <c r="AC21" s="17"/>
      <c r="AD21" s="17"/>
      <c r="AE21" s="17"/>
    </row>
    <row r="22" spans="1:36" ht="15.75" customHeight="1" thickBot="1">
      <c r="A22" s="74" t="str">
        <f>CONCATENATE(A20," Costs")</f>
        <v>Extern Costs</v>
      </c>
      <c r="B22" s="78">
        <f t="array" ref="B22">SUM(IF('Klein Verzet'!$B$55:$B$67=B$15,IF('Klein Verzet'!$H$55:$H$67="Extern",'Klein Verzet'!$F$55:$F$67*'Klein Verzet'!$I$55:$I$67,0),0))</f>
        <v>0</v>
      </c>
      <c r="C22" s="78">
        <f t="array" ref="C22">SUM(IF('Klein Verzet'!$B$55:$B$67=C$15,IF('Klein Verzet'!$H$55:$H$67="Extern",'Klein Verzet'!$F$55:$F$67*'Klein Verzet'!$I$55:$I$67,0),0))</f>
        <v>0</v>
      </c>
      <c r="D22" s="78">
        <f t="array" ref="D22">SUM(IF('Klein Verzet'!$B$55:$B$67=D$15,IF('Klein Verzet'!$H$55:$H$67="Extern",'Klein Verzet'!$F$55:$F$67*'Klein Verzet'!$I$55:$I$67,0),0))</f>
        <v>0</v>
      </c>
      <c r="E22" s="78">
        <f t="array" ref="E22">SUM(IF('Klein Verzet'!$B$55:$B$67=E$15,IF('Klein Verzet'!$H$55:$H$67="Extern",'Klein Verzet'!$F$55:$F$67*'Klein Verzet'!$I$55:$I$67,0),0))</f>
        <v>0</v>
      </c>
      <c r="F22" s="76">
        <f t="array" ref="F22">SUM(IF('Klein Verzet'!$B$55:$B$67=F$15,IF('Klein Verzet'!$H$55:$H$67="Extern",'Klein Verzet'!$F$55:$F$67*'Klein Verzet'!$I$55:$I$67,0),0))</f>
        <v>0</v>
      </c>
      <c r="G22" s="85"/>
      <c r="H22" s="177"/>
      <c r="I22" s="86"/>
      <c r="J22" s="87"/>
      <c r="K22" s="88"/>
      <c r="L22" s="87"/>
      <c r="M22" s="88"/>
      <c r="N22" s="17"/>
      <c r="O22" s="17"/>
      <c r="P22" s="17"/>
      <c r="Q22" s="17"/>
      <c r="R22" s="16"/>
      <c r="S22" s="17"/>
      <c r="T22" s="17"/>
      <c r="U22" s="17"/>
      <c r="V22" s="17"/>
      <c r="W22" s="17"/>
      <c r="X22" s="17"/>
      <c r="Y22" s="17"/>
      <c r="Z22" s="17"/>
      <c r="AA22" s="17"/>
      <c r="AB22" s="17"/>
      <c r="AC22" s="17"/>
      <c r="AD22" s="17"/>
      <c r="AE22" s="17"/>
    </row>
    <row r="23" spans="1:36" ht="15" customHeight="1" thickTop="1">
      <c r="A23" s="74" t="s">
        <v>432</v>
      </c>
      <c r="B23" s="78"/>
      <c r="C23" s="78"/>
      <c r="D23" s="78"/>
      <c r="E23" s="78"/>
      <c r="F23" s="76">
        <f t="array" ref="F23">SUMIFS('Klein Verzet'!$F$55:$F$67,'Klein Verzet'!$B$55:$B$67,"Mentorship",'Klein Verzet'!$H$55:$H$67,"PT-V")*Constants!B8+SUMIFS('Klein Verzet'!$F$55:$F$67,'Klein Verzet'!$B$55:$B$67,"Mentorship",'Klein Verzet'!$H$55:$H$67,"PT")*Constants!B6+SUMPRODUCT(IF('Klein Verzet'!$B$55:$B$67="Mentorship",IF('Klein Verzet'!$H$55:$H$67="PT-ZZP",'Klein Verzet'!$F$55:$F$67*'Klein Verzet'!$I$55:$I$67,0)))</f>
        <v>1050</v>
      </c>
    </row>
    <row r="24" spans="1:36" ht="15" customHeight="1" thickBot="1">
      <c r="A24" s="89" t="s">
        <v>433</v>
      </c>
      <c r="B24" s="178"/>
      <c r="C24" s="178"/>
      <c r="D24" s="178"/>
      <c r="E24" s="178">
        <f>SUMIF('Klein Verzet'!$B$55:$B$67,"External Trainer Course",'Klein Verzet'!$I$55:$I$67)</f>
        <v>0</v>
      </c>
      <c r="F24" s="90"/>
    </row>
    <row r="25" spans="1:36" ht="15.75" customHeight="1" thickTop="1">
      <c r="A25" s="16"/>
      <c r="B25" s="16"/>
      <c r="C25" s="16"/>
      <c r="D25" s="16"/>
      <c r="E25" s="17"/>
      <c r="F25" s="17"/>
      <c r="G25" s="17"/>
      <c r="H25" s="17"/>
      <c r="I25" s="17"/>
      <c r="J25" s="17"/>
      <c r="K25" s="17"/>
      <c r="L25" s="17"/>
      <c r="M25" s="17"/>
      <c r="N25" s="17"/>
      <c r="O25" s="17"/>
      <c r="P25" s="17"/>
      <c r="Q25" s="16"/>
      <c r="R25" s="17"/>
      <c r="S25" s="17"/>
      <c r="T25" s="17"/>
      <c r="U25" s="17"/>
      <c r="V25" s="17"/>
      <c r="W25" s="17"/>
      <c r="X25" s="17"/>
      <c r="Y25" s="17"/>
      <c r="Z25" s="17"/>
      <c r="AA25" s="17"/>
      <c r="AB25" s="17"/>
      <c r="AC25" s="17"/>
      <c r="AD25" s="17"/>
    </row>
    <row r="26" spans="1:36" ht="15.75" customHeight="1">
      <c r="A26" s="16"/>
      <c r="B26" s="16"/>
      <c r="C26" s="16"/>
      <c r="D26" s="16"/>
      <c r="E26" s="17"/>
      <c r="F26" s="17"/>
      <c r="G26" s="17"/>
      <c r="H26" s="17"/>
      <c r="I26" s="17"/>
      <c r="J26" s="17"/>
      <c r="K26" s="17"/>
      <c r="L26" s="17"/>
      <c r="M26" s="17"/>
      <c r="N26" s="17"/>
      <c r="O26" s="17"/>
      <c r="P26" s="17"/>
      <c r="Q26" s="16"/>
      <c r="R26" s="17"/>
      <c r="S26" s="17"/>
      <c r="T26" s="17"/>
      <c r="U26" s="17"/>
      <c r="V26" s="17"/>
      <c r="W26" s="17"/>
      <c r="X26" s="17"/>
      <c r="Y26" s="17"/>
      <c r="Z26" s="17"/>
      <c r="AA26" s="17"/>
      <c r="AB26" s="17"/>
      <c r="AC26" s="17"/>
      <c r="AD26" s="17"/>
    </row>
    <row r="27" spans="1:36" ht="15.75" customHeight="1" thickBot="1">
      <c r="A27" s="91" t="s">
        <v>434</v>
      </c>
      <c r="B27" s="17"/>
      <c r="C27" s="17"/>
      <c r="D27" s="17"/>
      <c r="E27" s="17"/>
      <c r="F27" s="17"/>
      <c r="G27" s="92"/>
      <c r="H27" s="19"/>
      <c r="I27" s="17"/>
      <c r="J27" s="17"/>
      <c r="K27" s="17"/>
      <c r="L27" s="17"/>
      <c r="M27" s="17"/>
      <c r="N27" s="17"/>
      <c r="O27" s="17"/>
      <c r="P27" s="17"/>
      <c r="Q27" s="16"/>
      <c r="R27" s="17"/>
      <c r="S27" s="17"/>
      <c r="T27" s="17"/>
      <c r="U27" s="17"/>
      <c r="V27" s="17"/>
      <c r="W27" s="17"/>
      <c r="X27" s="17"/>
      <c r="Y27" s="17"/>
      <c r="Z27" s="17"/>
      <c r="AA27" s="17"/>
      <c r="AB27" s="17"/>
      <c r="AC27" s="17"/>
      <c r="AD27" s="17"/>
    </row>
    <row r="28" spans="1:36" ht="15.75" customHeight="1" thickTop="1" thickBot="1">
      <c r="A28" s="706" t="s">
        <v>435</v>
      </c>
      <c r="B28" s="707"/>
      <c r="C28" s="707"/>
      <c r="D28" s="707"/>
      <c r="E28" s="707"/>
      <c r="F28" s="708"/>
      <c r="G28" s="15"/>
      <c r="H28" s="17"/>
      <c r="I28" s="17"/>
      <c r="J28" s="17"/>
      <c r="K28" s="17"/>
      <c r="L28" s="17"/>
      <c r="M28" s="17"/>
      <c r="N28" s="17"/>
      <c r="O28" s="17"/>
      <c r="P28" s="17"/>
      <c r="Q28" s="16"/>
      <c r="R28" s="17"/>
      <c r="S28" s="17"/>
      <c r="T28" s="17"/>
      <c r="U28" s="17"/>
      <c r="V28" s="17"/>
      <c r="W28" s="17"/>
      <c r="X28" s="17"/>
      <c r="Y28" s="17"/>
      <c r="Z28" s="17"/>
      <c r="AA28" s="17"/>
      <c r="AB28" s="17"/>
      <c r="AC28" s="17"/>
      <c r="AD28" s="242" t="s">
        <v>436</v>
      </c>
      <c r="AE28" s="16"/>
      <c r="AF28" s="128"/>
      <c r="AG28" s="51"/>
      <c r="AH28" s="51"/>
      <c r="AI28" s="51"/>
      <c r="AJ28" s="51"/>
    </row>
    <row r="29" spans="1:36" ht="15.75" customHeight="1" thickBot="1">
      <c r="A29" s="709" t="s">
        <v>437</v>
      </c>
      <c r="B29" s="696"/>
      <c r="C29" s="696"/>
      <c r="D29" s="696"/>
      <c r="E29" s="696"/>
      <c r="F29" s="710"/>
      <c r="G29" s="17"/>
      <c r="H29" s="17"/>
      <c r="I29" s="17"/>
      <c r="J29" s="17"/>
      <c r="K29" s="17"/>
      <c r="L29" s="17"/>
      <c r="M29" s="17"/>
      <c r="N29" s="17"/>
      <c r="O29" s="17"/>
      <c r="P29" s="17"/>
      <c r="Q29" s="16"/>
      <c r="R29" s="17"/>
      <c r="S29" s="17"/>
      <c r="T29" s="17"/>
      <c r="U29" s="17"/>
      <c r="V29" s="17"/>
      <c r="W29" s="17"/>
      <c r="X29" s="17"/>
      <c r="Y29" s="17"/>
      <c r="Z29" s="17"/>
      <c r="AA29" s="17"/>
      <c r="AB29" s="17"/>
      <c r="AC29" s="17"/>
      <c r="AD29" s="243" t="s">
        <v>438</v>
      </c>
      <c r="AE29" s="243" t="s">
        <v>439</v>
      </c>
      <c r="AF29" s="243" t="s">
        <v>440</v>
      </c>
      <c r="AG29" s="711" t="s">
        <v>441</v>
      </c>
      <c r="AH29" s="712"/>
      <c r="AI29" s="711" t="s">
        <v>434</v>
      </c>
      <c r="AJ29" s="712"/>
    </row>
    <row r="30" spans="1:36" ht="15.75" customHeight="1" thickBot="1">
      <c r="A30" s="709" t="s">
        <v>442</v>
      </c>
      <c r="B30" s="696"/>
      <c r="C30" s="696"/>
      <c r="D30" s="696"/>
      <c r="E30" s="696"/>
      <c r="F30" s="710"/>
      <c r="G30" s="17"/>
      <c r="H30" s="17"/>
      <c r="I30" s="17"/>
      <c r="J30" s="17"/>
      <c r="K30" s="17"/>
      <c r="L30" s="17"/>
      <c r="M30" s="17"/>
      <c r="N30" s="17"/>
      <c r="O30" s="17"/>
      <c r="P30" s="17"/>
      <c r="Q30" s="16"/>
      <c r="R30" s="17"/>
      <c r="S30" s="17"/>
      <c r="T30" s="17"/>
      <c r="U30" s="17"/>
      <c r="V30" s="17"/>
      <c r="W30" s="17"/>
      <c r="X30" s="17"/>
      <c r="Y30" s="17"/>
      <c r="Z30" s="17"/>
      <c r="AA30" s="17"/>
      <c r="AB30" s="17"/>
      <c r="AC30" s="17"/>
      <c r="AD30" s="244" t="str">
        <f>IF($B$12="individual",Constants!F55,Constants!L55)</f>
        <v>member count</v>
      </c>
      <c r="AE30" s="244">
        <f>B7</f>
        <v>61</v>
      </c>
      <c r="AF30" s="269">
        <f>IF(AE30&gt;=301,5,IF(AE30&gt;=176,4,IF(AE30&gt;=101,3,IF(AE30&gt;=51,2,1))))</f>
        <v>2</v>
      </c>
      <c r="AG30" s="560"/>
      <c r="AH30" s="560"/>
      <c r="AI30" s="560" t="s">
        <v>443</v>
      </c>
      <c r="AJ30" s="560"/>
    </row>
    <row r="31" spans="1:36" ht="15" customHeight="1" thickBot="1">
      <c r="A31" s="709" t="s">
        <v>444</v>
      </c>
      <c r="B31" s="696"/>
      <c r="C31" s="696"/>
      <c r="D31" s="696"/>
      <c r="E31" s="696"/>
      <c r="F31" s="710"/>
      <c r="G31" s="17"/>
      <c r="H31" s="17"/>
      <c r="I31" s="17"/>
      <c r="J31" s="17"/>
      <c r="K31" s="17"/>
      <c r="L31" s="17"/>
      <c r="M31" s="17"/>
      <c r="N31" s="17"/>
      <c r="O31" s="17"/>
      <c r="P31" s="17"/>
      <c r="Q31" s="16"/>
      <c r="R31" s="17"/>
      <c r="S31" s="17"/>
      <c r="T31" s="17"/>
      <c r="U31" s="17"/>
      <c r="V31" s="17"/>
      <c r="W31" s="17"/>
      <c r="X31" s="17"/>
      <c r="Y31" s="17"/>
      <c r="Z31" s="17"/>
      <c r="AA31" s="17"/>
      <c r="AB31" s="17"/>
      <c r="AC31" s="17"/>
      <c r="AD31" s="244" t="str">
        <f>IF($B$12="individual",Constants!F56,Constants!L56)</f>
        <v>number of trainings per week</v>
      </c>
      <c r="AE31" s="244" cm="1">
        <f t="array" ref="AE31">SUMPRODUCT(C55:C67*D55:D67)/42</f>
        <v>5.3571428571428568</v>
      </c>
      <c r="AF31" s="270">
        <f>IF(AE31&gt;=4,3,IF(AE31&gt;=3,2,IF(AE31&gt;=2,1,0)))</f>
        <v>3</v>
      </c>
      <c r="AG31" s="560"/>
      <c r="AH31" s="560"/>
      <c r="AI31" s="560"/>
      <c r="AJ31" s="560"/>
    </row>
    <row r="32" spans="1:36" ht="15.75" customHeight="1" thickBot="1">
      <c r="A32" s="709" t="s">
        <v>445</v>
      </c>
      <c r="B32" s="696"/>
      <c r="C32" s="696"/>
      <c r="D32" s="696"/>
      <c r="E32" s="696"/>
      <c r="F32" s="710"/>
      <c r="G32" s="17"/>
      <c r="H32" s="16"/>
      <c r="I32" s="16"/>
      <c r="J32" s="16"/>
      <c r="K32" s="17"/>
      <c r="L32" s="17"/>
      <c r="M32" s="17"/>
      <c r="N32" s="17"/>
      <c r="O32" s="17"/>
      <c r="P32" s="17"/>
      <c r="Q32" s="16"/>
      <c r="R32" s="17"/>
      <c r="S32" s="17"/>
      <c r="T32" s="17"/>
      <c r="U32" s="17"/>
      <c r="V32" s="17"/>
      <c r="W32" s="17"/>
      <c r="X32" s="17"/>
      <c r="Y32" s="17"/>
      <c r="Z32" s="17"/>
      <c r="AA32" s="17"/>
      <c r="AB32" s="17"/>
      <c r="AC32" s="17"/>
      <c r="AD32" s="244" t="str">
        <f>IF($B$12="individual",Constants!F57,Constants!L57)</f>
        <v>number of trainings weeks per year</v>
      </c>
      <c r="AE32" s="252">
        <f>MAX(C55:C67)</f>
        <v>42</v>
      </c>
      <c r="AF32" s="250">
        <f>IF(AE32&gt;=40,3,IF(AE32&gt;=35,2,1))</f>
        <v>3</v>
      </c>
      <c r="AG32" s="560"/>
      <c r="AH32" s="560"/>
      <c r="AI32" s="560"/>
      <c r="AJ32" s="560"/>
    </row>
    <row r="33" spans="1:58" ht="15.75" customHeight="1" thickBot="1">
      <c r="A33" s="93" t="s">
        <v>446</v>
      </c>
      <c r="F33" s="94"/>
      <c r="G33" s="17"/>
      <c r="H33" s="16"/>
      <c r="I33" s="16"/>
      <c r="J33" s="16"/>
      <c r="K33" s="17"/>
      <c r="L33" s="17"/>
      <c r="M33" s="17"/>
      <c r="N33" s="17"/>
      <c r="O33" s="17"/>
      <c r="P33" s="17"/>
      <c r="Q33" s="16"/>
      <c r="R33" s="17"/>
      <c r="S33" s="17"/>
      <c r="T33" s="17"/>
      <c r="U33" s="17"/>
      <c r="V33" s="17"/>
      <c r="W33" s="17"/>
      <c r="X33" s="17"/>
      <c r="Y33" s="17"/>
      <c r="Z33" s="17"/>
      <c r="AA33" s="17"/>
      <c r="AB33" s="17"/>
      <c r="AC33" s="17"/>
      <c r="AD33" s="244" t="str">
        <f>IF($B$12="individual",Constants!F58,Constants!L58)</f>
        <v>number of training hours by RT / PT-V</v>
      </c>
      <c r="AE33" s="251">
        <f>(SUMIF(H55:H67,"RT",F55:F67)+SUMIF(H55:H67,"PT-V",F55:F67))/SUM(F55:F67)</f>
        <v>0.69506726457399104</v>
      </c>
      <c r="AF33" s="270">
        <f>IF(AE33&gt;0.9,3,IF(AE33&gt;0.6,2,IF(AE33&gt;0.3,1,0)))</f>
        <v>2</v>
      </c>
      <c r="AG33" s="560"/>
      <c r="AH33" s="560"/>
      <c r="AI33" s="560"/>
      <c r="AJ33" s="560"/>
    </row>
    <row r="34" spans="1:58" ht="15.75" customHeight="1" thickBot="1">
      <c r="A34" s="713" t="s">
        <v>447</v>
      </c>
      <c r="B34" s="714"/>
      <c r="C34" s="714"/>
      <c r="D34" s="714"/>
      <c r="E34" s="714"/>
      <c r="F34" s="715"/>
      <c r="G34" s="17"/>
      <c r="H34" s="16"/>
      <c r="I34" s="16"/>
      <c r="J34" s="16"/>
      <c r="K34" s="17"/>
      <c r="L34" s="17"/>
      <c r="M34" s="17"/>
      <c r="N34" s="17"/>
      <c r="O34" s="17"/>
      <c r="P34" s="17"/>
      <c r="Q34" s="16"/>
      <c r="R34" s="17"/>
      <c r="S34" s="17"/>
      <c r="T34" s="17"/>
      <c r="U34" s="17"/>
      <c r="V34" s="17"/>
      <c r="W34" s="17"/>
      <c r="X34" s="17"/>
      <c r="Y34" s="17"/>
      <c r="Z34" s="17"/>
      <c r="AA34" s="17"/>
      <c r="AB34" s="17"/>
      <c r="AC34" s="17"/>
      <c r="AD34" s="244" t="str">
        <f>IF($B$12="individual",Constants!F59,Constants!L59)</f>
        <v>number of training groups / teams</v>
      </c>
      <c r="AE34" s="244">
        <f>B10</f>
        <v>5</v>
      </c>
      <c r="AF34" s="271">
        <f>IF(AE34&gt;9,3,IF(AE34&gt;4,2,IF(AE34&gt;2,1,0)))</f>
        <v>2</v>
      </c>
      <c r="AG34" s="560"/>
      <c r="AH34" s="560"/>
      <c r="AI34" s="560"/>
      <c r="AJ34" s="560"/>
    </row>
    <row r="35" spans="1:58" ht="15.75" customHeight="1" thickTop="1" thickBot="1">
      <c r="A35" s="16"/>
      <c r="G35" s="17"/>
      <c r="H35" s="16"/>
      <c r="I35" s="16"/>
      <c r="J35" s="16"/>
      <c r="K35" s="17"/>
      <c r="L35" s="17"/>
      <c r="M35" s="17"/>
      <c r="N35" s="17"/>
      <c r="O35" s="17"/>
      <c r="P35" s="17"/>
      <c r="Q35" s="16"/>
      <c r="R35" s="17"/>
      <c r="S35" s="17"/>
      <c r="T35" s="17"/>
      <c r="U35" s="17"/>
      <c r="V35" s="17"/>
      <c r="W35" s="17"/>
      <c r="X35" s="17"/>
      <c r="Y35" s="17"/>
      <c r="Z35" s="17"/>
      <c r="AA35" s="17"/>
      <c r="AB35" s="17"/>
      <c r="AC35" s="17"/>
      <c r="AD35" s="244" t="str">
        <f>IF($B$12="individual",Constants!F60,Constants!L60)</f>
        <v>number of competitions organised</v>
      </c>
      <c r="AE35" s="249">
        <v>4</v>
      </c>
      <c r="AF35" s="271">
        <f>IF(AE35&gt;=4,5,IF(AE35&gt;=2,3,IF(AE35&gt;=1,1,0)))</f>
        <v>5</v>
      </c>
      <c r="AG35" s="560"/>
      <c r="AH35" s="560"/>
      <c r="AI35" s="560"/>
      <c r="AJ35" s="560"/>
    </row>
    <row r="36" spans="1:58" ht="15.75" customHeight="1" thickBot="1">
      <c r="A36" s="179" t="s">
        <v>448</v>
      </c>
      <c r="B36" s="16"/>
      <c r="C36" s="16"/>
      <c r="D36" s="16"/>
      <c r="E36" s="16"/>
      <c r="F36" s="16"/>
      <c r="G36" s="16"/>
      <c r="H36" s="16"/>
      <c r="I36" s="16"/>
      <c r="J36" s="16"/>
      <c r="K36" s="16"/>
      <c r="L36" s="16"/>
      <c r="M36" s="16"/>
      <c r="N36" s="16"/>
      <c r="O36" s="16"/>
      <c r="P36" s="16"/>
      <c r="Q36" s="16"/>
      <c r="R36" s="16"/>
      <c r="S36" s="16"/>
      <c r="T36" s="16"/>
      <c r="U36" s="16"/>
      <c r="V36" s="16"/>
      <c r="W36" s="16"/>
      <c r="X36" s="16"/>
      <c r="Y36" s="16"/>
      <c r="Z36" s="16"/>
      <c r="AA36" s="16"/>
      <c r="AB36" s="18"/>
      <c r="AC36" s="16"/>
      <c r="AD36" s="244" t="str">
        <f>IF($B$12="individual",Constants!F61,Constants!L61)</f>
        <v>number of social activities</v>
      </c>
      <c r="AE36" s="249">
        <v>24</v>
      </c>
      <c r="AF36" s="271">
        <f>IF(AE36&gt;=20,2,IF(AE36&gt;=10,1,0))</f>
        <v>2</v>
      </c>
      <c r="AG36" s="560"/>
      <c r="AH36" s="560"/>
      <c r="AI36" s="560"/>
      <c r="AJ36" s="560"/>
    </row>
    <row r="37" spans="1:58" ht="15" customHeight="1" thickTop="1" thickBot="1">
      <c r="A37" s="258" t="s">
        <v>449</v>
      </c>
      <c r="B37" s="259" t="s">
        <v>450</v>
      </c>
      <c r="C37" s="258" t="s">
        <v>451</v>
      </c>
      <c r="D37" s="258" t="s">
        <v>452</v>
      </c>
      <c r="E37" s="258" t="s">
        <v>453</v>
      </c>
      <c r="F37" s="258" t="s">
        <v>454</v>
      </c>
      <c r="G37" s="259" t="s">
        <v>455</v>
      </c>
      <c r="H37" s="561" t="s">
        <v>456</v>
      </c>
      <c r="I37" s="716"/>
      <c r="J37" s="717"/>
      <c r="K37" s="98"/>
      <c r="L37" s="98"/>
      <c r="M37" s="98"/>
      <c r="N37" s="98"/>
      <c r="O37" s="98"/>
      <c r="P37" s="98"/>
      <c r="Q37" s="98"/>
      <c r="R37" s="98"/>
      <c r="S37" s="98"/>
      <c r="T37" s="98"/>
      <c r="U37" s="96"/>
      <c r="V37" s="96"/>
      <c r="W37" s="96"/>
      <c r="X37" s="96"/>
      <c r="Y37" s="99"/>
      <c r="Z37" s="96"/>
      <c r="AA37" s="96"/>
      <c r="AB37" s="100"/>
      <c r="AC37" s="100"/>
      <c r="AD37" s="244" t="str">
        <f>IF($B$12="individual",Constants!F62,Constants!L62)</f>
        <v>number of bar days</v>
      </c>
      <c r="AE37" s="249">
        <v>8</v>
      </c>
      <c r="AF37" s="271">
        <f>IF(AE37&gt;=15,2,IF(AE37&gt;=8,1,0))</f>
        <v>1</v>
      </c>
      <c r="AG37" s="560"/>
      <c r="AH37" s="560"/>
      <c r="AI37" s="560"/>
      <c r="AJ37" s="560"/>
      <c r="AK37" s="100"/>
      <c r="AL37" s="100"/>
      <c r="AM37" s="100"/>
      <c r="AN37" s="100"/>
      <c r="AO37" s="100"/>
      <c r="AP37" s="100"/>
      <c r="AQ37" s="100"/>
      <c r="AR37" s="100"/>
      <c r="AS37" s="100"/>
      <c r="AT37" s="100"/>
      <c r="AU37" s="100"/>
      <c r="AV37" s="100"/>
      <c r="AW37" s="100"/>
      <c r="AX37" s="100"/>
      <c r="AY37" s="100"/>
      <c r="AZ37" s="100"/>
      <c r="BA37" s="100"/>
      <c r="BB37" s="100"/>
      <c r="BC37" s="100"/>
      <c r="BD37" s="100"/>
      <c r="BE37" s="100"/>
      <c r="BF37" s="100"/>
    </row>
    <row r="38" spans="1:58" ht="14.25" customHeight="1" thickTop="1" thickBot="1">
      <c r="A38" s="312" t="s">
        <v>358</v>
      </c>
      <c r="B38" s="323">
        <v>16</v>
      </c>
      <c r="C38" s="312">
        <v>1</v>
      </c>
      <c r="D38" s="312">
        <v>30</v>
      </c>
      <c r="E38" s="312" t="s">
        <v>57</v>
      </c>
      <c r="F38" s="324" t="s">
        <v>1113</v>
      </c>
      <c r="G38" s="323" t="s">
        <v>1114</v>
      </c>
      <c r="H38" s="654" t="s">
        <v>1115</v>
      </c>
      <c r="I38" s="760"/>
      <c r="J38" s="742"/>
      <c r="K38" s="16"/>
      <c r="L38" s="16"/>
      <c r="M38" s="16"/>
      <c r="N38" s="16"/>
      <c r="O38" s="16"/>
      <c r="P38" s="16"/>
      <c r="Q38" s="16"/>
      <c r="R38" s="16"/>
      <c r="S38" s="16"/>
      <c r="T38" s="16"/>
      <c r="U38" s="16"/>
      <c r="V38" s="16"/>
      <c r="W38" s="16"/>
      <c r="X38" s="16"/>
      <c r="Y38" s="17"/>
      <c r="Z38" s="16"/>
      <c r="AA38" s="16"/>
      <c r="AD38" s="244" t="str">
        <f>IF($B$12="individual",Constants!F63,Constants!L63)</f>
        <v>own bar / extra location</v>
      </c>
      <c r="AE38" s="249">
        <v>0</v>
      </c>
      <c r="AF38" s="271">
        <f>IF(AE38&gt;=15,2,IF(AE38&gt;=8,1,0))</f>
        <v>0</v>
      </c>
      <c r="AG38" s="560"/>
      <c r="AH38" s="560"/>
      <c r="AI38" s="560"/>
      <c r="AJ38" s="560"/>
    </row>
    <row r="39" spans="1:58" ht="14.25" customHeight="1" thickBot="1">
      <c r="A39" s="312" t="s">
        <v>1116</v>
      </c>
      <c r="B39" s="323">
        <v>20</v>
      </c>
      <c r="C39" s="312">
        <v>1</v>
      </c>
      <c r="D39" s="312">
        <v>30</v>
      </c>
      <c r="E39" s="312" t="s">
        <v>55</v>
      </c>
      <c r="F39" s="324" t="s">
        <v>328</v>
      </c>
      <c r="G39" s="323" t="s">
        <v>1117</v>
      </c>
      <c r="H39" s="761"/>
      <c r="I39" s="762"/>
      <c r="J39" s="745"/>
      <c r="K39" s="16"/>
      <c r="L39" s="16"/>
      <c r="M39" s="16"/>
      <c r="N39" s="16"/>
      <c r="O39" s="16"/>
      <c r="P39" s="16"/>
      <c r="Q39" s="16"/>
      <c r="R39" s="16"/>
      <c r="S39" s="16"/>
      <c r="T39" s="16"/>
      <c r="U39" s="16"/>
      <c r="V39" s="16"/>
      <c r="W39" s="16"/>
      <c r="X39" s="16"/>
      <c r="Y39" s="17"/>
      <c r="Z39" s="16"/>
      <c r="AA39" s="16"/>
      <c r="AD39" s="244" t="str">
        <f>IF($B$12="individual",Constants!F65,Constants!L64)</f>
        <v>number of competitions attended</v>
      </c>
      <c r="AE39" s="249">
        <v>12</v>
      </c>
      <c r="AF39" s="273">
        <f>IF(B12="individual", IF(AE39&gt;10, 5, IF(AE39&gt;6, 3, IF(AE39&gt;2, 1, 0))), IF(AE39&gt;3, 3, IF(AE39&gt;1, 2, 1)))</f>
        <v>5</v>
      </c>
      <c r="AG39" s="560"/>
      <c r="AH39" s="560"/>
      <c r="AI39" s="560"/>
      <c r="AJ39" s="560"/>
    </row>
    <row r="40" spans="1:58" ht="15.75" customHeight="1" thickBot="1">
      <c r="A40" s="312" t="s">
        <v>1118</v>
      </c>
      <c r="B40" s="323">
        <v>20</v>
      </c>
      <c r="C40" s="312">
        <v>1</v>
      </c>
      <c r="D40" s="312">
        <v>30</v>
      </c>
      <c r="E40" s="312" t="s">
        <v>55</v>
      </c>
      <c r="F40" s="324" t="s">
        <v>328</v>
      </c>
      <c r="G40" s="323"/>
      <c r="H40" s="761"/>
      <c r="I40" s="762"/>
      <c r="J40" s="745"/>
      <c r="K40" s="16"/>
      <c r="L40" s="16"/>
      <c r="M40" s="16"/>
      <c r="N40" s="16"/>
      <c r="O40" s="16"/>
      <c r="P40" s="16"/>
      <c r="Q40" s="16"/>
      <c r="R40" s="16"/>
      <c r="S40" s="16"/>
      <c r="T40" s="16"/>
      <c r="U40" s="16"/>
      <c r="V40" s="16"/>
      <c r="W40" s="16"/>
      <c r="X40" s="16"/>
      <c r="Y40" s="16"/>
      <c r="Z40" s="16"/>
      <c r="AA40" s="16"/>
      <c r="AD40" s="231" t="str">
        <f>IF($B$12="individual",Constants!F64,Constants!L65)</f>
        <v>n/a</v>
      </c>
      <c r="AE40" s="231" t="str">
        <f>IF(AD40="n/a","",COUNTA(A46:A50)/COUNTA(A38:A42))</f>
        <v/>
      </c>
      <c r="AF40" s="272" t="str">
        <f>IF(B12="group", IF(AE40&gt;0.15, 5, IF(AE40&gt;0.1, 3, IF(AE40&gt;0.05, 1, 0))), " ")</f>
        <v xml:space="preserve"> </v>
      </c>
      <c r="AG40" s="560"/>
      <c r="AH40" s="560"/>
      <c r="AI40" s="560"/>
      <c r="AJ40" s="560"/>
    </row>
    <row r="41" spans="1:58" ht="15.75" customHeight="1" thickBot="1">
      <c r="A41" s="312" t="s">
        <v>1119</v>
      </c>
      <c r="B41" s="323">
        <v>10</v>
      </c>
      <c r="C41" s="312">
        <v>1</v>
      </c>
      <c r="D41" s="312">
        <v>30</v>
      </c>
      <c r="E41" s="312" t="s">
        <v>55</v>
      </c>
      <c r="F41" s="324" t="s">
        <v>328</v>
      </c>
      <c r="G41" s="325"/>
      <c r="H41" s="761"/>
      <c r="I41" s="762"/>
      <c r="J41" s="745"/>
      <c r="K41" s="16"/>
      <c r="L41" s="16"/>
      <c r="M41" s="16"/>
      <c r="N41" s="16"/>
      <c r="O41" s="16"/>
      <c r="P41" s="16"/>
      <c r="Q41" s="16"/>
      <c r="R41" s="16"/>
      <c r="S41" s="16"/>
      <c r="T41" s="16"/>
      <c r="U41" s="16"/>
      <c r="V41" s="16"/>
      <c r="W41" s="16"/>
      <c r="X41" s="16"/>
      <c r="Y41" s="16"/>
      <c r="Z41" s="16"/>
      <c r="AA41" s="16"/>
      <c r="AD41" s="16"/>
      <c r="AE41" s="275" t="s">
        <v>461</v>
      </c>
      <c r="AF41" s="277">
        <f>SUM(AF30:AF40)</f>
        <v>25</v>
      </c>
      <c r="AG41" s="247"/>
      <c r="AH41" s="245"/>
      <c r="AI41" s="246"/>
      <c r="AJ41" s="247"/>
    </row>
    <row r="42" spans="1:58" ht="15.75" customHeight="1" thickBot="1">
      <c r="A42" s="231" t="s">
        <v>1120</v>
      </c>
      <c r="B42" s="326">
        <v>15</v>
      </c>
      <c r="C42" s="245">
        <v>2</v>
      </c>
      <c r="D42" s="232">
        <v>12</v>
      </c>
      <c r="E42" s="261" t="s">
        <v>55</v>
      </c>
      <c r="F42" s="261"/>
      <c r="G42" s="231"/>
      <c r="H42" s="746"/>
      <c r="I42" s="747"/>
      <c r="J42" s="748"/>
      <c r="K42" s="16"/>
      <c r="L42" s="16"/>
      <c r="M42" s="16"/>
      <c r="N42" s="16"/>
      <c r="O42" s="16"/>
      <c r="P42" s="16"/>
      <c r="Q42" s="16"/>
      <c r="R42" s="16"/>
      <c r="S42" s="16"/>
      <c r="T42" s="16"/>
      <c r="U42" s="16"/>
      <c r="V42" s="16"/>
      <c r="W42" s="16"/>
      <c r="X42" s="16"/>
      <c r="Y42" s="16"/>
      <c r="Z42" s="16"/>
      <c r="AA42" s="16"/>
    </row>
    <row r="43" spans="1:58" ht="15.75" customHeight="1" thickTop="1">
      <c r="A43" s="18"/>
      <c r="B43" s="18"/>
      <c r="C43" s="18"/>
      <c r="D43" s="18"/>
      <c r="E43" s="18"/>
      <c r="F43" s="18"/>
      <c r="G43" s="17"/>
      <c r="H43" s="17"/>
      <c r="I43" s="17"/>
      <c r="J43" s="17"/>
      <c r="K43" s="17"/>
      <c r="L43" s="17"/>
      <c r="M43" s="17"/>
      <c r="N43" s="17"/>
      <c r="O43" s="17"/>
      <c r="P43" s="17"/>
      <c r="Q43" s="16"/>
      <c r="R43" s="17"/>
      <c r="S43" s="17"/>
      <c r="T43" s="17"/>
      <c r="U43" s="17"/>
      <c r="V43" s="17"/>
      <c r="W43" s="17"/>
      <c r="X43" s="17"/>
      <c r="Y43" s="17"/>
      <c r="Z43" s="17"/>
      <c r="AA43" s="17"/>
      <c r="AB43" s="17"/>
      <c r="AC43" s="17"/>
      <c r="AD43" s="17"/>
    </row>
    <row r="44" spans="1:58" ht="15.75" customHeight="1" thickBot="1">
      <c r="A44" s="179" t="s">
        <v>462</v>
      </c>
      <c r="B44" s="169"/>
      <c r="C44" s="16"/>
      <c r="D44" s="16"/>
      <c r="E44" s="16"/>
      <c r="F44" s="16"/>
      <c r="G44" s="16"/>
      <c r="H44" s="16"/>
      <c r="I44" s="16"/>
      <c r="J44" s="16"/>
      <c r="K44" s="16"/>
      <c r="L44" s="16"/>
      <c r="M44" s="16"/>
      <c r="N44" s="16"/>
      <c r="O44" s="16"/>
      <c r="P44" s="16"/>
      <c r="Q44" s="16"/>
      <c r="R44" s="16"/>
      <c r="S44" s="16"/>
      <c r="T44" s="16"/>
      <c r="U44" s="16"/>
      <c r="V44" s="16"/>
      <c r="W44" s="16"/>
      <c r="X44" s="16"/>
      <c r="Y44" s="16"/>
      <c r="Z44" s="16"/>
      <c r="AA44" s="16"/>
      <c r="AB44" s="18"/>
      <c r="AC44" s="16"/>
      <c r="AD44" s="16"/>
    </row>
    <row r="45" spans="1:58" ht="15" customHeight="1" thickTop="1" thickBot="1">
      <c r="A45" s="258" t="s">
        <v>449</v>
      </c>
      <c r="B45" s="259" t="s">
        <v>450</v>
      </c>
      <c r="C45" s="258" t="s">
        <v>463</v>
      </c>
      <c r="D45" s="258" t="s">
        <v>464</v>
      </c>
      <c r="E45" s="258" t="s">
        <v>465</v>
      </c>
      <c r="F45" s="258" t="s">
        <v>466</v>
      </c>
      <c r="G45" s="258" t="s">
        <v>467</v>
      </c>
      <c r="H45" s="259" t="s">
        <v>455</v>
      </c>
      <c r="I45" s="561" t="s">
        <v>456</v>
      </c>
      <c r="J45" s="716"/>
      <c r="K45" s="717"/>
      <c r="L45" s="98"/>
      <c r="M45" s="98"/>
      <c r="N45" s="98"/>
      <c r="O45" s="98"/>
      <c r="P45" s="98"/>
      <c r="Q45" s="98"/>
      <c r="R45" s="98"/>
      <c r="S45" s="98"/>
      <c r="T45" s="98"/>
      <c r="U45" s="98"/>
      <c r="V45" s="96"/>
      <c r="W45" s="96"/>
      <c r="X45" s="96"/>
      <c r="Y45" s="96"/>
      <c r="Z45" s="99"/>
      <c r="AA45" s="96"/>
      <c r="AB45" s="96"/>
      <c r="AC45" s="100"/>
      <c r="AD45" s="100"/>
      <c r="AE45" s="100"/>
      <c r="AF45" s="100"/>
      <c r="AG45" s="100"/>
      <c r="AH45" s="100"/>
      <c r="AI45" s="100"/>
      <c r="AJ45" s="100"/>
      <c r="AK45" s="100"/>
      <c r="AL45" s="100"/>
      <c r="AM45" s="100"/>
      <c r="AN45" s="100"/>
      <c r="AO45" s="100"/>
      <c r="AP45" s="100"/>
      <c r="AQ45" s="100"/>
      <c r="AR45" s="100"/>
      <c r="AS45" s="100"/>
      <c r="AT45" s="100"/>
      <c r="AU45" s="100"/>
      <c r="AV45" s="100"/>
      <c r="AW45" s="100"/>
      <c r="AX45" s="100"/>
      <c r="AY45" s="100"/>
      <c r="AZ45" s="100"/>
      <c r="BA45" s="100"/>
      <c r="BB45" s="100"/>
      <c r="BC45" s="100"/>
      <c r="BD45" s="100"/>
      <c r="BE45" s="100"/>
      <c r="BF45" s="100"/>
    </row>
    <row r="46" spans="1:58" ht="14.25" customHeight="1" thickTop="1">
      <c r="A46" s="386" t="s">
        <v>1121</v>
      </c>
      <c r="B46" s="323">
        <v>16</v>
      </c>
      <c r="C46" s="386" t="s">
        <v>1122</v>
      </c>
      <c r="D46" s="386" t="s">
        <v>57</v>
      </c>
      <c r="E46" s="327">
        <v>1</v>
      </c>
      <c r="F46" s="327">
        <v>2</v>
      </c>
      <c r="G46" s="323" t="s">
        <v>471</v>
      </c>
      <c r="H46" s="323" t="s">
        <v>1123</v>
      </c>
      <c r="I46" s="618"/>
      <c r="J46" s="741"/>
      <c r="K46" s="742"/>
      <c r="L46" s="16"/>
      <c r="M46" s="16"/>
      <c r="N46" s="16"/>
      <c r="O46" s="16"/>
      <c r="P46" s="16"/>
      <c r="Q46" s="16"/>
      <c r="R46" s="16"/>
      <c r="S46" s="16"/>
      <c r="T46" s="16"/>
      <c r="U46" s="16"/>
      <c r="V46" s="16"/>
      <c r="W46" s="16"/>
      <c r="X46" s="16"/>
      <c r="Y46" s="16"/>
      <c r="Z46" s="17"/>
      <c r="AA46" s="16"/>
      <c r="AB46" s="16"/>
    </row>
    <row r="47" spans="1:58" ht="14.25" customHeight="1">
      <c r="A47" s="312"/>
      <c r="B47" s="323"/>
      <c r="C47" s="312"/>
      <c r="D47" s="312"/>
      <c r="E47" s="328"/>
      <c r="F47" s="327"/>
      <c r="G47" s="323"/>
      <c r="H47" s="323"/>
      <c r="I47" s="743"/>
      <c r="J47" s="744"/>
      <c r="K47" s="745"/>
      <c r="L47" s="16"/>
      <c r="M47" s="16"/>
      <c r="N47" s="16"/>
      <c r="O47" s="16"/>
      <c r="P47" s="16"/>
      <c r="Q47" s="16"/>
      <c r="R47" s="16"/>
      <c r="S47" s="16"/>
      <c r="T47" s="16"/>
      <c r="U47" s="16"/>
      <c r="V47" s="16"/>
      <c r="W47" s="16"/>
      <c r="X47" s="16"/>
      <c r="Y47" s="16"/>
      <c r="Z47" s="17"/>
      <c r="AA47" s="16"/>
      <c r="AB47" s="16"/>
    </row>
    <row r="48" spans="1:58" ht="15.75" customHeight="1">
      <c r="A48" s="323"/>
      <c r="B48" s="323"/>
      <c r="C48" s="323"/>
      <c r="D48" s="312"/>
      <c r="E48" s="328"/>
      <c r="F48" s="327"/>
      <c r="G48" s="329"/>
      <c r="H48" s="323"/>
      <c r="I48" s="743"/>
      <c r="J48" s="744"/>
      <c r="K48" s="745"/>
      <c r="L48" s="16"/>
      <c r="M48" s="16"/>
      <c r="N48" s="16"/>
      <c r="O48" s="16"/>
      <c r="P48" s="16"/>
      <c r="Q48" s="16"/>
      <c r="R48" s="16"/>
      <c r="S48" s="16"/>
      <c r="T48" s="16"/>
      <c r="U48" s="16"/>
      <c r="V48" s="16"/>
      <c r="W48" s="16"/>
      <c r="X48" s="16"/>
      <c r="Y48" s="16"/>
      <c r="Z48" s="16"/>
      <c r="AA48" s="16"/>
      <c r="AB48" s="16"/>
    </row>
    <row r="49" spans="1:30" ht="15.75" customHeight="1">
      <c r="A49" s="231"/>
      <c r="B49" s="232"/>
      <c r="C49" s="231"/>
      <c r="D49" s="269"/>
      <c r="E49" s="245"/>
      <c r="F49" s="261"/>
      <c r="G49" s="263"/>
      <c r="H49" s="231"/>
      <c r="I49" s="743"/>
      <c r="J49" s="744"/>
      <c r="K49" s="745"/>
      <c r="L49" s="16"/>
      <c r="M49" s="16"/>
      <c r="N49" s="16"/>
      <c r="O49" s="16"/>
      <c r="P49" s="16"/>
      <c r="Q49" s="16"/>
      <c r="R49" s="16"/>
      <c r="S49" s="16"/>
      <c r="T49" s="16"/>
      <c r="U49" s="16"/>
      <c r="V49" s="16"/>
      <c r="W49" s="16"/>
      <c r="X49" s="16"/>
      <c r="Y49" s="16"/>
      <c r="Z49" s="16"/>
      <c r="AA49" s="16"/>
      <c r="AB49" s="16"/>
    </row>
    <row r="50" spans="1:30" ht="15.75" customHeight="1" thickBot="1">
      <c r="A50" s="231"/>
      <c r="B50" s="326"/>
      <c r="C50" s="245"/>
      <c r="D50" s="245"/>
      <c r="E50" s="261"/>
      <c r="F50" s="261"/>
      <c r="G50" s="263"/>
      <c r="H50" s="231"/>
      <c r="I50" s="746"/>
      <c r="J50" s="747"/>
      <c r="K50" s="748"/>
      <c r="L50" s="16"/>
      <c r="M50" s="16"/>
      <c r="N50" s="16"/>
      <c r="O50" s="16"/>
      <c r="P50" s="16"/>
      <c r="Q50" s="16"/>
      <c r="R50" s="16"/>
      <c r="S50" s="16"/>
      <c r="T50" s="16"/>
      <c r="U50" s="16"/>
      <c r="V50" s="16"/>
      <c r="W50" s="16"/>
      <c r="X50" s="16"/>
      <c r="Y50" s="16"/>
      <c r="Z50" s="16"/>
      <c r="AA50" s="16"/>
      <c r="AB50" s="16"/>
    </row>
    <row r="51" spans="1:30" ht="15.75" customHeight="1" thickTop="1">
      <c r="A51" s="15"/>
      <c r="B51" s="16"/>
      <c r="C51" s="16"/>
      <c r="D51" s="16"/>
      <c r="E51" s="16"/>
      <c r="F51" s="16"/>
      <c r="G51" s="16"/>
      <c r="H51" s="16"/>
      <c r="I51" s="16"/>
      <c r="J51" s="16"/>
      <c r="K51" s="16"/>
      <c r="L51" s="16"/>
      <c r="M51" s="16"/>
      <c r="N51" s="16"/>
      <c r="O51" s="16"/>
      <c r="P51" s="16"/>
      <c r="Q51" s="16"/>
      <c r="R51" s="16"/>
      <c r="S51" s="16"/>
      <c r="T51" s="16"/>
      <c r="U51" s="16"/>
      <c r="V51" s="16"/>
      <c r="W51" s="16"/>
      <c r="X51" s="16"/>
      <c r="Y51" s="16"/>
      <c r="Z51" s="16"/>
      <c r="AA51" s="16"/>
      <c r="AB51" s="16"/>
      <c r="AC51" s="16"/>
      <c r="AD51" s="16"/>
    </row>
    <row r="52" spans="1:30" ht="15.75" customHeight="1">
      <c r="A52" s="15"/>
      <c r="B52" s="16"/>
      <c r="C52" s="16"/>
      <c r="D52" s="16"/>
      <c r="E52" s="16"/>
      <c r="F52" s="16"/>
      <c r="G52" s="16"/>
      <c r="H52" s="16"/>
      <c r="I52" s="16"/>
      <c r="J52" s="16"/>
      <c r="K52" s="16"/>
      <c r="L52" s="16"/>
      <c r="M52" s="16"/>
      <c r="N52" s="16"/>
      <c r="O52" s="16"/>
      <c r="P52" s="16"/>
      <c r="Q52" s="16"/>
      <c r="W52" s="16"/>
      <c r="X52" s="16"/>
      <c r="Y52" s="16"/>
      <c r="Z52" s="16"/>
      <c r="AA52" s="16"/>
      <c r="AB52" s="16"/>
      <c r="AC52" s="16"/>
      <c r="AD52" s="16"/>
    </row>
    <row r="53" spans="1:30" ht="15.75" customHeight="1" thickBot="1">
      <c r="A53" s="186" t="s">
        <v>475</v>
      </c>
      <c r="B53" s="231"/>
      <c r="C53" s="231"/>
      <c r="D53" s="231"/>
      <c r="E53" s="231"/>
      <c r="F53" s="231"/>
      <c r="G53" s="231"/>
      <c r="H53" s="231"/>
      <c r="I53" s="231"/>
      <c r="J53" s="231"/>
      <c r="K53" s="16"/>
      <c r="L53" s="16"/>
      <c r="M53" s="16"/>
      <c r="N53" s="16"/>
      <c r="O53" s="16"/>
      <c r="P53" s="16"/>
      <c r="Q53" s="16"/>
      <c r="W53" s="16"/>
      <c r="X53" s="16"/>
      <c r="Y53" s="16"/>
      <c r="Z53" s="16"/>
      <c r="AA53" s="16"/>
      <c r="AB53" s="16"/>
      <c r="AC53" s="16"/>
      <c r="AD53" s="16"/>
    </row>
    <row r="54" spans="1:30" ht="15.75" customHeight="1" thickTop="1" thickBot="1">
      <c r="A54" s="230" t="s">
        <v>476</v>
      </c>
      <c r="B54" s="230" t="s">
        <v>477</v>
      </c>
      <c r="C54" s="230" t="s">
        <v>478</v>
      </c>
      <c r="D54" s="230" t="s">
        <v>479</v>
      </c>
      <c r="E54" s="230" t="s">
        <v>480</v>
      </c>
      <c r="F54" s="230" t="s">
        <v>481</v>
      </c>
      <c r="G54" s="230" t="s">
        <v>482</v>
      </c>
      <c r="H54" s="230" t="s">
        <v>453</v>
      </c>
      <c r="I54" s="230" t="s">
        <v>483</v>
      </c>
      <c r="J54" s="230" t="s">
        <v>484</v>
      </c>
      <c r="K54" s="721" t="s">
        <v>485</v>
      </c>
      <c r="L54" s="716"/>
      <c r="M54" s="722"/>
      <c r="N54" s="15"/>
      <c r="O54" s="16"/>
      <c r="P54" s="16"/>
      <c r="Q54" s="16"/>
      <c r="W54" s="16"/>
      <c r="X54" s="16"/>
      <c r="Y54" s="16"/>
      <c r="Z54" s="16"/>
      <c r="AA54" s="16"/>
      <c r="AB54" s="16"/>
    </row>
    <row r="55" spans="1:30" ht="15" customHeight="1" thickTop="1">
      <c r="A55" s="319" t="s">
        <v>1124</v>
      </c>
      <c r="B55" s="319"/>
      <c r="C55" s="319"/>
      <c r="D55" s="319"/>
      <c r="E55" s="319"/>
      <c r="F55" s="231">
        <f>Table_4168302[[#This Row],['# Weeks]]*Table_4168302[[#This Row],[Total hours/week]]</f>
        <v>0</v>
      </c>
      <c r="G55" s="412"/>
      <c r="H55" s="319"/>
      <c r="I55" s="331"/>
      <c r="J55" s="231"/>
      <c r="K55" s="653"/>
      <c r="L55" s="741"/>
      <c r="M55" s="742"/>
      <c r="N55" s="16"/>
      <c r="O55" s="16"/>
      <c r="P55" s="16"/>
      <c r="Q55" s="16"/>
      <c r="W55" s="16"/>
      <c r="X55" s="16"/>
      <c r="Y55" s="16"/>
      <c r="Z55" s="16"/>
      <c r="AA55" s="16"/>
      <c r="AB55" s="16"/>
    </row>
    <row r="56" spans="1:30" ht="15.75" customHeight="1">
      <c r="A56" s="231" t="s">
        <v>1121</v>
      </c>
      <c r="B56" s="319" t="s">
        <v>278</v>
      </c>
      <c r="C56" s="319">
        <v>30</v>
      </c>
      <c r="D56" s="399">
        <v>1</v>
      </c>
      <c r="E56" s="319">
        <v>2</v>
      </c>
      <c r="F56" s="231">
        <f>Table_4168302[[#This Row],['# Weeks]]*Table_4168302[[#This Row],[Total hours/week]]</f>
        <v>60</v>
      </c>
      <c r="G56" s="412" t="s">
        <v>1122</v>
      </c>
      <c r="H56" s="319" t="s">
        <v>57</v>
      </c>
      <c r="I56" s="331"/>
      <c r="J56" s="231"/>
      <c r="K56" s="702"/>
      <c r="L56" s="744"/>
      <c r="M56" s="745"/>
      <c r="N56" s="16"/>
      <c r="O56" s="16"/>
      <c r="P56" s="16"/>
      <c r="Q56" s="16"/>
      <c r="W56" s="16"/>
      <c r="X56" s="16"/>
      <c r="Y56" s="16"/>
      <c r="Z56" s="16"/>
      <c r="AA56" s="16"/>
      <c r="AB56" s="16"/>
    </row>
    <row r="57" spans="1:30" ht="14.25" customHeight="1">
      <c r="A57" s="319" t="s">
        <v>1116</v>
      </c>
      <c r="B57" s="319" t="s">
        <v>287</v>
      </c>
      <c r="C57" s="319">
        <v>30</v>
      </c>
      <c r="D57" s="399">
        <v>1</v>
      </c>
      <c r="E57" s="319">
        <v>2</v>
      </c>
      <c r="F57" s="231">
        <f>Table_4168302[[#This Row],['# Weeks]]*Table_4168302[[#This Row],[Total hours/week]]</f>
        <v>60</v>
      </c>
      <c r="G57" s="319" t="s">
        <v>1125</v>
      </c>
      <c r="H57" s="319" t="s">
        <v>55</v>
      </c>
      <c r="I57" s="331"/>
      <c r="J57" s="231"/>
      <c r="K57" s="702"/>
      <c r="L57" s="744"/>
      <c r="M57" s="745"/>
      <c r="N57" s="16"/>
      <c r="O57" s="16"/>
      <c r="P57" s="16"/>
      <c r="Q57" s="16"/>
      <c r="W57" s="16"/>
      <c r="X57" s="16"/>
      <c r="Y57" s="16"/>
      <c r="Z57" s="16"/>
      <c r="AA57" s="16"/>
      <c r="AB57" s="16"/>
    </row>
    <row r="58" spans="1:30" ht="15.75" customHeight="1">
      <c r="A58" s="319" t="s">
        <v>1118</v>
      </c>
      <c r="B58" s="319" t="s">
        <v>287</v>
      </c>
      <c r="C58" s="319">
        <v>30</v>
      </c>
      <c r="D58" s="399">
        <v>1</v>
      </c>
      <c r="E58" s="319">
        <v>2</v>
      </c>
      <c r="F58" s="231">
        <f>Table_4168302[[#This Row],['# Weeks]]*Table_4168302[[#This Row],[Total hours/week]]</f>
        <v>60</v>
      </c>
      <c r="G58" s="319" t="s">
        <v>1125</v>
      </c>
      <c r="H58" s="319" t="s">
        <v>55</v>
      </c>
      <c r="I58" s="331"/>
      <c r="J58" s="231"/>
      <c r="K58" s="702"/>
      <c r="L58" s="744"/>
      <c r="M58" s="745"/>
      <c r="N58" s="16"/>
      <c r="O58" s="16"/>
      <c r="P58" s="16"/>
      <c r="Q58" s="16"/>
      <c r="W58" s="16"/>
      <c r="X58" s="16"/>
      <c r="Y58" s="16"/>
      <c r="Z58" s="16"/>
      <c r="AA58" s="16"/>
      <c r="AB58" s="16"/>
    </row>
    <row r="59" spans="1:30" ht="15.75" customHeight="1">
      <c r="A59" s="319" t="s">
        <v>1119</v>
      </c>
      <c r="B59" s="319" t="s">
        <v>287</v>
      </c>
      <c r="C59" s="319">
        <v>30</v>
      </c>
      <c r="D59" s="399">
        <v>1</v>
      </c>
      <c r="E59" s="319">
        <v>2</v>
      </c>
      <c r="F59" s="231">
        <f>Table_4168302[[#This Row],['# Weeks]]*Table_4168302[[#This Row],[Total hours/week]]</f>
        <v>60</v>
      </c>
      <c r="G59" s="319" t="s">
        <v>1125</v>
      </c>
      <c r="H59" s="319" t="s">
        <v>55</v>
      </c>
      <c r="I59" s="331"/>
      <c r="J59" s="231"/>
      <c r="K59" s="702"/>
      <c r="L59" s="744"/>
      <c r="M59" s="745"/>
      <c r="N59" s="16"/>
      <c r="O59" s="16"/>
      <c r="P59" s="16"/>
      <c r="Q59" s="16"/>
      <c r="W59" s="16"/>
      <c r="X59" s="16"/>
      <c r="Y59" s="16"/>
      <c r="Z59" s="16"/>
      <c r="AA59" s="16"/>
      <c r="AB59" s="16"/>
    </row>
    <row r="60" spans="1:30" ht="15.75" customHeight="1">
      <c r="A60" s="231"/>
      <c r="B60" s="319"/>
      <c r="C60" s="319"/>
      <c r="D60" s="399"/>
      <c r="E60" s="319"/>
      <c r="F60" s="231">
        <f>Table_4168302[[#This Row],['# Weeks]]*Table_4168302[[#This Row],[Total hours/week]]</f>
        <v>0</v>
      </c>
      <c r="G60" s="319"/>
      <c r="H60" s="319"/>
      <c r="I60" s="331"/>
      <c r="J60" s="231"/>
      <c r="K60" s="702"/>
      <c r="L60" s="744"/>
      <c r="M60" s="745"/>
      <c r="N60" s="16"/>
      <c r="O60" s="16"/>
      <c r="P60" s="16"/>
      <c r="Q60" s="16"/>
      <c r="W60" s="16"/>
      <c r="X60" s="16"/>
      <c r="Y60" s="16"/>
      <c r="Z60" s="16"/>
      <c r="AA60" s="16"/>
      <c r="AB60" s="16"/>
    </row>
    <row r="61" spans="1:30" ht="15.75" customHeight="1">
      <c r="A61" s="319" t="s">
        <v>1126</v>
      </c>
      <c r="B61" s="319"/>
      <c r="C61" s="319"/>
      <c r="D61" s="399"/>
      <c r="E61" s="319"/>
      <c r="F61" s="231">
        <f>Table_4168302[[#This Row],['# Weeks]]*Table_4168302[[#This Row],[Total hours/week]]</f>
        <v>0</v>
      </c>
      <c r="G61" s="319"/>
      <c r="H61" s="319"/>
      <c r="I61" s="331"/>
      <c r="J61" s="231"/>
      <c r="K61" s="702"/>
      <c r="L61" s="744"/>
      <c r="M61" s="745"/>
      <c r="N61" s="16"/>
      <c r="O61" s="16"/>
      <c r="P61" s="16"/>
      <c r="Q61" s="16"/>
      <c r="W61" s="16"/>
      <c r="X61" s="16"/>
      <c r="Y61" s="16"/>
      <c r="Z61" s="16"/>
      <c r="AA61" s="16"/>
      <c r="AB61" s="16"/>
    </row>
    <row r="62" spans="1:30" ht="15.75" customHeight="1">
      <c r="A62" s="319" t="s">
        <v>1127</v>
      </c>
      <c r="B62" s="319" t="s">
        <v>287</v>
      </c>
      <c r="C62" s="319">
        <v>21</v>
      </c>
      <c r="D62" s="399">
        <v>1</v>
      </c>
      <c r="E62" s="319">
        <v>1</v>
      </c>
      <c r="F62" s="262">
        <f>Table_4168302[[#This Row],['# Weeks]]*Table_4168302[[#This Row],[Total hours/week]]</f>
        <v>21</v>
      </c>
      <c r="G62" s="319" t="s">
        <v>1125</v>
      </c>
      <c r="H62" s="319" t="s">
        <v>55</v>
      </c>
      <c r="I62" s="331"/>
      <c r="J62" s="231"/>
      <c r="K62" s="702"/>
      <c r="L62" s="744"/>
      <c r="M62" s="745"/>
      <c r="N62" s="16"/>
      <c r="O62" s="16"/>
      <c r="P62" s="16"/>
      <c r="Q62" s="16"/>
      <c r="W62" s="16"/>
      <c r="X62" s="16"/>
      <c r="Y62" s="16"/>
      <c r="Z62" s="16"/>
      <c r="AA62" s="16"/>
      <c r="AB62" s="16"/>
    </row>
    <row r="63" spans="1:30" ht="15.75" customHeight="1">
      <c r="A63" s="319" t="s">
        <v>1128</v>
      </c>
      <c r="B63" s="319" t="s">
        <v>287</v>
      </c>
      <c r="C63" s="319">
        <v>21</v>
      </c>
      <c r="D63" s="399">
        <v>1</v>
      </c>
      <c r="E63" s="319">
        <v>1.5</v>
      </c>
      <c r="F63" s="262">
        <f>Table_4168302[[#This Row],['# Weeks]]*Table_4168302[[#This Row],[Total hours/week]]</f>
        <v>31.5</v>
      </c>
      <c r="G63" s="319" t="s">
        <v>1125</v>
      </c>
      <c r="H63" s="319" t="s">
        <v>55</v>
      </c>
      <c r="I63" s="331"/>
      <c r="J63" s="231"/>
      <c r="K63" s="702"/>
      <c r="L63" s="744"/>
      <c r="M63" s="745"/>
      <c r="N63" s="16"/>
      <c r="O63" s="16"/>
      <c r="P63" s="16"/>
      <c r="Q63" s="16"/>
      <c r="W63" s="16"/>
      <c r="X63" s="16"/>
      <c r="Y63" s="16"/>
      <c r="Z63" s="16"/>
      <c r="AA63" s="16"/>
      <c r="AB63" s="16"/>
    </row>
    <row r="64" spans="1:30" ht="15.75" customHeight="1">
      <c r="A64" s="231" t="s">
        <v>1129</v>
      </c>
      <c r="B64" s="319" t="s">
        <v>278</v>
      </c>
      <c r="C64" s="231">
        <v>21</v>
      </c>
      <c r="D64" s="231">
        <v>1</v>
      </c>
      <c r="E64" s="319">
        <v>1</v>
      </c>
      <c r="F64" s="262">
        <f>Table_4168302[[#This Row],['# Weeks]]*Table_4168302[[#This Row],[Total hours/week]]</f>
        <v>21</v>
      </c>
      <c r="G64" s="319" t="s">
        <v>1125</v>
      </c>
      <c r="H64" s="319" t="s">
        <v>57</v>
      </c>
      <c r="I64" s="331"/>
      <c r="J64" s="231"/>
      <c r="K64" s="702"/>
      <c r="L64" s="744"/>
      <c r="M64" s="745"/>
      <c r="N64" s="16"/>
      <c r="O64" s="16"/>
      <c r="P64" s="16"/>
      <c r="Q64" s="16"/>
      <c r="W64" s="16"/>
      <c r="X64" s="16"/>
      <c r="Y64" s="16"/>
      <c r="Z64" s="16"/>
      <c r="AA64" s="16"/>
      <c r="AB64" s="16"/>
    </row>
    <row r="65" spans="1:30" ht="15.75" customHeight="1">
      <c r="A65" s="231" t="s">
        <v>290</v>
      </c>
      <c r="B65" s="319" t="s">
        <v>290</v>
      </c>
      <c r="C65" s="373">
        <v>42</v>
      </c>
      <c r="D65" s="373">
        <v>1</v>
      </c>
      <c r="E65" s="262">
        <v>0.5</v>
      </c>
      <c r="F65" s="262">
        <f>Table_4168302[[#This Row],['# Weeks]]*Table_4168302[[#This Row],[Total hours/week]]</f>
        <v>21</v>
      </c>
      <c r="G65" s="231" t="s">
        <v>1122</v>
      </c>
      <c r="H65" s="319" t="s">
        <v>57</v>
      </c>
      <c r="I65" s="331"/>
      <c r="J65" s="231" t="s">
        <v>1130</v>
      </c>
      <c r="K65" s="702"/>
      <c r="L65" s="744"/>
      <c r="M65" s="745"/>
      <c r="N65" s="16"/>
      <c r="O65" s="16"/>
      <c r="P65" s="16"/>
      <c r="Q65" s="16"/>
      <c r="W65" s="16"/>
      <c r="X65" s="16"/>
      <c r="Y65" s="16"/>
      <c r="Z65" s="16"/>
      <c r="AA65" s="16"/>
      <c r="AB65" s="16"/>
    </row>
    <row r="66" spans="1:30" ht="15.75" customHeight="1">
      <c r="A66" s="231"/>
      <c r="B66" s="319"/>
      <c r="C66" s="232"/>
      <c r="D66" s="232"/>
      <c r="E66" s="261"/>
      <c r="F66" s="262">
        <f>Table_4168302[[#This Row],['# Weeks]]*Table_4168302[[#This Row],[Total hours/week]]</f>
        <v>0</v>
      </c>
      <c r="G66" s="231"/>
      <c r="H66" s="319"/>
      <c r="I66" s="331"/>
      <c r="J66" s="231"/>
      <c r="K66" s="702"/>
      <c r="L66" s="744"/>
      <c r="M66" s="745"/>
      <c r="N66" s="16"/>
      <c r="O66" s="16"/>
      <c r="P66" s="16"/>
      <c r="Q66" s="16"/>
      <c r="W66" s="16"/>
      <c r="X66" s="16"/>
      <c r="Y66" s="16"/>
      <c r="Z66" s="16"/>
      <c r="AA66" s="16"/>
      <c r="AB66" s="16"/>
    </row>
    <row r="67" spans="1:30" ht="15.75" customHeight="1" thickBot="1">
      <c r="A67" s="231"/>
      <c r="B67" s="319"/>
      <c r="C67" s="245"/>
      <c r="D67" s="232"/>
      <c r="E67" s="261"/>
      <c r="F67" s="262">
        <f>Table_4168302[[#This Row],['# Weeks]]*Table_4168302[[#This Row],[Total hours/week]]</f>
        <v>0</v>
      </c>
      <c r="G67" s="263"/>
      <c r="H67" s="263"/>
      <c r="I67" s="264"/>
      <c r="J67" s="231"/>
      <c r="K67" s="747"/>
      <c r="L67" s="747"/>
      <c r="M67" s="748"/>
      <c r="N67" s="16"/>
      <c r="O67" s="16"/>
      <c r="P67" s="16"/>
      <c r="Q67" s="16"/>
      <c r="W67" s="16"/>
      <c r="X67" s="16"/>
      <c r="Y67" s="16"/>
      <c r="Z67" s="16"/>
      <c r="AA67" s="16"/>
      <c r="AB67" s="16"/>
    </row>
    <row r="68" spans="1:30" ht="15.75" customHeight="1" thickTop="1">
      <c r="A68" s="16"/>
      <c r="B68" s="16"/>
      <c r="C68" s="16"/>
      <c r="D68" s="16"/>
      <c r="E68" s="16"/>
      <c r="F68" s="16"/>
      <c r="G68" s="16"/>
      <c r="H68" s="16"/>
      <c r="I68" s="16"/>
      <c r="J68" s="16"/>
      <c r="K68" s="16"/>
      <c r="L68" s="16"/>
      <c r="M68" s="16"/>
      <c r="N68" s="16"/>
      <c r="O68" s="16"/>
      <c r="P68" s="16"/>
      <c r="Q68" s="16"/>
      <c r="W68" s="16"/>
      <c r="X68" s="16"/>
      <c r="Y68" s="16"/>
      <c r="Z68" s="16"/>
      <c r="AA68" s="16"/>
      <c r="AB68" s="16"/>
      <c r="AC68" s="16"/>
      <c r="AD68" s="16"/>
    </row>
    <row r="69" spans="1:30" ht="15.75" customHeight="1" thickBot="1">
      <c r="A69" s="186" t="s">
        <v>499</v>
      </c>
      <c r="B69" s="231"/>
      <c r="C69" s="231"/>
      <c r="D69" s="231"/>
      <c r="E69" s="231"/>
      <c r="F69" s="231"/>
      <c r="G69" s="231"/>
      <c r="H69" s="231"/>
      <c r="I69" s="231"/>
      <c r="J69" s="231"/>
      <c r="K69" s="123"/>
      <c r="L69" s="123"/>
      <c r="M69" s="16"/>
      <c r="N69" s="16"/>
      <c r="O69" s="16"/>
      <c r="P69" s="16"/>
      <c r="Q69" s="16"/>
      <c r="W69" s="16"/>
      <c r="X69" s="16"/>
      <c r="Y69" s="16"/>
      <c r="Z69" s="16"/>
      <c r="AA69" s="16"/>
      <c r="AB69" s="16"/>
      <c r="AC69" s="16"/>
      <c r="AD69" s="16"/>
    </row>
    <row r="70" spans="1:30" ht="15.75" customHeight="1" thickTop="1" thickBot="1">
      <c r="A70" s="124" t="s">
        <v>476</v>
      </c>
      <c r="B70" s="413" t="s">
        <v>500</v>
      </c>
      <c r="C70" s="414" t="s">
        <v>501</v>
      </c>
      <c r="D70" s="414" t="s">
        <v>502</v>
      </c>
      <c r="E70" s="414" t="s">
        <v>503</v>
      </c>
      <c r="F70" s="414" t="s">
        <v>504</v>
      </c>
      <c r="G70" s="414" t="s">
        <v>505</v>
      </c>
      <c r="H70" s="414" t="s">
        <v>506</v>
      </c>
      <c r="I70" s="414" t="s">
        <v>507</v>
      </c>
      <c r="J70" s="415" t="s">
        <v>508</v>
      </c>
      <c r="K70" s="561" t="s">
        <v>441</v>
      </c>
      <c r="L70" s="561"/>
      <c r="M70" s="561"/>
      <c r="N70" s="561"/>
      <c r="O70" s="570"/>
      <c r="P70" s="726" t="s">
        <v>434</v>
      </c>
      <c r="Q70" s="727"/>
      <c r="R70" s="16"/>
      <c r="S70" s="16"/>
      <c r="V70" s="16"/>
      <c r="W70" s="16"/>
      <c r="X70" s="16"/>
      <c r="Y70" s="16"/>
      <c r="Z70" s="16"/>
      <c r="AA70" s="16"/>
    </row>
    <row r="71" spans="1:30" ht="15.75" customHeight="1" thickTop="1">
      <c r="A71" s="116" t="s">
        <v>1131</v>
      </c>
      <c r="B71" s="416"/>
      <c r="C71" s="231"/>
      <c r="D71" s="319"/>
      <c r="E71" s="399"/>
      <c r="F71" s="326">
        <f>'Klein Verzet'!$D71*'Klein Verzet'!$E71</f>
        <v>0</v>
      </c>
      <c r="G71" s="399"/>
      <c r="H71" s="332" t="str">
        <f>IF($B71= "","-",IF($B71= "External","Specify location tariff", INDEX(Constants!$3:$3,MATCH($B71,Constants!$2:$2,0))))</f>
        <v>-</v>
      </c>
      <c r="I71" s="333" t="str">
        <f t="shared" ref="I71:I87" si="2">IF($H71="-","-",IF($H71="Specify location tariff","-",$H71*$F71))</f>
        <v>-</v>
      </c>
      <c r="J71" s="417"/>
      <c r="K71" s="562"/>
      <c r="L71" s="562"/>
      <c r="M71" s="562"/>
      <c r="N71" s="562"/>
      <c r="O71" s="562"/>
      <c r="P71" s="564" t="s">
        <v>511</v>
      </c>
      <c r="Q71" s="565"/>
      <c r="R71" s="16"/>
      <c r="S71" s="16"/>
      <c r="V71" s="16"/>
      <c r="W71" s="16"/>
      <c r="X71" s="16"/>
      <c r="Y71" s="16"/>
      <c r="Z71" s="16"/>
      <c r="AA71" s="16"/>
    </row>
    <row r="72" spans="1:30" ht="15.75" customHeight="1">
      <c r="A72" s="16" t="s">
        <v>1132</v>
      </c>
      <c r="B72" s="416" t="s">
        <v>267</v>
      </c>
      <c r="C72" s="231" t="s">
        <v>515</v>
      </c>
      <c r="D72" s="319">
        <v>1</v>
      </c>
      <c r="E72" s="399">
        <v>21</v>
      </c>
      <c r="F72" s="326">
        <f>'Klein Verzet'!$D72*'Klein Verzet'!$E72</f>
        <v>21</v>
      </c>
      <c r="G72" s="399" t="s">
        <v>1133</v>
      </c>
      <c r="H72" s="332">
        <f>IF($B72= "","-",IF($B72= "External","Specify location tariff", INDEX(Constants!$3:$3,MATCH($B72,Constants!$2:$2,0))))</f>
        <v>45</v>
      </c>
      <c r="I72" s="333">
        <f t="shared" si="2"/>
        <v>945</v>
      </c>
      <c r="J72" s="418" t="s">
        <v>1134</v>
      </c>
      <c r="K72" s="562"/>
      <c r="L72" s="562"/>
      <c r="M72" s="562"/>
      <c r="N72" s="562"/>
      <c r="O72" s="562"/>
      <c r="P72" s="566"/>
      <c r="Q72" s="567"/>
      <c r="R72" s="16"/>
      <c r="S72" s="16"/>
      <c r="V72" s="16"/>
      <c r="W72" s="16"/>
      <c r="X72" s="16"/>
      <c r="Y72" s="16"/>
      <c r="Z72" s="16"/>
      <c r="AA72" s="16"/>
    </row>
    <row r="73" spans="1:30" ht="15.75" customHeight="1">
      <c r="A73" s="16" t="s">
        <v>1128</v>
      </c>
      <c r="B73" s="416" t="s">
        <v>250</v>
      </c>
      <c r="C73" s="231" t="s">
        <v>513</v>
      </c>
      <c r="D73" s="319">
        <v>1.5</v>
      </c>
      <c r="E73" s="399">
        <v>21</v>
      </c>
      <c r="F73" s="326">
        <f>'Klein Verzet'!$D73*'Klein Verzet'!$E73</f>
        <v>31.5</v>
      </c>
      <c r="G73" s="328">
        <v>3</v>
      </c>
      <c r="H73" s="332">
        <f>IF($B73= "","-",IF($B73= "External","Specify location tariff", INDEX(Constants!$3:$3,MATCH($B73,Constants!$2:$2,0))))</f>
        <v>35</v>
      </c>
      <c r="I73" s="333">
        <f t="shared" si="2"/>
        <v>1102.5</v>
      </c>
      <c r="J73" s="417"/>
      <c r="K73" s="562"/>
      <c r="L73" s="562"/>
      <c r="M73" s="562"/>
      <c r="N73" s="562"/>
      <c r="O73" s="562"/>
      <c r="P73" s="566"/>
      <c r="Q73" s="567"/>
      <c r="R73" s="16"/>
      <c r="S73" s="16"/>
      <c r="V73" s="16"/>
      <c r="W73" s="16"/>
      <c r="X73" s="16"/>
      <c r="Y73" s="16"/>
      <c r="Z73" s="16"/>
      <c r="AA73" s="16"/>
    </row>
    <row r="74" spans="1:30" ht="15.75" customHeight="1">
      <c r="A74" s="16"/>
      <c r="B74" s="416"/>
      <c r="C74" s="232"/>
      <c r="D74" s="261"/>
      <c r="E74" s="245"/>
      <c r="F74" s="326">
        <f>'Klein Verzet'!$D74*'Klein Verzet'!$E74</f>
        <v>0</v>
      </c>
      <c r="G74" s="245"/>
      <c r="H74" s="332" t="str">
        <f>IF($B74= "","-",IF($B74= "External","Specify location tariff", INDEX(Constants!$3:$3,MATCH($B74,Constants!$2:$2,0))))</f>
        <v>-</v>
      </c>
      <c r="I74" s="333" t="str">
        <f t="shared" si="2"/>
        <v>-</v>
      </c>
      <c r="J74" s="417"/>
      <c r="K74" s="562"/>
      <c r="L74" s="562"/>
      <c r="M74" s="562"/>
      <c r="N74" s="562"/>
      <c r="O74" s="562"/>
      <c r="P74" s="566"/>
      <c r="Q74" s="567"/>
      <c r="R74" s="16"/>
      <c r="S74" s="16"/>
      <c r="V74" s="16"/>
      <c r="W74" s="16"/>
      <c r="X74" s="16"/>
      <c r="Y74" s="16"/>
      <c r="Z74" s="16"/>
      <c r="AA74" s="16"/>
    </row>
    <row r="75" spans="1:30" ht="15.75" customHeight="1">
      <c r="A75" s="16"/>
      <c r="B75" s="416"/>
      <c r="C75" s="232"/>
      <c r="D75" s="261"/>
      <c r="E75" s="245"/>
      <c r="F75" s="326">
        <f>'Klein Verzet'!$D75*'Klein Verzet'!$E75</f>
        <v>0</v>
      </c>
      <c r="G75" s="245"/>
      <c r="H75" s="332" t="str">
        <f>IF($B75= "","-",IF($B75= "External","Specify location tariff", INDEX(Constants!$3:$3,MATCH($B75,Constants!$2:$2,0))))</f>
        <v>-</v>
      </c>
      <c r="I75" s="333" t="str">
        <f t="shared" si="2"/>
        <v>-</v>
      </c>
      <c r="J75" s="417"/>
      <c r="K75" s="562"/>
      <c r="L75" s="562"/>
      <c r="M75" s="562"/>
      <c r="N75" s="562"/>
      <c r="O75" s="562"/>
      <c r="P75" s="566"/>
      <c r="Q75" s="567"/>
      <c r="R75" s="16"/>
      <c r="S75" s="16"/>
      <c r="V75" s="16"/>
      <c r="W75" s="16"/>
      <c r="X75" s="16"/>
      <c r="Y75" s="16"/>
      <c r="Z75" s="16"/>
      <c r="AA75" s="16"/>
    </row>
    <row r="76" spans="1:30" ht="15.75" customHeight="1">
      <c r="A76" s="16"/>
      <c r="B76" s="416"/>
      <c r="C76" s="232"/>
      <c r="D76" s="261"/>
      <c r="E76" s="245"/>
      <c r="F76" s="326">
        <f>'Klein Verzet'!$D76*'Klein Verzet'!$E76</f>
        <v>0</v>
      </c>
      <c r="G76" s="245"/>
      <c r="H76" s="332" t="str">
        <f>IF($B76= "","-",IF($B76= "External","Specify location tariff", INDEX(Constants!$3:$3,MATCH($B76,Constants!$2:$2,0))))</f>
        <v>-</v>
      </c>
      <c r="I76" s="333" t="str">
        <f t="shared" si="2"/>
        <v>-</v>
      </c>
      <c r="J76" s="417"/>
      <c r="K76" s="562"/>
      <c r="L76" s="562"/>
      <c r="M76" s="562"/>
      <c r="N76" s="562"/>
      <c r="O76" s="562"/>
      <c r="P76" s="566"/>
      <c r="Q76" s="567"/>
      <c r="R76" s="16"/>
      <c r="S76" s="16"/>
      <c r="V76" s="16"/>
      <c r="W76" s="16"/>
      <c r="X76" s="16"/>
      <c r="Y76" s="16"/>
      <c r="Z76" s="16"/>
      <c r="AA76" s="16"/>
    </row>
    <row r="77" spans="1:30" ht="15.75" customHeight="1">
      <c r="A77" s="16"/>
      <c r="B77" s="416"/>
      <c r="C77" s="232"/>
      <c r="D77" s="261"/>
      <c r="E77" s="245"/>
      <c r="F77" s="326">
        <f>'Klein Verzet'!$D77*'Klein Verzet'!$E77</f>
        <v>0</v>
      </c>
      <c r="G77" s="245"/>
      <c r="H77" s="332" t="str">
        <f>IF($B77= "","-",IF($B77= "External","Specify location tariff", INDEX(Constants!$3:$3,MATCH($B77,Constants!$2:$2,0))))</f>
        <v>-</v>
      </c>
      <c r="I77" s="333" t="str">
        <f t="shared" si="2"/>
        <v>-</v>
      </c>
      <c r="J77" s="417"/>
      <c r="K77" s="562"/>
      <c r="L77" s="562"/>
      <c r="M77" s="562"/>
      <c r="N77" s="562"/>
      <c r="O77" s="562"/>
      <c r="P77" s="566"/>
      <c r="Q77" s="567"/>
      <c r="R77" s="16"/>
      <c r="S77" s="16"/>
      <c r="V77" s="16"/>
      <c r="W77" s="16"/>
      <c r="X77" s="16"/>
      <c r="Y77" s="16"/>
      <c r="Z77" s="16"/>
      <c r="AA77" s="16"/>
    </row>
    <row r="78" spans="1:30" ht="15.75" customHeight="1">
      <c r="A78" s="16"/>
      <c r="B78" s="416"/>
      <c r="C78" s="232"/>
      <c r="D78" s="261"/>
      <c r="E78" s="245"/>
      <c r="F78" s="326">
        <f>'Klein Verzet'!$D78*'Klein Verzet'!$E78</f>
        <v>0</v>
      </c>
      <c r="G78" s="245"/>
      <c r="H78" s="332" t="str">
        <f>IF($B78= "","-",IF($B78= "External","Specify location tariff", INDEX(Constants!$3:$3,MATCH($B78,Constants!$2:$2,0))))</f>
        <v>-</v>
      </c>
      <c r="I78" s="333" t="str">
        <f t="shared" si="2"/>
        <v>-</v>
      </c>
      <c r="J78" s="417"/>
      <c r="K78" s="562"/>
      <c r="L78" s="562"/>
      <c r="M78" s="562"/>
      <c r="N78" s="562"/>
      <c r="O78" s="562"/>
      <c r="P78" s="566"/>
      <c r="Q78" s="567"/>
      <c r="R78" s="16"/>
      <c r="S78" s="16"/>
      <c r="V78" s="16"/>
      <c r="W78" s="16"/>
      <c r="X78" s="16"/>
      <c r="Y78" s="16"/>
      <c r="Z78" s="16"/>
      <c r="AA78" s="16"/>
    </row>
    <row r="79" spans="1:30" ht="15.75" customHeight="1">
      <c r="A79" s="16"/>
      <c r="B79" s="416"/>
      <c r="C79" s="232"/>
      <c r="D79" s="261"/>
      <c r="E79" s="245"/>
      <c r="F79" s="326">
        <f>'Klein Verzet'!$D79*'Klein Verzet'!$E79</f>
        <v>0</v>
      </c>
      <c r="G79" s="245"/>
      <c r="H79" s="332" t="str">
        <f>IF($B79= "","-",IF($B79= "External","Specify location tariff", INDEX(Constants!$3:$3,MATCH($B79,Constants!$2:$2,0))))</f>
        <v>-</v>
      </c>
      <c r="I79" s="333" t="str">
        <f t="shared" si="2"/>
        <v>-</v>
      </c>
      <c r="J79" s="417"/>
      <c r="K79" s="562"/>
      <c r="L79" s="562"/>
      <c r="M79" s="562"/>
      <c r="N79" s="562"/>
      <c r="O79" s="562"/>
      <c r="P79" s="566"/>
      <c r="Q79" s="567"/>
      <c r="R79" s="16"/>
      <c r="S79" s="16"/>
      <c r="V79" s="16"/>
      <c r="W79" s="16"/>
      <c r="X79" s="16"/>
      <c r="Y79" s="16"/>
      <c r="Z79" s="16"/>
      <c r="AA79" s="16"/>
    </row>
    <row r="80" spans="1:30" ht="15.75" customHeight="1">
      <c r="A80" s="16"/>
      <c r="B80" s="416"/>
      <c r="C80" s="232"/>
      <c r="D80" s="261"/>
      <c r="E80" s="245"/>
      <c r="F80" s="326">
        <f>'Klein Verzet'!$D80*'Klein Verzet'!$E80</f>
        <v>0</v>
      </c>
      <c r="G80" s="245"/>
      <c r="H80" s="332" t="str">
        <f>IF($B80= "","-",IF($B80= "External","Specify location tariff", INDEX(Constants!$3:$3,MATCH($B80,Constants!$2:$2,0))))</f>
        <v>-</v>
      </c>
      <c r="I80" s="333" t="str">
        <f t="shared" si="2"/>
        <v>-</v>
      </c>
      <c r="J80" s="417"/>
      <c r="K80" s="562"/>
      <c r="L80" s="562"/>
      <c r="M80" s="562"/>
      <c r="N80" s="562"/>
      <c r="O80" s="562"/>
      <c r="P80" s="566"/>
      <c r="Q80" s="567"/>
      <c r="R80" s="16"/>
      <c r="S80" s="16"/>
      <c r="V80" s="16"/>
      <c r="W80" s="16"/>
      <c r="X80" s="16"/>
      <c r="Y80" s="16"/>
      <c r="Z80" s="16"/>
      <c r="AA80" s="16"/>
    </row>
    <row r="81" spans="1:30" ht="15.75" customHeight="1">
      <c r="A81" s="16"/>
      <c r="B81" s="416"/>
      <c r="C81" s="232"/>
      <c r="D81" s="261"/>
      <c r="E81" s="245"/>
      <c r="F81" s="326">
        <f>'Klein Verzet'!$D81*'Klein Verzet'!$E81</f>
        <v>0</v>
      </c>
      <c r="G81" s="245"/>
      <c r="H81" s="332" t="str">
        <f>IF($B81= "","-",IF($B81= "External","Specify location tariff", INDEX(Constants!$3:$3,MATCH($B81,Constants!$2:$2,0))))</f>
        <v>-</v>
      </c>
      <c r="I81" s="333" t="str">
        <f t="shared" si="2"/>
        <v>-</v>
      </c>
      <c r="J81" s="417"/>
      <c r="K81" s="562"/>
      <c r="L81" s="562"/>
      <c r="M81" s="562"/>
      <c r="N81" s="562"/>
      <c r="O81" s="562"/>
      <c r="P81" s="566"/>
      <c r="Q81" s="567"/>
      <c r="R81" s="16"/>
      <c r="S81" s="16"/>
      <c r="V81" s="16"/>
      <c r="W81" s="16"/>
      <c r="X81" s="16"/>
      <c r="Y81" s="16"/>
      <c r="Z81" s="16"/>
      <c r="AA81" s="16"/>
    </row>
    <row r="82" spans="1:30" ht="15.75" customHeight="1">
      <c r="A82" s="16"/>
      <c r="B82" s="416"/>
      <c r="C82" s="232"/>
      <c r="D82" s="261"/>
      <c r="E82" s="245"/>
      <c r="F82" s="326">
        <f>'Klein Verzet'!$D82*'Klein Verzet'!$E82</f>
        <v>0</v>
      </c>
      <c r="G82" s="245"/>
      <c r="H82" s="332" t="str">
        <f>IF($B82= "","-",IF($B82= "External","Specify location tariff", INDEX(Constants!$3:$3,MATCH($B82,Constants!$2:$2,0))))</f>
        <v>-</v>
      </c>
      <c r="I82" s="333" t="str">
        <f t="shared" si="2"/>
        <v>-</v>
      </c>
      <c r="J82" s="417"/>
      <c r="K82" s="562"/>
      <c r="L82" s="562"/>
      <c r="M82" s="562"/>
      <c r="N82" s="562"/>
      <c r="O82" s="562"/>
      <c r="P82" s="566"/>
      <c r="Q82" s="567"/>
      <c r="R82" s="16"/>
      <c r="S82" s="16"/>
      <c r="V82" s="16"/>
      <c r="W82" s="16"/>
      <c r="X82" s="16"/>
      <c r="Y82" s="16"/>
      <c r="Z82" s="16"/>
      <c r="AA82" s="16"/>
    </row>
    <row r="83" spans="1:30" ht="15.75" customHeight="1">
      <c r="A83" s="16"/>
      <c r="B83" s="416"/>
      <c r="C83" s="232"/>
      <c r="D83" s="261"/>
      <c r="E83" s="245"/>
      <c r="F83" s="326">
        <f>'Klein Verzet'!$D83*'Klein Verzet'!$E83</f>
        <v>0</v>
      </c>
      <c r="G83" s="245"/>
      <c r="H83" s="332" t="str">
        <f>IF($B83= "","-",IF($B83= "External","Specify location tariff", INDEX(Constants!$3:$3,MATCH($B83,Constants!$2:$2,0))))</f>
        <v>-</v>
      </c>
      <c r="I83" s="333" t="str">
        <f t="shared" si="2"/>
        <v>-</v>
      </c>
      <c r="J83" s="417"/>
      <c r="K83" s="562"/>
      <c r="L83" s="562"/>
      <c r="M83" s="562"/>
      <c r="N83" s="562"/>
      <c r="O83" s="562"/>
      <c r="P83" s="566"/>
      <c r="Q83" s="567"/>
      <c r="R83" s="16"/>
      <c r="S83" s="16"/>
      <c r="V83" s="16"/>
      <c r="W83" s="16"/>
      <c r="X83" s="16"/>
      <c r="Y83" s="16"/>
      <c r="Z83" s="16"/>
      <c r="AA83" s="16"/>
    </row>
    <row r="84" spans="1:30" ht="15.75" customHeight="1">
      <c r="A84" s="16"/>
      <c r="B84" s="416"/>
      <c r="C84" s="232"/>
      <c r="D84" s="261"/>
      <c r="E84" s="245"/>
      <c r="F84" s="326">
        <f>'Klein Verzet'!$D84*'Klein Verzet'!$E84</f>
        <v>0</v>
      </c>
      <c r="G84" s="245"/>
      <c r="H84" s="332" t="str">
        <f>IF($B84= "","-",IF($B84= "External","Specify location tariff", INDEX(Constants!$3:$3,MATCH($B84,Constants!$2:$2,0))))</f>
        <v>-</v>
      </c>
      <c r="I84" s="333" t="str">
        <f t="shared" si="2"/>
        <v>-</v>
      </c>
      <c r="J84" s="417"/>
      <c r="K84" s="562"/>
      <c r="L84" s="562"/>
      <c r="M84" s="562"/>
      <c r="N84" s="562"/>
      <c r="O84" s="562"/>
      <c r="P84" s="566"/>
      <c r="Q84" s="567"/>
      <c r="R84" s="16"/>
      <c r="S84" s="16"/>
      <c r="V84" s="16"/>
      <c r="W84" s="16"/>
      <c r="X84" s="16"/>
      <c r="Y84" s="16"/>
      <c r="Z84" s="16"/>
      <c r="AA84" s="16"/>
    </row>
    <row r="85" spans="1:30" ht="15.75" customHeight="1">
      <c r="A85" s="16"/>
      <c r="B85" s="416"/>
      <c r="C85" s="232"/>
      <c r="D85" s="261"/>
      <c r="E85" s="245"/>
      <c r="F85" s="326">
        <f>'Klein Verzet'!$D85*'Klein Verzet'!$E85</f>
        <v>0</v>
      </c>
      <c r="G85" s="245"/>
      <c r="H85" s="332" t="str">
        <f>IF($B85= "","-",IF($B85= "External","Specify location tariff", INDEX(Constants!$3:$3,MATCH($B85,Constants!$2:$2,0))))</f>
        <v>-</v>
      </c>
      <c r="I85" s="333" t="str">
        <f t="shared" si="2"/>
        <v>-</v>
      </c>
      <c r="J85" s="417"/>
      <c r="K85" s="562"/>
      <c r="L85" s="562"/>
      <c r="M85" s="562"/>
      <c r="N85" s="562"/>
      <c r="O85" s="562"/>
      <c r="P85" s="566"/>
      <c r="Q85" s="567"/>
      <c r="R85" s="16"/>
      <c r="S85" s="16"/>
      <c r="V85" s="16"/>
      <c r="W85" s="16"/>
      <c r="X85" s="16"/>
      <c r="Y85" s="16"/>
      <c r="Z85" s="16"/>
      <c r="AA85" s="16"/>
    </row>
    <row r="86" spans="1:30" ht="15.75" customHeight="1">
      <c r="A86" s="16"/>
      <c r="B86" s="416"/>
      <c r="C86" s="232"/>
      <c r="D86" s="261"/>
      <c r="E86" s="245"/>
      <c r="F86" s="326">
        <f>'Klein Verzet'!$D86*'Klein Verzet'!$E86</f>
        <v>0</v>
      </c>
      <c r="G86" s="245"/>
      <c r="H86" s="332" t="str">
        <f>IF($B86= "","-",IF($B86= "External","Specify location tariff", INDEX(Constants!$3:$3,MATCH($B86,Constants!$2:$2,0))))</f>
        <v>-</v>
      </c>
      <c r="I86" s="333" t="str">
        <f t="shared" si="2"/>
        <v>-</v>
      </c>
      <c r="J86" s="417"/>
      <c r="K86" s="562"/>
      <c r="L86" s="562"/>
      <c r="M86" s="562"/>
      <c r="N86" s="562"/>
      <c r="O86" s="562"/>
      <c r="P86" s="566"/>
      <c r="Q86" s="567"/>
      <c r="R86" s="16"/>
      <c r="S86" s="16"/>
      <c r="V86" s="16"/>
      <c r="W86" s="16"/>
      <c r="X86" s="16"/>
      <c r="Y86" s="16"/>
      <c r="Z86" s="16"/>
      <c r="AA86" s="16"/>
    </row>
    <row r="87" spans="1:30" ht="15.75" customHeight="1" thickBot="1">
      <c r="A87" s="121"/>
      <c r="B87" s="419"/>
      <c r="C87" s="370"/>
      <c r="D87" s="420"/>
      <c r="E87" s="320"/>
      <c r="F87" s="421">
        <f>'Klein Verzet'!$D87*'Klein Verzet'!$E87</f>
        <v>0</v>
      </c>
      <c r="G87" s="320"/>
      <c r="H87" s="321" t="str">
        <f>IF($B87= "","-",IF($B87= "External","Specify location tariff", INDEX(Constants!$3:$3,MATCH($B87,Constants!$2:$2,0))))</f>
        <v>-</v>
      </c>
      <c r="I87" s="322" t="str">
        <f t="shared" si="2"/>
        <v>-</v>
      </c>
      <c r="J87" s="422"/>
      <c r="K87" s="563"/>
      <c r="L87" s="563"/>
      <c r="M87" s="563"/>
      <c r="N87" s="563"/>
      <c r="O87" s="563"/>
      <c r="P87" s="568"/>
      <c r="Q87" s="569"/>
      <c r="R87" s="16"/>
      <c r="S87" s="16"/>
      <c r="V87" s="16"/>
      <c r="W87" s="16"/>
      <c r="X87" s="16"/>
      <c r="Y87" s="16"/>
      <c r="Z87" s="16"/>
      <c r="AA87" s="16"/>
    </row>
    <row r="88" spans="1:30" ht="15.75" customHeight="1" thickTop="1">
      <c r="A88" s="15"/>
      <c r="B88" s="16"/>
      <c r="C88" s="16"/>
      <c r="D88" s="16"/>
      <c r="E88" s="16"/>
      <c r="F88" s="16"/>
      <c r="G88" s="16"/>
      <c r="H88" s="16"/>
      <c r="I88" s="16"/>
      <c r="J88" s="16"/>
      <c r="K88" s="16"/>
      <c r="L88" s="16"/>
      <c r="M88" s="16"/>
      <c r="N88" s="16"/>
      <c r="O88" s="16"/>
      <c r="P88" s="16"/>
      <c r="Q88" s="16"/>
      <c r="R88" s="16"/>
      <c r="S88" s="16"/>
      <c r="T88" s="16"/>
      <c r="U88" s="16"/>
      <c r="V88" s="16"/>
      <c r="W88" s="16"/>
      <c r="X88" s="16"/>
      <c r="Y88" s="16"/>
      <c r="Z88" s="16"/>
      <c r="AA88" s="16"/>
      <c r="AB88" s="16"/>
      <c r="AC88" s="16"/>
      <c r="AD88" s="16"/>
    </row>
    <row r="89" spans="1:30" ht="15.75" customHeight="1">
      <c r="A89" s="15"/>
      <c r="B89" s="16"/>
      <c r="C89" s="16"/>
      <c r="D89" s="16"/>
      <c r="E89" s="16"/>
      <c r="F89" s="16"/>
      <c r="G89" s="16"/>
      <c r="H89" s="16"/>
      <c r="I89" s="16"/>
      <c r="J89" s="16"/>
      <c r="K89" s="16"/>
      <c r="L89" s="16"/>
      <c r="M89" s="16"/>
      <c r="N89" s="16"/>
      <c r="O89" s="16"/>
      <c r="P89" s="16"/>
      <c r="Q89" s="16"/>
      <c r="R89" s="16"/>
      <c r="S89" s="16"/>
      <c r="T89" s="16"/>
      <c r="U89" s="16"/>
      <c r="V89" s="16"/>
      <c r="W89" s="16"/>
      <c r="X89" s="16"/>
      <c r="Y89" s="16"/>
      <c r="Z89" s="16"/>
      <c r="AA89" s="16"/>
      <c r="AB89" s="16"/>
      <c r="AC89" s="16"/>
      <c r="AD89" s="16"/>
    </row>
    <row r="90" spans="1:30" ht="15.75" customHeight="1" thickBot="1">
      <c r="A90" s="186" t="s">
        <v>519</v>
      </c>
      <c r="B90" s="16"/>
      <c r="C90" s="128"/>
      <c r="D90" s="51"/>
      <c r="E90" s="51"/>
      <c r="F90" s="51"/>
      <c r="G90" s="51"/>
      <c r="H90" s="51"/>
      <c r="I90" s="51"/>
      <c r="J90" s="51"/>
      <c r="K90" s="51"/>
      <c r="L90" s="232"/>
      <c r="M90" s="231"/>
      <c r="N90" s="16"/>
      <c r="O90" s="16"/>
      <c r="P90" s="16"/>
      <c r="Q90" s="16"/>
      <c r="R90" s="16"/>
      <c r="S90" s="16"/>
      <c r="T90" s="16"/>
      <c r="U90" s="16"/>
      <c r="V90" s="16"/>
      <c r="W90" s="16"/>
      <c r="X90" s="16"/>
      <c r="Y90" s="16"/>
      <c r="Z90" s="16"/>
      <c r="AA90" s="16"/>
      <c r="AB90" s="16"/>
      <c r="AC90" s="16"/>
      <c r="AD90" s="16"/>
    </row>
    <row r="91" spans="1:30" ht="15" customHeight="1" thickTop="1" thickBot="1">
      <c r="A91" s="230" t="s">
        <v>438</v>
      </c>
      <c r="B91" s="230" t="s">
        <v>439</v>
      </c>
      <c r="C91" s="230" t="s">
        <v>520</v>
      </c>
      <c r="D91" s="230" t="s">
        <v>521</v>
      </c>
      <c r="E91" s="230" t="s">
        <v>522</v>
      </c>
      <c r="F91" s="230" t="s">
        <v>523</v>
      </c>
      <c r="G91" s="230" t="s">
        <v>508</v>
      </c>
      <c r="H91" s="721" t="s">
        <v>441</v>
      </c>
      <c r="I91" s="728"/>
      <c r="J91" s="729" t="s">
        <v>434</v>
      </c>
      <c r="K91" s="730"/>
      <c r="L91" s="16"/>
      <c r="M91" s="16"/>
      <c r="N91" s="16"/>
      <c r="O91" s="16"/>
      <c r="P91" s="117"/>
      <c r="Q91" s="15"/>
      <c r="R91" s="16"/>
      <c r="S91" s="130"/>
      <c r="T91" s="16"/>
      <c r="U91" s="16"/>
      <c r="V91" s="16"/>
      <c r="W91" s="241"/>
      <c r="X91" s="16"/>
      <c r="Y91" s="16"/>
      <c r="Z91" s="16"/>
      <c r="AA91" s="16"/>
      <c r="AB91" s="16"/>
    </row>
    <row r="92" spans="1:30" ht="14.25" customHeight="1" thickTop="1">
      <c r="A92" s="244" t="s">
        <v>1135</v>
      </c>
      <c r="B92" s="244" t="s">
        <v>279</v>
      </c>
      <c r="C92" s="339" t="s">
        <v>1136</v>
      </c>
      <c r="D92" s="337">
        <v>4</v>
      </c>
      <c r="E92" s="338">
        <v>25</v>
      </c>
      <c r="F92" s="246">
        <f>IF(Table_6170304[[#This Row],[Item]]="",0,Table_6170304[[#This Row],[Purchase / Running costs]]/Table_6170304[[#This Row],[Depreciation period]])</f>
        <v>100</v>
      </c>
      <c r="G92" s="247"/>
      <c r="H92" s="653"/>
      <c r="I92" s="750"/>
      <c r="J92" s="628" t="s">
        <v>526</v>
      </c>
      <c r="K92" s="730"/>
      <c r="L92" s="16"/>
      <c r="M92" s="16"/>
      <c r="N92" s="16"/>
      <c r="O92" s="16"/>
      <c r="P92" s="16"/>
      <c r="Q92" s="133"/>
      <c r="R92" s="16"/>
      <c r="S92" s="16"/>
      <c r="T92" s="16"/>
      <c r="U92" s="16"/>
      <c r="V92" s="16"/>
      <c r="W92" s="16"/>
      <c r="X92" s="16"/>
      <c r="Y92" s="16"/>
      <c r="Z92" s="16"/>
      <c r="AA92" s="16"/>
      <c r="AB92" s="16"/>
    </row>
    <row r="93" spans="1:30" ht="15.75" customHeight="1">
      <c r="A93" s="244" t="s">
        <v>1137</v>
      </c>
      <c r="B93" s="244" t="s">
        <v>279</v>
      </c>
      <c r="C93" s="339" t="s">
        <v>1138</v>
      </c>
      <c r="D93" s="337">
        <v>3</v>
      </c>
      <c r="E93" s="338">
        <v>1</v>
      </c>
      <c r="F93" s="246">
        <f>IF(Table_6170304[[#This Row],[Item]]="",0,Table_6170304[[#This Row],[Purchase / Running costs]]/Table_6170304[[#This Row],[Depreciation period]])</f>
        <v>150</v>
      </c>
      <c r="G93" s="247"/>
      <c r="H93" s="744"/>
      <c r="I93" s="751"/>
      <c r="J93" s="702"/>
      <c r="K93" s="732"/>
      <c r="L93" s="16"/>
      <c r="M93" s="16"/>
      <c r="N93" s="16"/>
      <c r="O93" s="16"/>
      <c r="P93" s="16"/>
      <c r="Q93" s="16"/>
      <c r="R93" s="16"/>
      <c r="S93" s="16"/>
      <c r="T93" s="16"/>
      <c r="U93" s="16"/>
      <c r="V93" s="16"/>
      <c r="W93" s="16"/>
      <c r="X93" s="16"/>
      <c r="Y93" s="16"/>
      <c r="Z93" s="16"/>
      <c r="AA93" s="16"/>
      <c r="AB93" s="16"/>
    </row>
    <row r="94" spans="1:30" ht="15.75" customHeight="1">
      <c r="A94" s="244" t="s">
        <v>1139</v>
      </c>
      <c r="B94" s="244" t="s">
        <v>283</v>
      </c>
      <c r="C94" s="331" t="s">
        <v>644</v>
      </c>
      <c r="D94" s="337" t="s">
        <v>644</v>
      </c>
      <c r="E94" s="338">
        <v>1</v>
      </c>
      <c r="F94" s="246">
        <v>200</v>
      </c>
      <c r="G94" s="247"/>
      <c r="H94" s="744"/>
      <c r="I94" s="751"/>
      <c r="J94" s="702"/>
      <c r="K94" s="732"/>
      <c r="L94" s="16"/>
      <c r="M94" s="16"/>
      <c r="N94" s="16"/>
      <c r="O94" s="16"/>
      <c r="P94" s="16"/>
      <c r="Q94" s="16"/>
      <c r="R94" s="16"/>
      <c r="S94" s="16"/>
      <c r="T94" s="16"/>
      <c r="U94" s="16"/>
      <c r="V94" s="16"/>
      <c r="W94" s="16"/>
      <c r="X94" s="16"/>
      <c r="Y94" s="16"/>
      <c r="Z94" s="16"/>
      <c r="AA94" s="16"/>
      <c r="AB94" s="16"/>
    </row>
    <row r="95" spans="1:30" ht="15.75" customHeight="1">
      <c r="A95" s="244" t="s">
        <v>1106</v>
      </c>
      <c r="B95" s="244" t="s">
        <v>279</v>
      </c>
      <c r="C95" s="339" t="s">
        <v>1140</v>
      </c>
      <c r="D95" s="337">
        <v>5</v>
      </c>
      <c r="E95" s="338">
        <v>3</v>
      </c>
      <c r="F95" s="246">
        <f>IF(Table_6170304[[#This Row],[Item]]="",0,Table_6170304[[#This Row],[Purchase / Running costs]]/Table_6170304[[#This Row],[Depreciation period]])</f>
        <v>42</v>
      </c>
      <c r="G95" s="247"/>
      <c r="H95" s="744"/>
      <c r="I95" s="751"/>
      <c r="J95" s="702"/>
      <c r="K95" s="732"/>
      <c r="L95" s="16"/>
      <c r="M95" s="16"/>
      <c r="N95" s="16"/>
      <c r="O95" s="16"/>
      <c r="P95" s="16"/>
      <c r="Q95" s="16"/>
      <c r="R95" s="16"/>
      <c r="S95" s="16"/>
      <c r="T95" s="16"/>
      <c r="U95" s="16"/>
      <c r="V95" s="16"/>
      <c r="W95" s="16"/>
      <c r="X95" s="16"/>
      <c r="Y95" s="16"/>
      <c r="Z95" s="16"/>
      <c r="AA95" s="16"/>
      <c r="AB95" s="16"/>
    </row>
    <row r="96" spans="1:30" ht="15.75" customHeight="1">
      <c r="A96" s="231"/>
      <c r="B96" s="248"/>
      <c r="C96" s="246">
        <v>0</v>
      </c>
      <c r="D96" s="247"/>
      <c r="E96" s="245"/>
      <c r="F96" s="246">
        <f>IF(Table_6170304[[#This Row],[Item]]="",0,Table_6170304[[#This Row],[Amount]]*Table_6170304[[#This Row],[Purchase / Running costs]]/Table_6170304[[#This Row],[Depreciation period]])</f>
        <v>0</v>
      </c>
      <c r="G96" s="247"/>
      <c r="H96" s="744"/>
      <c r="I96" s="751"/>
      <c r="J96" s="702"/>
      <c r="K96" s="732"/>
      <c r="L96" s="16"/>
      <c r="M96" s="16"/>
      <c r="N96" s="16"/>
      <c r="O96" s="16"/>
      <c r="P96" s="16"/>
      <c r="Q96" s="16"/>
      <c r="R96" s="16"/>
      <c r="S96" s="16"/>
      <c r="T96" s="16"/>
      <c r="U96" s="16"/>
      <c r="V96" s="16"/>
      <c r="W96" s="16"/>
      <c r="X96" s="16"/>
      <c r="Y96" s="16"/>
      <c r="Z96" s="16"/>
      <c r="AA96" s="16"/>
      <c r="AB96" s="16"/>
    </row>
    <row r="97" spans="1:30" ht="15.75" customHeight="1">
      <c r="A97" s="231"/>
      <c r="B97" s="248"/>
      <c r="C97" s="246">
        <v>0</v>
      </c>
      <c r="D97" s="247"/>
      <c r="E97" s="245"/>
      <c r="F97" s="246">
        <f>IF(Table_6170304[[#This Row],[Item]]="",0,Table_6170304[[#This Row],[Amount]]*Table_6170304[[#This Row],[Purchase / Running costs]]/Table_6170304[[#This Row],[Depreciation period]])</f>
        <v>0</v>
      </c>
      <c r="G97" s="247"/>
      <c r="H97" s="744"/>
      <c r="I97" s="751"/>
      <c r="J97" s="702"/>
      <c r="K97" s="732"/>
      <c r="L97" s="16"/>
      <c r="M97" s="16"/>
      <c r="N97" s="16"/>
      <c r="O97" s="16"/>
      <c r="P97" s="16"/>
      <c r="Q97" s="16"/>
      <c r="R97" s="16"/>
      <c r="S97" s="16"/>
      <c r="T97" s="16"/>
      <c r="U97" s="16"/>
      <c r="V97" s="16"/>
      <c r="W97" s="16"/>
      <c r="X97" s="16"/>
      <c r="Y97" s="16"/>
      <c r="Z97" s="16"/>
      <c r="AA97" s="16"/>
      <c r="AB97" s="16"/>
    </row>
    <row r="98" spans="1:30" ht="15.75" customHeight="1">
      <c r="A98" s="231"/>
      <c r="B98" s="244"/>
      <c r="C98" s="246">
        <v>0</v>
      </c>
      <c r="D98" s="247"/>
      <c r="E98" s="245"/>
      <c r="F98" s="246">
        <f>IF(Table_6170304[[#This Row],[Item]]="",0,Table_6170304[[#This Row],[Amount]]*Table_6170304[[#This Row],[Purchase / Running costs]]/Table_6170304[[#This Row],[Depreciation period]])</f>
        <v>0</v>
      </c>
      <c r="G98" s="247"/>
      <c r="H98" s="744"/>
      <c r="I98" s="751"/>
      <c r="J98" s="702"/>
      <c r="K98" s="732"/>
      <c r="L98" s="16"/>
      <c r="M98" s="16"/>
      <c r="N98" s="16"/>
      <c r="O98" s="16"/>
      <c r="P98" s="16"/>
      <c r="Q98" s="16"/>
      <c r="R98" s="16"/>
      <c r="S98" s="16"/>
      <c r="T98" s="16"/>
      <c r="U98" s="16"/>
      <c r="V98" s="16"/>
      <c r="W98" s="16"/>
      <c r="X98" s="16"/>
      <c r="Y98" s="16"/>
      <c r="Z98" s="16"/>
      <c r="AA98" s="16"/>
      <c r="AB98" s="16"/>
    </row>
    <row r="99" spans="1:30" ht="15.75" customHeight="1">
      <c r="A99" s="231"/>
      <c r="B99" s="244"/>
      <c r="C99" s="246">
        <v>0</v>
      </c>
      <c r="D99" s="247"/>
      <c r="E99" s="245"/>
      <c r="F99" s="246">
        <f>IF(Table_6170304[[#This Row],[Item]]="",0,Table_6170304[[#This Row],[Amount]]*Table_6170304[[#This Row],[Purchase / Running costs]]/Table_6170304[[#This Row],[Depreciation period]])</f>
        <v>0</v>
      </c>
      <c r="G99" s="247"/>
      <c r="H99" s="744"/>
      <c r="I99" s="751"/>
      <c r="J99" s="702"/>
      <c r="K99" s="732"/>
      <c r="L99" s="16"/>
      <c r="M99" s="16"/>
      <c r="N99" s="16"/>
      <c r="O99" s="16"/>
      <c r="P99" s="16"/>
      <c r="Q99" s="16"/>
      <c r="R99" s="16"/>
      <c r="S99" s="16"/>
      <c r="T99" s="16"/>
      <c r="U99" s="16"/>
      <c r="V99" s="16"/>
      <c r="W99" s="16"/>
      <c r="X99" s="16"/>
      <c r="Y99" s="16"/>
      <c r="Z99" s="16"/>
      <c r="AA99" s="16"/>
      <c r="AB99" s="16"/>
    </row>
    <row r="100" spans="1:30" ht="15.75" customHeight="1">
      <c r="A100" s="231"/>
      <c r="B100" s="244"/>
      <c r="C100" s="246">
        <v>0</v>
      </c>
      <c r="D100" s="247"/>
      <c r="E100" s="245"/>
      <c r="F100" s="246">
        <f>IF(Table_6170304[[#This Row],[Item]]="",0,Table_6170304[[#This Row],[Amount]]*Table_6170304[[#This Row],[Purchase / Running costs]]/Table_6170304[[#This Row],[Depreciation period]])</f>
        <v>0</v>
      </c>
      <c r="G100" s="247"/>
      <c r="H100" s="744"/>
      <c r="I100" s="751"/>
      <c r="J100" s="702"/>
      <c r="K100" s="732"/>
      <c r="L100" s="16"/>
      <c r="M100" s="16"/>
      <c r="N100" s="16"/>
      <c r="O100" s="16"/>
      <c r="P100" s="16"/>
      <c r="Q100" s="16"/>
      <c r="R100" s="16"/>
      <c r="S100" s="16"/>
      <c r="T100" s="16"/>
      <c r="U100" s="16"/>
      <c r="V100" s="16"/>
      <c r="W100" s="16"/>
      <c r="X100" s="16"/>
      <c r="Y100" s="16"/>
      <c r="Z100" s="16"/>
      <c r="AA100" s="16"/>
      <c r="AB100" s="16"/>
    </row>
    <row r="101" spans="1:30" ht="15.75" customHeight="1">
      <c r="A101" s="231"/>
      <c r="B101" s="244"/>
      <c r="C101" s="246">
        <v>0</v>
      </c>
      <c r="D101" s="247"/>
      <c r="E101" s="245"/>
      <c r="F101" s="246">
        <f>IF(Table_6170304[[#This Row],[Item]]="",0,Table_6170304[[#This Row],[Amount]]*Table_6170304[[#This Row],[Purchase / Running costs]]/Table_6170304[[#This Row],[Depreciation period]])</f>
        <v>0</v>
      </c>
      <c r="G101" s="247"/>
      <c r="H101" s="744"/>
      <c r="I101" s="751"/>
      <c r="J101" s="702"/>
      <c r="K101" s="732"/>
      <c r="L101" s="16"/>
      <c r="M101" s="16"/>
      <c r="N101" s="16"/>
      <c r="O101" s="16"/>
      <c r="P101" s="16"/>
      <c r="Q101" s="16"/>
      <c r="R101" s="16"/>
      <c r="S101" s="16"/>
      <c r="T101" s="16"/>
      <c r="U101" s="16"/>
      <c r="V101" s="16"/>
      <c r="W101" s="16"/>
      <c r="X101" s="16"/>
      <c r="Y101" s="16"/>
      <c r="Z101" s="16"/>
      <c r="AA101" s="16"/>
      <c r="AB101" s="16"/>
    </row>
    <row r="102" spans="1:30" ht="15.75" customHeight="1">
      <c r="A102" s="231"/>
      <c r="B102" s="244"/>
      <c r="C102" s="246">
        <v>0</v>
      </c>
      <c r="D102" s="247"/>
      <c r="E102" s="245"/>
      <c r="F102" s="246">
        <f>IF(Table_6170304[[#This Row],[Item]]="",0,Table_6170304[[#This Row],[Amount]]*Table_6170304[[#This Row],[Purchase / Running costs]]/Table_6170304[[#This Row],[Depreciation period]])</f>
        <v>0</v>
      </c>
      <c r="G102" s="247"/>
      <c r="H102" s="744"/>
      <c r="I102" s="751"/>
      <c r="J102" s="702"/>
      <c r="K102" s="732"/>
      <c r="L102" s="16"/>
      <c r="M102" s="16"/>
      <c r="N102" s="16"/>
      <c r="O102" s="16"/>
      <c r="P102" s="16"/>
      <c r="Q102" s="16"/>
      <c r="R102" s="16"/>
      <c r="S102" s="16"/>
      <c r="T102" s="16"/>
      <c r="U102" s="16"/>
      <c r="V102" s="16"/>
      <c r="W102" s="16"/>
      <c r="X102" s="16"/>
      <c r="Y102" s="16"/>
      <c r="Z102" s="16"/>
      <c r="AA102" s="16"/>
      <c r="AB102" s="16"/>
    </row>
    <row r="103" spans="1:30" ht="15.75" customHeight="1">
      <c r="A103" s="231"/>
      <c r="B103" s="244"/>
      <c r="C103" s="246">
        <v>0</v>
      </c>
      <c r="D103" s="247"/>
      <c r="E103" s="245"/>
      <c r="F103" s="246">
        <f>IF(Table_6170304[[#This Row],[Item]]="",0,Table_6170304[[#This Row],[Amount]]*Table_6170304[[#This Row],[Purchase / Running costs]]/Table_6170304[[#This Row],[Depreciation period]])</f>
        <v>0</v>
      </c>
      <c r="G103" s="247"/>
      <c r="H103" s="744"/>
      <c r="I103" s="751"/>
      <c r="J103" s="702"/>
      <c r="K103" s="732"/>
      <c r="L103" s="16"/>
      <c r="M103" s="16"/>
      <c r="N103" s="16"/>
      <c r="O103" s="16"/>
      <c r="P103" s="16"/>
      <c r="Q103" s="16"/>
      <c r="R103" s="16"/>
      <c r="S103" s="16"/>
      <c r="T103" s="16"/>
      <c r="U103" s="16"/>
      <c r="V103" s="16"/>
      <c r="W103" s="16"/>
      <c r="X103" s="16"/>
      <c r="Y103" s="16"/>
      <c r="Z103" s="16"/>
      <c r="AA103" s="16"/>
      <c r="AB103" s="16"/>
    </row>
    <row r="104" spans="1:30" ht="15.75" customHeight="1">
      <c r="A104" s="231"/>
      <c r="B104" s="244"/>
      <c r="C104" s="246">
        <v>0</v>
      </c>
      <c r="D104" s="247"/>
      <c r="E104" s="245"/>
      <c r="F104" s="246">
        <f>IF(Table_6170304[[#This Row],[Item]]="",0,Table_6170304[[#This Row],[Amount]]*Table_6170304[[#This Row],[Purchase / Running costs]]/Table_6170304[[#This Row],[Depreciation period]])</f>
        <v>0</v>
      </c>
      <c r="G104" s="247"/>
      <c r="H104" s="744"/>
      <c r="I104" s="751"/>
      <c r="J104" s="702"/>
      <c r="K104" s="732"/>
      <c r="L104" s="16"/>
      <c r="M104" s="16"/>
      <c r="N104" s="16"/>
      <c r="O104" s="16"/>
      <c r="P104" s="16"/>
      <c r="Q104" s="16"/>
      <c r="R104" s="16"/>
      <c r="S104" s="16"/>
      <c r="T104" s="16"/>
      <c r="U104" s="16"/>
      <c r="V104" s="16"/>
      <c r="W104" s="16"/>
      <c r="X104" s="16"/>
      <c r="Y104" s="16"/>
      <c r="Z104" s="16"/>
      <c r="AA104" s="16"/>
      <c r="AB104" s="16"/>
    </row>
    <row r="105" spans="1:30" ht="15.75" customHeight="1" thickBot="1">
      <c r="A105" s="231"/>
      <c r="B105" s="244"/>
      <c r="C105" s="246">
        <v>0</v>
      </c>
      <c r="D105" s="247"/>
      <c r="E105" s="245"/>
      <c r="F105" s="246">
        <f>IF(Table_6170304[[#This Row],[Item]]="",0,Table_6170304[[#This Row],[Amount]]*Table_6170304[[#This Row],[Purchase / Running costs]]/Table_6170304[[#This Row],[Depreciation period]])</f>
        <v>0</v>
      </c>
      <c r="G105" s="247"/>
      <c r="H105" s="747"/>
      <c r="I105" s="748"/>
      <c r="J105" s="752"/>
      <c r="K105" s="734"/>
      <c r="L105" s="16"/>
      <c r="M105" s="16"/>
      <c r="N105" s="16"/>
      <c r="O105" s="16"/>
      <c r="P105" s="16"/>
      <c r="Q105" s="16"/>
      <c r="R105" s="16"/>
      <c r="S105" s="16"/>
      <c r="T105" s="16"/>
      <c r="U105" s="16"/>
      <c r="V105" s="16"/>
      <c r="W105" s="16"/>
      <c r="X105" s="16"/>
      <c r="Y105" s="16"/>
      <c r="Z105" s="16"/>
      <c r="AA105" s="16"/>
      <c r="AB105" s="16"/>
    </row>
    <row r="106" spans="1:30" ht="15.75" customHeight="1" thickTop="1">
      <c r="A106" s="15"/>
      <c r="B106" s="131"/>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c r="AD106" s="16"/>
    </row>
    <row r="107" spans="1:30" ht="15.75" customHeight="1">
      <c r="A107" s="15"/>
      <c r="B107" s="131"/>
      <c r="C107" s="16"/>
      <c r="D107" s="16"/>
      <c r="E107" s="16"/>
      <c r="F107" s="16"/>
      <c r="G107" s="16"/>
      <c r="I107" s="16"/>
      <c r="J107" s="16"/>
      <c r="K107" s="16"/>
      <c r="L107" s="16"/>
      <c r="M107" s="16"/>
      <c r="N107" s="16"/>
      <c r="O107" s="16"/>
      <c r="P107" s="16"/>
      <c r="Q107" s="16"/>
      <c r="R107" s="16"/>
      <c r="S107" s="16"/>
      <c r="T107" s="16"/>
      <c r="U107" s="16"/>
      <c r="V107" s="16"/>
      <c r="W107" s="16"/>
      <c r="X107" s="16"/>
      <c r="Y107" s="16"/>
      <c r="Z107" s="16"/>
      <c r="AA107" s="16"/>
      <c r="AB107" s="16"/>
      <c r="AC107" s="16"/>
      <c r="AD107" s="16"/>
    </row>
    <row r="108" spans="1:30" ht="15.75" customHeight="1">
      <c r="H108" s="51"/>
      <c r="I108" s="51"/>
      <c r="J108" s="51"/>
      <c r="K108" s="51"/>
      <c r="L108" s="16"/>
      <c r="M108" s="16"/>
      <c r="N108" s="16"/>
      <c r="O108" s="16"/>
      <c r="P108" s="16"/>
      <c r="Q108" s="16"/>
      <c r="R108" s="16"/>
      <c r="S108" s="16"/>
      <c r="T108" s="16"/>
      <c r="U108" s="16"/>
      <c r="V108" s="16"/>
      <c r="W108" s="16"/>
      <c r="X108" s="16"/>
      <c r="Y108" s="16"/>
      <c r="Z108" s="16"/>
      <c r="AA108" s="16"/>
      <c r="AB108" s="16"/>
      <c r="AC108" s="16"/>
      <c r="AD108" s="16"/>
    </row>
    <row r="109" spans="1:30" ht="15.75" customHeight="1">
      <c r="L109" s="16"/>
      <c r="M109" s="16"/>
      <c r="N109" s="16"/>
      <c r="O109" s="16"/>
      <c r="P109" s="16"/>
      <c r="Q109" s="16"/>
      <c r="R109" s="16"/>
      <c r="S109" s="16"/>
      <c r="T109" s="16"/>
      <c r="U109" s="16"/>
      <c r="V109" s="16"/>
      <c r="W109" s="16"/>
      <c r="X109" s="16"/>
      <c r="Y109" s="16"/>
      <c r="Z109" s="16"/>
      <c r="AA109" s="16"/>
      <c r="AB109" s="16"/>
      <c r="AC109" s="16"/>
      <c r="AD109" s="16"/>
    </row>
    <row r="110" spans="1:30" ht="15.75" customHeight="1">
      <c r="L110" s="16"/>
      <c r="M110" s="16"/>
      <c r="N110" s="16"/>
      <c r="O110" s="16"/>
      <c r="P110" s="16"/>
      <c r="Q110" s="16"/>
      <c r="R110" s="16"/>
      <c r="S110" s="16"/>
      <c r="T110" s="16"/>
      <c r="U110" s="16"/>
      <c r="V110" s="16"/>
      <c r="W110" s="16"/>
      <c r="X110" s="16"/>
      <c r="Y110" s="16"/>
      <c r="Z110" s="16"/>
      <c r="AA110" s="16"/>
      <c r="AB110" s="16"/>
      <c r="AC110" s="16"/>
      <c r="AD110" s="16"/>
    </row>
    <row r="111" spans="1:30" ht="15.75" customHeight="1">
      <c r="L111" s="16"/>
      <c r="M111" s="16"/>
      <c r="N111" s="16"/>
      <c r="O111" s="16"/>
      <c r="P111" s="16"/>
      <c r="Q111" s="16"/>
      <c r="R111" s="16"/>
      <c r="S111" s="16"/>
      <c r="T111" s="16"/>
      <c r="U111" s="16"/>
      <c r="V111" s="16"/>
      <c r="W111" s="16"/>
      <c r="X111" s="16"/>
      <c r="Y111" s="16"/>
      <c r="Z111" s="16"/>
      <c r="AA111" s="16"/>
      <c r="AB111" s="16"/>
      <c r="AC111" s="16"/>
      <c r="AD111" s="16"/>
    </row>
    <row r="112" spans="1:30" ht="15.75" customHeight="1">
      <c r="L112" s="16"/>
      <c r="M112" s="16"/>
      <c r="N112" s="16"/>
      <c r="O112" s="16"/>
      <c r="P112" s="16"/>
      <c r="Q112" s="16"/>
      <c r="R112" s="16"/>
      <c r="S112" s="16"/>
      <c r="T112" s="16"/>
      <c r="U112" s="16"/>
      <c r="V112" s="16"/>
      <c r="W112" s="16"/>
      <c r="X112" s="16"/>
      <c r="Y112" s="16"/>
      <c r="Z112" s="16"/>
      <c r="AA112" s="16"/>
      <c r="AB112" s="16"/>
      <c r="AC112" s="16"/>
      <c r="AD112" s="16"/>
    </row>
    <row r="113" spans="1:30" ht="15.75" customHeight="1">
      <c r="L113" s="16"/>
      <c r="M113" s="16"/>
      <c r="N113" s="16"/>
      <c r="O113" s="16"/>
      <c r="P113" s="16"/>
      <c r="Q113" s="16"/>
      <c r="R113" s="16"/>
      <c r="S113" s="16"/>
      <c r="T113" s="16"/>
      <c r="U113" s="16"/>
      <c r="V113" s="16"/>
      <c r="W113" s="16"/>
      <c r="X113" s="16"/>
      <c r="Y113" s="16"/>
      <c r="Z113" s="16"/>
      <c r="AA113" s="16"/>
      <c r="AB113" s="16"/>
      <c r="AC113" s="16"/>
      <c r="AD113" s="16"/>
    </row>
    <row r="114" spans="1:30" ht="15.75" customHeight="1">
      <c r="L114" s="16"/>
      <c r="M114" s="16"/>
      <c r="N114" s="16"/>
      <c r="O114" s="16"/>
      <c r="P114" s="16"/>
      <c r="Q114" s="16"/>
      <c r="R114" s="16"/>
      <c r="S114" s="16"/>
      <c r="T114" s="16"/>
      <c r="U114" s="16"/>
      <c r="V114" s="16"/>
      <c r="W114" s="16"/>
      <c r="X114" s="16"/>
      <c r="Y114" s="16"/>
      <c r="Z114" s="16"/>
      <c r="AA114" s="16"/>
      <c r="AB114" s="16"/>
      <c r="AC114" s="16"/>
      <c r="AD114" s="16"/>
    </row>
    <row r="115" spans="1:30" ht="15.75" customHeight="1">
      <c r="L115" s="16"/>
      <c r="M115" s="16"/>
      <c r="N115" s="16"/>
      <c r="O115" s="16"/>
      <c r="P115" s="735"/>
      <c r="Q115" s="696"/>
      <c r="R115" s="696"/>
      <c r="S115" s="16"/>
      <c r="T115" s="16"/>
      <c r="U115" s="16"/>
      <c r="V115" s="16"/>
      <c r="W115" s="16"/>
      <c r="X115" s="16"/>
      <c r="Y115" s="16"/>
      <c r="Z115" s="16"/>
      <c r="AA115" s="16"/>
      <c r="AB115" s="16"/>
      <c r="AC115" s="16"/>
      <c r="AD115" s="16"/>
    </row>
    <row r="116" spans="1:30" ht="15.75" customHeight="1">
      <c r="L116" s="16"/>
      <c r="M116" s="16"/>
      <c r="N116" s="16"/>
      <c r="O116" s="16"/>
      <c r="P116" s="735"/>
      <c r="Q116" s="696"/>
      <c r="R116" s="696"/>
      <c r="S116" s="16"/>
      <c r="T116" s="16"/>
      <c r="U116" s="16"/>
      <c r="V116" s="16"/>
      <c r="W116" s="16"/>
      <c r="X116" s="16"/>
      <c r="Y116" s="16"/>
      <c r="Z116" s="16"/>
      <c r="AA116" s="16"/>
      <c r="AB116" s="16"/>
      <c r="AC116" s="16"/>
      <c r="AD116" s="16"/>
    </row>
    <row r="117" spans="1:30" ht="15.75" customHeight="1">
      <c r="L117" s="16"/>
      <c r="M117" s="16"/>
      <c r="N117" s="16"/>
      <c r="O117" s="16"/>
      <c r="P117" s="735"/>
      <c r="Q117" s="696"/>
      <c r="R117" s="696"/>
      <c r="S117" s="16"/>
      <c r="T117" s="16"/>
      <c r="U117" s="16"/>
      <c r="V117" s="16"/>
      <c r="W117" s="16"/>
      <c r="X117" s="16"/>
      <c r="Y117" s="16"/>
      <c r="Z117" s="16"/>
      <c r="AA117" s="16"/>
      <c r="AB117" s="16"/>
      <c r="AC117" s="16"/>
      <c r="AD117" s="16"/>
    </row>
    <row r="118" spans="1:30" ht="15.75" customHeight="1">
      <c r="L118" s="16"/>
      <c r="M118" s="16"/>
      <c r="N118" s="16"/>
      <c r="O118" s="16"/>
      <c r="P118" s="735"/>
      <c r="Q118" s="696"/>
      <c r="R118" s="696"/>
      <c r="S118" s="16"/>
      <c r="T118" s="16"/>
      <c r="U118" s="16"/>
      <c r="V118" s="16"/>
      <c r="W118" s="16"/>
      <c r="X118" s="16"/>
      <c r="Y118" s="16"/>
      <c r="Z118" s="16"/>
      <c r="AA118" s="16"/>
      <c r="AB118" s="16"/>
      <c r="AC118" s="16"/>
      <c r="AD118" s="16"/>
    </row>
    <row r="119" spans="1:30" ht="15.75" customHeight="1">
      <c r="L119" s="16"/>
      <c r="M119" s="16"/>
      <c r="N119" s="16"/>
      <c r="O119" s="16"/>
      <c r="P119" s="735"/>
      <c r="Q119" s="696"/>
      <c r="R119" s="696"/>
      <c r="S119" s="16"/>
      <c r="T119" s="16"/>
      <c r="U119" s="16"/>
      <c r="V119" s="16"/>
      <c r="W119" s="16"/>
      <c r="X119" s="16"/>
      <c r="Y119" s="16"/>
      <c r="Z119" s="16"/>
      <c r="AA119" s="16"/>
      <c r="AB119" s="16"/>
      <c r="AC119" s="16"/>
      <c r="AD119" s="16"/>
    </row>
    <row r="120" spans="1:30" ht="15.75" customHeight="1">
      <c r="L120" s="16"/>
      <c r="M120" s="16"/>
      <c r="N120" s="16"/>
      <c r="O120" s="16"/>
      <c r="P120" s="735"/>
      <c r="Q120" s="696"/>
      <c r="R120" s="696"/>
      <c r="S120" s="16"/>
      <c r="T120" s="16"/>
      <c r="U120" s="16"/>
      <c r="V120" s="16"/>
      <c r="W120" s="16"/>
      <c r="X120" s="16"/>
      <c r="Y120" s="16"/>
      <c r="Z120" s="16"/>
      <c r="AA120" s="16"/>
      <c r="AB120" s="16"/>
      <c r="AC120" s="16"/>
      <c r="AD120" s="16"/>
    </row>
    <row r="121" spans="1:30" ht="15.75" customHeight="1">
      <c r="H121" s="248"/>
      <c r="I121" s="248"/>
      <c r="J121" s="228"/>
      <c r="K121" s="228"/>
      <c r="L121" s="16"/>
      <c r="M121" s="16"/>
      <c r="N121" s="16"/>
      <c r="O121" s="16"/>
      <c r="P121" s="735"/>
      <c r="Q121" s="696"/>
      <c r="R121" s="696"/>
      <c r="S121" s="16"/>
      <c r="T121" s="16"/>
      <c r="U121" s="16"/>
      <c r="V121" s="16"/>
      <c r="W121" s="16"/>
      <c r="X121" s="16"/>
      <c r="Y121" s="16"/>
      <c r="Z121" s="16"/>
      <c r="AA121" s="16"/>
      <c r="AB121" s="16"/>
      <c r="AC121" s="16"/>
      <c r="AD121" s="16"/>
    </row>
    <row r="122" spans="1:30" ht="15.75" customHeight="1">
      <c r="A122" s="231"/>
      <c r="B122" s="231"/>
      <c r="C122" s="246"/>
      <c r="D122" s="247"/>
      <c r="E122" s="245"/>
      <c r="F122" s="246"/>
      <c r="G122" s="247"/>
      <c r="H122" s="248"/>
      <c r="I122" s="248"/>
      <c r="J122" s="228"/>
      <c r="K122" s="228"/>
      <c r="L122" s="16"/>
      <c r="M122" s="16"/>
      <c r="N122" s="16"/>
      <c r="O122" s="16"/>
      <c r="P122" s="16"/>
      <c r="Q122" s="16"/>
      <c r="R122" s="16"/>
      <c r="S122" s="16"/>
      <c r="T122" s="16"/>
      <c r="U122" s="16"/>
      <c r="V122" s="16"/>
      <c r="W122" s="16"/>
      <c r="X122" s="16"/>
      <c r="Y122" s="16"/>
      <c r="Z122" s="16"/>
      <c r="AA122" s="16"/>
      <c r="AB122" s="16"/>
      <c r="AC122" s="16"/>
      <c r="AD122" s="16"/>
    </row>
    <row r="123" spans="1:30" ht="15.75" customHeight="1">
      <c r="A123" s="231"/>
      <c r="B123" s="16"/>
      <c r="C123" s="246"/>
      <c r="D123" s="247"/>
      <c r="E123" s="245"/>
      <c r="F123" s="246"/>
      <c r="G123" s="247"/>
      <c r="H123" s="228"/>
      <c r="I123" s="228"/>
      <c r="J123" s="228"/>
      <c r="K123" s="228"/>
      <c r="L123" s="16"/>
      <c r="M123" s="735"/>
      <c r="N123" s="696"/>
      <c r="O123" s="696"/>
      <c r="P123" s="735"/>
      <c r="Q123" s="696"/>
      <c r="R123" s="696"/>
      <c r="S123" s="696"/>
      <c r="T123" s="696"/>
      <c r="U123" s="16"/>
      <c r="V123" s="16"/>
      <c r="W123" s="16"/>
      <c r="X123" s="16"/>
      <c r="Y123" s="16"/>
      <c r="Z123" s="16"/>
      <c r="AA123" s="16"/>
      <c r="AB123" s="16"/>
      <c r="AC123" s="16"/>
      <c r="AD123" s="16"/>
    </row>
    <row r="124" spans="1:30" ht="15.75" customHeight="1">
      <c r="A124" s="16"/>
      <c r="B124" s="16"/>
      <c r="C124" s="16"/>
      <c r="D124" s="16"/>
      <c r="E124" s="16"/>
      <c r="F124" s="16"/>
      <c r="G124" s="16"/>
      <c r="H124" s="16"/>
      <c r="I124" s="16"/>
      <c r="J124" s="16"/>
      <c r="K124" s="16"/>
      <c r="L124" s="16"/>
      <c r="M124" s="735"/>
      <c r="N124" s="696"/>
      <c r="O124" s="696"/>
      <c r="P124" s="735"/>
      <c r="Q124" s="696"/>
      <c r="R124" s="696"/>
      <c r="S124" s="696"/>
      <c r="T124" s="696"/>
      <c r="U124" s="16"/>
      <c r="V124" s="16"/>
      <c r="W124" s="16"/>
      <c r="X124" s="16"/>
      <c r="Y124" s="16"/>
      <c r="Z124" s="16"/>
      <c r="AA124" s="16"/>
      <c r="AB124" s="16"/>
      <c r="AC124" s="16"/>
      <c r="AD124" s="16"/>
    </row>
    <row r="125" spans="1:30" ht="15.75" customHeight="1">
      <c r="A125" s="16"/>
      <c r="B125" s="16"/>
      <c r="C125" s="16"/>
      <c r="D125" s="16"/>
      <c r="E125" s="16"/>
      <c r="F125" s="16"/>
      <c r="G125" s="16"/>
      <c r="H125" s="16"/>
      <c r="I125" s="16"/>
      <c r="J125" s="16"/>
      <c r="K125" s="16"/>
      <c r="L125" s="16"/>
      <c r="M125" s="735"/>
      <c r="N125" s="696"/>
      <c r="O125" s="696"/>
      <c r="P125" s="696"/>
      <c r="Q125" s="696"/>
      <c r="R125" s="696"/>
      <c r="S125" s="696"/>
      <c r="T125" s="696"/>
      <c r="U125" s="16"/>
      <c r="V125" s="16"/>
      <c r="W125" s="16"/>
      <c r="X125" s="16"/>
      <c r="Y125" s="16"/>
      <c r="Z125" s="16"/>
      <c r="AA125" s="16"/>
      <c r="AB125" s="16"/>
      <c r="AC125" s="16"/>
      <c r="AD125" s="16"/>
    </row>
    <row r="126" spans="1:30" ht="15.75" customHeight="1">
      <c r="A126" s="16"/>
      <c r="B126" s="16"/>
      <c r="C126" s="16"/>
      <c r="D126" s="16"/>
      <c r="E126" s="16"/>
      <c r="F126" s="16"/>
      <c r="G126" s="16"/>
      <c r="H126" s="16"/>
      <c r="I126" s="16"/>
      <c r="J126" s="16"/>
      <c r="K126" s="16"/>
      <c r="L126" s="16"/>
      <c r="M126" s="735"/>
      <c r="N126" s="696"/>
      <c r="O126" s="696"/>
      <c r="P126" s="696"/>
      <c r="Q126" s="696"/>
      <c r="R126" s="696"/>
      <c r="S126" s="696"/>
      <c r="T126" s="696"/>
      <c r="U126" s="16"/>
      <c r="V126" s="16"/>
      <c r="W126" s="16"/>
      <c r="X126" s="16"/>
      <c r="Y126" s="16"/>
      <c r="Z126" s="16"/>
      <c r="AA126" s="16"/>
      <c r="AB126" s="16"/>
      <c r="AC126" s="16"/>
      <c r="AD126" s="16"/>
    </row>
    <row r="127" spans="1:30" ht="15.75" customHeight="1">
      <c r="A127" s="16"/>
      <c r="B127" s="16"/>
      <c r="C127" s="16"/>
      <c r="D127" s="16"/>
      <c r="E127" s="16"/>
      <c r="F127" s="16"/>
      <c r="G127" s="16"/>
      <c r="H127" s="16"/>
      <c r="I127" s="16"/>
      <c r="J127" s="16"/>
      <c r="K127" s="16"/>
      <c r="L127" s="16"/>
      <c r="M127" s="735"/>
      <c r="N127" s="696"/>
      <c r="O127" s="696"/>
      <c r="P127" s="696"/>
      <c r="Q127" s="696"/>
      <c r="R127" s="696"/>
      <c r="S127" s="696"/>
      <c r="T127" s="696"/>
      <c r="U127" s="16"/>
      <c r="V127" s="16"/>
      <c r="W127" s="16"/>
      <c r="X127" s="16"/>
      <c r="Y127" s="16"/>
      <c r="Z127" s="16"/>
      <c r="AA127" s="16"/>
      <c r="AB127" s="16"/>
      <c r="AC127" s="16"/>
      <c r="AD127" s="16"/>
    </row>
    <row r="128" spans="1:30" ht="15.75" customHeight="1">
      <c r="A128" s="16"/>
      <c r="B128" s="16"/>
      <c r="C128" s="16"/>
      <c r="D128" s="16"/>
      <c r="E128" s="16"/>
      <c r="F128" s="16"/>
      <c r="G128" s="16"/>
      <c r="H128" s="16"/>
      <c r="I128" s="16"/>
      <c r="J128" s="16"/>
      <c r="K128" s="16"/>
      <c r="L128" s="16"/>
      <c r="M128" s="735"/>
      <c r="N128" s="696"/>
      <c r="O128" s="696"/>
      <c r="P128" s="696"/>
      <c r="Q128" s="696"/>
      <c r="R128" s="696"/>
      <c r="S128" s="696"/>
      <c r="T128" s="696"/>
      <c r="U128" s="16"/>
      <c r="V128" s="16"/>
      <c r="W128" s="16"/>
      <c r="X128" s="16"/>
      <c r="Y128" s="16"/>
      <c r="Z128" s="16"/>
      <c r="AA128" s="16"/>
      <c r="AB128" s="16"/>
      <c r="AC128" s="16"/>
      <c r="AD128" s="16"/>
    </row>
    <row r="129" spans="1:30" ht="15.75" customHeight="1">
      <c r="A129" s="16"/>
      <c r="B129" s="16"/>
      <c r="C129" s="16"/>
      <c r="D129" s="16"/>
      <c r="E129" s="16"/>
      <c r="F129" s="16"/>
      <c r="G129" s="16"/>
      <c r="H129" s="16"/>
      <c r="I129" s="16"/>
      <c r="J129" s="16"/>
      <c r="K129" s="16"/>
      <c r="L129" s="16"/>
      <c r="M129" s="735"/>
      <c r="N129" s="696"/>
      <c r="O129" s="696"/>
      <c r="P129" s="696"/>
      <c r="Q129" s="696"/>
      <c r="R129" s="696"/>
      <c r="S129" s="696"/>
      <c r="T129" s="696"/>
      <c r="U129" s="16"/>
      <c r="V129" s="16"/>
      <c r="W129" s="16"/>
      <c r="X129" s="16"/>
      <c r="Y129" s="16"/>
      <c r="Z129" s="16"/>
      <c r="AA129" s="16"/>
      <c r="AB129" s="16"/>
      <c r="AC129" s="16"/>
      <c r="AD129" s="16"/>
    </row>
    <row r="130" spans="1:30" ht="15.75" customHeight="1">
      <c r="A130" s="16"/>
      <c r="B130" s="16"/>
      <c r="C130" s="16"/>
      <c r="D130" s="16"/>
      <c r="E130" s="16"/>
      <c r="F130" s="16"/>
      <c r="G130" s="16"/>
      <c r="H130" s="16"/>
      <c r="I130" s="16"/>
      <c r="J130" s="16"/>
      <c r="K130" s="16"/>
      <c r="L130" s="16"/>
      <c r="M130" s="735"/>
      <c r="N130" s="696"/>
      <c r="O130" s="696"/>
      <c r="P130" s="696"/>
      <c r="Q130" s="696"/>
      <c r="R130" s="696"/>
      <c r="S130" s="696"/>
      <c r="T130" s="696"/>
      <c r="U130" s="16"/>
      <c r="V130" s="16"/>
      <c r="W130" s="16"/>
      <c r="X130" s="16"/>
      <c r="Y130" s="16"/>
      <c r="Z130" s="16"/>
      <c r="AA130" s="16"/>
      <c r="AB130" s="16"/>
      <c r="AC130" s="16"/>
      <c r="AD130" s="16"/>
    </row>
    <row r="131" spans="1:30" ht="15.75" customHeight="1">
      <c r="A131" s="16"/>
      <c r="B131" s="16"/>
      <c r="C131" s="16"/>
      <c r="D131" s="16"/>
      <c r="E131" s="16"/>
      <c r="F131" s="16"/>
      <c r="G131" s="16"/>
      <c r="H131" s="16"/>
      <c r="I131" s="16"/>
      <c r="J131" s="16"/>
      <c r="K131" s="16"/>
      <c r="L131" s="16"/>
      <c r="M131" s="735"/>
      <c r="N131" s="696"/>
      <c r="O131" s="696"/>
      <c r="P131" s="696"/>
      <c r="Q131" s="696"/>
      <c r="R131" s="696"/>
      <c r="S131" s="696"/>
      <c r="T131" s="696"/>
      <c r="U131" s="16"/>
      <c r="V131" s="16"/>
      <c r="W131" s="16"/>
      <c r="X131" s="16"/>
      <c r="Y131" s="16"/>
      <c r="Z131" s="16"/>
      <c r="AA131" s="16"/>
      <c r="AB131" s="16"/>
      <c r="AC131" s="16"/>
      <c r="AD131" s="16"/>
    </row>
    <row r="132" spans="1:30" ht="15.75" customHeight="1">
      <c r="A132" s="16"/>
      <c r="B132" s="16"/>
      <c r="C132" s="16"/>
      <c r="D132" s="16"/>
      <c r="E132" s="16"/>
      <c r="F132" s="16"/>
      <c r="G132" s="16"/>
      <c r="H132" s="16"/>
      <c r="I132" s="16"/>
      <c r="J132" s="16"/>
      <c r="K132" s="16"/>
      <c r="L132" s="16"/>
      <c r="M132" s="735"/>
      <c r="N132" s="696"/>
      <c r="O132" s="696"/>
      <c r="P132" s="696"/>
      <c r="Q132" s="696"/>
      <c r="R132" s="696"/>
      <c r="S132" s="696"/>
      <c r="T132" s="696"/>
      <c r="U132" s="16"/>
      <c r="V132" s="16"/>
      <c r="W132" s="16"/>
      <c r="X132" s="16"/>
      <c r="Y132" s="16"/>
      <c r="Z132" s="16"/>
      <c r="AA132" s="16"/>
      <c r="AB132" s="16"/>
      <c r="AC132" s="16"/>
      <c r="AD132" s="16"/>
    </row>
    <row r="133" spans="1:30" ht="15.75" customHeight="1">
      <c r="A133" s="16"/>
      <c r="B133" s="16"/>
      <c r="C133" s="16"/>
      <c r="D133" s="16"/>
      <c r="E133" s="16"/>
      <c r="F133" s="16"/>
      <c r="G133" s="16"/>
      <c r="H133" s="16"/>
      <c r="I133" s="16"/>
      <c r="J133" s="16"/>
      <c r="K133" s="16"/>
      <c r="L133" s="16"/>
      <c r="M133" s="735"/>
      <c r="N133" s="696"/>
      <c r="O133" s="696"/>
      <c r="P133" s="696"/>
      <c r="Q133" s="696"/>
      <c r="R133" s="696"/>
      <c r="S133" s="696"/>
      <c r="T133" s="696"/>
      <c r="U133" s="16"/>
      <c r="V133" s="16"/>
      <c r="W133" s="16"/>
      <c r="X133" s="16"/>
      <c r="Y133" s="16"/>
      <c r="Z133" s="16"/>
      <c r="AA133" s="16"/>
      <c r="AB133" s="16"/>
      <c r="AC133" s="16"/>
      <c r="AD133" s="16"/>
    </row>
    <row r="134" spans="1:30" ht="15.75" customHeight="1">
      <c r="A134" s="16"/>
      <c r="B134" s="16"/>
      <c r="C134" s="16"/>
      <c r="D134" s="16"/>
      <c r="E134" s="16"/>
      <c r="F134" s="16"/>
      <c r="G134" s="16"/>
      <c r="H134" s="16"/>
      <c r="I134" s="16"/>
      <c r="J134" s="16"/>
      <c r="K134" s="16"/>
      <c r="L134" s="16"/>
      <c r="M134" s="735"/>
      <c r="N134" s="696"/>
      <c r="O134" s="696"/>
      <c r="P134" s="696"/>
      <c r="Q134" s="696"/>
      <c r="R134" s="696"/>
      <c r="S134" s="696"/>
      <c r="T134" s="696"/>
      <c r="U134" s="16"/>
      <c r="V134" s="16"/>
      <c r="W134" s="16"/>
      <c r="X134" s="16"/>
      <c r="Y134" s="16"/>
      <c r="Z134" s="16"/>
      <c r="AA134" s="16"/>
      <c r="AB134" s="16"/>
      <c r="AC134" s="16"/>
      <c r="AD134" s="16"/>
    </row>
    <row r="135" spans="1:30" ht="15.75" customHeight="1">
      <c r="A135" s="16"/>
      <c r="B135" s="16"/>
      <c r="C135" s="16"/>
      <c r="D135" s="16"/>
      <c r="E135" s="16"/>
      <c r="F135" s="16"/>
      <c r="G135" s="16"/>
      <c r="H135" s="16"/>
      <c r="I135" s="16"/>
      <c r="J135" s="16"/>
      <c r="K135" s="16"/>
      <c r="L135" s="16"/>
      <c r="M135" s="735"/>
      <c r="N135" s="696"/>
      <c r="O135" s="696"/>
      <c r="P135" s="696"/>
      <c r="Q135" s="696"/>
      <c r="R135" s="696"/>
      <c r="S135" s="696"/>
      <c r="T135" s="696"/>
      <c r="U135" s="16"/>
      <c r="V135" s="16"/>
      <c r="W135" s="16"/>
      <c r="X135" s="16"/>
      <c r="Y135" s="16"/>
      <c r="Z135" s="16"/>
      <c r="AA135" s="16"/>
      <c r="AB135" s="16"/>
      <c r="AC135" s="16"/>
      <c r="AD135" s="16"/>
    </row>
    <row r="136" spans="1:30" ht="15.75" customHeight="1">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c r="AA136" s="16"/>
      <c r="AB136" s="16"/>
      <c r="AC136" s="16"/>
      <c r="AD136" s="16"/>
    </row>
    <row r="137" spans="1:30" ht="15.75" customHeight="1">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c r="AA137" s="16"/>
      <c r="AB137" s="16"/>
      <c r="AC137" s="16"/>
      <c r="AD137" s="16"/>
    </row>
    <row r="138" spans="1:30" ht="15.75" customHeight="1">
      <c r="A138" s="16"/>
      <c r="B138" s="16"/>
      <c r="C138" s="16"/>
      <c r="D138" s="16"/>
      <c r="E138" s="16"/>
      <c r="F138" s="16"/>
      <c r="G138" s="16"/>
      <c r="H138" s="16"/>
      <c r="I138" s="16"/>
      <c r="J138" s="16"/>
      <c r="K138" s="16"/>
      <c r="L138" s="16"/>
      <c r="M138" s="735"/>
      <c r="N138" s="696"/>
      <c r="O138" s="696"/>
      <c r="P138" s="735"/>
      <c r="Q138" s="696"/>
      <c r="R138" s="696"/>
      <c r="S138" s="696"/>
      <c r="T138" s="696"/>
      <c r="U138" s="16"/>
      <c r="V138" s="16"/>
      <c r="W138" s="16"/>
      <c r="X138" s="16"/>
      <c r="Y138" s="16"/>
      <c r="Z138" s="16"/>
      <c r="AA138" s="16"/>
      <c r="AB138" s="16"/>
      <c r="AC138" s="16"/>
      <c r="AD138" s="16"/>
    </row>
    <row r="139" spans="1:30" ht="15.75" customHeight="1">
      <c r="A139" s="16"/>
      <c r="B139" s="16"/>
      <c r="C139" s="16"/>
      <c r="D139" s="16"/>
      <c r="E139" s="16"/>
      <c r="F139" s="16"/>
      <c r="G139" s="16"/>
      <c r="H139" s="16"/>
      <c r="I139" s="16"/>
      <c r="J139" s="16"/>
      <c r="K139" s="16"/>
      <c r="L139" s="16"/>
      <c r="M139" s="735"/>
      <c r="N139" s="696"/>
      <c r="O139" s="696"/>
      <c r="P139" s="735"/>
      <c r="Q139" s="696"/>
      <c r="R139" s="696"/>
      <c r="S139" s="696"/>
      <c r="T139" s="696"/>
      <c r="U139" s="16"/>
      <c r="V139" s="16"/>
      <c r="W139" s="16"/>
      <c r="X139" s="16"/>
      <c r="Y139" s="16"/>
      <c r="Z139" s="16"/>
      <c r="AA139" s="16"/>
      <c r="AB139" s="16"/>
      <c r="AC139" s="16"/>
      <c r="AD139" s="16"/>
    </row>
    <row r="140" spans="1:30" ht="15.75" customHeight="1">
      <c r="A140" s="16"/>
      <c r="B140" s="16"/>
      <c r="C140" s="16"/>
      <c r="D140" s="16"/>
      <c r="E140" s="16"/>
      <c r="F140" s="16"/>
      <c r="G140" s="16"/>
      <c r="H140" s="16"/>
      <c r="I140" s="16"/>
      <c r="J140" s="16"/>
      <c r="K140" s="16"/>
      <c r="L140" s="16"/>
      <c r="M140" s="735"/>
      <c r="N140" s="696"/>
      <c r="O140" s="696"/>
      <c r="P140" s="696"/>
      <c r="Q140" s="696"/>
      <c r="R140" s="696"/>
      <c r="S140" s="696"/>
      <c r="T140" s="696"/>
      <c r="U140" s="16"/>
      <c r="V140" s="16"/>
      <c r="W140" s="16"/>
      <c r="X140" s="16"/>
      <c r="Y140" s="16"/>
      <c r="Z140" s="16"/>
      <c r="AA140" s="16"/>
      <c r="AB140" s="16"/>
      <c r="AC140" s="16"/>
      <c r="AD140" s="16"/>
    </row>
    <row r="141" spans="1:30" ht="15.75" customHeight="1">
      <c r="A141" s="16"/>
      <c r="B141" s="16"/>
      <c r="C141" s="16"/>
      <c r="D141" s="16"/>
      <c r="E141" s="16"/>
      <c r="F141" s="16"/>
      <c r="G141" s="16"/>
      <c r="H141" s="16"/>
      <c r="I141" s="16"/>
      <c r="J141" s="16"/>
      <c r="K141" s="16"/>
      <c r="L141" s="16"/>
      <c r="M141" s="735"/>
      <c r="N141" s="696"/>
      <c r="O141" s="696"/>
      <c r="P141" s="696"/>
      <c r="Q141" s="696"/>
      <c r="R141" s="696"/>
      <c r="S141" s="696"/>
      <c r="T141" s="696"/>
      <c r="U141" s="16"/>
      <c r="V141" s="16"/>
      <c r="W141" s="16"/>
      <c r="X141" s="16"/>
      <c r="Y141" s="16"/>
      <c r="Z141" s="16"/>
      <c r="AA141" s="16"/>
      <c r="AB141" s="16"/>
      <c r="AC141" s="16"/>
      <c r="AD141" s="16"/>
    </row>
    <row r="142" spans="1:30" ht="15.75" customHeight="1">
      <c r="A142" s="16"/>
      <c r="B142" s="16"/>
      <c r="C142" s="16"/>
      <c r="D142" s="16"/>
      <c r="E142" s="16"/>
      <c r="F142" s="16"/>
      <c r="G142" s="16"/>
      <c r="H142" s="16"/>
      <c r="I142" s="16"/>
      <c r="J142" s="16"/>
      <c r="K142" s="16"/>
      <c r="L142" s="16"/>
      <c r="M142" s="735"/>
      <c r="N142" s="696"/>
      <c r="O142" s="696"/>
      <c r="P142" s="696"/>
      <c r="Q142" s="696"/>
      <c r="R142" s="696"/>
      <c r="S142" s="696"/>
      <c r="T142" s="696"/>
      <c r="U142" s="16"/>
      <c r="V142" s="16"/>
      <c r="W142" s="16"/>
      <c r="X142" s="16"/>
      <c r="Y142" s="16"/>
      <c r="Z142" s="16"/>
      <c r="AA142" s="16"/>
      <c r="AB142" s="16"/>
      <c r="AC142" s="16"/>
      <c r="AD142" s="16"/>
    </row>
    <row r="143" spans="1:30" ht="15.75" customHeight="1">
      <c r="A143" s="16"/>
      <c r="B143" s="16"/>
      <c r="C143" s="16"/>
      <c r="D143" s="16"/>
      <c r="E143" s="16"/>
      <c r="F143" s="16"/>
      <c r="G143" s="16"/>
      <c r="H143" s="16"/>
      <c r="I143" s="16"/>
      <c r="J143" s="16"/>
      <c r="K143" s="16"/>
      <c r="L143" s="16"/>
      <c r="M143" s="735"/>
      <c r="N143" s="696"/>
      <c r="O143" s="696"/>
      <c r="P143" s="696"/>
      <c r="Q143" s="696"/>
      <c r="R143" s="696"/>
      <c r="S143" s="696"/>
      <c r="T143" s="696"/>
      <c r="U143" s="16"/>
      <c r="V143" s="16"/>
      <c r="W143" s="16"/>
      <c r="X143" s="16"/>
      <c r="Y143" s="16"/>
      <c r="Z143" s="16"/>
      <c r="AA143" s="16"/>
      <c r="AB143" s="16"/>
      <c r="AC143" s="16"/>
      <c r="AD143" s="16"/>
    </row>
    <row r="144" spans="1:30" ht="15.75" customHeight="1">
      <c r="A144" s="16"/>
      <c r="B144" s="16"/>
      <c r="C144" s="16"/>
      <c r="D144" s="16"/>
      <c r="E144" s="16"/>
      <c r="F144" s="16"/>
      <c r="G144" s="16"/>
      <c r="H144" s="16"/>
      <c r="I144" s="16"/>
      <c r="J144" s="16"/>
      <c r="K144" s="16"/>
      <c r="L144" s="16"/>
      <c r="M144" s="735"/>
      <c r="N144" s="696"/>
      <c r="O144" s="696"/>
      <c r="P144" s="696"/>
      <c r="Q144" s="696"/>
      <c r="R144" s="696"/>
      <c r="S144" s="696"/>
      <c r="T144" s="696"/>
      <c r="U144" s="16"/>
      <c r="V144" s="16"/>
      <c r="W144" s="16"/>
      <c r="X144" s="16"/>
      <c r="Y144" s="16"/>
      <c r="Z144" s="16"/>
      <c r="AA144" s="16"/>
      <c r="AB144" s="16"/>
      <c r="AC144" s="16"/>
      <c r="AD144" s="16"/>
    </row>
    <row r="145" spans="1:30" ht="15.75" customHeight="1">
      <c r="A145" s="16"/>
      <c r="B145" s="16"/>
      <c r="C145" s="16"/>
      <c r="D145" s="16"/>
      <c r="E145" s="16"/>
      <c r="F145" s="16"/>
      <c r="G145" s="16"/>
      <c r="H145" s="16"/>
      <c r="I145" s="16"/>
      <c r="J145" s="16"/>
      <c r="K145" s="16"/>
      <c r="L145" s="16"/>
      <c r="M145" s="735"/>
      <c r="N145" s="696"/>
      <c r="O145" s="696"/>
      <c r="P145" s="696"/>
      <c r="Q145" s="696"/>
      <c r="R145" s="696"/>
      <c r="S145" s="696"/>
      <c r="T145" s="696"/>
      <c r="U145" s="16"/>
      <c r="V145" s="16"/>
      <c r="W145" s="16"/>
      <c r="X145" s="16"/>
      <c r="Y145" s="16"/>
      <c r="Z145" s="16"/>
      <c r="AA145" s="16"/>
      <c r="AB145" s="16"/>
      <c r="AC145" s="16"/>
      <c r="AD145" s="16"/>
    </row>
    <row r="146" spans="1:30" ht="15.75" customHeight="1">
      <c r="A146" s="16"/>
      <c r="B146" s="16"/>
      <c r="C146" s="16"/>
      <c r="D146" s="16"/>
      <c r="E146" s="16"/>
      <c r="F146" s="16"/>
      <c r="G146" s="16"/>
      <c r="H146" s="16"/>
      <c r="I146" s="16"/>
      <c r="J146" s="16"/>
      <c r="K146" s="16"/>
      <c r="L146" s="16"/>
      <c r="M146" s="735"/>
      <c r="N146" s="696"/>
      <c r="O146" s="696"/>
      <c r="P146" s="696"/>
      <c r="Q146" s="696"/>
      <c r="R146" s="696"/>
      <c r="S146" s="696"/>
      <c r="T146" s="696"/>
      <c r="U146" s="16"/>
      <c r="V146" s="16"/>
      <c r="W146" s="16"/>
      <c r="X146" s="16"/>
      <c r="Y146" s="16"/>
      <c r="Z146" s="16"/>
      <c r="AA146" s="16"/>
      <c r="AB146" s="16"/>
      <c r="AC146" s="16"/>
      <c r="AD146" s="16"/>
    </row>
    <row r="147" spans="1:30" ht="15.75" customHeight="1">
      <c r="A147" s="16"/>
      <c r="B147" s="16"/>
      <c r="C147" s="16"/>
      <c r="D147" s="16"/>
      <c r="E147" s="16"/>
      <c r="F147" s="16"/>
      <c r="G147" s="16"/>
      <c r="H147" s="16"/>
      <c r="I147" s="16"/>
      <c r="J147" s="16"/>
      <c r="K147" s="16"/>
      <c r="L147" s="16"/>
      <c r="M147" s="735"/>
      <c r="N147" s="696"/>
      <c r="O147" s="696"/>
      <c r="P147" s="696"/>
      <c r="Q147" s="696"/>
      <c r="R147" s="696"/>
      <c r="S147" s="696"/>
      <c r="T147" s="696"/>
      <c r="U147" s="16"/>
      <c r="V147" s="16"/>
      <c r="W147" s="16"/>
      <c r="X147" s="16"/>
      <c r="Y147" s="16"/>
      <c r="Z147" s="16"/>
      <c r="AA147" s="16"/>
      <c r="AB147" s="16"/>
      <c r="AC147" s="16"/>
      <c r="AD147" s="16"/>
    </row>
    <row r="148" spans="1:30" ht="15.75" customHeight="1">
      <c r="A148" s="16"/>
      <c r="B148" s="16"/>
      <c r="C148" s="16"/>
      <c r="D148" s="16"/>
      <c r="E148" s="16"/>
      <c r="F148" s="16"/>
      <c r="G148" s="16"/>
      <c r="H148" s="16"/>
      <c r="I148" s="16"/>
      <c r="J148" s="16"/>
      <c r="K148" s="16"/>
      <c r="L148" s="16"/>
      <c r="M148" s="735"/>
      <c r="N148" s="696"/>
      <c r="O148" s="696"/>
      <c r="P148" s="696"/>
      <c r="Q148" s="696"/>
      <c r="R148" s="696"/>
      <c r="S148" s="696"/>
      <c r="T148" s="696"/>
      <c r="U148" s="16"/>
      <c r="V148" s="16"/>
      <c r="W148" s="16"/>
      <c r="X148" s="16"/>
      <c r="Y148" s="16"/>
      <c r="Z148" s="16"/>
      <c r="AA148" s="16"/>
      <c r="AB148" s="16"/>
      <c r="AC148" s="16"/>
      <c r="AD148" s="16"/>
    </row>
    <row r="149" spans="1:30" ht="15.75" customHeight="1">
      <c r="A149" s="16"/>
      <c r="B149" s="16"/>
      <c r="C149" s="16"/>
      <c r="D149" s="16"/>
      <c r="E149" s="16"/>
      <c r="F149" s="16"/>
      <c r="G149" s="16"/>
      <c r="H149" s="16"/>
      <c r="I149" s="16"/>
      <c r="J149" s="16"/>
      <c r="K149" s="16"/>
      <c r="L149" s="16"/>
      <c r="M149" s="735"/>
      <c r="N149" s="696"/>
      <c r="O149" s="696"/>
      <c r="P149" s="696"/>
      <c r="Q149" s="696"/>
      <c r="R149" s="696"/>
      <c r="S149" s="696"/>
      <c r="T149" s="696"/>
      <c r="U149" s="16"/>
      <c r="V149" s="16"/>
      <c r="W149" s="16"/>
      <c r="X149" s="16"/>
      <c r="Y149" s="16"/>
      <c r="Z149" s="16"/>
      <c r="AA149" s="16"/>
      <c r="AB149" s="16"/>
      <c r="AC149" s="16"/>
      <c r="AD149" s="16"/>
    </row>
    <row r="150" spans="1:30" ht="15.75" customHeight="1">
      <c r="A150" s="16"/>
      <c r="B150" s="16"/>
      <c r="C150" s="16"/>
      <c r="D150" s="16"/>
      <c r="E150" s="16"/>
      <c r="F150" s="16"/>
      <c r="G150" s="16"/>
      <c r="H150" s="16"/>
      <c r="I150" s="16"/>
      <c r="J150" s="16"/>
      <c r="K150" s="16"/>
      <c r="L150" s="16"/>
      <c r="M150" s="735"/>
      <c r="N150" s="696"/>
      <c r="O150" s="696"/>
      <c r="P150" s="696"/>
      <c r="Q150" s="696"/>
      <c r="R150" s="696"/>
      <c r="S150" s="696"/>
      <c r="T150" s="696"/>
      <c r="U150" s="16"/>
      <c r="V150" s="16"/>
      <c r="W150" s="16"/>
      <c r="X150" s="16"/>
      <c r="Y150" s="16"/>
      <c r="Z150" s="16"/>
      <c r="AA150" s="16"/>
      <c r="AB150" s="16"/>
      <c r="AC150" s="16"/>
      <c r="AD150" s="16"/>
    </row>
    <row r="151" spans="1:30" ht="15.75" customHeight="1">
      <c r="A151" s="16"/>
      <c r="B151" s="16"/>
      <c r="C151" s="16"/>
      <c r="D151" s="16"/>
      <c r="E151" s="16"/>
      <c r="F151" s="16"/>
      <c r="G151" s="16"/>
      <c r="H151" s="16"/>
      <c r="I151" s="16"/>
      <c r="J151" s="16"/>
      <c r="K151" s="16"/>
      <c r="L151" s="16"/>
      <c r="M151" s="735"/>
      <c r="N151" s="696"/>
      <c r="O151" s="696"/>
      <c r="P151" s="696"/>
      <c r="Q151" s="696"/>
      <c r="R151" s="696"/>
      <c r="S151" s="696"/>
      <c r="T151" s="696"/>
      <c r="U151" s="16"/>
      <c r="V151" s="16"/>
      <c r="W151" s="16"/>
      <c r="X151" s="16"/>
      <c r="Y151" s="16"/>
      <c r="Z151" s="16"/>
      <c r="AA151" s="16"/>
      <c r="AB151" s="16"/>
      <c r="AC151" s="16"/>
      <c r="AD151" s="16"/>
    </row>
    <row r="152" spans="1:30" ht="15.75" customHeight="1">
      <c r="A152" s="16"/>
      <c r="B152" s="16"/>
      <c r="C152" s="16"/>
      <c r="D152" s="16"/>
      <c r="E152" s="16"/>
      <c r="F152" s="16"/>
      <c r="G152" s="16"/>
      <c r="H152" s="16"/>
      <c r="I152" s="16"/>
      <c r="J152" s="16"/>
      <c r="K152" s="16"/>
      <c r="L152" s="16"/>
      <c r="M152" s="735"/>
      <c r="N152" s="696"/>
      <c r="O152" s="696"/>
      <c r="P152" s="696"/>
      <c r="Q152" s="696"/>
      <c r="R152" s="696"/>
      <c r="S152" s="696"/>
      <c r="T152" s="696"/>
      <c r="U152" s="16"/>
      <c r="V152" s="16"/>
      <c r="W152" s="16"/>
      <c r="X152" s="16"/>
      <c r="Y152" s="16"/>
      <c r="Z152" s="16"/>
      <c r="AA152" s="16"/>
      <c r="AB152" s="16"/>
      <c r="AC152" s="16"/>
      <c r="AD152" s="16"/>
    </row>
    <row r="153" spans="1:30" ht="15.75" customHeight="1">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c r="AA153" s="16"/>
      <c r="AB153" s="16"/>
      <c r="AC153" s="16"/>
      <c r="AD153" s="16"/>
    </row>
    <row r="154" spans="1:30" ht="15.75" customHeight="1">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c r="AA154" s="16"/>
      <c r="AB154" s="16"/>
      <c r="AC154" s="16"/>
      <c r="AD154" s="16"/>
    </row>
    <row r="155" spans="1:30" ht="15.75" customHeight="1">
      <c r="A155" s="16"/>
      <c r="B155" s="735"/>
      <c r="C155" s="696"/>
      <c r="D155" s="16"/>
      <c r="E155" s="16"/>
      <c r="F155" s="16"/>
      <c r="G155" s="16"/>
      <c r="H155" s="16"/>
      <c r="I155" s="16"/>
      <c r="J155" s="16"/>
      <c r="K155" s="16"/>
      <c r="L155" s="16"/>
      <c r="M155" s="735"/>
      <c r="N155" s="696"/>
      <c r="O155" s="696"/>
      <c r="P155" s="735"/>
      <c r="Q155" s="696"/>
      <c r="R155" s="696"/>
      <c r="S155" s="696"/>
      <c r="T155" s="696"/>
      <c r="U155" s="16"/>
      <c r="V155" s="16"/>
      <c r="W155" s="16"/>
      <c r="X155" s="16"/>
      <c r="Y155" s="16"/>
      <c r="Z155" s="16"/>
      <c r="AA155" s="16"/>
      <c r="AB155" s="16"/>
      <c r="AC155" s="16"/>
      <c r="AD155" s="16"/>
    </row>
    <row r="156" spans="1:30" ht="15.75" customHeight="1">
      <c r="A156" s="16"/>
      <c r="B156" s="735"/>
      <c r="C156" s="696"/>
      <c r="D156" s="16"/>
      <c r="E156" s="16"/>
      <c r="F156" s="16"/>
      <c r="G156" s="16"/>
      <c r="H156" s="16"/>
      <c r="I156" s="16"/>
      <c r="J156" s="16"/>
      <c r="K156" s="16"/>
      <c r="L156" s="16"/>
      <c r="M156" s="735"/>
      <c r="N156" s="696"/>
      <c r="O156" s="696"/>
      <c r="P156" s="735"/>
      <c r="Q156" s="696"/>
      <c r="R156" s="696"/>
      <c r="S156" s="696"/>
      <c r="T156" s="696"/>
      <c r="U156" s="16"/>
      <c r="V156" s="16"/>
      <c r="W156" s="16"/>
      <c r="X156" s="16"/>
      <c r="Y156" s="16"/>
      <c r="Z156" s="16"/>
      <c r="AA156" s="16"/>
      <c r="AB156" s="16"/>
      <c r="AC156" s="16"/>
      <c r="AD156" s="16"/>
    </row>
    <row r="157" spans="1:30" ht="15.75" customHeight="1">
      <c r="A157" s="16"/>
      <c r="B157" s="735"/>
      <c r="C157" s="696"/>
      <c r="D157" s="16"/>
      <c r="E157" s="16"/>
      <c r="F157" s="16"/>
      <c r="G157" s="16"/>
      <c r="H157" s="16"/>
      <c r="I157" s="16"/>
      <c r="J157" s="16"/>
      <c r="K157" s="16"/>
      <c r="L157" s="16"/>
      <c r="M157" s="735"/>
      <c r="N157" s="696"/>
      <c r="O157" s="696"/>
      <c r="P157" s="696"/>
      <c r="Q157" s="696"/>
      <c r="R157" s="696"/>
      <c r="S157" s="696"/>
      <c r="T157" s="696"/>
      <c r="U157" s="16"/>
      <c r="V157" s="16"/>
      <c r="W157" s="16"/>
      <c r="X157" s="16"/>
      <c r="Y157" s="16"/>
      <c r="Z157" s="16"/>
      <c r="AA157" s="16"/>
      <c r="AB157" s="16"/>
      <c r="AC157" s="16"/>
      <c r="AD157" s="16"/>
    </row>
    <row r="158" spans="1:30" ht="15.75" customHeight="1">
      <c r="A158" s="16"/>
      <c r="B158" s="735"/>
      <c r="C158" s="696"/>
      <c r="D158" s="16"/>
      <c r="E158" s="16"/>
      <c r="F158" s="16"/>
      <c r="G158" s="16"/>
      <c r="H158" s="16"/>
      <c r="I158" s="16"/>
      <c r="J158" s="16"/>
      <c r="K158" s="16"/>
      <c r="L158" s="16"/>
      <c r="M158" s="735"/>
      <c r="N158" s="696"/>
      <c r="O158" s="696"/>
      <c r="P158" s="696"/>
      <c r="Q158" s="696"/>
      <c r="R158" s="696"/>
      <c r="S158" s="696"/>
      <c r="T158" s="696"/>
      <c r="U158" s="16"/>
      <c r="V158" s="16"/>
      <c r="W158" s="16"/>
      <c r="X158" s="16"/>
      <c r="Y158" s="16"/>
      <c r="Z158" s="16"/>
      <c r="AA158" s="16"/>
      <c r="AB158" s="16"/>
      <c r="AC158" s="16"/>
      <c r="AD158" s="16"/>
    </row>
    <row r="159" spans="1:30" ht="15.75" customHeight="1">
      <c r="A159" s="16"/>
      <c r="B159" s="735"/>
      <c r="C159" s="696"/>
      <c r="D159" s="16"/>
      <c r="E159" s="16"/>
      <c r="F159" s="16"/>
      <c r="G159" s="16"/>
      <c r="H159" s="16"/>
      <c r="I159" s="16"/>
      <c r="J159" s="16"/>
      <c r="K159" s="16"/>
      <c r="L159" s="16"/>
      <c r="M159" s="735"/>
      <c r="N159" s="696"/>
      <c r="O159" s="696"/>
      <c r="P159" s="696"/>
      <c r="Q159" s="696"/>
      <c r="R159" s="696"/>
      <c r="S159" s="696"/>
      <c r="T159" s="696"/>
      <c r="U159" s="16"/>
      <c r="V159" s="16"/>
      <c r="W159" s="16"/>
      <c r="X159" s="16"/>
      <c r="Y159" s="16"/>
      <c r="Z159" s="16"/>
      <c r="AA159" s="16"/>
      <c r="AB159" s="16"/>
      <c r="AC159" s="16"/>
      <c r="AD159" s="16"/>
    </row>
    <row r="160" spans="1:30" ht="15.75" customHeight="1">
      <c r="A160" s="16"/>
      <c r="B160" s="735"/>
      <c r="C160" s="696"/>
      <c r="D160" s="16"/>
      <c r="E160" s="16"/>
      <c r="F160" s="16"/>
      <c r="G160" s="16"/>
      <c r="H160" s="16"/>
      <c r="I160" s="16"/>
      <c r="J160" s="16"/>
      <c r="K160" s="16"/>
      <c r="L160" s="16"/>
      <c r="M160" s="735"/>
      <c r="N160" s="696"/>
      <c r="O160" s="696"/>
      <c r="P160" s="696"/>
      <c r="Q160" s="696"/>
      <c r="R160" s="696"/>
      <c r="S160" s="696"/>
      <c r="T160" s="696"/>
      <c r="U160" s="16"/>
      <c r="V160" s="16"/>
      <c r="W160" s="16"/>
      <c r="X160" s="16"/>
      <c r="Y160" s="16"/>
      <c r="Z160" s="16"/>
      <c r="AA160" s="16"/>
      <c r="AB160" s="16"/>
      <c r="AC160" s="16"/>
      <c r="AD160" s="16"/>
    </row>
    <row r="161" spans="1:30" ht="15.75" customHeight="1">
      <c r="A161" s="16"/>
      <c r="B161" s="735"/>
      <c r="C161" s="696"/>
      <c r="D161" s="16"/>
      <c r="E161" s="16"/>
      <c r="F161" s="16"/>
      <c r="G161" s="16"/>
      <c r="H161" s="16"/>
      <c r="I161" s="16"/>
      <c r="J161" s="16"/>
      <c r="K161" s="16"/>
      <c r="L161" s="16"/>
      <c r="M161" s="735"/>
      <c r="N161" s="696"/>
      <c r="O161" s="696"/>
      <c r="P161" s="696"/>
      <c r="Q161" s="696"/>
      <c r="R161" s="696"/>
      <c r="S161" s="696"/>
      <c r="T161" s="696"/>
      <c r="U161" s="16"/>
      <c r="V161" s="16"/>
      <c r="W161" s="16"/>
      <c r="X161" s="16"/>
      <c r="Y161" s="16"/>
      <c r="Z161" s="16"/>
      <c r="AA161" s="16"/>
      <c r="AB161" s="16"/>
      <c r="AC161" s="16"/>
      <c r="AD161" s="16"/>
    </row>
    <row r="162" spans="1:30" ht="15.75" customHeight="1">
      <c r="A162" s="16"/>
      <c r="B162" s="735"/>
      <c r="C162" s="696"/>
      <c r="D162" s="16"/>
      <c r="E162" s="16"/>
      <c r="F162" s="16"/>
      <c r="G162" s="16"/>
      <c r="H162" s="16"/>
      <c r="I162" s="16"/>
      <c r="J162" s="16"/>
      <c r="K162" s="16"/>
      <c r="L162" s="16"/>
      <c r="M162" s="735"/>
      <c r="N162" s="696"/>
      <c r="O162" s="696"/>
      <c r="P162" s="696"/>
      <c r="Q162" s="696"/>
      <c r="R162" s="696"/>
      <c r="S162" s="696"/>
      <c r="T162" s="696"/>
      <c r="U162" s="16"/>
      <c r="V162" s="16"/>
      <c r="W162" s="16"/>
      <c r="X162" s="16"/>
      <c r="Y162" s="16"/>
      <c r="Z162" s="16"/>
      <c r="AA162" s="16"/>
      <c r="AB162" s="16"/>
      <c r="AC162" s="16"/>
      <c r="AD162" s="16"/>
    </row>
    <row r="163" spans="1:30" ht="15.75" customHeight="1">
      <c r="A163" s="16"/>
      <c r="B163" s="735"/>
      <c r="C163" s="696"/>
      <c r="D163" s="16"/>
      <c r="E163" s="16"/>
      <c r="F163" s="16"/>
      <c r="G163" s="16"/>
      <c r="H163" s="16"/>
      <c r="I163" s="16"/>
      <c r="J163" s="16"/>
      <c r="K163" s="16"/>
      <c r="L163" s="16"/>
      <c r="M163" s="735"/>
      <c r="N163" s="696"/>
      <c r="O163" s="696"/>
      <c r="P163" s="696"/>
      <c r="Q163" s="696"/>
      <c r="R163" s="696"/>
      <c r="S163" s="696"/>
      <c r="T163" s="696"/>
      <c r="U163" s="16"/>
      <c r="V163" s="16"/>
      <c r="W163" s="16"/>
      <c r="X163" s="16"/>
      <c r="Y163" s="16"/>
      <c r="Z163" s="16"/>
      <c r="AA163" s="16"/>
      <c r="AB163" s="16"/>
      <c r="AC163" s="16"/>
      <c r="AD163" s="16"/>
    </row>
    <row r="164" spans="1:30" ht="15.75" customHeight="1">
      <c r="A164" s="16"/>
      <c r="B164" s="735"/>
      <c r="C164" s="696"/>
      <c r="D164" s="16"/>
      <c r="E164" s="16"/>
      <c r="F164" s="16"/>
      <c r="G164" s="16"/>
      <c r="H164" s="16"/>
      <c r="I164" s="16"/>
      <c r="J164" s="16"/>
      <c r="K164" s="16"/>
      <c r="L164" s="16"/>
      <c r="M164" s="735"/>
      <c r="N164" s="696"/>
      <c r="O164" s="696"/>
      <c r="P164" s="696"/>
      <c r="Q164" s="696"/>
      <c r="R164" s="696"/>
      <c r="S164" s="696"/>
      <c r="T164" s="696"/>
      <c r="U164" s="16"/>
      <c r="V164" s="16"/>
      <c r="W164" s="16"/>
      <c r="X164" s="16"/>
      <c r="Y164" s="16"/>
      <c r="Z164" s="16"/>
      <c r="AA164" s="16"/>
      <c r="AB164" s="16"/>
      <c r="AC164" s="16"/>
      <c r="AD164" s="16"/>
    </row>
    <row r="165" spans="1:30" ht="15.75" customHeight="1">
      <c r="A165" s="16"/>
      <c r="B165" s="735"/>
      <c r="C165" s="696"/>
      <c r="D165" s="16"/>
      <c r="E165" s="16"/>
      <c r="F165" s="16"/>
      <c r="G165" s="16"/>
      <c r="H165" s="16"/>
      <c r="I165" s="16"/>
      <c r="J165" s="16"/>
      <c r="K165" s="16"/>
      <c r="L165" s="16"/>
      <c r="M165" s="735"/>
      <c r="N165" s="696"/>
      <c r="O165" s="696"/>
      <c r="P165" s="696"/>
      <c r="Q165" s="696"/>
      <c r="R165" s="696"/>
      <c r="S165" s="696"/>
      <c r="T165" s="696"/>
      <c r="U165" s="16"/>
      <c r="V165" s="16"/>
      <c r="W165" s="16"/>
      <c r="X165" s="16"/>
      <c r="Y165" s="16"/>
      <c r="Z165" s="16"/>
      <c r="AA165" s="16"/>
      <c r="AB165" s="16"/>
      <c r="AC165" s="16"/>
      <c r="AD165" s="16"/>
    </row>
    <row r="166" spans="1:30" ht="15.75" customHeight="1">
      <c r="A166" s="16"/>
      <c r="B166" s="735"/>
      <c r="C166" s="696"/>
      <c r="D166" s="16"/>
      <c r="E166" s="16"/>
      <c r="F166" s="16"/>
      <c r="G166" s="16"/>
      <c r="H166" s="16"/>
      <c r="I166" s="16"/>
      <c r="J166" s="16"/>
      <c r="K166" s="16"/>
      <c r="L166" s="16"/>
      <c r="M166" s="735"/>
      <c r="N166" s="696"/>
      <c r="O166" s="696"/>
      <c r="P166" s="696"/>
      <c r="Q166" s="696"/>
      <c r="R166" s="696"/>
      <c r="S166" s="696"/>
      <c r="T166" s="696"/>
      <c r="U166" s="16"/>
      <c r="V166" s="16"/>
      <c r="W166" s="16"/>
      <c r="X166" s="16"/>
      <c r="Y166" s="16"/>
      <c r="Z166" s="16"/>
      <c r="AA166" s="16"/>
      <c r="AB166" s="16"/>
      <c r="AC166" s="16"/>
      <c r="AD166" s="16"/>
    </row>
    <row r="167" spans="1:30" ht="15.75" customHeight="1">
      <c r="A167" s="16"/>
      <c r="B167" s="735"/>
      <c r="C167" s="696"/>
      <c r="D167" s="16"/>
      <c r="E167" s="16"/>
      <c r="F167" s="16"/>
      <c r="G167" s="16"/>
      <c r="H167" s="16"/>
      <c r="I167" s="16"/>
      <c r="J167" s="16"/>
      <c r="K167" s="16"/>
      <c r="L167" s="16"/>
      <c r="M167" s="735"/>
      <c r="N167" s="696"/>
      <c r="O167" s="696"/>
      <c r="P167" s="696"/>
      <c r="Q167" s="696"/>
      <c r="R167" s="696"/>
      <c r="S167" s="696"/>
      <c r="T167" s="696"/>
      <c r="U167" s="16"/>
      <c r="V167" s="16"/>
      <c r="W167" s="16"/>
      <c r="X167" s="16"/>
      <c r="Y167" s="16"/>
      <c r="Z167" s="16"/>
      <c r="AA167" s="16"/>
      <c r="AB167" s="16"/>
      <c r="AC167" s="16"/>
      <c r="AD167" s="16"/>
    </row>
    <row r="168" spans="1:30" ht="15.75" customHeight="1">
      <c r="A168" s="16"/>
      <c r="B168" s="735"/>
      <c r="C168" s="696"/>
      <c r="D168" s="16"/>
      <c r="E168" s="16"/>
      <c r="F168" s="16"/>
      <c r="G168" s="16"/>
      <c r="H168" s="16"/>
      <c r="I168" s="16"/>
      <c r="J168" s="16"/>
      <c r="K168" s="16"/>
      <c r="L168" s="16"/>
      <c r="M168" s="735"/>
      <c r="N168" s="696"/>
      <c r="O168" s="696"/>
      <c r="P168" s="696"/>
      <c r="Q168" s="696"/>
      <c r="R168" s="696"/>
      <c r="S168" s="696"/>
      <c r="T168" s="696"/>
      <c r="U168" s="16"/>
      <c r="V168" s="16"/>
      <c r="W168" s="16"/>
      <c r="X168" s="16"/>
      <c r="Y168" s="16"/>
      <c r="Z168" s="16"/>
      <c r="AA168" s="16"/>
      <c r="AB168" s="16"/>
      <c r="AC168" s="16"/>
      <c r="AD168" s="16"/>
    </row>
    <row r="169" spans="1:30" ht="15.75" customHeight="1">
      <c r="A169" s="16"/>
      <c r="B169" s="735"/>
      <c r="C169" s="696"/>
      <c r="D169" s="16"/>
      <c r="E169" s="16"/>
      <c r="F169" s="16"/>
      <c r="G169" s="16"/>
      <c r="H169" s="16"/>
      <c r="I169" s="16"/>
      <c r="J169" s="16"/>
      <c r="K169" s="16"/>
      <c r="L169" s="16"/>
      <c r="M169" s="735"/>
      <c r="N169" s="696"/>
      <c r="O169" s="696"/>
      <c r="P169" s="696"/>
      <c r="Q169" s="696"/>
      <c r="R169" s="696"/>
      <c r="S169" s="696"/>
      <c r="T169" s="696"/>
      <c r="U169" s="16"/>
      <c r="V169" s="16"/>
      <c r="W169" s="16"/>
      <c r="X169" s="16"/>
      <c r="Y169" s="16"/>
      <c r="Z169" s="16"/>
      <c r="AA169" s="16"/>
      <c r="AB169" s="16"/>
      <c r="AC169" s="16"/>
      <c r="AD169" s="16"/>
    </row>
    <row r="170" spans="1:30" ht="15.75" customHeight="1">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c r="AA170" s="16"/>
      <c r="AB170" s="16"/>
      <c r="AC170" s="16"/>
      <c r="AD170" s="16"/>
    </row>
    <row r="171" spans="1:30" ht="15.75" customHeight="1">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c r="AA171" s="16"/>
      <c r="AB171" s="16"/>
      <c r="AC171" s="16"/>
      <c r="AD171" s="16"/>
    </row>
    <row r="172" spans="1:30" ht="15.75" customHeight="1">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row>
    <row r="173" spans="1:30" ht="15.75" customHeight="1">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c r="AC173" s="16"/>
      <c r="AD173" s="16"/>
    </row>
    <row r="174" spans="1:30" ht="15.75" customHeight="1">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c r="AC174" s="16"/>
      <c r="AD174" s="16"/>
    </row>
    <row r="175" spans="1:30" ht="15.75" customHeight="1">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c r="AA175" s="16"/>
      <c r="AB175" s="16"/>
      <c r="AC175" s="16"/>
      <c r="AD175" s="16"/>
    </row>
    <row r="176" spans="1:30" ht="15.75" customHeight="1">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c r="AD176" s="16"/>
    </row>
    <row r="177" spans="1:30" ht="15.75" customHeight="1">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c r="AD177" s="16"/>
    </row>
    <row r="178" spans="1:30" ht="15.75" customHeight="1">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c r="AA178" s="16"/>
      <c r="AB178" s="16"/>
      <c r="AC178" s="16"/>
      <c r="AD178" s="16"/>
    </row>
    <row r="179" spans="1:30" ht="15.75" customHeight="1">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c r="AD179" s="16"/>
    </row>
    <row r="180" spans="1:30" ht="15.75" customHeight="1">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c r="AD180" s="16"/>
    </row>
    <row r="181" spans="1:30" ht="15.75" customHeight="1">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c r="AD181" s="16"/>
    </row>
    <row r="182" spans="1:30" ht="15.75" customHeight="1">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c r="AD182" s="16"/>
    </row>
    <row r="183" spans="1:30" ht="15.75" customHeight="1">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c r="AD183" s="16"/>
    </row>
    <row r="184" spans="1:30" ht="15.75" customHeight="1">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c r="AD184" s="16"/>
    </row>
    <row r="185" spans="1:30" ht="15.75" customHeight="1">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c r="AD185" s="16"/>
    </row>
    <row r="186" spans="1:30" ht="15.75" customHeight="1">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c r="AD186" s="16"/>
    </row>
    <row r="187" spans="1:30" ht="15.75" customHeight="1">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16"/>
      <c r="AB187" s="16"/>
      <c r="AC187" s="16"/>
      <c r="AD187" s="16"/>
    </row>
    <row r="188" spans="1:30" ht="15.75" customHeight="1">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c r="AD188" s="16"/>
    </row>
    <row r="189" spans="1:30" ht="15.75" customHeight="1">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c r="AD189" s="16"/>
    </row>
    <row r="190" spans="1:30" ht="15.75" customHeight="1">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c r="AD190" s="16"/>
    </row>
    <row r="191" spans="1:30" ht="15.75" customHeight="1">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c r="AD191" s="16"/>
    </row>
    <row r="192" spans="1:30" ht="15.75" customHeight="1">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c r="AD192" s="16"/>
    </row>
    <row r="193" spans="1:30" ht="15.75" customHeight="1">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c r="AA193" s="16"/>
      <c r="AB193" s="16"/>
      <c r="AC193" s="16"/>
      <c r="AD193" s="16"/>
    </row>
    <row r="194" spans="1:30" ht="15.75" customHeight="1">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c r="AA194" s="16"/>
      <c r="AB194" s="16"/>
      <c r="AC194" s="16"/>
      <c r="AD194" s="16"/>
    </row>
    <row r="195" spans="1:30" ht="15.75" customHeight="1">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c r="AA195" s="16"/>
      <c r="AB195" s="16"/>
      <c r="AC195" s="16"/>
      <c r="AD195" s="16"/>
    </row>
    <row r="196" spans="1:30" ht="15.75" customHeight="1">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c r="AA196" s="16"/>
      <c r="AB196" s="16"/>
      <c r="AC196" s="16"/>
      <c r="AD196" s="16"/>
    </row>
    <row r="197" spans="1:30" ht="15.75" customHeight="1">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c r="AD197" s="16"/>
    </row>
    <row r="198" spans="1:30" ht="15.75" customHeight="1">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c r="AD198" s="16"/>
    </row>
    <row r="199" spans="1:30" ht="15.75" customHeight="1">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c r="AA199" s="16"/>
      <c r="AB199" s="16"/>
      <c r="AC199" s="16"/>
      <c r="AD199" s="16"/>
    </row>
    <row r="200" spans="1:30" ht="15.75" customHeight="1">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c r="AA200" s="16"/>
      <c r="AB200" s="16"/>
      <c r="AC200" s="16"/>
      <c r="AD200" s="16"/>
    </row>
    <row r="201" spans="1:30" ht="15.75" customHeight="1">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c r="AD201" s="16"/>
    </row>
    <row r="202" spans="1:30" ht="15.75" customHeight="1">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c r="AD202" s="16"/>
    </row>
    <row r="203" spans="1:30" ht="15.75" customHeight="1">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c r="AA203" s="16"/>
      <c r="AB203" s="16"/>
      <c r="AC203" s="16"/>
      <c r="AD203" s="16"/>
    </row>
    <row r="204" spans="1:30" ht="15.75" customHeight="1">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c r="AA204" s="16"/>
      <c r="AB204" s="16"/>
      <c r="AC204" s="16"/>
      <c r="AD204" s="16"/>
    </row>
    <row r="205" spans="1:30" ht="15.75" customHeight="1">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c r="AD205" s="16"/>
    </row>
    <row r="206" spans="1:30" ht="15.75" customHeight="1">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row>
    <row r="207" spans="1:30" ht="15.75" customHeight="1">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c r="AD207" s="16"/>
    </row>
    <row r="208" spans="1:30" ht="15.75" customHeight="1">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c r="AD208" s="16"/>
    </row>
    <row r="209" spans="1:30" ht="15.75" customHeight="1">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c r="AD209" s="16"/>
    </row>
    <row r="210" spans="1:30" ht="15.75" customHeight="1">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c r="AD210" s="16"/>
    </row>
    <row r="211" spans="1:30" ht="15.75" customHeight="1">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row>
    <row r="212" spans="1:30" ht="15.75" customHeight="1">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c r="AD212" s="16"/>
    </row>
    <row r="213" spans="1:30" ht="15.75" customHeight="1">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c r="AD213" s="16"/>
    </row>
    <row r="214" spans="1:30" ht="15.75" customHeight="1">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row>
    <row r="215" spans="1:30" ht="15.75" customHeight="1">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c r="AD215" s="16"/>
    </row>
    <row r="216" spans="1:30" ht="15.75" customHeight="1">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c r="AD216" s="16"/>
    </row>
    <row r="217" spans="1:30" ht="15.75" customHeight="1">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c r="AD217" s="16"/>
    </row>
    <row r="218" spans="1:30" ht="15.75" customHeight="1">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c r="AD218" s="16"/>
    </row>
    <row r="219" spans="1:30" ht="15.75" customHeight="1">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c r="AD219" s="16"/>
    </row>
    <row r="220" spans="1:30" ht="15.75" customHeight="1">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c r="AD220" s="16"/>
    </row>
    <row r="221" spans="1:30" ht="15.75" customHeight="1">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row>
    <row r="222" spans="1:30" ht="15.75" customHeight="1">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row>
    <row r="223" spans="1:30" ht="15.75" customHeight="1">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c r="AD223" s="16"/>
    </row>
    <row r="224" spans="1:30" ht="15.75" customHeight="1">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c r="AD224" s="16"/>
    </row>
    <row r="225" spans="1:30" ht="15.75" customHeight="1">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16"/>
    </row>
    <row r="226" spans="1:30" ht="15.75" customHeight="1">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row>
    <row r="227" spans="1:30" ht="15.75" customHeight="1">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16"/>
    </row>
    <row r="228" spans="1:30" ht="15.75" customHeight="1">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c r="AD228" s="16"/>
    </row>
    <row r="229" spans="1:30" ht="15.75" customHeight="1">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c r="AD229" s="16"/>
    </row>
    <row r="230" spans="1:30" ht="15.75" customHeight="1">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row>
    <row r="231" spans="1:30" ht="15.75" customHeight="1">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c r="AD231" s="16"/>
    </row>
    <row r="232" spans="1:30" ht="15.75" customHeight="1">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c r="AD232" s="16"/>
    </row>
    <row r="233" spans="1:30" ht="15.75" customHeight="1">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c r="AD233" s="16"/>
    </row>
    <row r="234" spans="1:30" ht="15.75" customHeight="1">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c r="AD234" s="16"/>
    </row>
    <row r="235" spans="1:30" ht="15.75" customHeight="1">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row>
    <row r="236" spans="1:30" ht="15.75" customHeight="1">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c r="AD236" s="16"/>
    </row>
    <row r="237" spans="1:30" ht="15.75" customHeight="1">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c r="AD237" s="16"/>
    </row>
    <row r="238" spans="1:30" ht="15.75" customHeight="1">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c r="AD238" s="16"/>
    </row>
    <row r="239" spans="1:30" ht="15.75" customHeight="1">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c r="AD239" s="16"/>
    </row>
    <row r="240" spans="1:30" ht="15.75" customHeight="1">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c r="AD240" s="16"/>
    </row>
    <row r="241" spans="1:30" ht="15.75" customHeight="1">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c r="AD241" s="16"/>
    </row>
    <row r="242" spans="1:30" ht="15.75" customHeight="1">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c r="AD242" s="16"/>
    </row>
    <row r="243" spans="1:30" ht="15.75" customHeight="1">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c r="AD243" s="16"/>
    </row>
    <row r="244" spans="1:30" ht="15.75" customHeight="1">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16"/>
    </row>
    <row r="245" spans="1:30" ht="15.75" customHeight="1">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c r="AD245" s="16"/>
    </row>
    <row r="246" spans="1:30" ht="15.75" customHeight="1">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row>
    <row r="247" spans="1:30" ht="15.75" customHeight="1">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c r="AD247" s="16"/>
    </row>
    <row r="248" spans="1:30" ht="15.75" customHeight="1">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row>
    <row r="249" spans="1:30" ht="15.75" customHeight="1">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row>
    <row r="250" spans="1:30" ht="15.75" customHeight="1">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c r="AD250" s="16"/>
    </row>
    <row r="251" spans="1:30" ht="15.75" customHeight="1">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row>
    <row r="252" spans="1:30" ht="15.75" customHeight="1">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16"/>
    </row>
    <row r="253" spans="1:30" ht="15.75" customHeight="1">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c r="AD253" s="16"/>
    </row>
    <row r="254" spans="1:30" ht="15.75" customHeight="1">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row>
    <row r="255" spans="1:30" ht="15.75" customHeight="1">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c r="AD255" s="16"/>
    </row>
    <row r="256" spans="1:30" ht="15.75" customHeight="1">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row>
    <row r="257" spans="1:30" ht="15.75" customHeight="1">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c r="AD257" s="16"/>
    </row>
    <row r="258" spans="1:30" ht="15.75" customHeight="1">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c r="AD258" s="16"/>
    </row>
    <row r="259" spans="1:30" ht="15.75" customHeight="1">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row>
    <row r="260" spans="1:30" ht="15.75" customHeight="1">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row>
    <row r="261" spans="1:30" ht="15.75" customHeight="1">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c r="AD261" s="16"/>
    </row>
    <row r="262" spans="1:30" ht="15.75" customHeight="1">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row>
    <row r="263" spans="1:30" ht="15.75" customHeight="1">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row>
    <row r="264" spans="1:30" ht="15.75" customHeight="1">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c r="AD264" s="16"/>
    </row>
    <row r="265" spans="1:30" ht="15.75" customHeight="1">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row>
    <row r="266" spans="1:30" ht="15.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row>
    <row r="267" spans="1:30" ht="15.75" customHeight="1">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row>
    <row r="268" spans="1:30" ht="15.75" customHeight="1">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c r="AD268" s="16"/>
    </row>
    <row r="269" spans="1:30" ht="15.75" customHeight="1">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row>
    <row r="270" spans="1:30" ht="15.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row>
    <row r="271" spans="1:30" ht="15.75" customHeight="1">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c r="AD271" s="16"/>
    </row>
    <row r="272" spans="1:30" ht="15.75" customHeight="1">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c r="AD272" s="16"/>
    </row>
    <row r="273" spans="1:30" ht="15.75" customHeight="1">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c r="AD273" s="16"/>
    </row>
    <row r="274" spans="1:30" ht="15.75" customHeight="1">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c r="AD274" s="16"/>
    </row>
    <row r="275" spans="1:30" ht="15.75" customHeight="1">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c r="AD275" s="16"/>
    </row>
    <row r="276" spans="1:30" ht="15.75" customHeight="1">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row>
    <row r="277" spans="1:30" ht="15.75" customHeight="1">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16"/>
    </row>
    <row r="278" spans="1:30" ht="15.75" customHeight="1">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row>
    <row r="279" spans="1:30" ht="15.75" customHeight="1">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16"/>
    </row>
    <row r="280" spans="1:30" ht="15.75" customHeight="1">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c r="AD280" s="16"/>
    </row>
    <row r="281" spans="1:30" ht="15.75" customHeight="1">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c r="AD281" s="16"/>
    </row>
    <row r="282" spans="1:30" ht="15.75" customHeight="1">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c r="AD282" s="16"/>
    </row>
    <row r="283" spans="1:30" ht="15.75" customHeight="1">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c r="AD283" s="16"/>
    </row>
    <row r="284" spans="1:30" ht="15.75" customHeight="1">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c r="AD284" s="16"/>
    </row>
    <row r="285" spans="1:30" ht="15.75" customHeight="1">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c r="AD285" s="16"/>
    </row>
    <row r="286" spans="1:30" ht="15.75" customHeight="1">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row>
    <row r="287" spans="1:30" ht="15.75" customHeight="1">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row>
    <row r="288" spans="1:30" ht="15.75" customHeight="1">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row>
    <row r="289" spans="1:30" ht="15.75" customHeight="1">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row>
    <row r="290" spans="1:30" ht="15.75" customHeight="1">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row>
    <row r="291" spans="1:30" ht="15.75" customHeight="1">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c r="AD291" s="16"/>
    </row>
    <row r="292" spans="1:30" ht="15.75" customHeight="1">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row>
    <row r="293" spans="1:30" ht="15.75" customHeight="1">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row>
    <row r="294" spans="1:30" ht="15.75" customHeight="1">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row>
    <row r="295" spans="1:30" ht="15.75" customHeight="1">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row>
    <row r="296" spans="1:30" ht="15.75" customHeight="1">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row>
    <row r="297" spans="1:30" ht="15.75" customHeight="1">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row>
    <row r="298" spans="1:30" ht="15.75" customHeight="1">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row>
    <row r="299" spans="1:30" ht="15.75" customHeight="1">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row>
    <row r="300" spans="1:30" ht="15.75" customHeight="1">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row>
    <row r="301" spans="1:30" ht="15.75" customHeight="1">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c r="AD301" s="16"/>
    </row>
    <row r="302" spans="1:30" ht="15.75" customHeight="1">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c r="AD302" s="16"/>
    </row>
    <row r="303" spans="1:30" ht="15.75" customHeight="1">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row>
    <row r="304" spans="1:30" ht="15.75" customHeight="1">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c r="AD304" s="16"/>
    </row>
    <row r="305" spans="1:30" ht="15.75" customHeight="1">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c r="AD305" s="16"/>
    </row>
    <row r="306" spans="1:30" ht="15.75" customHeight="1"/>
    <row r="307" spans="1:30" ht="15.75" customHeight="1"/>
    <row r="308" spans="1:30" ht="15.75" customHeight="1"/>
    <row r="309" spans="1:30" ht="15.75" customHeight="1"/>
    <row r="310" spans="1:30" ht="15.75" customHeight="1"/>
    <row r="311" spans="1:30" ht="15.75" customHeight="1"/>
    <row r="312" spans="1:30" ht="15.75" customHeight="1"/>
    <row r="313" spans="1:30" ht="15.75" customHeight="1"/>
    <row r="314" spans="1:30" ht="15.75" customHeight="1"/>
    <row r="315" spans="1:30" ht="15.75" customHeight="1"/>
    <row r="316" spans="1:30" ht="15.75" customHeight="1"/>
    <row r="317" spans="1:30" ht="15.75" customHeight="1"/>
    <row r="318" spans="1:30" ht="15.75" customHeight="1"/>
    <row r="319" spans="1:30" ht="15.75" customHeight="1"/>
    <row r="320" spans="1:3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99">
    <mergeCell ref="K55:M67"/>
    <mergeCell ref="A30:F30"/>
    <mergeCell ref="A31:F31"/>
    <mergeCell ref="A32:F32"/>
    <mergeCell ref="A34:F34"/>
    <mergeCell ref="A29:F29"/>
    <mergeCell ref="A1:C1"/>
    <mergeCell ref="E1:H1"/>
    <mergeCell ref="D7:I7"/>
    <mergeCell ref="D8:I8"/>
    <mergeCell ref="A28:F28"/>
    <mergeCell ref="H92:I105"/>
    <mergeCell ref="J92:K105"/>
    <mergeCell ref="AG29:AH29"/>
    <mergeCell ref="AI29:AJ29"/>
    <mergeCell ref="AG30:AH40"/>
    <mergeCell ref="AI30:AJ40"/>
    <mergeCell ref="H37:J37"/>
    <mergeCell ref="K71:O87"/>
    <mergeCell ref="P71:Q87"/>
    <mergeCell ref="H91:I91"/>
    <mergeCell ref="J91:K91"/>
    <mergeCell ref="K70:O70"/>
    <mergeCell ref="H38:J42"/>
    <mergeCell ref="I45:K45"/>
    <mergeCell ref="I46:K50"/>
    <mergeCell ref="K54:M54"/>
    <mergeCell ref="P115:R115"/>
    <mergeCell ref="P70:Q70"/>
    <mergeCell ref="P116:R116"/>
    <mergeCell ref="P117:R117"/>
    <mergeCell ref="P118:R118"/>
    <mergeCell ref="P119:R119"/>
    <mergeCell ref="P120:R120"/>
    <mergeCell ref="M135:O135"/>
    <mergeCell ref="P121:R121"/>
    <mergeCell ref="M123:O123"/>
    <mergeCell ref="P123:T123"/>
    <mergeCell ref="M124:O124"/>
    <mergeCell ref="P124:T135"/>
    <mergeCell ref="M125:O125"/>
    <mergeCell ref="M126:O126"/>
    <mergeCell ref="M127:O127"/>
    <mergeCell ref="M128:O128"/>
    <mergeCell ref="M129:O129"/>
    <mergeCell ref="M130:O130"/>
    <mergeCell ref="M131:O131"/>
    <mergeCell ref="M132:O132"/>
    <mergeCell ref="M133:O133"/>
    <mergeCell ref="M134:O134"/>
    <mergeCell ref="M151:O151"/>
    <mergeCell ref="M138:O138"/>
    <mergeCell ref="P138:T138"/>
    <mergeCell ref="M139:O139"/>
    <mergeCell ref="P139:T152"/>
    <mergeCell ref="M140:O140"/>
    <mergeCell ref="M141:O141"/>
    <mergeCell ref="M142:O142"/>
    <mergeCell ref="M143:O143"/>
    <mergeCell ref="M144:O144"/>
    <mergeCell ref="M145:O145"/>
    <mergeCell ref="M146:O146"/>
    <mergeCell ref="M147:O147"/>
    <mergeCell ref="M148:O148"/>
    <mergeCell ref="M149:O149"/>
    <mergeCell ref="M150:O150"/>
    <mergeCell ref="P155:T155"/>
    <mergeCell ref="B156:C156"/>
    <mergeCell ref="M156:O156"/>
    <mergeCell ref="P156:T169"/>
    <mergeCell ref="B157:C157"/>
    <mergeCell ref="M157:O157"/>
    <mergeCell ref="B158:C158"/>
    <mergeCell ref="B161:C161"/>
    <mergeCell ref="M161:O161"/>
    <mergeCell ref="B160:C160"/>
    <mergeCell ref="M160:O160"/>
    <mergeCell ref="B162:C162"/>
    <mergeCell ref="M162:O162"/>
    <mergeCell ref="B163:C163"/>
    <mergeCell ref="M163:O163"/>
    <mergeCell ref="B164:C164"/>
    <mergeCell ref="M152:O152"/>
    <mergeCell ref="B155:C155"/>
    <mergeCell ref="M155:O155"/>
    <mergeCell ref="M158:O158"/>
    <mergeCell ref="B159:C159"/>
    <mergeCell ref="M159:O159"/>
    <mergeCell ref="M164:O164"/>
    <mergeCell ref="B168:C168"/>
    <mergeCell ref="M168:O168"/>
    <mergeCell ref="B169:C169"/>
    <mergeCell ref="M169:O169"/>
    <mergeCell ref="B165:C165"/>
    <mergeCell ref="M165:O165"/>
    <mergeCell ref="B166:C166"/>
    <mergeCell ref="M166:O166"/>
    <mergeCell ref="B167:C167"/>
    <mergeCell ref="M167:O167"/>
  </mergeCells>
  <conditionalFormatting sqref="I55:I66">
    <cfRule type="containsText" dxfId="491" priority="1" operator="containsText" text="5">
      <formula>NOT(ISERROR(SEARCH(("5"),(I55))))</formula>
    </cfRule>
    <cfRule type="containsText" dxfId="490" priority="2" operator="containsText" text="42">
      <formula>NOT(ISERROR(SEARCH(("42"),(I55))))</formula>
    </cfRule>
    <cfRule type="containsText" dxfId="489" priority="3" operator="containsText" text="Please fill in">
      <formula>NOT(ISERROR(SEARCH(("Please fill in"),(I55))))</formula>
    </cfRule>
  </conditionalFormatting>
  <dataValidations count="5">
    <dataValidation type="list" allowBlank="1" showErrorMessage="1" sqref="D47:D50 H66:H67" xr:uid="{B7D73EF9-C481-724E-B78D-087BEAA59EAC}">
      <formula1>'Klein Verzet'!TypesOfTrainers</formula1>
    </dataValidation>
    <dataValidation type="list" allowBlank="1" showErrorMessage="1" sqref="B9" xr:uid="{E5D5753C-BCD3-3E41-AC42-328338CAB670}">
      <formula1>"yes,no,partial"</formula1>
    </dataValidation>
    <dataValidation type="list" allowBlank="1" sqref="G46:G50" xr:uid="{F62C5F41-86C4-8F42-8612-0521EDD720BD}">
      <formula1>"yes,no"</formula1>
    </dataValidation>
    <dataValidation type="list" allowBlank="1" showErrorMessage="1" sqref="D46 H55:H65" xr:uid="{B066A768-C8E9-FA4D-8C89-DADE21E865E4}">
      <formula1>'https://universiteittwente.sharepoint.com/sites/SportsCoordinatorsSUT/Gedeelde documenten/General/(WIP) FAM Sheets - Regulations 2025-28 - Version April 2025.xlsx'!TypesOfTrainers</formula1>
    </dataValidation>
    <dataValidation type="list" allowBlank="1" showErrorMessage="1" sqref="B71:B73" xr:uid="{E08CEA34-6A81-3541-A09F-192E15296D44}">
      <formula1>'https://universiteittwente.sharepoint.com/sites/SportsCoordinatorsSUT/Gedeelde documenten/General/(WIP) FAM Sheets - Regulations 2025-28 - Version April 2025.xlsx'!LocationNames</formula1>
    </dataValidation>
  </dataValidations>
  <pageMargins left="0.7" right="0.7" top="0.75" bottom="0.75" header="0" footer="0"/>
  <pageSetup paperSize="9" orientation="portrait"/>
  <drawing r:id="rId1"/>
  <legacyDrawing r:id="rId2"/>
  <tableParts count="6">
    <tablePart r:id="rId3"/>
    <tablePart r:id="rId4"/>
    <tablePart r:id="rId5"/>
    <tablePart r:id="rId6"/>
    <tablePart r:id="rId7"/>
    <tablePart r:id="rId8"/>
  </tableParts>
  <extLst>
    <ext xmlns:x14="http://schemas.microsoft.com/office/spreadsheetml/2009/9/main" uri="{CCE6A557-97BC-4b89-ADB6-D9C93CAAB3DF}">
      <x14:dataValidations xmlns:xm="http://schemas.microsoft.com/office/excel/2006/main" count="4">
        <x14:dataValidation type="list" allowBlank="1" showInputMessage="1" showErrorMessage="1" xr:uid="{BE0F08B5-6327-BE47-8AF4-86948B032234}">
          <x14:formula1>
            <xm:f>Constants!$M$6:$M$7</xm:f>
          </x14:formula1>
          <xm:sqref>B96:B107</xm:sqref>
        </x14:dataValidation>
        <x14:dataValidation type="list" allowBlank="1" showInputMessage="1" showErrorMessage="1" xr:uid="{472705A8-B1CA-5A47-B4F0-30F586B9933A}">
          <x14:formula1>
            <xm:f>Constants!$C$55:$C$56</xm:f>
          </x14:formula1>
          <xm:sqref>B12</xm:sqref>
        </x14:dataValidation>
        <x14:dataValidation type="list" allowBlank="1" showErrorMessage="1" xr:uid="{36DF7F7E-49E2-9C46-96E2-B9BA0EDBEA7E}">
          <x14:formula1>
            <xm:f>Constants!$H$6:$H$13</xm:f>
          </x14:formula1>
          <xm:sqref>B55:B67</xm:sqref>
        </x14:dataValidation>
        <x14:dataValidation type="list" allowBlank="1" showErrorMessage="1" xr:uid="{843CA511-B453-F44F-8C19-A7E05F0A832E}">
          <x14:formula1>
            <xm:f>Constants!$A$2:$AD$2</xm:f>
          </x14:formula1>
          <xm:sqref>B74:B87</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9894F-07C1-5943-B9E4-80A2B0E69059}">
  <dimension ref="A1:BG1047"/>
  <sheetViews>
    <sheetView topLeftCell="AL9" zoomScaleNormal="150" workbookViewId="0">
      <selection activeCell="AF30" sqref="AF30"/>
    </sheetView>
  </sheetViews>
  <sheetFormatPr defaultColWidth="12.625" defaultRowHeight="15" customHeight="1"/>
  <cols>
    <col min="1" max="1" width="36.625" customWidth="1"/>
    <col min="2" max="2" width="28.125" customWidth="1"/>
    <col min="3" max="3" width="21" customWidth="1"/>
    <col min="4" max="4" width="17.5" customWidth="1"/>
    <col min="5" max="5" width="16.125" customWidth="1"/>
    <col min="6" max="6" width="21.5" customWidth="1"/>
    <col min="7" max="7" width="22.625" customWidth="1"/>
    <col min="8" max="8" width="18.625" customWidth="1"/>
    <col min="9" max="9" width="19.625" customWidth="1"/>
    <col min="10" max="10" width="18.875" customWidth="1"/>
    <col min="11" max="11" width="21.625" customWidth="1"/>
    <col min="12" max="12" width="17.375" customWidth="1"/>
    <col min="13" max="13" width="15.125" customWidth="1"/>
    <col min="14" max="14" width="15.625" customWidth="1"/>
    <col min="15" max="15" width="28.5" customWidth="1"/>
    <col min="16" max="16" width="13.125" customWidth="1"/>
    <col min="17" max="17" width="21.875" customWidth="1"/>
    <col min="18" max="18" width="27" customWidth="1"/>
    <col min="19" max="19" width="20.5" customWidth="1"/>
    <col min="20" max="22" width="7.625" customWidth="1"/>
    <col min="23" max="23" width="31.875" customWidth="1"/>
    <col min="24" max="24" width="7.625" customWidth="1"/>
    <col min="25" max="25" width="8.375" customWidth="1"/>
    <col min="26" max="26" width="21.625" customWidth="1"/>
    <col min="27" max="27" width="12" customWidth="1"/>
    <col min="28" max="28" width="16.5" customWidth="1"/>
    <col min="29" max="29" width="6" customWidth="1"/>
    <col min="30" max="30" width="13.625" customWidth="1"/>
  </cols>
  <sheetData>
    <row r="1" spans="1:59" ht="171" customHeight="1">
      <c r="A1" s="703"/>
      <c r="B1" s="704"/>
      <c r="C1" s="705"/>
      <c r="D1" s="16"/>
      <c r="E1" s="572" t="s">
        <v>1141</v>
      </c>
      <c r="F1" s="704"/>
      <c r="G1" s="704"/>
      <c r="H1" s="705"/>
      <c r="I1" s="16"/>
      <c r="J1" s="16"/>
      <c r="K1" s="16"/>
      <c r="L1" s="16"/>
      <c r="M1" s="16"/>
      <c r="N1" s="16"/>
      <c r="O1" s="16"/>
      <c r="P1" s="16"/>
      <c r="Q1" s="16"/>
      <c r="R1" s="16"/>
      <c r="S1" s="16"/>
      <c r="T1" s="16"/>
      <c r="U1" s="16"/>
      <c r="V1" s="16"/>
      <c r="W1" s="16"/>
      <c r="X1" s="16"/>
      <c r="Y1" s="16"/>
      <c r="Z1" s="16"/>
      <c r="AA1" s="16"/>
      <c r="AB1" s="16"/>
      <c r="AC1" s="16"/>
      <c r="AD1" s="16"/>
    </row>
    <row r="2" spans="1:59">
      <c r="A2" s="58" t="s">
        <v>404</v>
      </c>
      <c r="B2" s="152" t="s">
        <v>405</v>
      </c>
      <c r="C2" s="59"/>
      <c r="D2" s="16"/>
      <c r="E2" s="60" t="s">
        <v>406</v>
      </c>
      <c r="F2" s="153" t="s">
        <v>1142</v>
      </c>
      <c r="G2" s="154"/>
      <c r="H2" s="61"/>
      <c r="I2" s="16"/>
      <c r="J2" s="16"/>
      <c r="K2" s="16"/>
      <c r="L2" s="16"/>
      <c r="M2" s="16"/>
      <c r="N2" s="16"/>
      <c r="O2" s="16"/>
      <c r="P2" s="16"/>
      <c r="Q2" s="16"/>
      <c r="R2" s="16"/>
      <c r="S2" s="16"/>
      <c r="T2" s="16"/>
      <c r="U2" s="16"/>
      <c r="V2" s="16"/>
      <c r="W2" s="16"/>
      <c r="X2" s="16"/>
      <c r="Y2" s="16"/>
      <c r="Z2" s="15"/>
      <c r="AA2" s="15"/>
      <c r="AB2" s="15"/>
      <c r="AC2" s="15"/>
      <c r="AD2" s="16"/>
      <c r="AE2" s="16"/>
      <c r="AF2" s="16"/>
      <c r="AG2" s="16"/>
      <c r="AH2" s="16"/>
      <c r="AI2" s="17"/>
      <c r="AJ2" s="17"/>
      <c r="AK2" s="17"/>
      <c r="AL2" s="17"/>
      <c r="AM2" s="17"/>
      <c r="AN2" s="17"/>
      <c r="AO2" s="17"/>
      <c r="AP2" s="17"/>
      <c r="AQ2" s="17"/>
      <c r="AR2" s="18"/>
      <c r="AS2" s="17"/>
      <c r="AT2" s="17"/>
      <c r="AU2" s="16"/>
      <c r="AV2" s="16"/>
      <c r="AW2" s="16"/>
      <c r="AX2" s="16"/>
      <c r="AY2" s="16"/>
      <c r="AZ2" s="16"/>
      <c r="BA2" s="16"/>
    </row>
    <row r="3" spans="1:59">
      <c r="A3" s="62" t="s">
        <v>408</v>
      </c>
      <c r="B3" s="155">
        <v>1</v>
      </c>
      <c r="C3" s="156"/>
      <c r="D3" s="16"/>
      <c r="E3" s="63" t="s">
        <v>409</v>
      </c>
      <c r="F3" s="189">
        <v>45790</v>
      </c>
      <c r="G3" s="158"/>
      <c r="H3" s="159"/>
      <c r="I3" s="16"/>
      <c r="J3" s="16"/>
      <c r="K3" s="16"/>
      <c r="L3" s="16"/>
      <c r="M3" s="16"/>
      <c r="N3" s="16"/>
      <c r="O3" s="16"/>
      <c r="P3" s="16"/>
      <c r="Q3" s="16"/>
      <c r="R3" s="16"/>
      <c r="S3" s="16"/>
      <c r="T3" s="16"/>
      <c r="U3" s="16"/>
      <c r="V3" s="16"/>
      <c r="W3" s="16"/>
      <c r="X3" s="16"/>
      <c r="Y3" s="16"/>
      <c r="Z3" s="16"/>
      <c r="AA3" s="16"/>
      <c r="AB3" s="16"/>
      <c r="AC3" s="16"/>
      <c r="AD3" s="16"/>
    </row>
    <row r="4" spans="1:59">
      <c r="A4" s="160" t="s">
        <v>410</v>
      </c>
      <c r="B4" s="161">
        <v>45812</v>
      </c>
      <c r="C4" s="162"/>
      <c r="D4" s="16"/>
      <c r="E4" s="163"/>
      <c r="F4" s="164"/>
      <c r="G4" s="165"/>
      <c r="H4" s="166"/>
      <c r="I4" s="16"/>
      <c r="J4" s="16"/>
      <c r="K4" s="16"/>
      <c r="L4" s="16"/>
      <c r="M4" s="16"/>
      <c r="N4" s="16"/>
      <c r="O4" s="16"/>
      <c r="P4" s="16"/>
      <c r="Q4" s="16"/>
      <c r="R4" s="16"/>
      <c r="S4" s="16"/>
      <c r="T4" s="16"/>
      <c r="U4" s="16"/>
      <c r="V4" s="16"/>
      <c r="W4" s="16"/>
      <c r="X4" s="16"/>
      <c r="Y4" s="16"/>
      <c r="Z4" s="16"/>
      <c r="AA4" s="16"/>
      <c r="AB4" s="16"/>
      <c r="AC4" s="16"/>
      <c r="AD4" s="16"/>
    </row>
    <row r="5" spans="1:59">
      <c r="A5" s="167" t="s">
        <v>411</v>
      </c>
      <c r="B5" s="168"/>
      <c r="C5" s="167"/>
      <c r="D5" s="16"/>
      <c r="E5" s="169" t="s">
        <v>412</v>
      </c>
      <c r="F5" s="169"/>
      <c r="G5" s="158"/>
      <c r="H5" s="169"/>
      <c r="I5" s="16"/>
      <c r="J5" s="16"/>
      <c r="K5" s="16"/>
      <c r="L5" s="16"/>
      <c r="M5" s="16"/>
      <c r="N5" s="16"/>
      <c r="O5" s="16"/>
      <c r="P5" s="16"/>
      <c r="Q5" s="16"/>
      <c r="R5" s="16"/>
      <c r="S5" s="16"/>
      <c r="T5" s="16"/>
      <c r="U5" s="16"/>
      <c r="V5" s="16"/>
      <c r="W5" s="16"/>
      <c r="X5" s="16"/>
      <c r="Y5" s="16"/>
      <c r="Z5" s="16"/>
      <c r="AA5" s="16"/>
      <c r="AB5" s="16"/>
      <c r="AC5" s="16"/>
      <c r="AD5" s="16"/>
    </row>
    <row r="6" spans="1:59">
      <c r="A6" s="15"/>
      <c r="B6" s="64"/>
      <c r="C6" s="16"/>
      <c r="D6" s="16"/>
      <c r="E6" s="16"/>
      <c r="F6" s="16"/>
      <c r="G6" s="16"/>
      <c r="H6" s="16"/>
      <c r="I6" s="16"/>
      <c r="J6" s="64"/>
      <c r="K6" s="16"/>
      <c r="L6" s="16"/>
      <c r="M6" s="16"/>
      <c r="N6" s="16"/>
      <c r="O6" s="16"/>
      <c r="P6" s="16"/>
      <c r="Q6" s="16"/>
      <c r="R6" s="16"/>
      <c r="S6" s="16"/>
      <c r="T6" s="16"/>
      <c r="U6" s="16"/>
      <c r="V6" s="16"/>
      <c r="W6" s="16"/>
      <c r="X6" s="16"/>
      <c r="Y6" s="16"/>
      <c r="Z6" s="16"/>
      <c r="AA6" s="16"/>
      <c r="AB6" s="16"/>
      <c r="AC6" s="16"/>
      <c r="AD6" s="16"/>
    </row>
    <row r="7" spans="1:59">
      <c r="A7" s="170" t="s">
        <v>413</v>
      </c>
      <c r="B7" s="59">
        <v>101</v>
      </c>
      <c r="C7" s="16"/>
      <c r="D7" s="573" t="s">
        <v>414</v>
      </c>
      <c r="E7" s="701"/>
      <c r="F7" s="701"/>
      <c r="G7" s="701"/>
      <c r="H7" s="701"/>
      <c r="I7" s="701"/>
      <c r="J7" s="16"/>
      <c r="K7" s="16"/>
      <c r="L7" s="16"/>
      <c r="M7" s="16"/>
      <c r="N7" s="16"/>
      <c r="O7" s="16"/>
      <c r="P7" s="16"/>
      <c r="Q7" s="16"/>
      <c r="R7" s="16"/>
      <c r="S7" s="16"/>
      <c r="T7" s="16"/>
      <c r="U7" s="16"/>
      <c r="V7" s="16"/>
      <c r="W7" s="16"/>
      <c r="X7" s="16"/>
      <c r="Y7" s="16"/>
      <c r="Z7" s="16"/>
      <c r="AA7" s="16"/>
      <c r="AB7" s="16"/>
      <c r="AC7" s="16"/>
      <c r="AD7" s="16"/>
    </row>
    <row r="8" spans="1:59" ht="14.25" customHeight="1">
      <c r="A8" s="171" t="s">
        <v>415</v>
      </c>
      <c r="B8" s="172">
        <f ca="1">M21-M17</f>
        <v>6601.382972875921</v>
      </c>
      <c r="C8" s="16" t="s">
        <v>416</v>
      </c>
      <c r="D8" s="574" t="s">
        <v>417</v>
      </c>
      <c r="E8" s="704"/>
      <c r="F8" s="704"/>
      <c r="G8" s="704"/>
      <c r="H8" s="704"/>
      <c r="I8" s="704"/>
      <c r="J8" s="16"/>
      <c r="K8" s="16"/>
      <c r="L8" s="16"/>
      <c r="M8" s="16"/>
      <c r="N8" s="16"/>
      <c r="O8" s="16"/>
      <c r="P8" s="16"/>
      <c r="Q8" s="16"/>
      <c r="R8" s="16"/>
      <c r="S8" s="16"/>
      <c r="T8" s="16"/>
      <c r="U8" s="16"/>
      <c r="V8" s="16"/>
      <c r="W8" s="16"/>
      <c r="X8" s="16"/>
      <c r="Y8" s="16"/>
      <c r="Z8" s="16"/>
      <c r="AA8" s="16"/>
      <c r="AB8" s="16"/>
      <c r="AC8" s="16"/>
    </row>
    <row r="9" spans="1:59">
      <c r="A9" s="65" t="s">
        <v>418</v>
      </c>
      <c r="B9" s="173" t="s">
        <v>419</v>
      </c>
      <c r="C9" s="16"/>
      <c r="D9" s="16"/>
      <c r="E9" s="17"/>
      <c r="F9" s="17"/>
      <c r="G9" s="17"/>
      <c r="H9" s="17"/>
      <c r="I9" s="17"/>
      <c r="J9" s="17"/>
      <c r="K9" s="17"/>
      <c r="L9" s="17"/>
      <c r="M9" s="17"/>
      <c r="N9" s="17"/>
      <c r="O9" s="17"/>
      <c r="P9" s="17"/>
      <c r="Q9" s="16"/>
      <c r="R9" s="17"/>
      <c r="S9" s="17"/>
      <c r="T9" s="17"/>
      <c r="U9" s="17"/>
      <c r="V9" s="17"/>
      <c r="W9" s="17"/>
      <c r="X9" s="17"/>
      <c r="Y9" s="17"/>
      <c r="Z9" s="17"/>
      <c r="AA9" s="17"/>
      <c r="AB9" s="17"/>
      <c r="AC9" s="17"/>
      <c r="AD9" s="18" t="s">
        <v>242</v>
      </c>
    </row>
    <row r="10" spans="1:59">
      <c r="A10" s="174" t="s">
        <v>420</v>
      </c>
      <c r="B10" s="66">
        <f>COUNTA(A38:A44)</f>
        <v>7</v>
      </c>
      <c r="C10" s="16"/>
      <c r="D10" s="16"/>
      <c r="E10" s="17"/>
      <c r="F10" s="17"/>
      <c r="G10" s="17"/>
      <c r="H10" s="17"/>
      <c r="I10" s="17"/>
      <c r="J10" s="17"/>
      <c r="K10" s="17"/>
      <c r="L10" s="17"/>
      <c r="M10" s="17"/>
      <c r="N10" s="17"/>
      <c r="O10" s="17"/>
      <c r="P10" s="17"/>
      <c r="Q10" s="16"/>
      <c r="R10" s="17"/>
      <c r="S10" s="17"/>
      <c r="T10" s="17"/>
      <c r="U10" s="17"/>
      <c r="V10" s="17"/>
      <c r="W10" s="17"/>
      <c r="X10" s="17"/>
      <c r="Y10" s="17"/>
      <c r="Z10" s="17"/>
      <c r="AA10" s="17"/>
      <c r="AB10" s="17"/>
      <c r="AC10" s="17"/>
      <c r="AD10" s="18"/>
    </row>
    <row r="11" spans="1:59">
      <c r="A11" s="171" t="s">
        <v>421</v>
      </c>
      <c r="B11" s="238">
        <f>SUM(B38:B44)</f>
        <v>110</v>
      </c>
      <c r="C11" s="16"/>
      <c r="D11" s="16"/>
      <c r="E11" s="17"/>
      <c r="F11" s="17"/>
      <c r="G11" s="17"/>
      <c r="H11" s="17"/>
      <c r="I11" s="17"/>
      <c r="J11" s="17"/>
      <c r="K11" s="17"/>
      <c r="L11" s="17"/>
      <c r="M11" s="17"/>
      <c r="N11" s="17"/>
      <c r="O11" s="17"/>
      <c r="P11" s="17"/>
      <c r="Q11" s="16"/>
      <c r="R11" s="17"/>
      <c r="S11" s="17"/>
      <c r="T11" s="17"/>
      <c r="U11" s="17"/>
      <c r="V11" s="17"/>
      <c r="W11" s="17"/>
      <c r="X11" s="17"/>
      <c r="Y11" s="17"/>
      <c r="Z11" s="17"/>
      <c r="AA11" s="17"/>
      <c r="AB11" s="17"/>
      <c r="AC11" s="17"/>
      <c r="AD11" s="18"/>
    </row>
    <row r="12" spans="1:59">
      <c r="A12" s="239" t="s">
        <v>422</v>
      </c>
      <c r="B12" s="240" t="s">
        <v>317</v>
      </c>
      <c r="C12" s="16"/>
      <c r="D12" s="16"/>
      <c r="E12" s="17"/>
      <c r="F12" s="17"/>
      <c r="G12" s="17"/>
      <c r="H12" s="17"/>
      <c r="I12" s="17"/>
      <c r="J12" s="17"/>
      <c r="K12" s="17"/>
      <c r="L12" s="17"/>
      <c r="M12" s="17"/>
      <c r="N12" s="17"/>
      <c r="O12" s="17"/>
      <c r="P12" s="17"/>
      <c r="Q12" s="16"/>
      <c r="R12" s="17"/>
      <c r="S12" s="17"/>
      <c r="T12" s="17"/>
      <c r="U12" s="17"/>
      <c r="V12" s="17"/>
      <c r="W12" s="17"/>
      <c r="X12" s="17"/>
      <c r="Y12" s="17"/>
      <c r="Z12" s="17"/>
      <c r="AA12" s="17"/>
      <c r="AB12" s="17"/>
      <c r="AC12" s="17"/>
      <c r="AD12" s="18"/>
    </row>
    <row r="13" spans="1:59">
      <c r="A13" s="16"/>
      <c r="B13" s="16"/>
      <c r="C13" s="16"/>
      <c r="D13" s="16"/>
      <c r="E13" s="17"/>
      <c r="F13" s="17"/>
      <c r="G13" s="17"/>
      <c r="H13" s="17"/>
      <c r="I13" s="17"/>
      <c r="J13" s="17"/>
      <c r="K13" s="17"/>
      <c r="L13" s="17"/>
      <c r="M13" s="17"/>
      <c r="N13" s="17"/>
      <c r="O13" s="17"/>
      <c r="P13" s="17"/>
      <c r="Q13" s="16"/>
      <c r="R13" s="17"/>
      <c r="S13" s="17"/>
      <c r="T13" s="17"/>
      <c r="U13" s="17"/>
      <c r="V13" s="17"/>
      <c r="W13" s="17"/>
      <c r="X13" s="17"/>
      <c r="Y13" s="17"/>
      <c r="Z13" s="17"/>
      <c r="AA13" s="17"/>
      <c r="AB13" s="17"/>
      <c r="AC13" s="17"/>
      <c r="AD13" s="17" t="str" cm="1">
        <f t="array" ref="AD13:BF14">Constants!A2:AC3</f>
        <v>SC1</v>
      </c>
      <c r="AE13" s="17" t="str">
        <v>SC1 - Half</v>
      </c>
      <c r="AF13" s="17" t="str">
        <v>SC2</v>
      </c>
      <c r="AG13" s="17" t="str">
        <v>SC2 - Half</v>
      </c>
      <c r="AH13" s="17" t="str">
        <v>SC3</v>
      </c>
      <c r="AI13" s="17" t="str">
        <v>SC4</v>
      </c>
      <c r="AJ13" s="17" t="str">
        <v>SC5</v>
      </c>
      <c r="AK13" s="17" t="str">
        <v>SC6</v>
      </c>
      <c r="AL13" s="17" t="str">
        <v>Dojo</v>
      </c>
      <c r="AM13" s="17" t="str">
        <v>Boulder Wall</v>
      </c>
      <c r="AN13" s="17" t="str">
        <v>Climbing Wall</v>
      </c>
      <c r="AO13" s="17" t="str">
        <v>Artificial Hockey field</v>
      </c>
      <c r="AP13" s="17" t="str">
        <v>Artificial Hockey field - Half</v>
      </c>
      <c r="AQ13" s="17" t="str">
        <v>Artificial Soccer field</v>
      </c>
      <c r="AR13" s="17" t="str">
        <v>Artificial Soccer field - Half</v>
      </c>
      <c r="AS13" s="17" t="str">
        <v>Basketball</v>
      </c>
      <c r="AT13" s="17" t="str">
        <v>Bastille field</v>
      </c>
      <c r="AU13" s="17" t="str">
        <v>Beach fields</v>
      </c>
      <c r="AV13" s="17" t="str">
        <v>Shooting range</v>
      </c>
      <c r="AW13" s="17" t="str">
        <v>Multi/Lacrosse field</v>
      </c>
      <c r="AX13" s="17" t="str">
        <v>Multi/Lacrosse field - Half</v>
      </c>
      <c r="AY13" s="17" t="str">
        <v>Bootcamp field</v>
      </c>
      <c r="AZ13" s="17" t="str">
        <v>Multi/Baseball field</v>
      </c>
      <c r="BA13" s="17" t="str">
        <v>Tennis court</v>
      </c>
      <c r="BB13" s="17" t="str">
        <v>Utrack</v>
      </c>
      <c r="BC13" s="22" t="str">
        <v>Verreveld</v>
      </c>
      <c r="BD13" s="22" t="str">
        <v>Wsc</v>
      </c>
      <c r="BE13" s="22" t="str">
        <v>Indoor pool</v>
      </c>
      <c r="BF13" s="22" t="str">
        <v>Outdoor pool</v>
      </c>
      <c r="BG13" s="22"/>
    </row>
    <row r="14" spans="1:59" ht="15.95" thickBot="1">
      <c r="A14" s="175" t="s">
        <v>423</v>
      </c>
      <c r="B14" s="16"/>
      <c r="C14" s="16"/>
      <c r="D14" s="16"/>
      <c r="E14" s="16"/>
      <c r="F14" s="16"/>
      <c r="G14" s="175" t="s">
        <v>424</v>
      </c>
      <c r="I14" s="17"/>
      <c r="J14" s="17"/>
      <c r="K14" s="176" t="s">
        <v>425</v>
      </c>
      <c r="L14" s="17"/>
      <c r="M14" s="176" t="s">
        <v>426</v>
      </c>
      <c r="N14" s="17"/>
      <c r="O14" s="17"/>
      <c r="P14" s="17"/>
      <c r="Q14" s="17"/>
      <c r="R14" s="17"/>
      <c r="S14" s="16"/>
      <c r="T14" s="17"/>
      <c r="U14" s="17"/>
      <c r="V14" s="17"/>
      <c r="W14" s="17"/>
      <c r="X14" s="17"/>
      <c r="Y14" s="17"/>
      <c r="Z14" s="17"/>
      <c r="AA14" s="17"/>
      <c r="AB14" s="17"/>
      <c r="AC14" s="17"/>
      <c r="AD14" s="19">
        <v>67.5</v>
      </c>
      <c r="AE14" s="19">
        <v>35</v>
      </c>
      <c r="AF14" s="19">
        <v>67.5</v>
      </c>
      <c r="AG14" s="19">
        <v>35</v>
      </c>
      <c r="AH14" s="19">
        <v>40</v>
      </c>
      <c r="AI14" s="19">
        <v>40</v>
      </c>
      <c r="AJ14" s="19">
        <v>35</v>
      </c>
      <c r="AK14" s="19">
        <v>35</v>
      </c>
      <c r="AL14" s="19">
        <v>40</v>
      </c>
      <c r="AM14" s="19">
        <v>27.5</v>
      </c>
      <c r="AN14" s="19">
        <v>45</v>
      </c>
      <c r="AO14" s="19">
        <v>75</v>
      </c>
      <c r="AP14" s="19">
        <v>40</v>
      </c>
      <c r="AQ14" s="19">
        <v>75</v>
      </c>
      <c r="AR14" s="19">
        <v>40</v>
      </c>
      <c r="AS14" s="19">
        <v>30</v>
      </c>
      <c r="AT14" s="19">
        <v>50</v>
      </c>
      <c r="AU14" s="19">
        <v>75</v>
      </c>
      <c r="AV14" s="19">
        <v>40</v>
      </c>
      <c r="AW14" s="19">
        <v>75</v>
      </c>
      <c r="AX14" s="19">
        <v>40</v>
      </c>
      <c r="AY14" s="19">
        <v>50</v>
      </c>
      <c r="AZ14" s="19">
        <v>65</v>
      </c>
      <c r="BA14" s="19">
        <v>35</v>
      </c>
      <c r="BB14" s="19">
        <v>45</v>
      </c>
      <c r="BC14" s="19">
        <v>50</v>
      </c>
      <c r="BD14" s="19">
        <v>0</v>
      </c>
      <c r="BE14" s="19">
        <v>65</v>
      </c>
      <c r="BF14" s="20">
        <v>70</v>
      </c>
      <c r="BG14" s="20"/>
    </row>
    <row r="15" spans="1:59" ht="15.95" thickTop="1">
      <c r="A15" s="67"/>
      <c r="B15" s="68" t="str">
        <f>Constants!H6</f>
        <v>Performance training</v>
      </c>
      <c r="C15" s="68" t="str">
        <f>Constants!H7</f>
        <v>Performance coaching</v>
      </c>
      <c r="D15" s="68" t="str">
        <f>Constants!H8</f>
        <v>Dangerous</v>
      </c>
      <c r="E15" s="69" t="str">
        <f>Constants!H9</f>
        <v>Recreational</v>
      </c>
      <c r="F15" s="69" t="s">
        <v>290</v>
      </c>
      <c r="G15" s="70"/>
      <c r="H15" s="71" t="s">
        <v>427</v>
      </c>
      <c r="I15" s="72" t="s">
        <v>272</v>
      </c>
      <c r="J15" s="70" t="s">
        <v>5</v>
      </c>
      <c r="K15" s="72" t="s">
        <v>428</v>
      </c>
      <c r="L15" s="70" t="s">
        <v>429</v>
      </c>
      <c r="M15" s="73" cm="1">
        <f t="array" ref="M15">(SUM(IF($D$48:$D$53="PT",($F$48:$F$53)/1.5+IF($G$48:$G$53="yes",1)))+SUM(IF($D$48:$D$53="Extern",($F$48:$F$53)/1.5+IF($G$48:$G$53="yes",1)))+SUM(IF($D$48:$D$53="PT-ZZP",($F$48:$F$53)/1.5+IF($G$48:$G$53="yes",1))))*Constants!B10</f>
        <v>1000</v>
      </c>
      <c r="N15" s="17"/>
      <c r="O15" s="17"/>
      <c r="P15" s="17"/>
      <c r="Q15" s="17"/>
      <c r="R15" s="16"/>
      <c r="S15" s="17"/>
      <c r="T15" s="17"/>
      <c r="U15" s="17"/>
      <c r="V15" s="17"/>
      <c r="W15" s="17"/>
      <c r="X15" s="17"/>
      <c r="Y15" s="17"/>
      <c r="Z15" s="17"/>
      <c r="AA15" s="17"/>
      <c r="AB15" s="17"/>
      <c r="AC15" s="17"/>
      <c r="AD15" s="16">
        <f t="shared" ref="AD15:BF15" si="0">SUMIF($B$73:$B$90,AD13,$F$73:$F$90)</f>
        <v>0</v>
      </c>
      <c r="AE15" s="16">
        <f t="shared" si="0"/>
        <v>0</v>
      </c>
      <c r="AF15" s="16">
        <f t="shared" si="0"/>
        <v>0</v>
      </c>
      <c r="AG15" s="16">
        <f t="shared" si="0"/>
        <v>0</v>
      </c>
      <c r="AH15" s="16">
        <f t="shared" si="0"/>
        <v>17</v>
      </c>
      <c r="AI15" s="16">
        <f t="shared" si="0"/>
        <v>0</v>
      </c>
      <c r="AJ15" s="16">
        <f t="shared" si="0"/>
        <v>0</v>
      </c>
      <c r="AK15" s="16">
        <f t="shared" si="0"/>
        <v>0</v>
      </c>
      <c r="AL15" s="16">
        <f t="shared" si="0"/>
        <v>0</v>
      </c>
      <c r="AM15" s="16">
        <f t="shared" si="0"/>
        <v>0</v>
      </c>
      <c r="AN15" s="16">
        <f t="shared" si="0"/>
        <v>0</v>
      </c>
      <c r="AO15" s="16">
        <f t="shared" si="0"/>
        <v>0</v>
      </c>
      <c r="AP15" s="16">
        <f t="shared" si="0"/>
        <v>0</v>
      </c>
      <c r="AQ15" s="16">
        <f t="shared" si="0"/>
        <v>0</v>
      </c>
      <c r="AR15" s="16">
        <f t="shared" si="0"/>
        <v>0</v>
      </c>
      <c r="AS15" s="16">
        <f t="shared" si="0"/>
        <v>0</v>
      </c>
      <c r="AT15" s="16">
        <f t="shared" si="0"/>
        <v>0</v>
      </c>
      <c r="AU15" s="16">
        <f t="shared" si="0"/>
        <v>0</v>
      </c>
      <c r="AV15" s="16">
        <f t="shared" si="0"/>
        <v>0</v>
      </c>
      <c r="AW15" s="16">
        <f t="shared" si="0"/>
        <v>0</v>
      </c>
      <c r="AX15" s="16">
        <f t="shared" si="0"/>
        <v>0</v>
      </c>
      <c r="AY15" s="16">
        <f t="shared" si="0"/>
        <v>0</v>
      </c>
      <c r="AZ15" s="16">
        <f t="shared" si="0"/>
        <v>0</v>
      </c>
      <c r="BA15" s="16">
        <f t="shared" si="0"/>
        <v>0</v>
      </c>
      <c r="BB15" s="16">
        <f t="shared" si="0"/>
        <v>214</v>
      </c>
      <c r="BC15" s="16">
        <f t="shared" si="0"/>
        <v>0</v>
      </c>
      <c r="BD15" s="16">
        <f t="shared" si="0"/>
        <v>0</v>
      </c>
      <c r="BE15" s="16">
        <f t="shared" si="0"/>
        <v>0</v>
      </c>
      <c r="BF15" s="16">
        <f t="shared" si="0"/>
        <v>0</v>
      </c>
    </row>
    <row r="16" spans="1:59">
      <c r="A16" s="74" t="str">
        <f>Constants!E6</f>
        <v>PT</v>
      </c>
      <c r="B16" s="16">
        <f>SUMIFS(Kronos!$F$57:$F$69,Kronos!$B$57:$B$69, B$15,Kronos!$H$57:$H$69,$A16)*(1+Constants!$B$7)</f>
        <v>151.19999999999999</v>
      </c>
      <c r="C16" s="16">
        <f>SUMIFS(Kronos!$F$57:$F$69,Kronos!$B$57:$B$69, C$15,Kronos!$H$57:$H$69,$A16)</f>
        <v>0</v>
      </c>
      <c r="D16" s="16">
        <f>SUMIFS(Kronos!$F$57:$F$69,Kronos!$B$57:$B$69, D$15,Kronos!$H$57:$H$69,$A16)*(1+Constants!$B$7)</f>
        <v>0</v>
      </c>
      <c r="E16" s="16">
        <f>SUMIFS(Kronos!$F$57:$F$69,Kronos!$B$57:$B$69, E$15,Kronos!$H$57:$H$69,$A16)*(1+Constants!$B$7)</f>
        <v>0</v>
      </c>
      <c r="F16" s="16">
        <f>SUMIFS(Kronos!$F$57:$F$69,Kronos!$B$57:$B$69, F$15,Kronos!$H$57:$H$69,$A16)*(1+Constants!$B$7)</f>
        <v>25.2</v>
      </c>
      <c r="G16" s="74" t="s">
        <v>430</v>
      </c>
      <c r="H16" s="16">
        <f>SUMIF(Kronos!$B$73:$B$91,"&lt;&gt;External",Kronos!$F$73:$F$91)</f>
        <v>231</v>
      </c>
      <c r="I16" s="75">
        <f>SUMIF(Kronos!$B$73:$B$91,"External",Kronos!$F$73:$F$91)</f>
        <v>16</v>
      </c>
      <c r="J16" s="234">
        <f>SUM($F$94:$F$149)</f>
        <v>1958.4602857142854</v>
      </c>
      <c r="K16" s="76">
        <f>IF(OR(ISBLANK(B7),ISBLANK(B9)), "ERROR",MAX(MIN(J16,B7*Constants!B15)-Constants!B14*B7,0)*IF(B9="yes",Constants!B16,IF(B9="no",Constants!B17,0)))</f>
        <v>758.76822857142838</v>
      </c>
      <c r="L16" s="77" t="s">
        <v>360</v>
      </c>
      <c r="M16" s="76">
        <f>E16*Constants!B6+E17*Constants!B8+E22+E21</f>
        <v>0</v>
      </c>
      <c r="N16" s="17"/>
      <c r="O16" s="17"/>
      <c r="P16" s="17"/>
      <c r="Q16" s="17"/>
      <c r="R16" s="16"/>
      <c r="S16" s="17"/>
      <c r="T16" s="17"/>
      <c r="U16" s="17"/>
      <c r="V16" s="17"/>
      <c r="W16" s="17"/>
      <c r="X16" s="17"/>
      <c r="Y16" s="17"/>
      <c r="Z16" s="17"/>
      <c r="AA16" s="17"/>
      <c r="AB16" s="17"/>
      <c r="AC16" s="17"/>
      <c r="AD16" s="19">
        <f t="shared" ref="AD16:BF16" si="1">AD14*AD15</f>
        <v>0</v>
      </c>
      <c r="AE16" s="19">
        <f t="shared" si="1"/>
        <v>0</v>
      </c>
      <c r="AF16" s="19">
        <f t="shared" si="1"/>
        <v>0</v>
      </c>
      <c r="AG16" s="19">
        <f t="shared" si="1"/>
        <v>0</v>
      </c>
      <c r="AH16" s="19">
        <f t="shared" si="1"/>
        <v>680</v>
      </c>
      <c r="AI16" s="19">
        <f t="shared" si="1"/>
        <v>0</v>
      </c>
      <c r="AJ16" s="19">
        <f t="shared" si="1"/>
        <v>0</v>
      </c>
      <c r="AK16" s="19">
        <f t="shared" si="1"/>
        <v>0</v>
      </c>
      <c r="AL16" s="19">
        <f t="shared" si="1"/>
        <v>0</v>
      </c>
      <c r="AM16" s="19">
        <f t="shared" si="1"/>
        <v>0</v>
      </c>
      <c r="AN16" s="19">
        <f t="shared" si="1"/>
        <v>0</v>
      </c>
      <c r="AO16" s="19">
        <f t="shared" si="1"/>
        <v>0</v>
      </c>
      <c r="AP16" s="19">
        <f t="shared" si="1"/>
        <v>0</v>
      </c>
      <c r="AQ16" s="19">
        <f t="shared" si="1"/>
        <v>0</v>
      </c>
      <c r="AR16" s="19">
        <f t="shared" si="1"/>
        <v>0</v>
      </c>
      <c r="AS16" s="19">
        <f t="shared" si="1"/>
        <v>0</v>
      </c>
      <c r="AT16" s="19">
        <f t="shared" si="1"/>
        <v>0</v>
      </c>
      <c r="AU16" s="19">
        <f t="shared" si="1"/>
        <v>0</v>
      </c>
      <c r="AV16" s="19">
        <f t="shared" si="1"/>
        <v>0</v>
      </c>
      <c r="AW16" s="19">
        <f t="shared" si="1"/>
        <v>0</v>
      </c>
      <c r="AX16" s="19">
        <f t="shared" si="1"/>
        <v>0</v>
      </c>
      <c r="AY16" s="19">
        <f t="shared" si="1"/>
        <v>0</v>
      </c>
      <c r="AZ16" s="19">
        <f t="shared" si="1"/>
        <v>0</v>
      </c>
      <c r="BA16" s="19">
        <f t="shared" si="1"/>
        <v>0</v>
      </c>
      <c r="BB16" s="19">
        <f t="shared" si="1"/>
        <v>9630</v>
      </c>
      <c r="BC16" s="19">
        <f t="shared" si="1"/>
        <v>0</v>
      </c>
      <c r="BD16" s="19">
        <f t="shared" si="1"/>
        <v>0</v>
      </c>
      <c r="BE16" s="19">
        <f t="shared" si="1"/>
        <v>0</v>
      </c>
      <c r="BF16" s="19">
        <f t="shared" si="1"/>
        <v>0</v>
      </c>
    </row>
    <row r="17" spans="1:36">
      <c r="A17" s="74" t="str">
        <f>Constants!E7</f>
        <v>PT-V</v>
      </c>
      <c r="B17" s="16">
        <f>SUMIFS(Kronos!$F$57:$F$69,Kronos!$B$57:$B$69, B$15,Kronos!$H$57:$H$69,$A17)*(1+Constants!$B$9)</f>
        <v>352.79999999999995</v>
      </c>
      <c r="C17" s="16">
        <f>SUMIFS(Kronos!$F$57:$F$69,Kronos!$B$57:$B$69, C$15,Kronos!$H$57:$H$69,$A17)</f>
        <v>0</v>
      </c>
      <c r="D17" s="16">
        <f>SUMIFS(Kronos!$F$57:$F$69,Kronos!$B$57:$B$69, D$15,Kronos!$H$57:$H$69,$A17)*(1+Constants!$B$9)</f>
        <v>0</v>
      </c>
      <c r="E17" s="16">
        <f>SUMIFS(Kronos!$F$57:$F$69,Kronos!$B$57:$B$69, E$15,Kronos!$H$57:$H$69,$A17)*(1+Constants!$B$9)</f>
        <v>0</v>
      </c>
      <c r="F17" s="16">
        <f>SUMIFS(Kronos!$F$57:$F$69,Kronos!$B$57:$B$69, F$15,Kronos!$H$57:$H$69,$A17)</f>
        <v>0</v>
      </c>
      <c r="G17" s="74" t="s">
        <v>38</v>
      </c>
      <c r="H17" s="78">
        <f>SUM(AD16:BZ16)</f>
        <v>10310</v>
      </c>
      <c r="I17" s="76" cm="1">
        <f t="array" ref="I17">SUM(IF($B$73:$B$89="External",$F$73:$F$89*$H$73:$H$89,0))</f>
        <v>1130</v>
      </c>
      <c r="J17" s="79"/>
      <c r="K17" s="80"/>
      <c r="L17" s="77" t="s">
        <v>63</v>
      </c>
      <c r="M17" s="76">
        <f>J16-K16</f>
        <v>1199.692057142857</v>
      </c>
      <c r="N17" s="17"/>
      <c r="O17" s="17"/>
      <c r="P17" s="17"/>
      <c r="Q17" s="17"/>
      <c r="R17" s="16"/>
      <c r="S17" s="17"/>
      <c r="T17" s="17"/>
      <c r="U17" s="17"/>
      <c r="V17" s="17"/>
      <c r="W17" s="17"/>
      <c r="X17" s="17"/>
      <c r="Y17" s="17"/>
      <c r="Z17" s="17"/>
      <c r="AA17" s="17"/>
      <c r="AB17" s="17"/>
      <c r="AC17" s="17"/>
      <c r="AD17" s="17"/>
      <c r="AE17" s="17"/>
    </row>
    <row r="18" spans="1:36">
      <c r="A18" s="74" t="str">
        <f>Constants!E8</f>
        <v>PT-ZZP</v>
      </c>
      <c r="B18" s="16">
        <f>SUMIFS(Kronos!$F$57:$F$69,Kronos!$B$57:$B$69, B$15,Kronos!$H$57:$H$69,$A18)*(1+Constants!$B$7)</f>
        <v>0</v>
      </c>
      <c r="C18" s="16">
        <f>SUMIFS(Kronos!$F$57:$F$69,Kronos!$B$57:$B$69, C$15,Kronos!$H$57:$H$69,$A18)</f>
        <v>0</v>
      </c>
      <c r="D18" s="16">
        <f>SUMIFS(Kronos!$F$57:$F$69,Kronos!$B$57:$B$69, D$15,Kronos!$H$57:$H$69,$A18)*(1+Constants!$B$7)</f>
        <v>0</v>
      </c>
      <c r="E18" s="16">
        <f>SUMIFS(Kronos!$F$57:$F$69,Kronos!$B$57:$B$69, E$15,Kronos!$H$57:$H$69,$A18)*(1+Constants!$B$7)</f>
        <v>0</v>
      </c>
      <c r="F18" s="16">
        <f>SUMIFS(Kronos!$F$57:$F$69,Kronos!$B$57:$B$69, F$15,Kronos!$H$57:$H$69,$A18)*(1+Constants!$B$7)</f>
        <v>0</v>
      </c>
      <c r="G18" s="74"/>
      <c r="H18" s="78"/>
      <c r="I18" s="76"/>
      <c r="J18" s="79"/>
      <c r="K18" s="80"/>
      <c r="L18" s="77" t="s">
        <v>60</v>
      </c>
      <c r="M18" s="76" t="str">
        <f>IF(I17-Constants!I17*$B$7&gt;0,$I$17-Constants!I17*$B$7,"-")</f>
        <v>-</v>
      </c>
      <c r="N18" s="17"/>
      <c r="O18" s="17"/>
      <c r="P18" s="17"/>
      <c r="Q18" s="17"/>
      <c r="R18" s="16"/>
      <c r="S18" s="17"/>
      <c r="T18" s="17"/>
      <c r="U18" s="17"/>
      <c r="V18" s="17"/>
      <c r="W18" s="17"/>
      <c r="X18" s="17"/>
      <c r="Y18" s="17"/>
      <c r="Z18" s="17"/>
      <c r="AA18" s="17"/>
      <c r="AB18" s="17"/>
      <c r="AC18" s="17"/>
      <c r="AD18" s="17"/>
      <c r="AE18" s="17"/>
    </row>
    <row r="19" spans="1:36">
      <c r="A19" s="74" t="str">
        <f>Constants!E9</f>
        <v>RT</v>
      </c>
      <c r="B19" s="16">
        <f>SUMIFS(Kronos!$F$57:$F$69,Kronos!$B$57:$B$69, B$15,Kronos!$H$57:$H$69,$A19)</f>
        <v>63</v>
      </c>
      <c r="C19" s="16">
        <f>SUMIFS(Kronos!$F$57:$F$69,Kronos!$B$57:$B$69, C$15,Kronos!$H$57:$H$69,$A19)</f>
        <v>0</v>
      </c>
      <c r="D19" s="16">
        <f>SUMIFS(Kronos!$F$57:$F$69,Kronos!$B$57:$B$69, D$15,Kronos!$H$57:$H$69,$A19)</f>
        <v>0</v>
      </c>
      <c r="E19" s="16">
        <f>SUMIFS(Kronos!$F$57:$F$69,Kronos!$B$57:$B$69, E$15,Kronos!$H$57:$H$69,$A19)</f>
        <v>168</v>
      </c>
      <c r="F19" s="16">
        <f>SUMIFS(Kronos!$F$57:$F$69,Kronos!$B$57:$B$69, F$15,Kronos!$H$57:$H$69,$A19)</f>
        <v>0</v>
      </c>
      <c r="G19" s="74" t="s">
        <v>396</v>
      </c>
      <c r="H19" s="78"/>
      <c r="I19" s="76">
        <f>IF(B7*Constants!I17&lt;I17,B7*Constants!I17,I17)</f>
        <v>1130</v>
      </c>
      <c r="J19" s="79"/>
      <c r="K19" s="80"/>
      <c r="L19" s="77" t="s">
        <v>431</v>
      </c>
      <c r="M19" s="255">
        <f ca="1">Constants!C31*B7+Data!L19</f>
        <v>5601.382972875921</v>
      </c>
      <c r="N19" s="17"/>
      <c r="O19" s="17"/>
      <c r="P19" s="17"/>
      <c r="Q19" s="17"/>
      <c r="R19" s="16"/>
      <c r="S19" s="17"/>
      <c r="T19" s="17"/>
      <c r="U19" s="17"/>
      <c r="V19" s="17"/>
      <c r="W19" s="17"/>
      <c r="X19" s="17"/>
      <c r="Y19" s="17"/>
      <c r="Z19" s="17"/>
      <c r="AA19" s="17"/>
      <c r="AB19" s="17"/>
      <c r="AC19" s="17"/>
      <c r="AD19" s="17"/>
      <c r="AE19" s="17"/>
    </row>
    <row r="20" spans="1:36">
      <c r="A20" s="74" t="str">
        <f>Constants!E10</f>
        <v>Extern</v>
      </c>
      <c r="B20" s="16">
        <f>SUMIFS(Kronos!$F$57:$F$69,Kronos!$B$57:$B$69, B$15,Kronos!$H$57:$H$69,$A20)</f>
        <v>0</v>
      </c>
      <c r="C20" s="16">
        <f>SUMIFS(Kronos!$F$57:$F$69,Kronos!$B$57:$B$69, C$15,Kronos!$H$57:$H$69,$A20)</f>
        <v>0</v>
      </c>
      <c r="D20" s="16">
        <f>SUMIFS(Kronos!$F$57:$F$69,Kronos!$B$57:$B$69, D$15,Kronos!$H$57:$H$69,$A20)</f>
        <v>0</v>
      </c>
      <c r="E20" s="16">
        <f>SUMIFS(Kronos!$F$57:$F$69,Kronos!$B$57:$B$69, E$15,Kronos!$H$57:$H$69,$A20)</f>
        <v>0</v>
      </c>
      <c r="F20" s="16">
        <f>SUMIFS(Kronos!$F$57:$F$69,Kronos!$B$57:$B$69, F$15,Kronos!$H$57:$H$69,$A20)</f>
        <v>0</v>
      </c>
      <c r="G20" s="81"/>
      <c r="H20" s="16"/>
      <c r="I20" s="75"/>
      <c r="J20" s="79"/>
      <c r="K20" s="82"/>
      <c r="L20" s="83"/>
      <c r="M20" s="84"/>
      <c r="N20" s="17"/>
      <c r="O20" s="17"/>
      <c r="P20" s="17"/>
      <c r="Q20" s="17"/>
      <c r="R20" s="16"/>
      <c r="S20" s="17"/>
      <c r="T20" s="17"/>
      <c r="U20" s="17"/>
      <c r="V20" s="17"/>
      <c r="W20" s="17"/>
      <c r="X20" s="17"/>
      <c r="Y20" s="17"/>
      <c r="Z20" s="17"/>
      <c r="AA20" s="17"/>
      <c r="AB20" s="17"/>
      <c r="AC20" s="17"/>
      <c r="AD20" s="17"/>
      <c r="AE20" s="17"/>
    </row>
    <row r="21" spans="1:36">
      <c r="A21" s="74" t="str">
        <f>CONCATENATE(A18," Costs")</f>
        <v>PT-ZZP Costs</v>
      </c>
      <c r="B21" s="78">
        <f t="array" ref="B21">SUM(IF(Kronos!$B$57:$B$69=B$15,IF(Kronos!$H$57:$H$69="PT-ZZP",Kronos!$F$57:$F$69*Kronos!$I$57:$I$69*(1+Constants!$B$7),0),0))</f>
        <v>0</v>
      </c>
      <c r="C21" s="78">
        <f t="array" ref="C21">SUM(IF(Kronos!$B$57:$B$69=C$15,IF(Kronos!$H$57:$H$69="PT-ZZP",Kronos!$F$57:$F$69*Kronos!$I$57:$I$69,0),0))</f>
        <v>0</v>
      </c>
      <c r="D21" s="78">
        <f t="array" ref="D21">SUM(IF(Kronos!$B$57:$B$69=D$15,IF(Kronos!$H$57:$H$69="PT-ZZP",Kronos!$F$57:$F$69*Kronos!$I$57:$I$69*(1+Constants!$B$7),0),0))</f>
        <v>0</v>
      </c>
      <c r="E21" s="78">
        <f t="array" ref="E21">SUM(IF(Kronos!$B$57:$B$69=E$15,IF(Kronos!$H$57:$H$69="PT-ZZP",Kronos!$F$57:$F$69*Kronos!$I$57:$I$69*(1+Constants!$B$7),0),0))</f>
        <v>0</v>
      </c>
      <c r="F21" s="78">
        <f t="array" ref="F21">SUM(IF(Kronos!$B$57:$B$69=F$15,IF(Kronos!$H$57:$H$69="PT-ZZP",Kronos!$F$57:$F$69*Kronos!$I$57:$I$69*(1+Constants!$B$7),0),0))</f>
        <v>0</v>
      </c>
      <c r="G21" s="81"/>
      <c r="H21" s="16"/>
      <c r="I21" s="75"/>
      <c r="J21" s="79"/>
      <c r="K21" s="82"/>
      <c r="L21" s="77" t="s">
        <v>5</v>
      </c>
      <c r="M21" s="76">
        <f ca="1">SUM(M15:M20)</f>
        <v>7801.0750300187783</v>
      </c>
      <c r="N21" s="17"/>
      <c r="O21" s="17"/>
      <c r="P21" s="17"/>
      <c r="Q21" s="17"/>
      <c r="R21" s="16"/>
      <c r="S21" s="17"/>
      <c r="T21" s="17"/>
      <c r="U21" s="17"/>
      <c r="V21" s="17"/>
      <c r="W21" s="17"/>
      <c r="X21" s="17"/>
      <c r="Y21" s="17"/>
      <c r="Z21" s="17"/>
      <c r="AA21" s="17"/>
      <c r="AB21" s="17"/>
      <c r="AC21" s="17"/>
      <c r="AD21" s="17"/>
      <c r="AE21" s="17"/>
    </row>
    <row r="22" spans="1:36" ht="15.75" customHeight="1" thickBot="1">
      <c r="A22" s="74" t="str">
        <f>CONCATENATE(A20," Costs")</f>
        <v>Extern Costs</v>
      </c>
      <c r="B22" s="78">
        <f t="array" ref="B22">SUM(IF(Kronos!$B$57:$B$69=B$15,IF(Kronos!$H$57:$H$69="Extern",Kronos!$F$57:$F$69*Kronos!$I$57:$I$69,0),0))</f>
        <v>0</v>
      </c>
      <c r="C22" s="78">
        <f t="array" ref="C22">SUM(IF(Kronos!$B$57:$B$69=C$15,IF(Kronos!$H$57:$H$69="Extern",Kronos!$F$57:$F$69*Kronos!$I$57:$I$69,0),0))</f>
        <v>0</v>
      </c>
      <c r="D22" s="78">
        <f t="array" ref="D22">SUM(IF(Kronos!$B$57:$B$69=D$15,IF(Kronos!$H$57:$H$69="Extern",Kronos!$F$57:$F$69*Kronos!$I$57:$I$69,0),0))</f>
        <v>0</v>
      </c>
      <c r="E22" s="78">
        <f t="array" ref="E22">SUM(IF(Kronos!$B$57:$B$69=E$15,IF(Kronos!$H$57:$H$69="Extern",Kronos!$F$57:$F$69*Kronos!$I$57:$I$69,0),0))</f>
        <v>0</v>
      </c>
      <c r="F22" s="76">
        <f t="array" ref="F22">SUM(IF(Kronos!$B$57:$B$69=F$15,IF(Kronos!$H$57:$H$69="Extern",Kronos!$F$57:$F$69*Kronos!$I$57:$I$69,0),0))</f>
        <v>0</v>
      </c>
      <c r="G22" s="85"/>
      <c r="H22" s="177"/>
      <c r="I22" s="86"/>
      <c r="J22" s="87"/>
      <c r="K22" s="88"/>
      <c r="L22" s="87"/>
      <c r="M22" s="88"/>
      <c r="N22" s="17"/>
      <c r="O22" s="17"/>
      <c r="P22" s="17"/>
      <c r="Q22" s="17"/>
      <c r="R22" s="16"/>
      <c r="S22" s="17"/>
      <c r="T22" s="17"/>
      <c r="U22" s="17"/>
      <c r="V22" s="17"/>
      <c r="W22" s="17"/>
      <c r="X22" s="17"/>
      <c r="Y22" s="17"/>
      <c r="Z22" s="17"/>
      <c r="AA22" s="17"/>
      <c r="AB22" s="17"/>
      <c r="AC22" s="17"/>
      <c r="AD22" s="17"/>
      <c r="AE22" s="17"/>
    </row>
    <row r="23" spans="1:36" ht="15" customHeight="1" thickTop="1">
      <c r="A23" s="74" t="s">
        <v>432</v>
      </c>
      <c r="B23" s="78"/>
      <c r="C23" s="78"/>
      <c r="D23" s="78"/>
      <c r="E23" s="78"/>
      <c r="F23" s="76">
        <f t="array" ref="F23">SUMIFS(Kronos!$F$57:$F$69,Kronos!$B$57:$B$69,"Mentorship",Kronos!$H$57:$H$69,"PT-V")*Constants!B8+SUMIFS(Kronos!$F$57:$F$69,Kronos!$B$57:$B$69,"Mentorship",Kronos!$H$57:$H$69,"PT")*Constants!B6+SUMPRODUCT(IF(Kronos!$B$57:$B$69="Mentorship",IF(Kronos!$H$57:$H$69="PT-ZZP",Kronos!$F$57:$F$69*Kronos!$I$57:$I$69,0)))</f>
        <v>1050</v>
      </c>
    </row>
    <row r="24" spans="1:36" ht="15" customHeight="1" thickBot="1">
      <c r="A24" s="89" t="s">
        <v>433</v>
      </c>
      <c r="B24" s="178"/>
      <c r="C24" s="178"/>
      <c r="D24" s="178"/>
      <c r="E24" s="178">
        <f>SUMIF(Kronos!$B$57:$B$69,"External Trainer Course",Kronos!$I$57:$I$69)</f>
        <v>1000</v>
      </c>
      <c r="F24" s="90"/>
    </row>
    <row r="25" spans="1:36" ht="15.75" customHeight="1" thickTop="1">
      <c r="A25" s="16"/>
      <c r="B25" s="16"/>
      <c r="C25" s="16"/>
      <c r="D25" s="16"/>
      <c r="E25" s="17"/>
      <c r="F25" s="17"/>
      <c r="G25" s="17"/>
      <c r="H25" s="17"/>
      <c r="I25" s="17"/>
      <c r="J25" s="17"/>
      <c r="K25" s="17"/>
      <c r="L25" s="17"/>
      <c r="M25" s="17"/>
      <c r="N25" s="17"/>
      <c r="O25" s="17"/>
      <c r="P25" s="17"/>
      <c r="Q25" s="16"/>
      <c r="R25" s="17"/>
      <c r="S25" s="17"/>
      <c r="T25" s="17"/>
      <c r="U25" s="17"/>
      <c r="V25" s="17"/>
      <c r="W25" s="17"/>
      <c r="X25" s="17"/>
      <c r="Y25" s="17"/>
      <c r="Z25" s="17"/>
      <c r="AA25" s="17"/>
      <c r="AB25" s="17"/>
      <c r="AC25" s="17"/>
      <c r="AD25" s="17"/>
    </row>
    <row r="26" spans="1:36" ht="15.75" customHeight="1">
      <c r="A26" s="16"/>
      <c r="B26" s="16"/>
      <c r="C26" s="16"/>
      <c r="D26" s="16"/>
      <c r="E26" s="17"/>
      <c r="F26" s="17"/>
      <c r="G26" s="17"/>
      <c r="H26" s="17"/>
      <c r="I26" s="17"/>
      <c r="J26" s="17"/>
      <c r="K26" s="17"/>
      <c r="L26" s="17"/>
      <c r="M26" s="17"/>
      <c r="N26" s="17"/>
      <c r="O26" s="17"/>
      <c r="P26" s="17"/>
      <c r="Q26" s="16"/>
      <c r="R26" s="17"/>
      <c r="S26" s="17"/>
      <c r="T26" s="17"/>
      <c r="U26" s="17"/>
      <c r="V26" s="17"/>
      <c r="W26" s="17"/>
      <c r="X26" s="17"/>
      <c r="Y26" s="17"/>
      <c r="Z26" s="17"/>
      <c r="AA26" s="17"/>
      <c r="AB26" s="17"/>
      <c r="AC26" s="17"/>
      <c r="AD26" s="17"/>
    </row>
    <row r="27" spans="1:36" ht="15.75" customHeight="1" thickBot="1">
      <c r="A27" s="91" t="s">
        <v>434</v>
      </c>
      <c r="B27" s="17"/>
      <c r="C27" s="17"/>
      <c r="D27" s="17"/>
      <c r="E27" s="17"/>
      <c r="F27" s="17"/>
      <c r="G27" s="92"/>
      <c r="H27" s="19"/>
      <c r="I27" s="17"/>
      <c r="J27" s="17"/>
      <c r="K27" s="17"/>
      <c r="L27" s="17"/>
      <c r="M27" s="17"/>
      <c r="N27" s="17"/>
      <c r="O27" s="17"/>
      <c r="P27" s="17"/>
      <c r="Q27" s="16"/>
      <c r="R27" s="17"/>
      <c r="S27" s="17"/>
      <c r="T27" s="17"/>
      <c r="U27" s="17"/>
      <c r="V27" s="17"/>
      <c r="W27" s="17"/>
      <c r="X27" s="17"/>
      <c r="Y27" s="17"/>
      <c r="Z27" s="17"/>
      <c r="AA27" s="17"/>
      <c r="AB27" s="17"/>
      <c r="AC27" s="17"/>
      <c r="AD27" s="17"/>
    </row>
    <row r="28" spans="1:36" ht="15.75" customHeight="1" thickTop="1" thickBot="1">
      <c r="A28" s="706" t="s">
        <v>435</v>
      </c>
      <c r="B28" s="707"/>
      <c r="C28" s="707"/>
      <c r="D28" s="707"/>
      <c r="E28" s="707"/>
      <c r="F28" s="708"/>
      <c r="G28" s="15"/>
      <c r="H28" s="17"/>
      <c r="I28" s="17"/>
      <c r="J28" s="17"/>
      <c r="K28" s="17"/>
      <c r="L28" s="17"/>
      <c r="M28" s="17"/>
      <c r="N28" s="17"/>
      <c r="O28" s="17"/>
      <c r="P28" s="17"/>
      <c r="Q28" s="16"/>
      <c r="R28" s="17"/>
      <c r="S28" s="17"/>
      <c r="T28" s="17"/>
      <c r="U28" s="17"/>
      <c r="V28" s="17"/>
      <c r="W28" s="17"/>
      <c r="X28" s="17"/>
      <c r="Y28" s="17"/>
      <c r="Z28" s="17"/>
      <c r="AA28" s="17"/>
      <c r="AB28" s="17"/>
      <c r="AC28" s="17"/>
      <c r="AD28" s="242" t="s">
        <v>436</v>
      </c>
      <c r="AE28" s="16"/>
      <c r="AF28" s="128"/>
      <c r="AG28" s="51"/>
      <c r="AH28" s="51"/>
      <c r="AI28" s="51"/>
      <c r="AJ28" s="51"/>
    </row>
    <row r="29" spans="1:36" ht="15.75" customHeight="1" thickBot="1">
      <c r="A29" s="709" t="s">
        <v>437</v>
      </c>
      <c r="B29" s="696"/>
      <c r="C29" s="696"/>
      <c r="D29" s="696"/>
      <c r="E29" s="696"/>
      <c r="F29" s="710"/>
      <c r="G29" s="17"/>
      <c r="H29" s="17"/>
      <c r="I29" s="17"/>
      <c r="J29" s="17"/>
      <c r="K29" s="17"/>
      <c r="L29" s="17"/>
      <c r="M29" s="17"/>
      <c r="N29" s="17"/>
      <c r="O29" s="17"/>
      <c r="P29" s="17"/>
      <c r="Q29" s="16"/>
      <c r="R29" s="17"/>
      <c r="S29" s="17"/>
      <c r="T29" s="17"/>
      <c r="U29" s="17"/>
      <c r="V29" s="17"/>
      <c r="W29" s="17"/>
      <c r="X29" s="17"/>
      <c r="Y29" s="17"/>
      <c r="Z29" s="17"/>
      <c r="AA29" s="17"/>
      <c r="AB29" s="17"/>
      <c r="AC29" s="17"/>
      <c r="AD29" s="243" t="s">
        <v>438</v>
      </c>
      <c r="AE29" s="243" t="s">
        <v>439</v>
      </c>
      <c r="AF29" s="243" t="s">
        <v>440</v>
      </c>
      <c r="AG29" s="711" t="s">
        <v>441</v>
      </c>
      <c r="AH29" s="712"/>
      <c r="AI29" s="711" t="s">
        <v>434</v>
      </c>
      <c r="AJ29" s="712"/>
    </row>
    <row r="30" spans="1:36" ht="15.75" customHeight="1" thickBot="1">
      <c r="A30" s="709" t="s">
        <v>442</v>
      </c>
      <c r="B30" s="696"/>
      <c r="C30" s="696"/>
      <c r="D30" s="696"/>
      <c r="E30" s="696"/>
      <c r="F30" s="710"/>
      <c r="G30" s="17"/>
      <c r="H30" s="17"/>
      <c r="I30" s="17"/>
      <c r="J30" s="17"/>
      <c r="K30" s="17"/>
      <c r="L30" s="17"/>
      <c r="M30" s="17"/>
      <c r="N30" s="17"/>
      <c r="O30" s="17"/>
      <c r="P30" s="17"/>
      <c r="Q30" s="16"/>
      <c r="R30" s="17"/>
      <c r="S30" s="17"/>
      <c r="T30" s="17"/>
      <c r="U30" s="17"/>
      <c r="V30" s="17"/>
      <c r="W30" s="17"/>
      <c r="X30" s="17"/>
      <c r="Y30" s="17"/>
      <c r="Z30" s="17"/>
      <c r="AA30" s="17"/>
      <c r="AB30" s="17"/>
      <c r="AC30" s="17"/>
      <c r="AD30" s="244" t="str">
        <f>IF($B$12="individual",Constants!F55,Constants!L55)</f>
        <v>member count</v>
      </c>
      <c r="AE30" s="244">
        <f>B7</f>
        <v>101</v>
      </c>
      <c r="AF30" s="269">
        <f>IF(AE30&gt;=301,5,IF(AE30&gt;=176,4,IF(AE30&gt;=101,3,IF(AE30&gt;=51,2,1))))</f>
        <v>3</v>
      </c>
      <c r="AG30" s="560"/>
      <c r="AH30" s="560"/>
      <c r="AI30" s="560" t="s">
        <v>443</v>
      </c>
      <c r="AJ30" s="560"/>
    </row>
    <row r="31" spans="1:36" ht="15" customHeight="1" thickBot="1">
      <c r="A31" s="709" t="s">
        <v>444</v>
      </c>
      <c r="B31" s="696"/>
      <c r="C31" s="696"/>
      <c r="D31" s="696"/>
      <c r="E31" s="696"/>
      <c r="F31" s="710"/>
      <c r="G31" s="17"/>
      <c r="H31" s="17"/>
      <c r="I31" s="17"/>
      <c r="J31" s="17"/>
      <c r="K31" s="17"/>
      <c r="L31" s="17"/>
      <c r="M31" s="17"/>
      <c r="N31" s="17"/>
      <c r="O31" s="17"/>
      <c r="P31" s="17"/>
      <c r="Q31" s="16"/>
      <c r="R31" s="17"/>
      <c r="S31" s="17"/>
      <c r="T31" s="17"/>
      <c r="U31" s="17"/>
      <c r="V31" s="17"/>
      <c r="W31" s="17"/>
      <c r="X31" s="17"/>
      <c r="Y31" s="17"/>
      <c r="Z31" s="17"/>
      <c r="AA31" s="17"/>
      <c r="AB31" s="17"/>
      <c r="AC31" s="17"/>
      <c r="AD31" s="244" t="str">
        <f>IF($B$12="individual",Constants!F56,Constants!L56)</f>
        <v>number of trainings per week</v>
      </c>
      <c r="AE31" s="244" cm="1">
        <f t="array" ref="AE31">SUMPRODUCT(C57:C69*D57:D69)/42</f>
        <v>11</v>
      </c>
      <c r="AF31" s="270">
        <f>IF(AE31&gt;=4,3,IF(AE31&gt;=3,2,IF(AE31&gt;=2,1,0)))</f>
        <v>3</v>
      </c>
      <c r="AG31" s="560"/>
      <c r="AH31" s="560"/>
      <c r="AI31" s="560"/>
      <c r="AJ31" s="560"/>
    </row>
    <row r="32" spans="1:36" ht="15.75" customHeight="1" thickBot="1">
      <c r="A32" s="709" t="s">
        <v>445</v>
      </c>
      <c r="B32" s="696"/>
      <c r="C32" s="696"/>
      <c r="D32" s="696"/>
      <c r="E32" s="696"/>
      <c r="F32" s="710"/>
      <c r="G32" s="17"/>
      <c r="H32" s="16"/>
      <c r="I32" s="16"/>
      <c r="J32" s="16"/>
      <c r="K32" s="17"/>
      <c r="L32" s="17"/>
      <c r="M32" s="17"/>
      <c r="N32" s="17"/>
      <c r="O32" s="17"/>
      <c r="P32" s="17"/>
      <c r="Q32" s="16"/>
      <c r="R32" s="17"/>
      <c r="S32" s="17"/>
      <c r="T32" s="17"/>
      <c r="U32" s="17"/>
      <c r="V32" s="17"/>
      <c r="W32" s="17"/>
      <c r="X32" s="17"/>
      <c r="Y32" s="17"/>
      <c r="Z32" s="17"/>
      <c r="AA32" s="17"/>
      <c r="AB32" s="17"/>
      <c r="AC32" s="17"/>
      <c r="AD32" s="244" t="str">
        <f>IF($B$12="individual",Constants!F57,Constants!L57)</f>
        <v>number of trainings weeks per year</v>
      </c>
      <c r="AE32" s="252">
        <f>MAX(C57:C69)</f>
        <v>42</v>
      </c>
      <c r="AF32" s="250">
        <f>IF(AE32&gt;=40,3,IF(AE32&gt;=35,2,1))</f>
        <v>3</v>
      </c>
      <c r="AG32" s="560"/>
      <c r="AH32" s="560"/>
      <c r="AI32" s="560"/>
      <c r="AJ32" s="560"/>
    </row>
    <row r="33" spans="1:58" ht="15.75" customHeight="1" thickBot="1">
      <c r="A33" s="93" t="s">
        <v>446</v>
      </c>
      <c r="F33" s="94"/>
      <c r="G33" s="17"/>
      <c r="H33" s="16"/>
      <c r="I33" s="16"/>
      <c r="J33" s="16"/>
      <c r="K33" s="17"/>
      <c r="L33" s="17"/>
      <c r="M33" s="17"/>
      <c r="N33" s="17"/>
      <c r="O33" s="17"/>
      <c r="P33" s="17"/>
      <c r="Q33" s="16"/>
      <c r="R33" s="17"/>
      <c r="S33" s="17"/>
      <c r="T33" s="17"/>
      <c r="U33" s="17"/>
      <c r="V33" s="17"/>
      <c r="W33" s="17"/>
      <c r="X33" s="17"/>
      <c r="Y33" s="17"/>
      <c r="Z33" s="17"/>
      <c r="AA33" s="17"/>
      <c r="AB33" s="17"/>
      <c r="AC33" s="17"/>
      <c r="AD33" s="244" t="str">
        <f>IF($B$12="individual",Constants!F58,Constants!L58)</f>
        <v>number of training hours by RT / PT-V</v>
      </c>
      <c r="AE33" s="251">
        <f>(SUMIF(H57:H69,"RT",F57:F69)+SUMIF(H57:H69,"PT-V",F57:F69))/SUM(F57:F69)</f>
        <v>0.76666666666666672</v>
      </c>
      <c r="AF33" s="270">
        <f>IF(AE33&gt;0.9,3,IF(AE33&gt;0.6,2,IF(AE33&gt;0.3,1,0)))</f>
        <v>2</v>
      </c>
      <c r="AG33" s="560"/>
      <c r="AH33" s="560"/>
      <c r="AI33" s="560"/>
      <c r="AJ33" s="560"/>
    </row>
    <row r="34" spans="1:58" ht="15.75" customHeight="1" thickBot="1">
      <c r="A34" s="713" t="s">
        <v>447</v>
      </c>
      <c r="B34" s="714"/>
      <c r="C34" s="714"/>
      <c r="D34" s="714"/>
      <c r="E34" s="714"/>
      <c r="F34" s="715"/>
      <c r="G34" s="17"/>
      <c r="H34" s="16"/>
      <c r="I34" s="16"/>
      <c r="J34" s="16"/>
      <c r="K34" s="17"/>
      <c r="L34" s="17"/>
      <c r="M34" s="17"/>
      <c r="N34" s="17"/>
      <c r="O34" s="17"/>
      <c r="P34" s="17"/>
      <c r="Q34" s="16"/>
      <c r="R34" s="17"/>
      <c r="S34" s="17"/>
      <c r="T34" s="17"/>
      <c r="U34" s="17"/>
      <c r="V34" s="17"/>
      <c r="W34" s="17"/>
      <c r="X34" s="17"/>
      <c r="Y34" s="17"/>
      <c r="Z34" s="17"/>
      <c r="AA34" s="17"/>
      <c r="AB34" s="17"/>
      <c r="AC34" s="17"/>
      <c r="AD34" s="244" t="str">
        <f>IF($B$12="individual",Constants!F59,Constants!L59)</f>
        <v>number of training groups / teams</v>
      </c>
      <c r="AE34" s="244">
        <f>B10</f>
        <v>7</v>
      </c>
      <c r="AF34" s="271">
        <f>IF(AE34&gt;9,3,IF(AE34&gt;4,2,IF(AE34&gt;2,1,0)))</f>
        <v>2</v>
      </c>
      <c r="AG34" s="560"/>
      <c r="AH34" s="560"/>
      <c r="AI34" s="560"/>
      <c r="AJ34" s="560"/>
    </row>
    <row r="35" spans="1:58" ht="15.75" customHeight="1" thickTop="1" thickBot="1">
      <c r="A35" s="16"/>
      <c r="G35" s="17"/>
      <c r="H35" s="16"/>
      <c r="I35" s="16"/>
      <c r="J35" s="16"/>
      <c r="K35" s="17"/>
      <c r="L35" s="17"/>
      <c r="M35" s="17"/>
      <c r="N35" s="17"/>
      <c r="O35" s="17"/>
      <c r="P35" s="17"/>
      <c r="Q35" s="16"/>
      <c r="R35" s="17"/>
      <c r="S35" s="17"/>
      <c r="T35" s="17"/>
      <c r="U35" s="17"/>
      <c r="V35" s="17"/>
      <c r="W35" s="17"/>
      <c r="X35" s="17"/>
      <c r="Y35" s="17"/>
      <c r="Z35" s="17"/>
      <c r="AA35" s="17"/>
      <c r="AB35" s="17"/>
      <c r="AC35" s="17"/>
      <c r="AD35" s="244" t="str">
        <f>IF($B$12="individual",Constants!F60,Constants!L60)</f>
        <v>number of competitions organised</v>
      </c>
      <c r="AE35" s="249">
        <v>5</v>
      </c>
      <c r="AF35" s="271">
        <f>IF(AE35&gt;=4,5,IF(AE35&gt;=2,3,IF(AE35&gt;=1,1,0)))</f>
        <v>5</v>
      </c>
      <c r="AG35" s="560"/>
      <c r="AH35" s="560"/>
      <c r="AI35" s="560"/>
      <c r="AJ35" s="560"/>
    </row>
    <row r="36" spans="1:58" ht="15.75" customHeight="1" thickBot="1">
      <c r="A36" s="179" t="s">
        <v>448</v>
      </c>
      <c r="B36" s="16"/>
      <c r="C36" s="16"/>
      <c r="D36" s="16"/>
      <c r="E36" s="16"/>
      <c r="F36" s="16"/>
      <c r="G36" s="16"/>
      <c r="H36" s="16"/>
      <c r="I36" s="16"/>
      <c r="J36" s="16"/>
      <c r="K36" s="16"/>
      <c r="L36" s="16"/>
      <c r="M36" s="16"/>
      <c r="N36" s="16"/>
      <c r="O36" s="16"/>
      <c r="P36" s="16"/>
      <c r="Q36" s="16"/>
      <c r="R36" s="16"/>
      <c r="S36" s="16"/>
      <c r="T36" s="16"/>
      <c r="U36" s="16"/>
      <c r="V36" s="16"/>
      <c r="W36" s="16"/>
      <c r="X36" s="16"/>
      <c r="Y36" s="16"/>
      <c r="Z36" s="16"/>
      <c r="AA36" s="16"/>
      <c r="AB36" s="18"/>
      <c r="AC36" s="16"/>
      <c r="AD36" s="244" t="str">
        <f>IF($B$12="individual",Constants!F61,Constants!L61)</f>
        <v>number of social activities</v>
      </c>
      <c r="AE36" s="249">
        <v>12</v>
      </c>
      <c r="AF36" s="271">
        <f>IF(AE36&gt;=20,2,IF(AE36&gt;=10,1,0))</f>
        <v>1</v>
      </c>
      <c r="AG36" s="560"/>
      <c r="AH36" s="560"/>
      <c r="AI36" s="560"/>
      <c r="AJ36" s="560"/>
    </row>
    <row r="37" spans="1:58" ht="15" customHeight="1" thickTop="1" thickBot="1">
      <c r="A37" s="258" t="s">
        <v>449</v>
      </c>
      <c r="B37" s="259" t="s">
        <v>450</v>
      </c>
      <c r="C37" s="258" t="s">
        <v>451</v>
      </c>
      <c r="D37" s="258" t="s">
        <v>452</v>
      </c>
      <c r="E37" s="258" t="s">
        <v>453</v>
      </c>
      <c r="F37" s="258" t="s">
        <v>454</v>
      </c>
      <c r="G37" s="259" t="s">
        <v>455</v>
      </c>
      <c r="H37" s="561" t="s">
        <v>456</v>
      </c>
      <c r="I37" s="716"/>
      <c r="J37" s="717"/>
      <c r="K37" s="98"/>
      <c r="L37" s="98"/>
      <c r="M37" s="98"/>
      <c r="N37" s="98"/>
      <c r="O37" s="98"/>
      <c r="P37" s="98"/>
      <c r="Q37" s="98"/>
      <c r="R37" s="98"/>
      <c r="S37" s="98"/>
      <c r="T37" s="98"/>
      <c r="U37" s="96"/>
      <c r="V37" s="96"/>
      <c r="W37" s="96"/>
      <c r="X37" s="96"/>
      <c r="Y37" s="99"/>
      <c r="Z37" s="96"/>
      <c r="AA37" s="96"/>
      <c r="AB37" s="100"/>
      <c r="AC37" s="100"/>
      <c r="AD37" s="244" t="str">
        <f>IF($B$12="individual",Constants!F62,Constants!L62)</f>
        <v>number of bar days</v>
      </c>
      <c r="AE37" s="249">
        <v>12</v>
      </c>
      <c r="AF37" s="271">
        <f>IF(AE37&gt;=15,2,IF(AE37&gt;=8,1,0))</f>
        <v>1</v>
      </c>
      <c r="AG37" s="560"/>
      <c r="AH37" s="560"/>
      <c r="AI37" s="560"/>
      <c r="AJ37" s="560"/>
      <c r="AK37" s="100"/>
      <c r="AL37" s="100"/>
      <c r="AM37" s="100"/>
      <c r="AN37" s="100"/>
      <c r="AO37" s="100"/>
      <c r="AP37" s="100"/>
      <c r="AQ37" s="100"/>
      <c r="AR37" s="100"/>
      <c r="AS37" s="100"/>
      <c r="AT37" s="100"/>
      <c r="AU37" s="100"/>
      <c r="AV37" s="100"/>
      <c r="AW37" s="100"/>
      <c r="AX37" s="100"/>
      <c r="AY37" s="100"/>
      <c r="AZ37" s="100"/>
      <c r="BA37" s="100"/>
      <c r="BB37" s="100"/>
      <c r="BC37" s="100"/>
      <c r="BD37" s="100"/>
      <c r="BE37" s="100"/>
      <c r="BF37" s="100"/>
    </row>
    <row r="38" spans="1:58" ht="14.25" customHeight="1" thickBot="1">
      <c r="A38" s="312" t="s">
        <v>1143</v>
      </c>
      <c r="B38" s="323">
        <v>15</v>
      </c>
      <c r="C38" s="312">
        <v>1</v>
      </c>
      <c r="D38" s="312">
        <v>42</v>
      </c>
      <c r="E38" s="312" t="s">
        <v>55</v>
      </c>
      <c r="F38" s="324" t="s">
        <v>1144</v>
      </c>
      <c r="G38" s="323"/>
      <c r="H38" s="655" t="s">
        <v>1145</v>
      </c>
      <c r="I38" s="655"/>
      <c r="J38" s="656"/>
      <c r="K38" s="16"/>
      <c r="L38" s="16"/>
      <c r="M38" s="16"/>
      <c r="N38" s="16"/>
      <c r="O38" s="16"/>
      <c r="P38" s="16"/>
      <c r="Q38" s="16"/>
      <c r="R38" s="16"/>
      <c r="S38" s="16"/>
      <c r="T38" s="16"/>
      <c r="U38" s="16"/>
      <c r="V38" s="16"/>
      <c r="W38" s="16"/>
      <c r="X38" s="16"/>
      <c r="Y38" s="17"/>
      <c r="Z38" s="16"/>
      <c r="AA38" s="16"/>
      <c r="AD38" s="244" t="str">
        <f>IF($B$12="individual",Constants!F63,Constants!L63)</f>
        <v>own bar / extra location</v>
      </c>
      <c r="AE38" s="249">
        <v>0</v>
      </c>
      <c r="AF38" s="271">
        <f>IF(AE38&gt;=15,2,IF(AE38&gt;=8,1,0))</f>
        <v>0</v>
      </c>
      <c r="AG38" s="560"/>
      <c r="AH38" s="560"/>
      <c r="AI38" s="560"/>
      <c r="AJ38" s="560"/>
    </row>
    <row r="39" spans="1:58" ht="14.25" customHeight="1" thickBot="1">
      <c r="A39" s="312" t="s">
        <v>1146</v>
      </c>
      <c r="B39" s="323">
        <v>20</v>
      </c>
      <c r="C39" s="312">
        <v>2</v>
      </c>
      <c r="D39" s="312">
        <v>42</v>
      </c>
      <c r="E39" s="312" t="s">
        <v>57</v>
      </c>
      <c r="F39" s="324" t="s">
        <v>1144</v>
      </c>
      <c r="G39" s="323"/>
      <c r="H39" s="657"/>
      <c r="I39" s="657"/>
      <c r="J39" s="658"/>
      <c r="K39" s="16"/>
      <c r="L39" s="16"/>
      <c r="M39" s="16"/>
      <c r="N39" s="16"/>
      <c r="O39" s="16"/>
      <c r="P39" s="16"/>
      <c r="Q39" s="16"/>
      <c r="R39" s="16"/>
      <c r="S39" s="16"/>
      <c r="T39" s="16"/>
      <c r="U39" s="16"/>
      <c r="V39" s="16"/>
      <c r="W39" s="16"/>
      <c r="X39" s="16"/>
      <c r="Y39" s="17"/>
      <c r="Z39" s="16"/>
      <c r="AA39" s="16"/>
      <c r="AD39" s="244" t="str">
        <f>IF($B$12="individual",Constants!F65,Constants!L64)</f>
        <v>number of competitions attended</v>
      </c>
      <c r="AE39" s="249">
        <v>15</v>
      </c>
      <c r="AF39" s="273">
        <f>IF(B12="individual", IF(AE39&gt;10, 5, IF(AE39&gt;6, 3, IF(AE39&gt;2, 1, 0))), IF(AE39&gt;3, 3, IF(AE39&gt;1, 2, 1)))</f>
        <v>5</v>
      </c>
      <c r="AG39" s="560"/>
      <c r="AH39" s="560"/>
      <c r="AI39" s="560"/>
      <c r="AJ39" s="560"/>
    </row>
    <row r="40" spans="1:58" ht="14.25" customHeight="1" thickBot="1">
      <c r="A40" s="312" t="s">
        <v>1147</v>
      </c>
      <c r="B40" s="323">
        <v>20</v>
      </c>
      <c r="C40" s="312">
        <v>2</v>
      </c>
      <c r="D40" s="312">
        <v>42</v>
      </c>
      <c r="E40" s="312" t="s">
        <v>55</v>
      </c>
      <c r="F40" s="324" t="s">
        <v>1144</v>
      </c>
      <c r="G40" s="323"/>
      <c r="H40" s="657"/>
      <c r="I40" s="657"/>
      <c r="J40" s="658"/>
      <c r="K40" s="16"/>
      <c r="L40" s="16"/>
      <c r="M40" s="16"/>
      <c r="N40" s="16"/>
      <c r="O40" s="16"/>
      <c r="P40" s="16"/>
      <c r="Q40" s="16"/>
      <c r="R40" s="16"/>
      <c r="S40" s="16"/>
      <c r="T40" s="16"/>
      <c r="U40" s="16"/>
      <c r="V40" s="16"/>
      <c r="W40" s="16"/>
      <c r="X40" s="16"/>
      <c r="Y40" s="17"/>
      <c r="Z40" s="16"/>
      <c r="AA40" s="16"/>
      <c r="AD40" s="231" t="str">
        <f>IF($B$12="individual",Constants!F64,Constants!L65)</f>
        <v>n/a</v>
      </c>
      <c r="AE40" s="248" t="str">
        <f>IF(AD40="n/a","",COUNTA(A48:A53)/COUNTA(A38:A44))</f>
        <v/>
      </c>
      <c r="AF40" s="272" t="str">
        <f>IF(B12="group", IF(AE40&gt;0.15, 5, IF(AE40&gt;0.1, 3, IF(AE40&gt;0.05, 1, 0))), " ")</f>
        <v xml:space="preserve"> </v>
      </c>
      <c r="AG40" s="560"/>
      <c r="AH40" s="560"/>
      <c r="AI40" s="560"/>
      <c r="AJ40" s="560"/>
    </row>
    <row r="41" spans="1:58" ht="14.25" customHeight="1" thickBot="1">
      <c r="A41" s="312" t="s">
        <v>1148</v>
      </c>
      <c r="B41" s="323">
        <v>15</v>
      </c>
      <c r="C41" s="312">
        <v>2</v>
      </c>
      <c r="D41" s="312">
        <v>42</v>
      </c>
      <c r="E41" s="328" t="s">
        <v>281</v>
      </c>
      <c r="F41" s="324" t="s">
        <v>1144</v>
      </c>
      <c r="G41" s="325"/>
      <c r="H41" s="657"/>
      <c r="I41" s="657"/>
      <c r="J41" s="658"/>
      <c r="K41" s="16"/>
      <c r="L41" s="16"/>
      <c r="M41" s="16"/>
      <c r="N41" s="16"/>
      <c r="O41" s="16"/>
      <c r="P41" s="16"/>
      <c r="Q41" s="16"/>
      <c r="R41" s="16"/>
      <c r="S41" s="16"/>
      <c r="T41" s="16"/>
      <c r="U41" s="16"/>
      <c r="V41" s="16"/>
      <c r="W41" s="16"/>
      <c r="X41" s="16"/>
      <c r="Y41" s="17"/>
      <c r="Z41" s="16"/>
      <c r="AA41" s="16"/>
      <c r="AD41" s="16"/>
      <c r="AE41" s="275" t="s">
        <v>461</v>
      </c>
      <c r="AF41" s="277">
        <f>SUM(AF30:AF40)</f>
        <v>25</v>
      </c>
      <c r="AG41" s="247"/>
      <c r="AH41" s="245"/>
      <c r="AI41" s="246"/>
      <c r="AJ41" s="247"/>
    </row>
    <row r="42" spans="1:58" ht="15.75" customHeight="1">
      <c r="A42" s="323" t="s">
        <v>1149</v>
      </c>
      <c r="B42" s="323">
        <v>10</v>
      </c>
      <c r="C42" s="323">
        <v>2</v>
      </c>
      <c r="D42" s="323">
        <v>42</v>
      </c>
      <c r="E42" s="328" t="s">
        <v>55</v>
      </c>
      <c r="F42" s="324" t="s">
        <v>1144</v>
      </c>
      <c r="G42" s="231"/>
      <c r="H42" s="657"/>
      <c r="I42" s="657"/>
      <c r="J42" s="658"/>
      <c r="K42" s="16"/>
      <c r="L42" s="16"/>
      <c r="M42" s="16"/>
      <c r="N42" s="16"/>
      <c r="O42" s="16"/>
      <c r="P42" s="16"/>
      <c r="Q42" s="16"/>
      <c r="R42" s="16"/>
      <c r="S42" s="16"/>
      <c r="T42" s="16"/>
      <c r="U42" s="16"/>
      <c r="V42" s="16"/>
      <c r="W42" s="16"/>
      <c r="X42" s="16"/>
      <c r="Y42" s="16"/>
      <c r="Z42" s="16"/>
      <c r="AA42" s="16"/>
    </row>
    <row r="43" spans="1:58" ht="15.75" customHeight="1">
      <c r="A43" s="323" t="s">
        <v>1150</v>
      </c>
      <c r="B43" s="323">
        <v>20</v>
      </c>
      <c r="C43" s="323">
        <v>1</v>
      </c>
      <c r="D43" s="323">
        <v>42</v>
      </c>
      <c r="E43" s="328" t="s">
        <v>55</v>
      </c>
      <c r="F43" s="324" t="s">
        <v>1144</v>
      </c>
      <c r="G43" s="231"/>
      <c r="H43" s="657"/>
      <c r="I43" s="657"/>
      <c r="J43" s="658"/>
      <c r="K43" s="16"/>
      <c r="L43" s="16"/>
      <c r="M43" s="16"/>
      <c r="N43" s="16"/>
      <c r="O43" s="16"/>
      <c r="P43" s="16"/>
      <c r="Q43" s="16"/>
      <c r="R43" s="16"/>
      <c r="S43" s="16"/>
      <c r="T43" s="16"/>
      <c r="U43" s="16"/>
      <c r="V43" s="16"/>
      <c r="W43" s="16"/>
      <c r="X43" s="16"/>
      <c r="Y43" s="16"/>
      <c r="Z43" s="16"/>
      <c r="AA43" s="16"/>
    </row>
    <row r="44" spans="1:58" ht="15.75" customHeight="1" thickBot="1">
      <c r="A44" s="231" t="s">
        <v>1151</v>
      </c>
      <c r="B44" s="328">
        <v>10</v>
      </c>
      <c r="C44" s="328">
        <v>2</v>
      </c>
      <c r="D44" s="323">
        <v>42</v>
      </c>
      <c r="E44" s="327" t="s">
        <v>55</v>
      </c>
      <c r="F44" s="324" t="s">
        <v>1144</v>
      </c>
      <c r="G44" s="231"/>
      <c r="H44" s="659"/>
      <c r="I44" s="659"/>
      <c r="J44" s="660"/>
      <c r="K44" s="16"/>
      <c r="L44" s="16"/>
      <c r="M44" s="16"/>
      <c r="N44" s="16"/>
      <c r="O44" s="16"/>
      <c r="P44" s="16"/>
      <c r="Q44" s="16"/>
      <c r="R44" s="16"/>
      <c r="S44" s="16"/>
      <c r="T44" s="16"/>
      <c r="U44" s="16"/>
      <c r="V44" s="16"/>
      <c r="W44" s="16"/>
      <c r="X44" s="16"/>
      <c r="Y44" s="16"/>
      <c r="Z44" s="16"/>
      <c r="AA44" s="16"/>
    </row>
    <row r="45" spans="1:58" ht="15.75" customHeight="1">
      <c r="A45" s="18"/>
      <c r="B45" s="18"/>
      <c r="C45" s="18"/>
      <c r="D45" s="18"/>
      <c r="E45" s="18"/>
      <c r="F45" s="18"/>
      <c r="G45" s="17"/>
      <c r="J45" s="228"/>
      <c r="K45" s="17"/>
      <c r="L45" s="17"/>
      <c r="M45" s="17"/>
      <c r="N45" s="17"/>
      <c r="O45" s="17"/>
      <c r="P45" s="17"/>
      <c r="Q45" s="16"/>
      <c r="R45" s="17"/>
      <c r="S45" s="17"/>
      <c r="T45" s="17"/>
      <c r="U45" s="17"/>
      <c r="V45" s="17"/>
      <c r="W45" s="17"/>
      <c r="X45" s="17"/>
      <c r="Y45" s="17"/>
      <c r="Z45" s="17"/>
      <c r="AA45" s="17"/>
      <c r="AB45" s="17"/>
      <c r="AC45" s="17"/>
      <c r="AD45" s="17"/>
    </row>
    <row r="46" spans="1:58" ht="15.75" customHeight="1" thickBot="1">
      <c r="A46" s="179" t="s">
        <v>462</v>
      </c>
      <c r="B46" s="169"/>
      <c r="C46" s="231"/>
      <c r="D46" s="231"/>
      <c r="E46" s="231"/>
      <c r="F46" s="231"/>
      <c r="G46" s="231"/>
      <c r="H46" s="228"/>
      <c r="I46" s="228"/>
      <c r="J46" s="228"/>
      <c r="K46" s="231"/>
      <c r="L46" s="16"/>
      <c r="M46" s="16"/>
      <c r="N46" s="16"/>
      <c r="O46" s="16"/>
      <c r="P46" s="16"/>
      <c r="Q46" s="16"/>
      <c r="R46" s="16"/>
      <c r="S46" s="16"/>
      <c r="T46" s="16"/>
      <c r="U46" s="16"/>
      <c r="V46" s="16"/>
      <c r="W46" s="16"/>
      <c r="X46" s="16"/>
      <c r="Y46" s="16"/>
      <c r="Z46" s="16"/>
      <c r="AA46" s="16"/>
      <c r="AB46" s="18"/>
      <c r="AC46" s="16"/>
      <c r="AD46" s="16"/>
    </row>
    <row r="47" spans="1:58" ht="15" customHeight="1" thickBot="1">
      <c r="A47" s="258" t="s">
        <v>449</v>
      </c>
      <c r="B47" s="259" t="s">
        <v>450</v>
      </c>
      <c r="C47" s="258" t="s">
        <v>463</v>
      </c>
      <c r="D47" s="258" t="s">
        <v>464</v>
      </c>
      <c r="E47" s="258" t="s">
        <v>465</v>
      </c>
      <c r="F47" s="258" t="s">
        <v>466</v>
      </c>
      <c r="G47" s="258" t="s">
        <v>467</v>
      </c>
      <c r="H47" s="259" t="s">
        <v>455</v>
      </c>
      <c r="I47" s="661" t="s">
        <v>456</v>
      </c>
      <c r="J47" s="763"/>
      <c r="K47" s="764"/>
      <c r="L47" s="98"/>
      <c r="M47" s="98"/>
      <c r="N47" s="98"/>
      <c r="O47" s="98"/>
      <c r="P47" s="98"/>
      <c r="Q47" s="98"/>
      <c r="R47" s="98"/>
      <c r="S47" s="98"/>
      <c r="T47" s="98"/>
      <c r="U47" s="98"/>
      <c r="V47" s="96"/>
      <c r="W47" s="96"/>
      <c r="X47" s="96"/>
      <c r="Y47" s="96"/>
      <c r="Z47" s="99"/>
      <c r="AA47" s="96"/>
      <c r="AB47" s="96"/>
      <c r="AC47" s="100"/>
      <c r="AD47" s="100"/>
      <c r="AE47" s="100"/>
      <c r="AF47" s="100"/>
      <c r="AG47" s="100"/>
      <c r="AH47" s="100"/>
      <c r="AI47" s="100"/>
      <c r="AJ47" s="100"/>
      <c r="AK47" s="100"/>
      <c r="AL47" s="100"/>
      <c r="AM47" s="100"/>
      <c r="AN47" s="100"/>
      <c r="AO47" s="100"/>
      <c r="AP47" s="100"/>
      <c r="AQ47" s="100"/>
      <c r="AR47" s="100"/>
      <c r="AS47" s="100"/>
      <c r="AT47" s="100"/>
      <c r="AU47" s="100"/>
      <c r="AV47" s="100"/>
      <c r="AW47" s="100"/>
      <c r="AX47" s="100"/>
      <c r="AY47" s="100"/>
      <c r="AZ47" s="100"/>
      <c r="BA47" s="100"/>
      <c r="BB47" s="100"/>
      <c r="BC47" s="100"/>
      <c r="BD47" s="100"/>
      <c r="BE47" s="100"/>
      <c r="BF47" s="100"/>
    </row>
    <row r="48" spans="1:58" ht="14.25" customHeight="1" thickTop="1">
      <c r="A48" s="312" t="s">
        <v>1152</v>
      </c>
      <c r="B48" s="323">
        <v>40</v>
      </c>
      <c r="C48" s="312" t="s">
        <v>1153</v>
      </c>
      <c r="D48" s="269" t="s">
        <v>57</v>
      </c>
      <c r="E48" s="328">
        <v>2</v>
      </c>
      <c r="F48" s="327">
        <v>3</v>
      </c>
      <c r="G48" s="323" t="s">
        <v>471</v>
      </c>
      <c r="H48" s="323"/>
      <c r="I48" s="666" t="s">
        <v>1154</v>
      </c>
      <c r="J48" s="667"/>
      <c r="K48" s="668"/>
      <c r="L48" s="16"/>
      <c r="M48" s="16"/>
      <c r="N48" s="16"/>
      <c r="O48" s="16"/>
      <c r="P48" s="16"/>
      <c r="Q48" s="16"/>
      <c r="R48" s="16"/>
      <c r="S48" s="16"/>
      <c r="T48" s="16"/>
      <c r="U48" s="16"/>
      <c r="V48" s="16"/>
      <c r="W48" s="16"/>
      <c r="X48" s="16"/>
      <c r="Y48" s="16"/>
      <c r="Z48" s="17"/>
      <c r="AA48" s="16"/>
      <c r="AB48" s="16"/>
    </row>
    <row r="49" spans="1:30" ht="14.25" customHeight="1">
      <c r="A49" s="312" t="s">
        <v>1155</v>
      </c>
      <c r="B49" s="323">
        <v>25</v>
      </c>
      <c r="C49" s="312" t="s">
        <v>1156</v>
      </c>
      <c r="D49" s="269" t="s">
        <v>281</v>
      </c>
      <c r="E49" s="328">
        <v>1</v>
      </c>
      <c r="F49" s="327">
        <v>3</v>
      </c>
      <c r="G49" s="323" t="s">
        <v>471</v>
      </c>
      <c r="H49" s="323"/>
      <c r="I49" s="669"/>
      <c r="J49" s="670"/>
      <c r="K49" s="671"/>
      <c r="L49" s="16"/>
      <c r="M49" s="16"/>
      <c r="N49" s="16"/>
      <c r="O49" s="16"/>
      <c r="P49" s="16"/>
      <c r="Q49" s="16"/>
      <c r="R49" s="16"/>
      <c r="S49" s="16"/>
      <c r="T49" s="16"/>
      <c r="U49" s="16"/>
      <c r="V49" s="16"/>
      <c r="W49" s="16"/>
      <c r="X49" s="16"/>
      <c r="Y49" s="16"/>
      <c r="Z49" s="17"/>
      <c r="AA49" s="16"/>
      <c r="AB49" s="16"/>
    </row>
    <row r="50" spans="1:30" ht="15.75" customHeight="1">
      <c r="A50" s="323" t="s">
        <v>1150</v>
      </c>
      <c r="B50" s="323">
        <v>20</v>
      </c>
      <c r="C50" s="323" t="s">
        <v>1157</v>
      </c>
      <c r="D50" s="269" t="s">
        <v>55</v>
      </c>
      <c r="E50" s="328">
        <v>1</v>
      </c>
      <c r="F50" s="327">
        <v>1</v>
      </c>
      <c r="G50" s="329" t="s">
        <v>471</v>
      </c>
      <c r="H50" s="323"/>
      <c r="I50" s="669"/>
      <c r="J50" s="670"/>
      <c r="K50" s="671"/>
      <c r="L50" s="16"/>
      <c r="M50" s="16"/>
      <c r="N50" s="16"/>
      <c r="O50" s="16"/>
      <c r="P50" s="16"/>
      <c r="Q50" s="16"/>
      <c r="R50" s="16"/>
      <c r="S50" s="16"/>
      <c r="T50" s="16"/>
      <c r="U50" s="16"/>
      <c r="V50" s="16"/>
      <c r="W50" s="16"/>
      <c r="X50" s="16"/>
      <c r="Y50" s="16"/>
      <c r="Z50" s="16"/>
      <c r="AA50" s="16"/>
      <c r="AB50" s="16"/>
    </row>
    <row r="51" spans="1:30" ht="15.75" customHeight="1">
      <c r="A51" s="323" t="s">
        <v>1158</v>
      </c>
      <c r="B51" s="323">
        <v>15</v>
      </c>
      <c r="C51" s="323" t="s">
        <v>1157</v>
      </c>
      <c r="D51" s="269" t="s">
        <v>55</v>
      </c>
      <c r="E51" s="328">
        <v>1</v>
      </c>
      <c r="F51" s="327">
        <v>1.5</v>
      </c>
      <c r="G51" s="329" t="s">
        <v>471</v>
      </c>
      <c r="H51" s="231"/>
      <c r="I51" s="669"/>
      <c r="J51" s="670"/>
      <c r="K51" s="671"/>
      <c r="L51" s="16"/>
      <c r="M51" s="16"/>
      <c r="N51" s="16"/>
      <c r="O51" s="16"/>
      <c r="P51" s="16"/>
      <c r="Q51" s="16"/>
      <c r="R51" s="16"/>
      <c r="S51" s="16"/>
      <c r="T51" s="16"/>
      <c r="U51" s="16"/>
      <c r="V51" s="16"/>
      <c r="W51" s="16"/>
      <c r="X51" s="16"/>
      <c r="Y51" s="16"/>
      <c r="Z51" s="16"/>
      <c r="AA51" s="16"/>
      <c r="AB51" s="16"/>
    </row>
    <row r="52" spans="1:30" ht="15.75" customHeight="1">
      <c r="A52" s="231" t="s">
        <v>1151</v>
      </c>
      <c r="B52" s="328">
        <v>10</v>
      </c>
      <c r="C52" s="323" t="s">
        <v>1157</v>
      </c>
      <c r="D52" s="399" t="s">
        <v>55</v>
      </c>
      <c r="E52" s="328">
        <v>1</v>
      </c>
      <c r="F52" s="328">
        <v>1.5</v>
      </c>
      <c r="G52" s="263" t="s">
        <v>471</v>
      </c>
      <c r="H52" s="231"/>
      <c r="I52" s="669"/>
      <c r="J52" s="670"/>
      <c r="K52" s="671"/>
      <c r="L52" s="16"/>
      <c r="M52" s="16"/>
      <c r="N52" s="16"/>
      <c r="O52" s="16"/>
      <c r="P52" s="16"/>
      <c r="Q52" s="16"/>
      <c r="R52" s="16"/>
      <c r="S52" s="16"/>
      <c r="T52" s="16"/>
      <c r="U52" s="16"/>
      <c r="V52" s="16"/>
      <c r="W52" s="16"/>
      <c r="X52" s="16"/>
      <c r="Y52" s="16"/>
      <c r="Z52" s="16"/>
      <c r="AA52" s="16"/>
      <c r="AB52" s="16"/>
    </row>
    <row r="53" spans="1:30" ht="15.75" customHeight="1" thickBot="1">
      <c r="A53" s="230" t="s">
        <v>1159</v>
      </c>
      <c r="B53" s="323">
        <v>10</v>
      </c>
      <c r="C53" s="323" t="s">
        <v>1160</v>
      </c>
      <c r="D53" s="269" t="s">
        <v>281</v>
      </c>
      <c r="E53" s="328">
        <v>1</v>
      </c>
      <c r="F53" s="327">
        <v>1.5</v>
      </c>
      <c r="G53" s="231" t="s">
        <v>471</v>
      </c>
      <c r="H53" s="231" t="s">
        <v>1161</v>
      </c>
      <c r="I53" s="672"/>
      <c r="J53" s="673"/>
      <c r="K53" s="674"/>
      <c r="L53" s="16"/>
      <c r="M53" s="16"/>
      <c r="N53" s="16"/>
      <c r="O53" s="16"/>
      <c r="P53" s="16"/>
      <c r="Q53" s="16"/>
      <c r="R53" s="16"/>
      <c r="S53" s="16"/>
      <c r="T53" s="16"/>
      <c r="U53" s="16"/>
      <c r="V53" s="16"/>
      <c r="W53" s="16"/>
      <c r="X53" s="16"/>
      <c r="Y53" s="16"/>
      <c r="Z53" s="16"/>
      <c r="AA53" s="16"/>
      <c r="AB53" s="16"/>
      <c r="AC53" s="16"/>
      <c r="AD53" s="16"/>
    </row>
    <row r="54" spans="1:30" ht="15.75" customHeight="1" thickTop="1">
      <c r="A54" s="15"/>
      <c r="B54" s="16"/>
      <c r="C54" s="16"/>
      <c r="D54" s="16"/>
      <c r="E54" s="16"/>
      <c r="F54" s="16"/>
      <c r="G54" s="16"/>
      <c r="H54" s="16"/>
      <c r="I54" s="16"/>
      <c r="J54" s="16"/>
      <c r="K54" s="16"/>
      <c r="L54" s="16"/>
      <c r="M54" s="16"/>
      <c r="N54" s="16"/>
      <c r="O54" s="16"/>
      <c r="P54" s="16"/>
      <c r="Q54" s="16"/>
      <c r="W54" s="16"/>
      <c r="X54" s="16"/>
      <c r="Y54" s="16"/>
      <c r="Z54" s="16"/>
      <c r="AA54" s="16"/>
      <c r="AB54" s="16"/>
      <c r="AC54" s="16"/>
      <c r="AD54" s="16"/>
    </row>
    <row r="55" spans="1:30" ht="15.75" customHeight="1" thickBot="1">
      <c r="A55" s="186" t="s">
        <v>475</v>
      </c>
      <c r="B55" s="231"/>
      <c r="C55" s="231"/>
      <c r="D55" s="231"/>
      <c r="E55" s="231"/>
      <c r="F55" s="231"/>
      <c r="G55" s="231"/>
      <c r="H55" s="231"/>
      <c r="I55" s="231"/>
      <c r="J55" s="231"/>
      <c r="K55" s="16"/>
      <c r="L55" s="16"/>
      <c r="M55" s="16"/>
      <c r="N55" s="16"/>
      <c r="O55" s="16"/>
      <c r="P55" s="16"/>
      <c r="Q55" s="16"/>
      <c r="W55" s="16"/>
      <c r="X55" s="16"/>
      <c r="Y55" s="16"/>
      <c r="Z55" s="16"/>
      <c r="AA55" s="16"/>
      <c r="AB55" s="16"/>
      <c r="AC55" s="16"/>
      <c r="AD55" s="16"/>
    </row>
    <row r="56" spans="1:30" ht="15.75" customHeight="1" thickTop="1" thickBot="1">
      <c r="A56" s="230" t="s">
        <v>476</v>
      </c>
      <c r="B56" s="230" t="s">
        <v>477</v>
      </c>
      <c r="C56" s="230" t="s">
        <v>478</v>
      </c>
      <c r="D56" s="230" t="s">
        <v>479</v>
      </c>
      <c r="E56" s="230" t="s">
        <v>480</v>
      </c>
      <c r="F56" s="230" t="s">
        <v>481</v>
      </c>
      <c r="G56" s="230" t="s">
        <v>482</v>
      </c>
      <c r="H56" s="230" t="s">
        <v>453</v>
      </c>
      <c r="I56" s="230" t="s">
        <v>483</v>
      </c>
      <c r="J56" s="230" t="s">
        <v>484</v>
      </c>
      <c r="K56" s="721" t="s">
        <v>485</v>
      </c>
      <c r="L56" s="716"/>
      <c r="M56" s="722"/>
      <c r="N56" s="15"/>
      <c r="O56" s="16"/>
      <c r="P56" s="16"/>
      <c r="Q56" s="16"/>
      <c r="W56" s="16"/>
      <c r="X56" s="16"/>
      <c r="Y56" s="16"/>
      <c r="Z56" s="16"/>
      <c r="AA56" s="16"/>
      <c r="AB56" s="16"/>
    </row>
    <row r="57" spans="1:30" ht="15" customHeight="1" thickTop="1">
      <c r="A57" s="319" t="s">
        <v>1162</v>
      </c>
      <c r="B57" s="319" t="s">
        <v>287</v>
      </c>
      <c r="C57" s="319">
        <v>42</v>
      </c>
      <c r="D57" s="319">
        <v>1</v>
      </c>
      <c r="E57" s="319">
        <v>1</v>
      </c>
      <c r="F57" s="231">
        <f>Table_4168254[[#This Row],['# Weeks]]*Table_4168254[[#This Row],[Total hours/week]]</f>
        <v>42</v>
      </c>
      <c r="G57" s="330"/>
      <c r="H57" s="319" t="s">
        <v>55</v>
      </c>
      <c r="I57" s="331" t="s">
        <v>328</v>
      </c>
      <c r="J57" s="231" t="s">
        <v>1163</v>
      </c>
      <c r="K57" s="564" t="s">
        <v>1164</v>
      </c>
      <c r="L57" s="741"/>
      <c r="M57" s="742"/>
      <c r="N57" s="16"/>
      <c r="O57" s="16"/>
      <c r="P57" s="16"/>
      <c r="Q57" s="16"/>
      <c r="W57" s="16"/>
      <c r="X57" s="16"/>
      <c r="Y57" s="16"/>
      <c r="Z57" s="16"/>
      <c r="AA57" s="16"/>
      <c r="AB57" s="16"/>
    </row>
    <row r="58" spans="1:30" ht="15.75" customHeight="1">
      <c r="A58" s="231" t="s">
        <v>1165</v>
      </c>
      <c r="B58" s="319" t="s">
        <v>287</v>
      </c>
      <c r="C58" s="319">
        <v>42</v>
      </c>
      <c r="D58" s="319">
        <v>2</v>
      </c>
      <c r="E58" s="319">
        <v>3</v>
      </c>
      <c r="F58" s="231">
        <f>Table_4168254[[#This Row],['# Weeks]]*Table_4168254[[#This Row],[Total hours/week]]</f>
        <v>126</v>
      </c>
      <c r="G58" s="330"/>
      <c r="H58" s="319" t="s">
        <v>55</v>
      </c>
      <c r="I58" s="331" t="s">
        <v>328</v>
      </c>
      <c r="J58" s="231"/>
      <c r="K58" s="749"/>
      <c r="L58" s="744"/>
      <c r="M58" s="745"/>
      <c r="N58" s="16"/>
      <c r="O58" s="16"/>
      <c r="P58" s="16"/>
      <c r="Q58" s="16"/>
      <c r="W58" s="16"/>
      <c r="X58" s="16"/>
      <c r="Y58" s="16"/>
      <c r="Z58" s="16"/>
      <c r="AA58" s="16"/>
      <c r="AB58" s="16"/>
    </row>
    <row r="59" spans="1:30" ht="14.25" customHeight="1">
      <c r="A59" s="319" t="s">
        <v>1155</v>
      </c>
      <c r="B59" s="319" t="s">
        <v>278</v>
      </c>
      <c r="C59" s="319">
        <v>42</v>
      </c>
      <c r="D59" s="319">
        <v>2</v>
      </c>
      <c r="E59" s="319">
        <v>3</v>
      </c>
      <c r="F59" s="231">
        <f>Table_4168254[[#This Row],['# Weeks]]*Table_4168254[[#This Row],[Total hours/week]]</f>
        <v>126</v>
      </c>
      <c r="G59" s="319" t="s">
        <v>1166</v>
      </c>
      <c r="H59" s="319" t="s">
        <v>281</v>
      </c>
      <c r="I59" s="331" t="s">
        <v>328</v>
      </c>
      <c r="J59" s="231" t="s">
        <v>1167</v>
      </c>
      <c r="K59" s="749"/>
      <c r="L59" s="744"/>
      <c r="M59" s="745"/>
      <c r="N59" s="16"/>
      <c r="O59" s="16"/>
      <c r="P59" s="16"/>
      <c r="Q59" s="16"/>
      <c r="W59" s="16"/>
      <c r="X59" s="16"/>
      <c r="Y59" s="16"/>
      <c r="Z59" s="16"/>
      <c r="AA59" s="16"/>
      <c r="AB59" s="16"/>
    </row>
    <row r="60" spans="1:30" ht="15.75" customHeight="1">
      <c r="A60" s="319" t="s">
        <v>1168</v>
      </c>
      <c r="B60" s="319" t="s">
        <v>278</v>
      </c>
      <c r="C60" s="319">
        <v>42</v>
      </c>
      <c r="D60" s="319">
        <v>1</v>
      </c>
      <c r="E60" s="319">
        <v>1.5</v>
      </c>
      <c r="F60" s="231">
        <f>Table_4168254[[#This Row],['# Weeks]]*Table_4168254[[#This Row],[Total hours/week]]</f>
        <v>63</v>
      </c>
      <c r="G60" s="319"/>
      <c r="H60" s="319" t="s">
        <v>55</v>
      </c>
      <c r="I60" s="331" t="s">
        <v>328</v>
      </c>
      <c r="J60" s="231" t="s">
        <v>1169</v>
      </c>
      <c r="K60" s="749"/>
      <c r="L60" s="744"/>
      <c r="M60" s="745"/>
      <c r="N60" s="16"/>
      <c r="O60" s="16"/>
      <c r="P60" s="16"/>
      <c r="Q60" s="16"/>
      <c r="W60" s="16"/>
      <c r="X60" s="16"/>
      <c r="Y60" s="16"/>
      <c r="Z60" s="16"/>
      <c r="AA60" s="16"/>
      <c r="AB60" s="16"/>
    </row>
    <row r="61" spans="1:30" ht="15.75" customHeight="1">
      <c r="A61" s="319" t="s">
        <v>1170</v>
      </c>
      <c r="B61" s="319" t="s">
        <v>278</v>
      </c>
      <c r="C61" s="319">
        <v>42</v>
      </c>
      <c r="D61" s="319">
        <v>2</v>
      </c>
      <c r="E61" s="319">
        <v>3</v>
      </c>
      <c r="F61" s="231">
        <f>Table_4168254[[#This Row],['# Weeks]]*Table_4168254[[#This Row],[Total hours/week]]</f>
        <v>126</v>
      </c>
      <c r="G61" s="319" t="s">
        <v>1153</v>
      </c>
      <c r="H61" s="319" t="s">
        <v>57</v>
      </c>
      <c r="I61" s="331" t="s">
        <v>328</v>
      </c>
      <c r="J61" s="231"/>
      <c r="K61" s="749"/>
      <c r="L61" s="744"/>
      <c r="M61" s="745"/>
      <c r="N61" s="16"/>
      <c r="O61" s="16"/>
      <c r="P61" s="16"/>
      <c r="Q61" s="16"/>
      <c r="W61" s="16"/>
      <c r="X61" s="16"/>
      <c r="Y61" s="16"/>
      <c r="Z61" s="16"/>
      <c r="AA61" s="16"/>
      <c r="AB61" s="16"/>
    </row>
    <row r="62" spans="1:30" ht="15.75" customHeight="1">
      <c r="A62" s="231" t="s">
        <v>1171</v>
      </c>
      <c r="B62" s="319" t="s">
        <v>293</v>
      </c>
      <c r="C62" s="261"/>
      <c r="D62" s="261"/>
      <c r="E62" s="261"/>
      <c r="F62" s="231">
        <f>Table_4168254[[#This Row],['# Weeks]]*Table_4168254[[#This Row],[Total hours/week]]</f>
        <v>0</v>
      </c>
      <c r="G62" s="319"/>
      <c r="H62" s="319"/>
      <c r="I62" s="339">
        <v>1000</v>
      </c>
      <c r="J62" s="231" t="s">
        <v>1172</v>
      </c>
      <c r="K62" s="749"/>
      <c r="L62" s="744"/>
      <c r="M62" s="745"/>
      <c r="N62" s="16"/>
      <c r="O62" s="16"/>
      <c r="P62" s="16"/>
      <c r="Q62" s="16"/>
      <c r="W62" s="16"/>
      <c r="X62" s="16"/>
      <c r="Y62" s="16"/>
      <c r="Z62" s="16"/>
      <c r="AA62" s="16"/>
      <c r="AB62" s="16"/>
    </row>
    <row r="63" spans="1:30" ht="15.75" customHeight="1">
      <c r="A63" s="319" t="s">
        <v>1151</v>
      </c>
      <c r="B63" s="319" t="s">
        <v>278</v>
      </c>
      <c r="C63" s="262">
        <v>42</v>
      </c>
      <c r="D63" s="262">
        <v>2</v>
      </c>
      <c r="E63" s="262">
        <v>3</v>
      </c>
      <c r="F63" s="231">
        <f>Table_4168254[[#This Row],['# Weeks]]*Table_4168254[[#This Row],[Total hours/week]]</f>
        <v>126</v>
      </c>
      <c r="G63" s="319" t="s">
        <v>1173</v>
      </c>
      <c r="H63" s="319" t="s">
        <v>281</v>
      </c>
      <c r="I63" s="339" t="str">
        <f t="shared" ref="I63:I65" si="2">IF(H63 = "PT-V","n/a",IF(H63 = "PT","n/a",IF(H63 = "RT","n/a",IF(OR(H63 = "Extern",H63 = "PT-ZZP"), "Please fill in", 0))))</f>
        <v>n/a</v>
      </c>
      <c r="J63" s="231" t="s">
        <v>1174</v>
      </c>
      <c r="K63" s="749"/>
      <c r="L63" s="744"/>
      <c r="M63" s="745"/>
      <c r="N63" s="16"/>
      <c r="O63" s="16"/>
      <c r="P63" s="16"/>
      <c r="Q63" s="16"/>
      <c r="W63" s="16"/>
      <c r="X63" s="16"/>
      <c r="Y63" s="16"/>
      <c r="Z63" s="16"/>
      <c r="AA63" s="16"/>
      <c r="AB63" s="16"/>
    </row>
    <row r="64" spans="1:30" ht="15.75" customHeight="1">
      <c r="A64" s="319"/>
      <c r="B64" s="319"/>
      <c r="C64" s="262"/>
      <c r="D64" s="262"/>
      <c r="E64" s="262"/>
      <c r="F64" s="231"/>
      <c r="G64" s="319"/>
      <c r="H64" s="319"/>
      <c r="I64" s="339"/>
      <c r="J64" s="231"/>
      <c r="K64" s="749"/>
      <c r="L64" s="744"/>
      <c r="M64" s="745"/>
      <c r="N64" s="16"/>
      <c r="O64" s="16"/>
      <c r="P64" s="16"/>
      <c r="Q64" s="16"/>
      <c r="W64" s="16"/>
      <c r="X64" s="16"/>
      <c r="Y64" s="16"/>
      <c r="Z64" s="16"/>
      <c r="AA64" s="16"/>
      <c r="AB64" s="16"/>
    </row>
    <row r="65" spans="1:30" ht="15.75" customHeight="1">
      <c r="A65" s="319" t="s">
        <v>1175</v>
      </c>
      <c r="B65" s="319" t="s">
        <v>290</v>
      </c>
      <c r="C65" s="262">
        <v>42</v>
      </c>
      <c r="D65" s="262">
        <v>1</v>
      </c>
      <c r="E65" s="262">
        <v>0.5</v>
      </c>
      <c r="F65" s="231">
        <f>Table_4168254[[#This Row],['# Weeks]]*Table_4168254[[#This Row],[Total hours/week]]</f>
        <v>21</v>
      </c>
      <c r="G65" s="319" t="s">
        <v>1153</v>
      </c>
      <c r="H65" s="319" t="s">
        <v>57</v>
      </c>
      <c r="I65" s="339" t="str">
        <f t="shared" si="2"/>
        <v>n/a</v>
      </c>
      <c r="J65" s="231"/>
      <c r="K65" s="749"/>
      <c r="L65" s="744"/>
      <c r="M65" s="745"/>
      <c r="N65" s="16"/>
      <c r="O65" s="16"/>
      <c r="P65" s="16"/>
      <c r="Q65" s="16"/>
      <c r="W65" s="16"/>
      <c r="X65" s="16"/>
      <c r="Y65" s="16"/>
      <c r="Z65" s="16"/>
      <c r="AA65" s="16"/>
      <c r="AB65" s="16"/>
    </row>
    <row r="66" spans="1:30" ht="15.75" customHeight="1">
      <c r="A66" s="231"/>
      <c r="B66" s="319"/>
      <c r="C66" s="232"/>
      <c r="D66" s="232"/>
      <c r="E66" s="261"/>
      <c r="F66" s="262"/>
      <c r="G66" s="231"/>
      <c r="H66" s="319"/>
      <c r="I66" s="331"/>
      <c r="J66" s="231"/>
      <c r="K66" s="749"/>
      <c r="L66" s="744"/>
      <c r="M66" s="745"/>
      <c r="N66" s="16"/>
      <c r="O66" s="16"/>
      <c r="P66" s="16"/>
      <c r="Q66" s="16"/>
      <c r="W66" s="16"/>
      <c r="X66" s="16"/>
      <c r="Y66" s="16"/>
      <c r="Z66" s="16"/>
      <c r="AA66" s="16"/>
      <c r="AB66" s="16"/>
    </row>
    <row r="67" spans="1:30" ht="15.75" customHeight="1">
      <c r="A67" s="231"/>
      <c r="B67" s="319"/>
      <c r="C67" s="232"/>
      <c r="D67" s="232"/>
      <c r="E67" s="261"/>
      <c r="F67" s="262"/>
      <c r="G67" s="231"/>
      <c r="H67" s="319"/>
      <c r="I67" s="331"/>
      <c r="J67" s="231"/>
      <c r="K67" s="749"/>
      <c r="L67" s="744"/>
      <c r="M67" s="745"/>
      <c r="N67" s="16"/>
      <c r="O67" s="16"/>
      <c r="P67" s="16"/>
      <c r="Q67" s="16"/>
      <c r="W67" s="16"/>
      <c r="X67" s="16"/>
      <c r="Y67" s="16"/>
      <c r="Z67" s="16"/>
      <c r="AA67" s="16"/>
      <c r="AB67" s="16"/>
    </row>
    <row r="68" spans="1:30" ht="15.75" customHeight="1">
      <c r="A68" s="231"/>
      <c r="B68" s="319"/>
      <c r="C68" s="232"/>
      <c r="D68" s="232"/>
      <c r="E68" s="261"/>
      <c r="F68" s="262"/>
      <c r="G68" s="231"/>
      <c r="H68" s="319"/>
      <c r="I68" s="331"/>
      <c r="J68" s="231"/>
      <c r="K68" s="749"/>
      <c r="L68" s="744"/>
      <c r="M68" s="745"/>
      <c r="N68" s="16"/>
      <c r="O68" s="16"/>
      <c r="P68" s="16"/>
      <c r="Q68" s="16"/>
      <c r="W68" s="16"/>
      <c r="X68" s="16"/>
      <c r="Y68" s="16"/>
      <c r="Z68" s="16"/>
      <c r="AA68" s="16"/>
      <c r="AB68" s="16"/>
    </row>
    <row r="69" spans="1:30" ht="15.75" customHeight="1" thickBot="1">
      <c r="A69" s="231"/>
      <c r="B69" s="319"/>
      <c r="C69" s="245"/>
      <c r="D69" s="232"/>
      <c r="E69" s="261"/>
      <c r="F69" s="262"/>
      <c r="G69" s="263"/>
      <c r="H69" s="263"/>
      <c r="I69" s="264"/>
      <c r="J69" s="231"/>
      <c r="K69" s="746"/>
      <c r="L69" s="747"/>
      <c r="M69" s="748"/>
      <c r="N69" s="16"/>
      <c r="O69" s="16"/>
      <c r="P69" s="16"/>
      <c r="Q69" s="16"/>
      <c r="W69" s="16"/>
      <c r="X69" s="16"/>
      <c r="Y69" s="16"/>
      <c r="Z69" s="16"/>
      <c r="AA69" s="16"/>
      <c r="AB69" s="16"/>
    </row>
    <row r="70" spans="1:30" ht="15.75" customHeight="1" thickTop="1">
      <c r="A70" s="16"/>
      <c r="B70" s="16"/>
      <c r="C70" s="16"/>
      <c r="D70" s="16"/>
      <c r="E70" s="16"/>
      <c r="F70" s="16"/>
      <c r="G70" s="16"/>
      <c r="H70" s="16"/>
      <c r="I70" s="16"/>
      <c r="J70" s="16"/>
      <c r="K70" s="16"/>
      <c r="L70" s="16"/>
      <c r="M70" s="16"/>
      <c r="N70" s="16"/>
      <c r="O70" s="16"/>
      <c r="P70" s="16"/>
      <c r="Q70" s="16"/>
      <c r="W70" s="16"/>
      <c r="X70" s="16"/>
      <c r="Y70" s="16"/>
      <c r="Z70" s="16"/>
      <c r="AA70" s="16"/>
      <c r="AB70" s="16"/>
      <c r="AC70" s="16"/>
      <c r="AD70" s="16"/>
    </row>
    <row r="71" spans="1:30" ht="15.75" customHeight="1" thickBot="1">
      <c r="A71" s="186" t="s">
        <v>499</v>
      </c>
      <c r="B71" s="231"/>
      <c r="C71" s="231"/>
      <c r="D71" s="231"/>
      <c r="E71" s="231"/>
      <c r="F71" s="231"/>
      <c r="G71" s="231"/>
      <c r="H71" s="231"/>
      <c r="I71" s="231"/>
      <c r="J71" s="231"/>
      <c r="K71" s="123"/>
      <c r="L71" s="123"/>
      <c r="M71" s="16"/>
      <c r="N71" s="16"/>
      <c r="O71" s="16"/>
      <c r="P71" s="16"/>
      <c r="Q71" s="16"/>
      <c r="W71" s="16"/>
      <c r="X71" s="16"/>
      <c r="Y71" s="16"/>
      <c r="Z71" s="16"/>
      <c r="AA71" s="16"/>
      <c r="AB71" s="16"/>
      <c r="AC71" s="16"/>
      <c r="AD71" s="16"/>
    </row>
    <row r="72" spans="1:30" ht="15.75" customHeight="1" thickTop="1" thickBot="1">
      <c r="A72" s="230" t="s">
        <v>476</v>
      </c>
      <c r="B72" s="230" t="s">
        <v>500</v>
      </c>
      <c r="C72" s="230" t="s">
        <v>501</v>
      </c>
      <c r="D72" s="230" t="s">
        <v>502</v>
      </c>
      <c r="E72" s="230" t="s">
        <v>503</v>
      </c>
      <c r="F72" s="230" t="s">
        <v>504</v>
      </c>
      <c r="G72" s="230" t="s">
        <v>505</v>
      </c>
      <c r="H72" s="230" t="s">
        <v>506</v>
      </c>
      <c r="I72" s="230" t="s">
        <v>507</v>
      </c>
      <c r="J72" s="230" t="s">
        <v>508</v>
      </c>
      <c r="K72" s="561" t="s">
        <v>441</v>
      </c>
      <c r="L72" s="561"/>
      <c r="M72" s="561"/>
      <c r="N72" s="561"/>
      <c r="O72" s="570"/>
      <c r="P72" s="726" t="s">
        <v>434</v>
      </c>
      <c r="Q72" s="727"/>
      <c r="R72" s="16"/>
      <c r="S72" s="16"/>
      <c r="V72" s="16"/>
      <c r="W72" s="16"/>
      <c r="X72" s="16"/>
      <c r="Y72" s="16"/>
      <c r="Z72" s="16"/>
      <c r="AA72" s="16"/>
    </row>
    <row r="73" spans="1:30" ht="15.75" customHeight="1" thickTop="1">
      <c r="A73" s="423" t="s">
        <v>1176</v>
      </c>
      <c r="B73" s="323" t="s">
        <v>267</v>
      </c>
      <c r="C73" s="323" t="s">
        <v>515</v>
      </c>
      <c r="D73" s="327">
        <v>1.5</v>
      </c>
      <c r="E73" s="328">
        <v>42</v>
      </c>
      <c r="F73" s="326">
        <f>Kronos!$D73*Kronos!$E73</f>
        <v>63</v>
      </c>
      <c r="G73" s="328">
        <v>1</v>
      </c>
      <c r="H73" s="332">
        <f>IF($B73= "","-",IF($B73= "External","Specify location tariff", INDEX(Constants!$3:$3,MATCH($B73,Constants!$2:$2,0))))</f>
        <v>45</v>
      </c>
      <c r="I73" s="333">
        <f t="shared" ref="I73:I76" si="3">IF($H73="-","-",IF($H73="Specify location tariff","-",$H73*$F73))</f>
        <v>2835</v>
      </c>
      <c r="J73" s="318" t="s">
        <v>1177</v>
      </c>
      <c r="K73" s="675" t="s">
        <v>1178</v>
      </c>
      <c r="L73" s="676"/>
      <c r="M73" s="676"/>
      <c r="N73" s="676"/>
      <c r="O73" s="677"/>
      <c r="P73" s="564" t="s">
        <v>511</v>
      </c>
      <c r="Q73" s="565"/>
      <c r="R73" s="16"/>
      <c r="S73" s="16"/>
      <c r="V73" s="16"/>
      <c r="W73" s="16"/>
      <c r="X73" s="16"/>
      <c r="Y73" s="16"/>
      <c r="Z73" s="16"/>
      <c r="AA73" s="16"/>
    </row>
    <row r="74" spans="1:30" ht="15.75" customHeight="1">
      <c r="A74" s="386" t="s">
        <v>1179</v>
      </c>
      <c r="B74" s="323" t="s">
        <v>267</v>
      </c>
      <c r="C74" s="323" t="s">
        <v>512</v>
      </c>
      <c r="D74" s="327">
        <v>1.5</v>
      </c>
      <c r="E74" s="328">
        <v>42</v>
      </c>
      <c r="F74" s="326">
        <f>Kronos!$D74*Kronos!$E74</f>
        <v>63</v>
      </c>
      <c r="G74" s="328">
        <v>1</v>
      </c>
      <c r="H74" s="332">
        <f>IF($B74= "","-",IF($B74= "External","Specify location tariff", INDEX(Constants!$3:$3,MATCH($B74,Constants!$2:$2,0))))</f>
        <v>45</v>
      </c>
      <c r="I74" s="333">
        <f t="shared" si="3"/>
        <v>2835</v>
      </c>
      <c r="J74" s="424" t="s">
        <v>1180</v>
      </c>
      <c r="K74" s="678"/>
      <c r="L74" s="679"/>
      <c r="M74" s="679"/>
      <c r="N74" s="679"/>
      <c r="O74" s="680"/>
      <c r="P74" s="566"/>
      <c r="Q74" s="567"/>
      <c r="R74" s="16"/>
      <c r="S74" s="16"/>
      <c r="V74" s="16"/>
      <c r="W74" s="16"/>
      <c r="X74" s="16"/>
      <c r="Y74" s="16"/>
      <c r="Z74" s="16"/>
      <c r="AA74" s="16"/>
    </row>
    <row r="75" spans="1:30" ht="15.75" customHeight="1">
      <c r="A75" s="327" t="s">
        <v>1181</v>
      </c>
      <c r="B75" s="323" t="s">
        <v>267</v>
      </c>
      <c r="C75" s="323" t="s">
        <v>513</v>
      </c>
      <c r="D75" s="327">
        <v>1</v>
      </c>
      <c r="E75" s="328">
        <v>25</v>
      </c>
      <c r="F75" s="326">
        <f>Kronos!$D75*Kronos!$E75</f>
        <v>25</v>
      </c>
      <c r="G75" s="328">
        <v>4</v>
      </c>
      <c r="H75" s="332">
        <f>IF($B75= "","-",IF($B75= "External","Specify location tariff", INDEX(Constants!$3:$3,MATCH($B75,Constants!$2:$2,0))))</f>
        <v>45</v>
      </c>
      <c r="I75" s="333">
        <f t="shared" si="3"/>
        <v>1125</v>
      </c>
      <c r="J75" s="332" t="s">
        <v>1182</v>
      </c>
      <c r="K75" s="678"/>
      <c r="L75" s="679"/>
      <c r="M75" s="679"/>
      <c r="N75" s="679"/>
      <c r="O75" s="680"/>
      <c r="P75" s="566"/>
      <c r="Q75" s="567"/>
      <c r="R75" s="16"/>
      <c r="S75" s="16"/>
      <c r="V75" s="16"/>
      <c r="W75" s="16"/>
      <c r="X75" s="16"/>
      <c r="Y75" s="16"/>
      <c r="Z75" s="16"/>
      <c r="AA75" s="16"/>
    </row>
    <row r="76" spans="1:30" ht="15.75" customHeight="1">
      <c r="A76" s="386" t="s">
        <v>1183</v>
      </c>
      <c r="B76" s="323" t="s">
        <v>267</v>
      </c>
      <c r="C76" s="323" t="s">
        <v>516</v>
      </c>
      <c r="D76" s="327">
        <v>1.5</v>
      </c>
      <c r="E76" s="328">
        <v>42</v>
      </c>
      <c r="F76" s="326">
        <f>Kronos!$D76*Kronos!$E76</f>
        <v>63</v>
      </c>
      <c r="G76" s="328">
        <v>2</v>
      </c>
      <c r="H76" s="332">
        <f>IF($B76= "","-",IF($B76= "External","Specify location tariff", INDEX(Constants!$3:$3,MATCH($B76,Constants!$2:$2,0))))</f>
        <v>45</v>
      </c>
      <c r="I76" s="333">
        <f t="shared" si="3"/>
        <v>2835</v>
      </c>
      <c r="J76" s="424" t="s">
        <v>1184</v>
      </c>
      <c r="K76" s="678"/>
      <c r="L76" s="679"/>
      <c r="M76" s="679"/>
      <c r="N76" s="679"/>
      <c r="O76" s="680"/>
      <c r="P76" s="566"/>
      <c r="Q76" s="567"/>
      <c r="R76" s="16"/>
      <c r="S76" s="16"/>
      <c r="V76" s="16"/>
      <c r="W76" s="16"/>
      <c r="X76" s="16"/>
      <c r="Y76" s="16"/>
      <c r="Z76" s="16"/>
      <c r="AA76" s="16"/>
    </row>
    <row r="77" spans="1:30" ht="15.75" customHeight="1">
      <c r="A77" s="323" t="s">
        <v>1185</v>
      </c>
      <c r="B77" s="323" t="s">
        <v>247</v>
      </c>
      <c r="C77" s="323" t="s">
        <v>513</v>
      </c>
      <c r="D77" s="327">
        <v>1</v>
      </c>
      <c r="E77" s="328">
        <v>17</v>
      </c>
      <c r="F77" s="326">
        <f>Kronos!$D77*Kronos!$E77</f>
        <v>17</v>
      </c>
      <c r="G77" s="328">
        <v>4</v>
      </c>
      <c r="H77" s="332">
        <f>IF($B77= "","-",IF($B77= "External","Specify location tariff", INDEX(Constants!$3:$3,MATCH($B77,Constants!$2:$2,0))))</f>
        <v>40</v>
      </c>
      <c r="I77" s="333">
        <f>IF($H77="-","-",IF($H77="Specify location tariff","-",$H77*$F77))</f>
        <v>680</v>
      </c>
      <c r="J77" s="332" t="s">
        <v>1186</v>
      </c>
      <c r="K77" s="678"/>
      <c r="L77" s="679"/>
      <c r="M77" s="679"/>
      <c r="N77" s="679"/>
      <c r="O77" s="680"/>
      <c r="P77" s="566"/>
      <c r="Q77" s="567"/>
      <c r="R77" s="16"/>
      <c r="S77" s="16"/>
      <c r="V77" s="16"/>
      <c r="W77" s="16"/>
      <c r="X77" s="16"/>
      <c r="Y77" s="16"/>
      <c r="Z77" s="16"/>
      <c r="AA77" s="16"/>
    </row>
    <row r="78" spans="1:30" ht="15.75" customHeight="1">
      <c r="A78" s="323" t="s">
        <v>1187</v>
      </c>
      <c r="B78" s="323" t="s">
        <v>272</v>
      </c>
      <c r="C78" s="323" t="s">
        <v>1188</v>
      </c>
      <c r="D78" s="327">
        <v>1.5</v>
      </c>
      <c r="E78" s="328">
        <v>10</v>
      </c>
      <c r="F78" s="326">
        <f>Kronos!$D78*Kronos!$E78</f>
        <v>15</v>
      </c>
      <c r="G78" s="328">
        <v>5</v>
      </c>
      <c r="H78" s="332">
        <v>62</v>
      </c>
      <c r="I78" s="333">
        <f>IF($H78="-","-",IF($H78="Specify location tariff","-",$H78*$F78))</f>
        <v>930</v>
      </c>
      <c r="J78" s="332" t="s">
        <v>1189</v>
      </c>
      <c r="K78" s="678"/>
      <c r="L78" s="679"/>
      <c r="M78" s="679"/>
      <c r="N78" s="679"/>
      <c r="O78" s="680"/>
      <c r="P78" s="566"/>
      <c r="Q78" s="567"/>
      <c r="R78" s="16"/>
      <c r="S78" s="16"/>
      <c r="V78" s="16"/>
      <c r="W78" s="16"/>
      <c r="X78" s="16"/>
      <c r="Y78" s="16"/>
      <c r="Z78" s="16"/>
      <c r="AA78" s="16"/>
    </row>
    <row r="79" spans="1:30" ht="15.75" customHeight="1">
      <c r="A79" s="323" t="s">
        <v>1190</v>
      </c>
      <c r="B79" s="323" t="s">
        <v>272</v>
      </c>
      <c r="C79" s="323" t="s">
        <v>1191</v>
      </c>
      <c r="D79" s="327" t="s">
        <v>328</v>
      </c>
      <c r="E79" s="328" t="s">
        <v>328</v>
      </c>
      <c r="F79" s="326">
        <v>1</v>
      </c>
      <c r="G79" s="328" t="s">
        <v>328</v>
      </c>
      <c r="H79" s="332">
        <v>200</v>
      </c>
      <c r="I79" s="333">
        <f>IF($H79="-","-",IF($H79="Specify location tariff","-",$H79*$F79))</f>
        <v>200</v>
      </c>
      <c r="J79" s="332" t="s">
        <v>1192</v>
      </c>
      <c r="K79" s="678"/>
      <c r="L79" s="679"/>
      <c r="M79" s="679"/>
      <c r="N79" s="679"/>
      <c r="O79" s="680"/>
      <c r="P79" s="566"/>
      <c r="Q79" s="567"/>
      <c r="R79" s="16"/>
      <c r="S79" s="16"/>
      <c r="V79" s="16"/>
      <c r="W79" s="16"/>
      <c r="X79" s="16"/>
      <c r="Y79" s="16"/>
      <c r="Z79" s="16"/>
      <c r="AA79" s="16"/>
    </row>
    <row r="80" spans="1:30" ht="15.75" customHeight="1">
      <c r="A80" s="248"/>
      <c r="B80" s="248"/>
      <c r="C80" s="248"/>
      <c r="D80" s="248"/>
      <c r="E80" s="248"/>
      <c r="F80" s="248"/>
      <c r="G80" s="248"/>
      <c r="H80" s="248"/>
      <c r="I80" s="333"/>
      <c r="J80" s="247"/>
      <c r="K80" s="678"/>
      <c r="L80" s="679"/>
      <c r="M80" s="679"/>
      <c r="N80" s="679"/>
      <c r="O80" s="680"/>
      <c r="P80" s="566"/>
      <c r="Q80" s="567"/>
      <c r="R80" s="16"/>
      <c r="S80" s="16"/>
      <c r="V80" s="16"/>
      <c r="W80" s="16"/>
      <c r="X80" s="16"/>
      <c r="Y80" s="16"/>
      <c r="Z80" s="16"/>
      <c r="AA80" s="16"/>
    </row>
    <row r="81" spans="1:30" ht="15.75" customHeight="1">
      <c r="A81" s="323"/>
      <c r="B81" s="323"/>
      <c r="C81" s="323"/>
      <c r="D81" s="327"/>
      <c r="E81" s="328"/>
      <c r="F81" s="326"/>
      <c r="G81" s="328"/>
      <c r="H81" s="332"/>
      <c r="I81" s="333"/>
      <c r="J81" s="332"/>
      <c r="K81" s="678"/>
      <c r="L81" s="679"/>
      <c r="M81" s="679"/>
      <c r="N81" s="679"/>
      <c r="O81" s="680"/>
      <c r="P81" s="566"/>
      <c r="Q81" s="567"/>
      <c r="R81" s="16"/>
      <c r="S81" s="16"/>
      <c r="V81" s="16"/>
      <c r="W81" s="16"/>
      <c r="X81" s="16"/>
      <c r="Y81" s="16"/>
      <c r="Z81" s="16"/>
      <c r="AA81" s="16"/>
    </row>
    <row r="82" spans="1:30" ht="15.75" customHeight="1">
      <c r="A82" s="323"/>
      <c r="B82" s="323"/>
      <c r="C82" s="323"/>
      <c r="D82" s="327"/>
      <c r="E82" s="328"/>
      <c r="F82" s="326"/>
      <c r="G82" s="328"/>
      <c r="H82" s="332"/>
      <c r="I82" s="333"/>
      <c r="J82" s="332"/>
      <c r="K82" s="678"/>
      <c r="L82" s="679"/>
      <c r="M82" s="679"/>
      <c r="N82" s="679"/>
      <c r="O82" s="680"/>
      <c r="P82" s="566"/>
      <c r="Q82" s="567"/>
      <c r="R82" s="16"/>
      <c r="S82" s="16"/>
      <c r="V82" s="16"/>
      <c r="W82" s="16"/>
      <c r="X82" s="16"/>
      <c r="Y82" s="16"/>
      <c r="Z82" s="16"/>
      <c r="AA82" s="16"/>
    </row>
    <row r="83" spans="1:30" ht="15.75" customHeight="1">
      <c r="A83" s="248"/>
      <c r="B83" s="248"/>
      <c r="C83" s="248"/>
      <c r="D83" s="248"/>
      <c r="E83" s="248"/>
      <c r="F83" s="248"/>
      <c r="G83" s="248"/>
      <c r="H83" s="248"/>
      <c r="I83" s="333"/>
      <c r="J83" s="247"/>
      <c r="K83" s="678"/>
      <c r="L83" s="679"/>
      <c r="M83" s="679"/>
      <c r="N83" s="679"/>
      <c r="O83" s="680"/>
      <c r="P83" s="566"/>
      <c r="Q83" s="567"/>
      <c r="R83" s="16"/>
      <c r="S83" s="16"/>
      <c r="V83" s="16"/>
      <c r="W83" s="16"/>
      <c r="X83" s="16"/>
      <c r="Y83" s="16"/>
      <c r="Z83" s="16"/>
      <c r="AA83" s="16"/>
    </row>
    <row r="84" spans="1:30" ht="15.75" customHeight="1">
      <c r="A84" s="231"/>
      <c r="B84" s="231"/>
      <c r="C84" s="232"/>
      <c r="D84" s="261"/>
      <c r="E84" s="245"/>
      <c r="F84" s="326"/>
      <c r="G84" s="245"/>
      <c r="H84" s="332"/>
      <c r="I84" s="333"/>
      <c r="J84" s="247"/>
      <c r="K84" s="678"/>
      <c r="L84" s="679"/>
      <c r="M84" s="679"/>
      <c r="N84" s="679"/>
      <c r="O84" s="680"/>
      <c r="P84" s="566"/>
      <c r="Q84" s="567"/>
      <c r="R84" s="16"/>
      <c r="S84" s="16"/>
      <c r="V84" s="16"/>
      <c r="W84" s="16"/>
      <c r="X84" s="16"/>
      <c r="Y84" s="16"/>
      <c r="Z84" s="16"/>
      <c r="AA84" s="16"/>
    </row>
    <row r="85" spans="1:30" ht="15.75" customHeight="1">
      <c r="A85" s="231"/>
      <c r="B85" s="231"/>
      <c r="C85" s="232"/>
      <c r="D85" s="261"/>
      <c r="E85" s="245"/>
      <c r="F85" s="326"/>
      <c r="G85" s="245"/>
      <c r="H85" s="332"/>
      <c r="I85" s="333"/>
      <c r="J85" s="247"/>
      <c r="K85" s="678"/>
      <c r="L85" s="679"/>
      <c r="M85" s="679"/>
      <c r="N85" s="679"/>
      <c r="O85" s="680"/>
      <c r="P85" s="566"/>
      <c r="Q85" s="567"/>
      <c r="R85" s="16"/>
      <c r="S85" s="16"/>
      <c r="V85" s="16"/>
      <c r="W85" s="16"/>
      <c r="X85" s="16"/>
      <c r="Y85" s="16"/>
      <c r="Z85" s="16"/>
      <c r="AA85" s="16"/>
    </row>
    <row r="86" spans="1:30" ht="15.75" customHeight="1">
      <c r="A86" s="231"/>
      <c r="B86" s="231"/>
      <c r="C86" s="232"/>
      <c r="D86" s="261"/>
      <c r="E86" s="245"/>
      <c r="F86" s="326"/>
      <c r="G86" s="245"/>
      <c r="H86" s="332"/>
      <c r="I86" s="333"/>
      <c r="J86" s="247"/>
      <c r="K86" s="678"/>
      <c r="L86" s="679"/>
      <c r="M86" s="679"/>
      <c r="N86" s="679"/>
      <c r="O86" s="680"/>
      <c r="P86" s="566"/>
      <c r="Q86" s="567"/>
      <c r="R86" s="16"/>
      <c r="S86" s="16"/>
      <c r="V86" s="16"/>
      <c r="W86" s="16"/>
      <c r="X86" s="16"/>
      <c r="Y86" s="16"/>
      <c r="Z86" s="16"/>
      <c r="AA86" s="16"/>
    </row>
    <row r="87" spans="1:30" ht="15.75" customHeight="1">
      <c r="A87" s="231"/>
      <c r="B87" s="231"/>
      <c r="C87" s="232"/>
      <c r="D87" s="261"/>
      <c r="E87" s="245"/>
      <c r="F87" s="326"/>
      <c r="G87" s="245"/>
      <c r="H87" s="332"/>
      <c r="I87" s="333"/>
      <c r="J87" s="247"/>
      <c r="K87" s="678"/>
      <c r="L87" s="679"/>
      <c r="M87" s="679"/>
      <c r="N87" s="679"/>
      <c r="O87" s="680"/>
      <c r="P87" s="566"/>
      <c r="Q87" s="567"/>
      <c r="R87" s="16"/>
      <c r="S87" s="16"/>
      <c r="V87" s="16"/>
      <c r="W87" s="16"/>
      <c r="X87" s="16"/>
      <c r="Y87" s="16"/>
      <c r="Z87" s="16"/>
      <c r="AA87" s="16"/>
    </row>
    <row r="88" spans="1:30" ht="15.75" customHeight="1">
      <c r="A88" s="231"/>
      <c r="B88" s="231"/>
      <c r="C88" s="232"/>
      <c r="D88" s="261"/>
      <c r="E88" s="245"/>
      <c r="F88" s="326"/>
      <c r="G88" s="245"/>
      <c r="H88" s="332"/>
      <c r="I88" s="333"/>
      <c r="J88" s="247"/>
      <c r="K88" s="678"/>
      <c r="L88" s="679"/>
      <c r="M88" s="679"/>
      <c r="N88" s="679"/>
      <c r="O88" s="680"/>
      <c r="P88" s="566"/>
      <c r="Q88" s="567"/>
      <c r="R88" s="16"/>
      <c r="S88" s="16"/>
      <c r="V88" s="16"/>
      <c r="W88" s="16"/>
      <c r="X88" s="16"/>
      <c r="Y88" s="16"/>
      <c r="Z88" s="16"/>
      <c r="AA88" s="16"/>
    </row>
    <row r="89" spans="1:30" ht="15.75" customHeight="1" thickBot="1">
      <c r="A89" s="231"/>
      <c r="B89" s="231"/>
      <c r="C89" s="232"/>
      <c r="D89" s="261"/>
      <c r="E89" s="245"/>
      <c r="F89" s="326"/>
      <c r="G89" s="245"/>
      <c r="H89" s="332"/>
      <c r="I89" s="333"/>
      <c r="J89" s="247"/>
      <c r="K89" s="681"/>
      <c r="L89" s="682"/>
      <c r="M89" s="682"/>
      <c r="N89" s="682"/>
      <c r="O89" s="683"/>
      <c r="P89" s="568"/>
      <c r="Q89" s="569"/>
      <c r="R89" s="16"/>
      <c r="S89" s="16"/>
      <c r="V89" s="16"/>
      <c r="W89" s="16"/>
      <c r="X89" s="16"/>
      <c r="Y89" s="16"/>
      <c r="Z89" s="16"/>
      <c r="AA89" s="16"/>
    </row>
    <row r="90" spans="1:30" ht="15.75" customHeight="1" thickTop="1">
      <c r="A90" s="15"/>
      <c r="B90" s="16"/>
      <c r="C90" s="16"/>
      <c r="D90" s="16"/>
      <c r="E90" s="16"/>
      <c r="F90" s="16"/>
      <c r="G90" s="16"/>
      <c r="H90" s="16"/>
      <c r="I90" s="16"/>
      <c r="J90" s="16"/>
      <c r="K90" s="16"/>
      <c r="L90" s="16"/>
      <c r="M90" s="16"/>
      <c r="N90" s="16"/>
      <c r="O90" s="16"/>
      <c r="P90" s="16"/>
      <c r="Q90" s="16"/>
      <c r="R90" s="16"/>
      <c r="S90" s="16"/>
      <c r="T90" s="16"/>
      <c r="U90" s="16"/>
      <c r="V90" s="16"/>
      <c r="W90" s="16"/>
      <c r="X90" s="16"/>
      <c r="Y90" s="16"/>
      <c r="Z90" s="16"/>
      <c r="AA90" s="16"/>
      <c r="AB90" s="16"/>
      <c r="AC90" s="16"/>
      <c r="AD90" s="16"/>
    </row>
    <row r="91" spans="1:30" ht="15.75" customHeight="1">
      <c r="A91" s="15"/>
      <c r="B91" s="16"/>
      <c r="C91" s="16"/>
      <c r="D91" s="16"/>
      <c r="E91" s="16"/>
      <c r="F91" s="16"/>
      <c r="G91" s="16"/>
      <c r="H91" s="16"/>
      <c r="I91" s="16"/>
      <c r="J91" s="16"/>
      <c r="K91" s="16"/>
      <c r="L91" s="16"/>
      <c r="M91" s="16"/>
      <c r="N91" s="16"/>
      <c r="O91" s="16"/>
      <c r="P91" s="16"/>
      <c r="Q91" s="16"/>
      <c r="R91" s="16"/>
      <c r="S91" s="16"/>
      <c r="T91" s="16"/>
      <c r="U91" s="16"/>
      <c r="V91" s="16"/>
      <c r="W91" s="16"/>
      <c r="X91" s="16"/>
      <c r="Y91" s="16"/>
      <c r="Z91" s="16"/>
      <c r="AA91" s="16"/>
      <c r="AB91" s="16"/>
      <c r="AC91" s="16"/>
      <c r="AD91" s="16"/>
    </row>
    <row r="92" spans="1:30" ht="15.75" customHeight="1" thickBot="1">
      <c r="A92" s="186" t="s">
        <v>519</v>
      </c>
      <c r="B92" s="16"/>
      <c r="C92" s="128"/>
      <c r="D92" s="51"/>
      <c r="E92" s="51"/>
      <c r="F92" s="51"/>
      <c r="G92" s="51"/>
      <c r="H92" s="51"/>
      <c r="I92" s="51"/>
      <c r="J92" s="51"/>
      <c r="K92" s="51"/>
      <c r="L92" s="232"/>
      <c r="M92" s="231"/>
      <c r="N92" s="231"/>
      <c r="O92" s="16"/>
      <c r="P92" s="16"/>
      <c r="Q92" s="16"/>
      <c r="R92" s="16"/>
      <c r="S92" s="16"/>
      <c r="T92" s="16"/>
      <c r="U92" s="16"/>
      <c r="V92" s="16"/>
      <c r="W92" s="16"/>
      <c r="X92" s="16"/>
      <c r="Y92" s="16"/>
      <c r="Z92" s="16"/>
      <c r="AA92" s="16"/>
      <c r="AB92" s="16"/>
      <c r="AC92" s="16"/>
      <c r="AD92" s="16"/>
    </row>
    <row r="93" spans="1:30" ht="15" customHeight="1" thickTop="1" thickBot="1">
      <c r="A93" s="230" t="s">
        <v>438</v>
      </c>
      <c r="B93" s="230" t="s">
        <v>439</v>
      </c>
      <c r="C93" s="230" t="s">
        <v>520</v>
      </c>
      <c r="D93" s="230" t="s">
        <v>521</v>
      </c>
      <c r="E93" s="230" t="s">
        <v>522</v>
      </c>
      <c r="F93" s="230" t="s">
        <v>523</v>
      </c>
      <c r="G93" s="230" t="s">
        <v>508</v>
      </c>
      <c r="H93" s="721" t="s">
        <v>441</v>
      </c>
      <c r="I93" s="716"/>
      <c r="J93" s="740" t="s">
        <v>434</v>
      </c>
      <c r="K93" s="737"/>
      <c r="L93" s="231"/>
      <c r="M93" s="231"/>
      <c r="N93" s="231"/>
      <c r="O93" s="16"/>
      <c r="P93" s="117"/>
      <c r="Q93" s="15"/>
      <c r="R93" s="16"/>
      <c r="S93" s="130"/>
      <c r="T93" s="16"/>
      <c r="U93" s="16"/>
      <c r="V93" s="16"/>
      <c r="W93" s="241"/>
      <c r="X93" s="16"/>
      <c r="Y93" s="16"/>
      <c r="Z93" s="16"/>
      <c r="AA93" s="16"/>
      <c r="AB93" s="16"/>
    </row>
    <row r="94" spans="1:30" ht="15" customHeight="1" thickTop="1">
      <c r="A94" s="231" t="s">
        <v>1193</v>
      </c>
      <c r="B94" s="248" t="s">
        <v>279</v>
      </c>
      <c r="C94" s="246">
        <v>109.4</v>
      </c>
      <c r="D94" s="247">
        <v>5</v>
      </c>
      <c r="E94" s="245">
        <v>20</v>
      </c>
      <c r="F94" s="246">
        <f>Table_6170256[[#This Row],[Amount]]*Table_6170256[[#This Row],[Purchase / Running costs]]/Table_6170256[[#This Row],[Depreciation period]]</f>
        <v>437.6</v>
      </c>
      <c r="G94" s="247"/>
      <c r="H94" s="661"/>
      <c r="I94" s="662"/>
      <c r="J94" s="602" t="s">
        <v>526</v>
      </c>
      <c r="K94" s="603"/>
      <c r="L94" s="16"/>
      <c r="M94" s="16"/>
      <c r="N94" s="16"/>
      <c r="O94" s="16"/>
      <c r="P94" s="117"/>
      <c r="Q94" s="15"/>
      <c r="R94" s="16"/>
      <c r="S94" s="130"/>
      <c r="T94" s="16"/>
      <c r="U94" s="16"/>
      <c r="V94" s="16"/>
      <c r="W94" s="241"/>
      <c r="X94" s="16"/>
      <c r="Y94" s="16"/>
      <c r="Z94" s="16"/>
      <c r="AA94" s="16"/>
      <c r="AB94" s="16"/>
    </row>
    <row r="95" spans="1:30" ht="15" customHeight="1">
      <c r="A95" s="231" t="s">
        <v>1194</v>
      </c>
      <c r="B95" s="248" t="s">
        <v>279</v>
      </c>
      <c r="C95" s="246">
        <v>150</v>
      </c>
      <c r="D95" s="247">
        <v>7</v>
      </c>
      <c r="E95" s="245">
        <v>2</v>
      </c>
      <c r="F95" s="246">
        <f>Table_6170256[[#This Row],[Amount]]*Table_6170256[[#This Row],[Purchase / Running costs]]/Table_6170256[[#This Row],[Depreciation period]]</f>
        <v>42.857142857142854</v>
      </c>
      <c r="G95" s="247"/>
      <c r="H95" s="589"/>
      <c r="I95" s="663"/>
      <c r="J95" s="602"/>
      <c r="K95" s="603"/>
      <c r="L95" s="16"/>
      <c r="M95" s="16"/>
      <c r="N95" s="16"/>
      <c r="O95" s="16"/>
      <c r="P95" s="117"/>
      <c r="Q95" s="15"/>
      <c r="R95" s="16"/>
      <c r="S95" s="130"/>
      <c r="T95" s="16"/>
      <c r="U95" s="16"/>
      <c r="V95" s="16"/>
      <c r="W95" s="241"/>
      <c r="X95" s="16"/>
      <c r="Y95" s="16"/>
      <c r="Z95" s="16"/>
      <c r="AA95" s="16"/>
      <c r="AB95" s="16"/>
    </row>
    <row r="96" spans="1:30" ht="15" customHeight="1">
      <c r="A96" s="231" t="s">
        <v>1195</v>
      </c>
      <c r="B96" s="248" t="s">
        <v>279</v>
      </c>
      <c r="C96" s="246">
        <v>237</v>
      </c>
      <c r="D96" s="247">
        <v>5</v>
      </c>
      <c r="E96" s="245">
        <v>1</v>
      </c>
      <c r="F96" s="246">
        <f>Table_6170256[[#This Row],[Amount]]*Table_6170256[[#This Row],[Purchase / Running costs]]/Table_6170256[[#This Row],[Depreciation period]]</f>
        <v>47.4</v>
      </c>
      <c r="G96" s="247"/>
      <c r="H96" s="589"/>
      <c r="I96" s="663"/>
      <c r="J96" s="602"/>
      <c r="K96" s="603"/>
      <c r="L96" s="16"/>
      <c r="M96" s="16"/>
      <c r="N96" s="16"/>
      <c r="O96" s="16"/>
      <c r="P96" s="117"/>
      <c r="Q96" s="15"/>
      <c r="R96" s="16"/>
      <c r="S96" s="130"/>
      <c r="T96" s="16"/>
      <c r="U96" s="16"/>
      <c r="V96" s="16"/>
      <c r="W96" s="241"/>
      <c r="X96" s="16"/>
      <c r="Y96" s="16"/>
      <c r="Z96" s="16"/>
      <c r="AA96" s="16"/>
      <c r="AB96" s="16"/>
    </row>
    <row r="97" spans="1:28" ht="15" customHeight="1">
      <c r="A97" s="231" t="s">
        <v>1196</v>
      </c>
      <c r="B97" s="248" t="s">
        <v>279</v>
      </c>
      <c r="C97" s="246">
        <v>94.38</v>
      </c>
      <c r="D97" s="247">
        <v>7</v>
      </c>
      <c r="E97" s="245">
        <v>7</v>
      </c>
      <c r="F97" s="246">
        <f>Table_6170256[[#This Row],[Amount]]*Table_6170256[[#This Row],[Purchase / Running costs]]/Table_6170256[[#This Row],[Depreciation period]]</f>
        <v>94.38</v>
      </c>
      <c r="G97" s="247"/>
      <c r="H97" s="589"/>
      <c r="I97" s="663"/>
      <c r="J97" s="602"/>
      <c r="K97" s="603"/>
      <c r="L97" s="16"/>
      <c r="M97" s="16"/>
      <c r="N97" s="16"/>
      <c r="O97" s="16"/>
      <c r="P97" s="117"/>
      <c r="Q97" s="15"/>
      <c r="R97" s="16"/>
      <c r="S97" s="130"/>
      <c r="T97" s="16"/>
      <c r="U97" s="16"/>
      <c r="V97" s="16"/>
      <c r="W97" s="241"/>
      <c r="X97" s="16"/>
      <c r="Y97" s="16"/>
      <c r="Z97" s="16"/>
      <c r="AA97" s="16"/>
      <c r="AB97" s="16"/>
    </row>
    <row r="98" spans="1:28" ht="15" customHeight="1">
      <c r="A98" s="231" t="s">
        <v>1197</v>
      </c>
      <c r="B98" s="248" t="s">
        <v>279</v>
      </c>
      <c r="C98" s="246">
        <v>98.18</v>
      </c>
      <c r="D98" s="247">
        <v>7</v>
      </c>
      <c r="E98" s="245">
        <v>2</v>
      </c>
      <c r="F98" s="246">
        <f>Table_6170256[[#This Row],[Amount]]*Table_6170256[[#This Row],[Purchase / Running costs]]/Table_6170256[[#This Row],[Depreciation period]]</f>
        <v>28.051428571428573</v>
      </c>
      <c r="G98" s="247"/>
      <c r="H98" s="589"/>
      <c r="I98" s="663"/>
      <c r="J98" s="602"/>
      <c r="K98" s="603"/>
      <c r="L98" s="16"/>
      <c r="M98" s="16"/>
      <c r="N98" s="16"/>
      <c r="O98" s="16"/>
      <c r="P98" s="117"/>
      <c r="Q98" s="15"/>
      <c r="R98" s="16"/>
      <c r="S98" s="130"/>
      <c r="T98" s="16"/>
      <c r="U98" s="16"/>
      <c r="V98" s="16"/>
      <c r="W98" s="241"/>
      <c r="X98" s="16"/>
      <c r="Y98" s="16"/>
      <c r="Z98" s="16"/>
      <c r="AA98" s="16"/>
      <c r="AB98" s="16"/>
    </row>
    <row r="99" spans="1:28" ht="15" customHeight="1">
      <c r="A99" s="231" t="s">
        <v>1198</v>
      </c>
      <c r="B99" s="248" t="s">
        <v>279</v>
      </c>
      <c r="C99" s="246">
        <v>106.48</v>
      </c>
      <c r="D99" s="247">
        <v>7</v>
      </c>
      <c r="E99" s="245">
        <v>5</v>
      </c>
      <c r="F99" s="246">
        <f>Table_6170256[[#This Row],[Amount]]*Table_6170256[[#This Row],[Purchase / Running costs]]/Table_6170256[[#This Row],[Depreciation period]]</f>
        <v>76.05714285714285</v>
      </c>
      <c r="G99" s="247"/>
      <c r="H99" s="589"/>
      <c r="I99" s="663"/>
      <c r="J99" s="602"/>
      <c r="K99" s="603"/>
      <c r="L99" s="16"/>
      <c r="M99" s="16"/>
      <c r="N99" s="16"/>
      <c r="O99" s="16"/>
      <c r="P99" s="117"/>
      <c r="Q99" s="15"/>
      <c r="R99" s="16"/>
      <c r="S99" s="130"/>
      <c r="T99" s="16"/>
      <c r="U99" s="16"/>
      <c r="V99" s="16"/>
      <c r="W99" s="241"/>
      <c r="X99" s="16"/>
      <c r="Y99" s="16"/>
      <c r="Z99" s="16"/>
      <c r="AA99" s="16"/>
      <c r="AB99" s="16"/>
    </row>
    <row r="100" spans="1:28" ht="15" customHeight="1">
      <c r="A100" s="231" t="s">
        <v>1199</v>
      </c>
      <c r="B100" s="248" t="s">
        <v>279</v>
      </c>
      <c r="C100" s="246">
        <v>55.76</v>
      </c>
      <c r="D100" s="247">
        <v>10</v>
      </c>
      <c r="E100" s="245">
        <v>1</v>
      </c>
      <c r="F100" s="246">
        <f>Table_6170256[[#This Row],[Amount]]*Table_6170256[[#This Row],[Purchase / Running costs]]/Table_6170256[[#This Row],[Depreciation period]]</f>
        <v>5.5759999999999996</v>
      </c>
      <c r="G100" s="247"/>
      <c r="H100" s="589"/>
      <c r="I100" s="663"/>
      <c r="J100" s="602"/>
      <c r="K100" s="603"/>
      <c r="L100" s="16"/>
      <c r="M100" s="16"/>
      <c r="N100" s="16"/>
      <c r="O100" s="16"/>
      <c r="P100" s="117"/>
      <c r="Q100" s="15"/>
      <c r="R100" s="16"/>
      <c r="S100" s="130"/>
      <c r="T100" s="16"/>
      <c r="U100" s="16"/>
      <c r="V100" s="16"/>
      <c r="W100" s="241"/>
      <c r="X100" s="16"/>
      <c r="Y100" s="16"/>
      <c r="Z100" s="16"/>
      <c r="AA100" s="16"/>
      <c r="AB100" s="16"/>
    </row>
    <row r="101" spans="1:28" ht="15" customHeight="1">
      <c r="A101" s="231" t="s">
        <v>1200</v>
      </c>
      <c r="B101" s="248" t="s">
        <v>279</v>
      </c>
      <c r="C101" s="246">
        <v>47.07</v>
      </c>
      <c r="D101" s="247">
        <v>5</v>
      </c>
      <c r="E101" s="245">
        <v>2</v>
      </c>
      <c r="F101" s="246">
        <f>Table_6170256[[#This Row],[Amount]]*Table_6170256[[#This Row],[Purchase / Running costs]]/Table_6170256[[#This Row],[Depreciation period]]</f>
        <v>18.827999999999999</v>
      </c>
      <c r="G101" s="247"/>
      <c r="H101" s="589"/>
      <c r="I101" s="663"/>
      <c r="J101" s="602"/>
      <c r="K101" s="603"/>
      <c r="L101" s="16"/>
      <c r="M101" s="16"/>
      <c r="N101" s="16"/>
      <c r="O101" s="16"/>
      <c r="P101" s="117"/>
      <c r="Q101" s="15"/>
      <c r="R101" s="16"/>
      <c r="S101" s="130"/>
      <c r="T101" s="16"/>
      <c r="U101" s="16"/>
      <c r="V101" s="16"/>
      <c r="W101" s="241"/>
      <c r="X101" s="16"/>
      <c r="Y101" s="16"/>
      <c r="Z101" s="16"/>
      <c r="AA101" s="16"/>
      <c r="AB101" s="16"/>
    </row>
    <row r="102" spans="1:28" ht="15" customHeight="1">
      <c r="A102" s="231" t="s">
        <v>1201</v>
      </c>
      <c r="B102" s="248" t="s">
        <v>279</v>
      </c>
      <c r="C102" s="246">
        <v>20</v>
      </c>
      <c r="D102" s="247">
        <v>5</v>
      </c>
      <c r="E102" s="245">
        <v>20</v>
      </c>
      <c r="F102" s="246">
        <f>Table_6170256[[#This Row],[Amount]]*Table_6170256[[#This Row],[Purchase / Running costs]]/Table_6170256[[#This Row],[Depreciation period]]</f>
        <v>80</v>
      </c>
      <c r="G102" s="247"/>
      <c r="H102" s="589"/>
      <c r="I102" s="663"/>
      <c r="J102" s="602"/>
      <c r="K102" s="603"/>
      <c r="L102" s="16"/>
      <c r="M102" s="16"/>
      <c r="N102" s="16"/>
      <c r="O102" s="16"/>
      <c r="P102" s="117"/>
      <c r="Q102" s="15"/>
      <c r="R102" s="16"/>
      <c r="S102" s="130"/>
      <c r="T102" s="16"/>
      <c r="U102" s="16"/>
      <c r="V102" s="16"/>
      <c r="W102" s="241"/>
      <c r="X102" s="16"/>
      <c r="Y102" s="16"/>
      <c r="Z102" s="16"/>
      <c r="AA102" s="16"/>
      <c r="AB102" s="16"/>
    </row>
    <row r="103" spans="1:28" ht="15" customHeight="1">
      <c r="A103" s="231" t="s">
        <v>1202</v>
      </c>
      <c r="B103" s="248" t="s">
        <v>279</v>
      </c>
      <c r="C103" s="246">
        <v>20</v>
      </c>
      <c r="D103" s="247">
        <v>5</v>
      </c>
      <c r="E103" s="245">
        <v>3</v>
      </c>
      <c r="F103" s="246">
        <f>Table_6170256[[#This Row],[Amount]]*Table_6170256[[#This Row],[Purchase / Running costs]]/Table_6170256[[#This Row],[Depreciation period]]</f>
        <v>12</v>
      </c>
      <c r="G103" s="247"/>
      <c r="H103" s="589"/>
      <c r="I103" s="663"/>
      <c r="J103" s="602"/>
      <c r="K103" s="603"/>
      <c r="L103" s="16"/>
      <c r="M103" s="16"/>
      <c r="N103" s="16"/>
      <c r="O103" s="16"/>
      <c r="P103" s="117"/>
      <c r="Q103" s="15"/>
      <c r="R103" s="16"/>
      <c r="S103" s="130"/>
      <c r="T103" s="16"/>
      <c r="U103" s="16"/>
      <c r="V103" s="16"/>
      <c r="W103" s="241"/>
      <c r="X103" s="16"/>
      <c r="Y103" s="16"/>
      <c r="Z103" s="16"/>
      <c r="AA103" s="16"/>
      <c r="AB103" s="16"/>
    </row>
    <row r="104" spans="1:28" ht="15" customHeight="1">
      <c r="A104" s="231" t="s">
        <v>1203</v>
      </c>
      <c r="B104" s="248" t="s">
        <v>279</v>
      </c>
      <c r="C104" s="246">
        <v>109.9</v>
      </c>
      <c r="D104" s="247">
        <v>5</v>
      </c>
      <c r="E104" s="245">
        <v>1</v>
      </c>
      <c r="F104" s="246">
        <f>Table_6170256[[#This Row],[Amount]]*Table_6170256[[#This Row],[Purchase / Running costs]]/Table_6170256[[#This Row],[Depreciation period]]</f>
        <v>21.98</v>
      </c>
      <c r="G104" s="247"/>
      <c r="H104" s="589"/>
      <c r="I104" s="663"/>
      <c r="J104" s="602"/>
      <c r="K104" s="603"/>
      <c r="L104" s="16"/>
      <c r="M104" s="16"/>
      <c r="N104" s="16"/>
      <c r="O104" s="16"/>
      <c r="P104" s="117"/>
      <c r="Q104" s="15"/>
      <c r="R104" s="16"/>
      <c r="S104" s="130"/>
      <c r="T104" s="16"/>
      <c r="U104" s="16"/>
      <c r="V104" s="16"/>
      <c r="W104" s="241"/>
      <c r="X104" s="16"/>
      <c r="Y104" s="16"/>
      <c r="Z104" s="16"/>
      <c r="AA104" s="16"/>
      <c r="AB104" s="16"/>
    </row>
    <row r="105" spans="1:28" ht="15" customHeight="1">
      <c r="A105" s="231" t="s">
        <v>1204</v>
      </c>
      <c r="B105" s="248" t="s">
        <v>279</v>
      </c>
      <c r="C105" s="246">
        <v>63.51</v>
      </c>
      <c r="D105" s="247">
        <v>10</v>
      </c>
      <c r="E105" s="245">
        <v>4</v>
      </c>
      <c r="F105" s="246">
        <f>Table_6170256[[#This Row],[Amount]]*Table_6170256[[#This Row],[Purchase / Running costs]]/Table_6170256[[#This Row],[Depreciation period]]</f>
        <v>25.404</v>
      </c>
      <c r="G105" s="247"/>
      <c r="H105" s="589"/>
      <c r="I105" s="663"/>
      <c r="J105" s="602"/>
      <c r="K105" s="603"/>
      <c r="L105" s="16"/>
      <c r="M105" s="16"/>
      <c r="N105" s="16"/>
      <c r="O105" s="16"/>
      <c r="P105" s="117"/>
      <c r="Q105" s="15"/>
      <c r="R105" s="16"/>
      <c r="S105" s="130"/>
      <c r="T105" s="16"/>
      <c r="U105" s="16"/>
      <c r="V105" s="16"/>
      <c r="W105" s="241"/>
      <c r="X105" s="16"/>
      <c r="Y105" s="16"/>
      <c r="Z105" s="16"/>
      <c r="AA105" s="16"/>
      <c r="AB105" s="16"/>
    </row>
    <row r="106" spans="1:28" ht="15" customHeight="1">
      <c r="A106" s="231" t="s">
        <v>1205</v>
      </c>
      <c r="B106" s="248" t="s">
        <v>279</v>
      </c>
      <c r="C106" s="246">
        <v>7.64</v>
      </c>
      <c r="D106" s="247">
        <v>5</v>
      </c>
      <c r="E106" s="245">
        <v>10</v>
      </c>
      <c r="F106" s="246">
        <f>Table_6170256[[#This Row],[Amount]]*Table_6170256[[#This Row],[Purchase / Running costs]]/Table_6170256[[#This Row],[Depreciation period]]</f>
        <v>15.279999999999998</v>
      </c>
      <c r="G106" s="247"/>
      <c r="H106" s="589"/>
      <c r="I106" s="663"/>
      <c r="J106" s="602"/>
      <c r="K106" s="603"/>
      <c r="L106" s="16"/>
      <c r="M106" s="16"/>
      <c r="N106" s="16"/>
      <c r="O106" s="16"/>
      <c r="P106" s="117"/>
      <c r="Q106" s="15"/>
      <c r="R106" s="16"/>
      <c r="S106" s="130"/>
      <c r="T106" s="16"/>
      <c r="U106" s="16"/>
      <c r="V106" s="16"/>
      <c r="W106" s="241"/>
      <c r="X106" s="16"/>
      <c r="Y106" s="16"/>
      <c r="Z106" s="16"/>
      <c r="AA106" s="16"/>
      <c r="AB106" s="16"/>
    </row>
    <row r="107" spans="1:28" ht="15" customHeight="1">
      <c r="A107" s="231" t="s">
        <v>1206</v>
      </c>
      <c r="B107" s="248" t="s">
        <v>279</v>
      </c>
      <c r="C107" s="246">
        <v>34.49</v>
      </c>
      <c r="D107" s="247">
        <v>5</v>
      </c>
      <c r="E107" s="245">
        <v>1</v>
      </c>
      <c r="F107" s="246">
        <f>Table_6170256[[#This Row],[Amount]]*Table_6170256[[#This Row],[Purchase / Running costs]]/Table_6170256[[#This Row],[Depreciation period]]</f>
        <v>6.8980000000000006</v>
      </c>
      <c r="G107" s="247"/>
      <c r="H107" s="589"/>
      <c r="I107" s="663"/>
      <c r="J107" s="602"/>
      <c r="K107" s="603"/>
      <c r="L107" s="16"/>
      <c r="M107" s="16"/>
      <c r="N107" s="16"/>
      <c r="O107" s="16"/>
      <c r="P107" s="117"/>
      <c r="Q107" s="15"/>
      <c r="R107" s="16"/>
      <c r="S107" s="130"/>
      <c r="T107" s="16"/>
      <c r="U107" s="16"/>
      <c r="V107" s="16"/>
      <c r="W107" s="241"/>
      <c r="X107" s="16"/>
      <c r="Y107" s="16"/>
      <c r="Z107" s="16"/>
      <c r="AA107" s="16"/>
      <c r="AB107" s="16"/>
    </row>
    <row r="108" spans="1:28" ht="15" customHeight="1">
      <c r="A108" s="231" t="s">
        <v>1207</v>
      </c>
      <c r="B108" s="248" t="s">
        <v>279</v>
      </c>
      <c r="C108" s="246">
        <v>38.72</v>
      </c>
      <c r="D108" s="247">
        <v>5</v>
      </c>
      <c r="E108" s="245">
        <v>1</v>
      </c>
      <c r="F108" s="246">
        <f>Table_6170256[[#This Row],[Amount]]*Table_6170256[[#This Row],[Purchase / Running costs]]/Table_6170256[[#This Row],[Depreciation period]]</f>
        <v>7.7439999999999998</v>
      </c>
      <c r="G108" s="247"/>
      <c r="H108" s="589"/>
      <c r="I108" s="663"/>
      <c r="J108" s="602"/>
      <c r="K108" s="603"/>
      <c r="L108" s="16"/>
      <c r="M108" s="16"/>
      <c r="N108" s="16"/>
      <c r="O108" s="16"/>
      <c r="P108" s="117"/>
      <c r="Q108" s="15"/>
      <c r="R108" s="16"/>
      <c r="S108" s="130"/>
      <c r="T108" s="16"/>
      <c r="U108" s="16"/>
      <c r="V108" s="16"/>
      <c r="W108" s="241"/>
      <c r="X108" s="16"/>
      <c r="Y108" s="16"/>
      <c r="Z108" s="16"/>
      <c r="AA108" s="16"/>
      <c r="AB108" s="16"/>
    </row>
    <row r="109" spans="1:28" ht="15" customHeight="1">
      <c r="A109" s="231" t="s">
        <v>1208</v>
      </c>
      <c r="B109" s="248" t="s">
        <v>279</v>
      </c>
      <c r="C109" s="246">
        <v>48.4</v>
      </c>
      <c r="D109" s="247">
        <v>5</v>
      </c>
      <c r="E109" s="245">
        <v>1</v>
      </c>
      <c r="F109" s="246">
        <f>Table_6170256[[#This Row],[Amount]]*Table_6170256[[#This Row],[Purchase / Running costs]]/Table_6170256[[#This Row],[Depreciation period]]</f>
        <v>9.68</v>
      </c>
      <c r="G109" s="247"/>
      <c r="H109" s="589"/>
      <c r="I109" s="663"/>
      <c r="J109" s="602"/>
      <c r="K109" s="603"/>
      <c r="L109" s="16"/>
      <c r="M109" s="16"/>
      <c r="N109" s="16"/>
      <c r="O109" s="16"/>
      <c r="P109" s="117"/>
      <c r="Q109" s="15"/>
      <c r="R109" s="16"/>
      <c r="S109" s="130"/>
      <c r="T109" s="16"/>
      <c r="U109" s="16"/>
      <c r="V109" s="16"/>
      <c r="W109" s="241"/>
      <c r="X109" s="16"/>
      <c r="Y109" s="16"/>
      <c r="Z109" s="16"/>
      <c r="AA109" s="16"/>
      <c r="AB109" s="16"/>
    </row>
    <row r="110" spans="1:28" ht="15" customHeight="1">
      <c r="A110" s="231" t="s">
        <v>1209</v>
      </c>
      <c r="B110" s="248" t="s">
        <v>279</v>
      </c>
      <c r="C110" s="246">
        <v>54.44</v>
      </c>
      <c r="D110" s="247">
        <v>10</v>
      </c>
      <c r="E110" s="245">
        <v>3</v>
      </c>
      <c r="F110" s="246">
        <f>Table_6170256[[#This Row],[Amount]]*Table_6170256[[#This Row],[Purchase / Running costs]]/Table_6170256[[#This Row],[Depreciation period]]</f>
        <v>16.332000000000001</v>
      </c>
      <c r="G110" s="247"/>
      <c r="H110" s="589"/>
      <c r="I110" s="663"/>
      <c r="J110" s="602"/>
      <c r="K110" s="603"/>
      <c r="L110" s="16"/>
      <c r="M110" s="16"/>
      <c r="N110" s="16"/>
      <c r="O110" s="16"/>
      <c r="P110" s="117"/>
      <c r="Q110" s="15"/>
      <c r="R110" s="16"/>
      <c r="S110" s="130"/>
      <c r="T110" s="16"/>
      <c r="U110" s="16"/>
      <c r="V110" s="16"/>
      <c r="W110" s="241"/>
      <c r="X110" s="16"/>
      <c r="Y110" s="16"/>
      <c r="Z110" s="16"/>
      <c r="AA110" s="16"/>
      <c r="AB110" s="16"/>
    </row>
    <row r="111" spans="1:28" ht="15" customHeight="1">
      <c r="A111" s="231" t="s">
        <v>1210</v>
      </c>
      <c r="B111" s="248" t="s">
        <v>279</v>
      </c>
      <c r="C111" s="246">
        <v>149.62</v>
      </c>
      <c r="D111" s="247">
        <v>5</v>
      </c>
      <c r="E111" s="245">
        <v>1</v>
      </c>
      <c r="F111" s="246">
        <f>Table_6170256[[#This Row],[Amount]]*Table_6170256[[#This Row],[Purchase / Running costs]]/Table_6170256[[#This Row],[Depreciation period]]</f>
        <v>29.923999999999999</v>
      </c>
      <c r="G111" s="247"/>
      <c r="H111" s="589"/>
      <c r="I111" s="663"/>
      <c r="J111" s="602"/>
      <c r="K111" s="603"/>
      <c r="L111" s="16"/>
      <c r="M111" s="16"/>
      <c r="N111" s="16"/>
      <c r="O111" s="16"/>
      <c r="P111" s="117"/>
      <c r="Q111" s="15"/>
      <c r="R111" s="16"/>
      <c r="S111" s="130"/>
      <c r="T111" s="16"/>
      <c r="U111" s="16"/>
      <c r="V111" s="16"/>
      <c r="W111" s="241"/>
      <c r="X111" s="16"/>
      <c r="Y111" s="16"/>
      <c r="Z111" s="16"/>
      <c r="AA111" s="16"/>
      <c r="AB111" s="16"/>
    </row>
    <row r="112" spans="1:28" ht="15" customHeight="1">
      <c r="A112" s="231" t="s">
        <v>1211</v>
      </c>
      <c r="B112" s="248" t="s">
        <v>279</v>
      </c>
      <c r="C112" s="246">
        <v>6</v>
      </c>
      <c r="D112" s="247">
        <v>5</v>
      </c>
      <c r="E112" s="245">
        <v>1</v>
      </c>
      <c r="F112" s="246">
        <f>Table_6170256[[#This Row],[Amount]]*Table_6170256[[#This Row],[Purchase / Running costs]]/Table_6170256[[#This Row],[Depreciation period]]</f>
        <v>1.2</v>
      </c>
      <c r="G112" s="247"/>
      <c r="H112" s="589"/>
      <c r="I112" s="663"/>
      <c r="J112" s="602"/>
      <c r="K112" s="603"/>
      <c r="L112" s="16"/>
      <c r="M112" s="16"/>
      <c r="N112" s="16"/>
      <c r="O112" s="16"/>
      <c r="P112" s="117"/>
      <c r="Q112" s="15"/>
      <c r="R112" s="16"/>
      <c r="S112" s="130"/>
      <c r="T112" s="16"/>
      <c r="U112" s="16"/>
      <c r="V112" s="16"/>
      <c r="W112" s="241"/>
      <c r="X112" s="16"/>
      <c r="Y112" s="16"/>
      <c r="Z112" s="16"/>
      <c r="AA112" s="16"/>
      <c r="AB112" s="16"/>
    </row>
    <row r="113" spans="1:28" ht="15" customHeight="1">
      <c r="A113" s="231" t="s">
        <v>1212</v>
      </c>
      <c r="B113" s="248" t="s">
        <v>279</v>
      </c>
      <c r="C113" s="246">
        <v>901.45</v>
      </c>
      <c r="D113" s="247">
        <v>5</v>
      </c>
      <c r="E113" s="245">
        <v>1</v>
      </c>
      <c r="F113" s="246">
        <f>Table_6170256[[#This Row],[Amount]]*Table_6170256[[#This Row],[Purchase / Running costs]]/Table_6170256[[#This Row],[Depreciation period]]</f>
        <v>180.29000000000002</v>
      </c>
      <c r="G113" s="247"/>
      <c r="H113" s="589"/>
      <c r="I113" s="663"/>
      <c r="J113" s="602"/>
      <c r="K113" s="603"/>
      <c r="L113" s="16"/>
      <c r="M113" s="16"/>
      <c r="N113" s="16"/>
      <c r="O113" s="16"/>
      <c r="P113" s="117"/>
      <c r="Q113" s="15"/>
      <c r="R113" s="16"/>
      <c r="S113" s="130"/>
      <c r="T113" s="16"/>
      <c r="U113" s="16"/>
      <c r="V113" s="16"/>
      <c r="W113" s="241"/>
      <c r="X113" s="16"/>
      <c r="Y113" s="16"/>
      <c r="Z113" s="16"/>
      <c r="AA113" s="16"/>
      <c r="AB113" s="16"/>
    </row>
    <row r="114" spans="1:28" ht="15" customHeight="1">
      <c r="A114" s="231" t="s">
        <v>1213</v>
      </c>
      <c r="B114" s="248"/>
      <c r="C114" s="246">
        <v>510</v>
      </c>
      <c r="D114" s="247">
        <v>5</v>
      </c>
      <c r="E114" s="245">
        <v>1</v>
      </c>
      <c r="F114" s="246">
        <f>Table_6170256[[#This Row],[Purchase / Running costs]]/Table_6170256[[#This Row],[Depreciation period]]</f>
        <v>102</v>
      </c>
      <c r="G114" s="247"/>
      <c r="H114" s="589"/>
      <c r="I114" s="663"/>
      <c r="J114" s="602"/>
      <c r="K114" s="603"/>
      <c r="L114" s="16"/>
      <c r="M114" s="16"/>
      <c r="N114" s="16"/>
      <c r="O114" s="16"/>
      <c r="P114" s="117"/>
      <c r="Q114" s="15"/>
      <c r="R114" s="16"/>
      <c r="S114" s="130"/>
      <c r="T114" s="16"/>
      <c r="U114" s="16"/>
      <c r="V114" s="16"/>
      <c r="W114" s="241"/>
      <c r="X114" s="16"/>
      <c r="Y114" s="16"/>
      <c r="Z114" s="16"/>
      <c r="AA114" s="16"/>
      <c r="AB114" s="16"/>
    </row>
    <row r="115" spans="1:28" ht="15" customHeight="1">
      <c r="A115" s="231" t="s">
        <v>1214</v>
      </c>
      <c r="B115" s="248"/>
      <c r="C115" s="246">
        <v>882.71</v>
      </c>
      <c r="D115" s="247">
        <v>5</v>
      </c>
      <c r="E115" s="245" t="s">
        <v>1215</v>
      </c>
      <c r="F115" s="246">
        <f>Table_6170256[[#This Row],[Purchase / Running costs]]/Table_6170256[[#This Row],[Depreciation period]]</f>
        <v>176.542</v>
      </c>
      <c r="G115" s="247"/>
      <c r="H115" s="589"/>
      <c r="I115" s="663"/>
      <c r="J115" s="602"/>
      <c r="K115" s="603"/>
      <c r="L115" s="16"/>
      <c r="M115" s="16"/>
      <c r="N115" s="16"/>
      <c r="O115" s="16"/>
      <c r="P115" s="117"/>
      <c r="Q115" s="15"/>
      <c r="R115" s="16"/>
      <c r="S115" s="130"/>
      <c r="T115" s="16"/>
      <c r="U115" s="16"/>
      <c r="V115" s="16"/>
      <c r="W115" s="241"/>
      <c r="X115" s="16"/>
      <c r="Y115" s="16"/>
      <c r="Z115" s="16"/>
      <c r="AA115" s="16"/>
      <c r="AB115" s="16"/>
    </row>
    <row r="116" spans="1:28" ht="15" customHeight="1">
      <c r="A116" s="231" t="s">
        <v>1216</v>
      </c>
      <c r="B116" s="248"/>
      <c r="C116" s="246">
        <v>30</v>
      </c>
      <c r="D116" s="247">
        <v>20</v>
      </c>
      <c r="E116" s="245">
        <v>1</v>
      </c>
      <c r="F116" s="246">
        <f>Table_6170256[[#This Row],[Purchase / Running costs]]/Table_6170256[[#This Row],[Depreciation period]]</f>
        <v>1.5</v>
      </c>
      <c r="G116" s="247"/>
      <c r="H116" s="589"/>
      <c r="I116" s="663"/>
      <c r="J116" s="602"/>
      <c r="K116" s="603"/>
      <c r="L116" s="16"/>
      <c r="M116" s="16"/>
      <c r="N116" s="16"/>
      <c r="O116" s="16"/>
      <c r="P116" s="117"/>
      <c r="Q116" s="15"/>
      <c r="R116" s="16"/>
      <c r="S116" s="130"/>
      <c r="T116" s="16"/>
      <c r="U116" s="16"/>
      <c r="V116" s="16"/>
      <c r="W116" s="241"/>
      <c r="X116" s="16"/>
      <c r="Y116" s="16"/>
      <c r="Z116" s="16"/>
      <c r="AA116" s="16"/>
      <c r="AB116" s="16"/>
    </row>
    <row r="117" spans="1:28" ht="15" customHeight="1">
      <c r="A117" s="231" t="s">
        <v>1217</v>
      </c>
      <c r="B117" s="248"/>
      <c r="C117" s="246">
        <v>30</v>
      </c>
      <c r="D117" s="247">
        <v>20</v>
      </c>
      <c r="E117" s="245">
        <v>1</v>
      </c>
      <c r="F117" s="246">
        <f>Table_6170256[[#This Row],[Purchase / Running costs]]/Table_6170256[[#This Row],[Depreciation period]]</f>
        <v>1.5</v>
      </c>
      <c r="G117" s="247"/>
      <c r="H117" s="589"/>
      <c r="I117" s="663"/>
      <c r="J117" s="602"/>
      <c r="K117" s="603"/>
      <c r="L117" s="16"/>
      <c r="M117" s="16"/>
      <c r="N117" s="16"/>
      <c r="O117" s="16"/>
      <c r="P117" s="117"/>
      <c r="Q117" s="15"/>
      <c r="R117" s="16"/>
      <c r="S117" s="130"/>
      <c r="T117" s="16"/>
      <c r="U117" s="16"/>
      <c r="V117" s="16"/>
      <c r="W117" s="241"/>
      <c r="X117" s="16"/>
      <c r="Y117" s="16"/>
      <c r="Z117" s="16"/>
      <c r="AA117" s="16"/>
      <c r="AB117" s="16"/>
    </row>
    <row r="118" spans="1:28" ht="15" customHeight="1">
      <c r="A118" s="231" t="s">
        <v>1218</v>
      </c>
      <c r="B118" s="248"/>
      <c r="C118" s="246">
        <v>373.59</v>
      </c>
      <c r="D118" s="247">
        <v>7</v>
      </c>
      <c r="E118" s="245">
        <v>5</v>
      </c>
      <c r="F118" s="246">
        <f>Table_6170256[[#This Row],[Purchase / Running costs]]/Table_6170256[[#This Row],[Depreciation period]]</f>
        <v>53.37</v>
      </c>
      <c r="G118" s="247"/>
      <c r="H118" s="589"/>
      <c r="I118" s="663"/>
      <c r="J118" s="602"/>
      <c r="K118" s="603"/>
      <c r="L118" s="16"/>
      <c r="M118" s="16"/>
      <c r="N118" s="16"/>
      <c r="O118" s="16"/>
      <c r="P118" s="117"/>
      <c r="Q118" s="15"/>
      <c r="R118" s="16"/>
      <c r="S118" s="130"/>
      <c r="T118" s="16"/>
      <c r="U118" s="16"/>
      <c r="V118" s="16"/>
      <c r="W118" s="241"/>
      <c r="X118" s="16"/>
      <c r="Y118" s="16"/>
      <c r="Z118" s="16"/>
      <c r="AA118" s="16"/>
      <c r="AB118" s="16"/>
    </row>
    <row r="119" spans="1:28" ht="15" customHeight="1">
      <c r="A119" s="231" t="s">
        <v>1219</v>
      </c>
      <c r="B119" s="248"/>
      <c r="C119" s="246">
        <v>323.12</v>
      </c>
      <c r="D119" s="247">
        <v>7</v>
      </c>
      <c r="E119" s="245">
        <v>4</v>
      </c>
      <c r="F119" s="246">
        <f>Table_6170256[[#This Row],[Purchase / Running costs]]/Table_6170256[[#This Row],[Depreciation period]]</f>
        <v>46.160000000000004</v>
      </c>
      <c r="G119" s="247"/>
      <c r="H119" s="589"/>
      <c r="I119" s="663"/>
      <c r="J119" s="602"/>
      <c r="K119" s="603"/>
      <c r="L119" s="16"/>
      <c r="M119" s="16"/>
      <c r="N119" s="16"/>
      <c r="O119" s="16"/>
      <c r="P119" s="117"/>
      <c r="Q119" s="15"/>
      <c r="R119" s="16"/>
      <c r="S119" s="130"/>
      <c r="T119" s="16"/>
      <c r="U119" s="16"/>
      <c r="V119" s="16"/>
      <c r="W119" s="241"/>
      <c r="X119" s="16"/>
      <c r="Y119" s="16"/>
      <c r="Z119" s="16"/>
      <c r="AA119" s="16"/>
      <c r="AB119" s="16"/>
    </row>
    <row r="120" spans="1:28" ht="15" customHeight="1">
      <c r="A120" s="231" t="s">
        <v>1220</v>
      </c>
      <c r="B120" s="248"/>
      <c r="C120" s="246">
        <v>231.96</v>
      </c>
      <c r="D120" s="247">
        <v>5</v>
      </c>
      <c r="E120" s="245">
        <v>23</v>
      </c>
      <c r="F120" s="246">
        <f>Table_6170256[[#This Row],[Purchase / Running costs]]/Table_6170256[[#This Row],[Depreciation period]]</f>
        <v>46.392000000000003</v>
      </c>
      <c r="G120" s="247"/>
      <c r="H120" s="589"/>
      <c r="I120" s="663"/>
      <c r="J120" s="602"/>
      <c r="K120" s="603"/>
      <c r="L120" s="16"/>
      <c r="M120" s="16"/>
      <c r="N120" s="16"/>
      <c r="O120" s="16"/>
      <c r="P120" s="117"/>
      <c r="Q120" s="15"/>
      <c r="R120" s="16"/>
      <c r="S120" s="130"/>
      <c r="T120" s="16"/>
      <c r="U120" s="16"/>
      <c r="V120" s="16"/>
      <c r="W120" s="241"/>
      <c r="X120" s="16"/>
      <c r="Y120" s="16"/>
      <c r="Z120" s="16"/>
      <c r="AA120" s="16"/>
      <c r="AB120" s="16"/>
    </row>
    <row r="121" spans="1:28" ht="15" customHeight="1">
      <c r="A121" s="231" t="s">
        <v>1221</v>
      </c>
      <c r="B121" s="248"/>
      <c r="C121" s="246">
        <v>89.95</v>
      </c>
      <c r="D121" s="247">
        <v>5</v>
      </c>
      <c r="E121" s="245">
        <v>9</v>
      </c>
      <c r="F121" s="246">
        <f>Table_6170256[[#This Row],[Purchase / Running costs]]/Table_6170256[[#This Row],[Depreciation period]]</f>
        <v>17.990000000000002</v>
      </c>
      <c r="G121" s="247"/>
      <c r="H121" s="589"/>
      <c r="I121" s="663"/>
      <c r="J121" s="602"/>
      <c r="K121" s="603"/>
      <c r="L121" s="16"/>
      <c r="M121" s="16"/>
      <c r="N121" s="16"/>
      <c r="O121" s="16"/>
      <c r="P121" s="117"/>
      <c r="Q121" s="15"/>
      <c r="R121" s="16"/>
      <c r="S121" s="130"/>
      <c r="T121" s="16"/>
      <c r="U121" s="16"/>
      <c r="V121" s="16"/>
      <c r="W121" s="241"/>
      <c r="X121" s="16"/>
      <c r="Y121" s="16"/>
      <c r="Z121" s="16"/>
      <c r="AA121" s="16"/>
      <c r="AB121" s="16"/>
    </row>
    <row r="122" spans="1:28" ht="15" customHeight="1">
      <c r="A122" s="231" t="s">
        <v>1222</v>
      </c>
      <c r="B122" s="248"/>
      <c r="C122" s="246">
        <v>114</v>
      </c>
      <c r="D122" s="247">
        <v>10</v>
      </c>
      <c r="E122" s="245">
        <v>3</v>
      </c>
      <c r="F122" s="246">
        <f>Table_6170256[[#This Row],[Purchase / Running costs]]/Table_6170256[[#This Row],[Depreciation period]]</f>
        <v>11.4</v>
      </c>
      <c r="G122" s="247"/>
      <c r="H122" s="589"/>
      <c r="I122" s="663"/>
      <c r="J122" s="602"/>
      <c r="K122" s="603"/>
      <c r="L122" s="16"/>
      <c r="M122" s="16"/>
      <c r="N122" s="16"/>
      <c r="O122" s="16"/>
      <c r="P122" s="117"/>
      <c r="Q122" s="15"/>
      <c r="R122" s="16"/>
      <c r="S122" s="130"/>
      <c r="T122" s="16"/>
      <c r="U122" s="16"/>
      <c r="V122" s="16"/>
      <c r="W122" s="241"/>
      <c r="X122" s="16"/>
      <c r="Y122" s="16"/>
      <c r="Z122" s="16"/>
      <c r="AA122" s="16"/>
      <c r="AB122" s="16"/>
    </row>
    <row r="123" spans="1:28" ht="15" customHeight="1">
      <c r="A123" s="231" t="s">
        <v>1223</v>
      </c>
      <c r="B123" s="248"/>
      <c r="C123" s="246">
        <v>210</v>
      </c>
      <c r="D123" s="247">
        <v>10</v>
      </c>
      <c r="E123" s="245">
        <v>6</v>
      </c>
      <c r="F123" s="246">
        <f>Table_6170256[[#This Row],[Purchase / Running costs]]/Table_6170256[[#This Row],[Depreciation period]]</f>
        <v>21</v>
      </c>
      <c r="G123" s="247"/>
      <c r="H123" s="589"/>
      <c r="I123" s="663"/>
      <c r="J123" s="602"/>
      <c r="K123" s="603"/>
      <c r="L123" s="16"/>
      <c r="M123" s="16"/>
      <c r="N123" s="16"/>
      <c r="O123" s="16"/>
      <c r="P123" s="117"/>
      <c r="Q123" s="15"/>
      <c r="R123" s="16"/>
      <c r="S123" s="130"/>
      <c r="T123" s="16"/>
      <c r="U123" s="16"/>
      <c r="V123" s="16"/>
      <c r="W123" s="241"/>
      <c r="X123" s="16"/>
      <c r="Y123" s="16"/>
      <c r="Z123" s="16"/>
      <c r="AA123" s="16"/>
      <c r="AB123" s="16"/>
    </row>
    <row r="124" spans="1:28" ht="15" customHeight="1">
      <c r="A124" s="231" t="s">
        <v>1224</v>
      </c>
      <c r="B124" s="248"/>
      <c r="C124" s="246">
        <v>40.98</v>
      </c>
      <c r="D124" s="247">
        <v>10</v>
      </c>
      <c r="E124" s="245">
        <v>10</v>
      </c>
      <c r="F124" s="246">
        <f>Table_6170256[[#This Row],[Purchase / Running costs]]/Table_6170256[[#This Row],[Depreciation period]]</f>
        <v>4.0979999999999999</v>
      </c>
      <c r="G124" s="247"/>
      <c r="H124" s="589"/>
      <c r="I124" s="663"/>
      <c r="J124" s="602"/>
      <c r="K124" s="603"/>
      <c r="L124" s="16"/>
      <c r="M124" s="16"/>
      <c r="N124" s="16"/>
      <c r="O124" s="16"/>
      <c r="P124" s="117"/>
      <c r="Q124" s="15"/>
      <c r="R124" s="16"/>
      <c r="S124" s="130"/>
      <c r="T124" s="16"/>
      <c r="U124" s="16"/>
      <c r="V124" s="16"/>
      <c r="W124" s="241"/>
      <c r="X124" s="16"/>
      <c r="Y124" s="16"/>
      <c r="Z124" s="16"/>
      <c r="AA124" s="16"/>
      <c r="AB124" s="16"/>
    </row>
    <row r="125" spans="1:28" ht="15" customHeight="1">
      <c r="A125" s="231" t="s">
        <v>1225</v>
      </c>
      <c r="B125" s="248"/>
      <c r="C125" s="246">
        <v>329.14</v>
      </c>
      <c r="D125" s="247">
        <v>10</v>
      </c>
      <c r="E125" s="245">
        <v>4</v>
      </c>
      <c r="F125" s="246">
        <f>Table_6170256[[#This Row],[Purchase / Running costs]]/Table_6170256[[#This Row],[Depreciation period]]</f>
        <v>32.914000000000001</v>
      </c>
      <c r="G125" s="247"/>
      <c r="H125" s="589"/>
      <c r="I125" s="663"/>
      <c r="J125" s="602"/>
      <c r="K125" s="603"/>
      <c r="L125" s="16"/>
      <c r="M125" s="16"/>
      <c r="N125" s="16"/>
      <c r="O125" s="16"/>
      <c r="P125" s="117"/>
      <c r="Q125" s="15"/>
      <c r="R125" s="16"/>
      <c r="S125" s="130"/>
      <c r="T125" s="16"/>
      <c r="U125" s="16"/>
      <c r="V125" s="16"/>
      <c r="W125" s="241"/>
      <c r="X125" s="16"/>
      <c r="Y125" s="16"/>
      <c r="Z125" s="16"/>
      <c r="AA125" s="16"/>
      <c r="AB125" s="16"/>
    </row>
    <row r="126" spans="1:28" ht="15" customHeight="1">
      <c r="A126" s="231" t="s">
        <v>1226</v>
      </c>
      <c r="B126" s="248"/>
      <c r="C126" s="246">
        <v>180.91</v>
      </c>
      <c r="D126" s="247">
        <v>10</v>
      </c>
      <c r="E126" s="245">
        <v>2</v>
      </c>
      <c r="F126" s="246">
        <f>Table_6170256[[#This Row],[Purchase / Running costs]]/Table_6170256[[#This Row],[Depreciation period]]</f>
        <v>18.091000000000001</v>
      </c>
      <c r="G126" s="247"/>
      <c r="H126" s="589"/>
      <c r="I126" s="663"/>
      <c r="J126" s="602"/>
      <c r="K126" s="603"/>
      <c r="L126" s="16"/>
      <c r="M126" s="16"/>
      <c r="N126" s="16"/>
      <c r="O126" s="16"/>
      <c r="P126" s="117"/>
      <c r="Q126" s="15"/>
      <c r="R126" s="16"/>
      <c r="S126" s="130"/>
      <c r="T126" s="16"/>
      <c r="U126" s="16"/>
      <c r="V126" s="16"/>
      <c r="W126" s="241"/>
      <c r="X126" s="16"/>
      <c r="Y126" s="16"/>
      <c r="Z126" s="16"/>
      <c r="AA126" s="16"/>
      <c r="AB126" s="16"/>
    </row>
    <row r="127" spans="1:28" ht="15" customHeight="1">
      <c r="A127" s="231" t="s">
        <v>1227</v>
      </c>
      <c r="B127" s="248"/>
      <c r="C127" s="246">
        <v>237</v>
      </c>
      <c r="D127" s="247">
        <v>5</v>
      </c>
      <c r="E127" s="245">
        <v>9</v>
      </c>
      <c r="F127" s="246">
        <f>Table_6170256[[#This Row],[Purchase / Running costs]]/Table_6170256[[#This Row],[Depreciation period]]</f>
        <v>47.4</v>
      </c>
      <c r="G127" s="247"/>
      <c r="H127" s="589"/>
      <c r="I127" s="663"/>
      <c r="J127" s="602"/>
      <c r="K127" s="603"/>
      <c r="L127" s="16"/>
      <c r="M127" s="16"/>
      <c r="N127" s="16"/>
      <c r="O127" s="16"/>
      <c r="P127" s="117"/>
      <c r="Q127" s="15"/>
      <c r="R127" s="16"/>
      <c r="S127" s="130"/>
      <c r="T127" s="16"/>
      <c r="U127" s="16"/>
      <c r="V127" s="16"/>
      <c r="W127" s="241"/>
      <c r="X127" s="16"/>
      <c r="Y127" s="16"/>
      <c r="Z127" s="16"/>
      <c r="AA127" s="16"/>
      <c r="AB127" s="16"/>
    </row>
    <row r="128" spans="1:28" ht="15" customHeight="1">
      <c r="A128" s="231" t="s">
        <v>1228</v>
      </c>
      <c r="B128" s="248"/>
      <c r="C128" s="246">
        <v>140</v>
      </c>
      <c r="D128" s="247">
        <v>10</v>
      </c>
      <c r="E128" s="245">
        <v>1</v>
      </c>
      <c r="F128" s="246">
        <f>Table_6170256[[#This Row],[Purchase / Running costs]]/Table_6170256[[#This Row],[Depreciation period]]</f>
        <v>14</v>
      </c>
      <c r="G128" s="247"/>
      <c r="H128" s="589"/>
      <c r="I128" s="663"/>
      <c r="J128" s="602"/>
      <c r="K128" s="603"/>
      <c r="L128" s="16"/>
      <c r="M128" s="16"/>
      <c r="N128" s="16"/>
      <c r="O128" s="16"/>
      <c r="P128" s="117"/>
      <c r="Q128" s="15"/>
      <c r="R128" s="16"/>
      <c r="S128" s="130"/>
      <c r="T128" s="16"/>
      <c r="U128" s="16"/>
      <c r="V128" s="16"/>
      <c r="W128" s="241"/>
      <c r="X128" s="16"/>
      <c r="Y128" s="16"/>
      <c r="Z128" s="16"/>
      <c r="AA128" s="16"/>
      <c r="AB128" s="16"/>
    </row>
    <row r="129" spans="1:28" ht="15" customHeight="1">
      <c r="A129" s="231" t="s">
        <v>1229</v>
      </c>
      <c r="B129" s="248"/>
      <c r="C129" s="246">
        <v>50</v>
      </c>
      <c r="D129" s="247">
        <v>20</v>
      </c>
      <c r="E129" s="245">
        <v>1</v>
      </c>
      <c r="F129" s="246">
        <f>Table_6170256[[#This Row],[Purchase / Running costs]]/Table_6170256[[#This Row],[Depreciation period]]</f>
        <v>2.5</v>
      </c>
      <c r="G129" s="247"/>
      <c r="H129" s="589"/>
      <c r="I129" s="663"/>
      <c r="J129" s="602"/>
      <c r="K129" s="603"/>
      <c r="L129" s="16"/>
      <c r="M129" s="16"/>
      <c r="N129" s="16"/>
      <c r="O129" s="16"/>
      <c r="P129" s="117"/>
      <c r="Q129" s="15"/>
      <c r="R129" s="16"/>
      <c r="S129" s="130"/>
      <c r="T129" s="16"/>
      <c r="U129" s="16"/>
      <c r="V129" s="16"/>
      <c r="W129" s="241"/>
      <c r="X129" s="16"/>
      <c r="Y129" s="16"/>
      <c r="Z129" s="16"/>
      <c r="AA129" s="16"/>
      <c r="AB129" s="16"/>
    </row>
    <row r="130" spans="1:28" ht="15" customHeight="1">
      <c r="A130" s="231" t="s">
        <v>1230</v>
      </c>
      <c r="B130" s="248"/>
      <c r="C130" s="246">
        <v>80.98</v>
      </c>
      <c r="D130" s="247">
        <v>7</v>
      </c>
      <c r="E130" s="245">
        <v>1</v>
      </c>
      <c r="F130" s="246">
        <f>Table_6170256[[#This Row],[Purchase / Running costs]]/Table_6170256[[#This Row],[Depreciation period]]</f>
        <v>11.568571428571429</v>
      </c>
      <c r="G130" s="247"/>
      <c r="H130" s="589"/>
      <c r="I130" s="663"/>
      <c r="J130" s="602"/>
      <c r="K130" s="603"/>
      <c r="L130" s="16"/>
      <c r="M130" s="16"/>
      <c r="N130" s="16"/>
      <c r="O130" s="16"/>
      <c r="P130" s="117"/>
      <c r="Q130" s="15"/>
      <c r="R130" s="16"/>
      <c r="S130" s="130"/>
      <c r="T130" s="16"/>
      <c r="U130" s="16"/>
      <c r="V130" s="16"/>
      <c r="W130" s="241"/>
      <c r="X130" s="16"/>
      <c r="Y130" s="16"/>
      <c r="Z130" s="16"/>
      <c r="AA130" s="16"/>
      <c r="AB130" s="16"/>
    </row>
    <row r="131" spans="1:28" ht="15" customHeight="1">
      <c r="A131" s="231" t="s">
        <v>1231</v>
      </c>
      <c r="B131" s="248"/>
      <c r="C131" s="246">
        <v>133.22</v>
      </c>
      <c r="D131" s="247">
        <v>10</v>
      </c>
      <c r="E131" s="245">
        <v>1</v>
      </c>
      <c r="F131" s="246">
        <f>Table_6170256[[#This Row],[Purchase / Running costs]]/Table_6170256[[#This Row],[Depreciation period]]</f>
        <v>13.321999999999999</v>
      </c>
      <c r="G131" s="247"/>
      <c r="H131" s="589"/>
      <c r="I131" s="663"/>
      <c r="J131" s="602"/>
      <c r="K131" s="603"/>
      <c r="L131" s="16"/>
      <c r="M131" s="16"/>
      <c r="N131" s="16"/>
      <c r="O131" s="16"/>
      <c r="P131" s="117"/>
      <c r="Q131" s="15"/>
      <c r="R131" s="16"/>
      <c r="S131" s="130"/>
      <c r="T131" s="16"/>
      <c r="U131" s="16"/>
      <c r="V131" s="16"/>
      <c r="W131" s="241"/>
      <c r="X131" s="16"/>
      <c r="Y131" s="16"/>
      <c r="Z131" s="16"/>
      <c r="AA131" s="16"/>
      <c r="AB131" s="16"/>
    </row>
    <row r="132" spans="1:28" ht="15" customHeight="1">
      <c r="A132" s="231" t="s">
        <v>1232</v>
      </c>
      <c r="B132" s="248"/>
      <c r="C132" s="246">
        <v>140.19</v>
      </c>
      <c r="D132" s="247">
        <v>7</v>
      </c>
      <c r="E132" s="245">
        <v>1</v>
      </c>
      <c r="F132" s="246">
        <f>Table_6170256[[#This Row],[Purchase / Running costs]]/Table_6170256[[#This Row],[Depreciation period]]</f>
        <v>20.027142857142856</v>
      </c>
      <c r="G132" s="247"/>
      <c r="H132" s="589"/>
      <c r="I132" s="663"/>
      <c r="J132" s="602"/>
      <c r="K132" s="603"/>
      <c r="L132" s="16"/>
      <c r="M132" s="16"/>
      <c r="N132" s="16"/>
      <c r="O132" s="16"/>
      <c r="P132" s="117"/>
      <c r="Q132" s="15"/>
      <c r="R132" s="16"/>
      <c r="S132" s="130"/>
      <c r="T132" s="16"/>
      <c r="U132" s="16"/>
      <c r="V132" s="16"/>
      <c r="W132" s="241"/>
      <c r="X132" s="16"/>
      <c r="Y132" s="16"/>
      <c r="Z132" s="16"/>
      <c r="AA132" s="16"/>
      <c r="AB132" s="16"/>
    </row>
    <row r="133" spans="1:28" ht="15" customHeight="1">
      <c r="A133" s="231" t="s">
        <v>1232</v>
      </c>
      <c r="B133" s="248"/>
      <c r="C133" s="246">
        <v>127</v>
      </c>
      <c r="D133" s="247">
        <v>7</v>
      </c>
      <c r="E133" s="245">
        <v>1</v>
      </c>
      <c r="F133" s="246">
        <f>Table_6170256[[#This Row],[Purchase / Running costs]]/Table_6170256[[#This Row],[Depreciation period]]</f>
        <v>18.142857142857142</v>
      </c>
      <c r="G133" s="247"/>
      <c r="H133" s="589"/>
      <c r="I133" s="663"/>
      <c r="J133" s="602"/>
      <c r="K133" s="603"/>
      <c r="L133" s="16"/>
      <c r="M133" s="16"/>
      <c r="N133" s="16"/>
      <c r="O133" s="16"/>
      <c r="P133" s="117"/>
      <c r="Q133" s="15"/>
      <c r="R133" s="16"/>
      <c r="S133" s="130"/>
      <c r="T133" s="16"/>
      <c r="U133" s="16"/>
      <c r="V133" s="16"/>
      <c r="W133" s="241"/>
      <c r="X133" s="16"/>
      <c r="Y133" s="16"/>
      <c r="Z133" s="16"/>
      <c r="AA133" s="16"/>
      <c r="AB133" s="16"/>
    </row>
    <row r="134" spans="1:28" ht="15" customHeight="1">
      <c r="A134" s="231" t="s">
        <v>1233</v>
      </c>
      <c r="B134" s="248"/>
      <c r="C134" s="246">
        <v>180</v>
      </c>
      <c r="D134" s="247">
        <v>5</v>
      </c>
      <c r="E134" s="245">
        <v>1</v>
      </c>
      <c r="F134" s="246">
        <f>Table_6170256[[#This Row],[Purchase / Running costs]]/Table_6170256[[#This Row],[Depreciation period]]</f>
        <v>36</v>
      </c>
      <c r="G134" s="247"/>
      <c r="H134" s="589"/>
      <c r="I134" s="663"/>
      <c r="J134" s="602"/>
      <c r="K134" s="603"/>
      <c r="L134" s="16"/>
      <c r="M134" s="16"/>
      <c r="N134" s="16"/>
      <c r="O134" s="16"/>
      <c r="P134" s="117"/>
      <c r="Q134" s="15"/>
      <c r="R134" s="16"/>
      <c r="S134" s="130"/>
      <c r="T134" s="16"/>
      <c r="U134" s="16"/>
      <c r="V134" s="16"/>
      <c r="W134" s="241"/>
      <c r="X134" s="16"/>
      <c r="Y134" s="16"/>
      <c r="Z134" s="16"/>
      <c r="AA134" s="16"/>
      <c r="AB134" s="16"/>
    </row>
    <row r="135" spans="1:28" ht="15" customHeight="1">
      <c r="A135" s="231" t="s">
        <v>1234</v>
      </c>
      <c r="B135" s="248"/>
      <c r="C135" s="246"/>
      <c r="D135" s="247">
        <v>30</v>
      </c>
      <c r="E135" s="245">
        <v>1</v>
      </c>
      <c r="F135" s="246">
        <f>Table_6170256[[#This Row],[Purchase / Running costs]]/Table_6170256[[#This Row],[Depreciation period]]</f>
        <v>0</v>
      </c>
      <c r="G135" s="247"/>
      <c r="H135" s="589"/>
      <c r="I135" s="663"/>
      <c r="J135" s="602"/>
      <c r="K135" s="603"/>
      <c r="L135" s="16"/>
      <c r="M135" s="16"/>
      <c r="N135" s="16"/>
      <c r="O135" s="16"/>
      <c r="P135" s="117"/>
      <c r="Q135" s="15"/>
      <c r="R135" s="16"/>
      <c r="S135" s="130"/>
      <c r="T135" s="16"/>
      <c r="U135" s="16"/>
      <c r="V135" s="16"/>
      <c r="W135" s="241"/>
      <c r="X135" s="16"/>
      <c r="Y135" s="16"/>
      <c r="Z135" s="16"/>
      <c r="AA135" s="16"/>
      <c r="AB135" s="16"/>
    </row>
    <row r="136" spans="1:28" ht="14.25" customHeight="1">
      <c r="A136" s="231" t="s">
        <v>1235</v>
      </c>
      <c r="B136" s="248"/>
      <c r="C136" s="246">
        <v>80</v>
      </c>
      <c r="D136" s="247">
        <v>5</v>
      </c>
      <c r="E136" s="245">
        <v>2</v>
      </c>
      <c r="F136" s="246">
        <f>Table_6170256[[#This Row],[Purchase / Running costs]]/Table_6170256[[#This Row],[Depreciation period]]</f>
        <v>16</v>
      </c>
      <c r="G136" s="247"/>
      <c r="H136" s="589"/>
      <c r="I136" s="663"/>
      <c r="J136" s="602"/>
      <c r="K136" s="603"/>
      <c r="L136" s="16"/>
      <c r="M136" s="16"/>
      <c r="N136" s="16"/>
      <c r="O136" s="16"/>
      <c r="P136" s="16"/>
      <c r="Q136" s="133"/>
      <c r="R136" s="16"/>
      <c r="S136" s="16"/>
      <c r="T136" s="16"/>
      <c r="U136" s="16"/>
      <c r="V136" s="16"/>
      <c r="W136" s="16"/>
      <c r="X136" s="16"/>
      <c r="Y136" s="16"/>
      <c r="Z136" s="16"/>
      <c r="AA136" s="16"/>
      <c r="AB136" s="16"/>
    </row>
    <row r="137" spans="1:28" ht="15.75" customHeight="1">
      <c r="A137" s="231" t="s">
        <v>1236</v>
      </c>
      <c r="B137" s="248"/>
      <c r="C137" s="246">
        <v>13.99</v>
      </c>
      <c r="D137" s="247">
        <v>1</v>
      </c>
      <c r="E137" s="245">
        <v>0</v>
      </c>
      <c r="F137" s="246">
        <v>0</v>
      </c>
      <c r="G137" s="247"/>
      <c r="H137" s="589"/>
      <c r="I137" s="663"/>
      <c r="J137" s="602"/>
      <c r="K137" s="603"/>
      <c r="L137" s="16"/>
      <c r="M137" s="16"/>
      <c r="N137" s="16"/>
      <c r="O137" s="16"/>
      <c r="P137" s="16"/>
      <c r="Q137" s="16"/>
      <c r="R137" s="16"/>
      <c r="S137" s="16"/>
      <c r="T137" s="16"/>
      <c r="U137" s="16"/>
      <c r="V137" s="16"/>
      <c r="W137" s="16"/>
      <c r="X137" s="16"/>
      <c r="Y137" s="16"/>
      <c r="Z137" s="16"/>
      <c r="AA137" s="16"/>
      <c r="AB137" s="16"/>
    </row>
    <row r="138" spans="1:28" ht="15.75" customHeight="1">
      <c r="A138" s="231" t="s">
        <v>1237</v>
      </c>
      <c r="B138" s="248"/>
      <c r="C138" s="246">
        <v>186.95</v>
      </c>
      <c r="D138" s="247">
        <v>10</v>
      </c>
      <c r="E138" s="245">
        <v>3</v>
      </c>
      <c r="F138" s="246">
        <f>Table_6170256[[#This Row],[Purchase / Running costs]]/Table_6170256[[#This Row],[Depreciation period]]</f>
        <v>18.695</v>
      </c>
      <c r="G138" s="247"/>
      <c r="H138" s="589"/>
      <c r="I138" s="663"/>
      <c r="J138" s="602"/>
      <c r="K138" s="603"/>
      <c r="L138" s="16"/>
      <c r="M138" s="16"/>
      <c r="N138" s="16"/>
      <c r="O138" s="16"/>
      <c r="P138" s="16"/>
      <c r="Q138" s="16"/>
      <c r="R138" s="16"/>
      <c r="S138" s="16"/>
      <c r="T138" s="16"/>
      <c r="U138" s="16"/>
      <c r="V138" s="16"/>
      <c r="W138" s="16"/>
      <c r="X138" s="16"/>
      <c r="Y138" s="16"/>
      <c r="Z138" s="16"/>
      <c r="AA138" s="16"/>
      <c r="AB138" s="16"/>
    </row>
    <row r="139" spans="1:28" ht="15.75" customHeight="1">
      <c r="A139" s="231" t="s">
        <v>1238</v>
      </c>
      <c r="B139" s="248"/>
      <c r="C139" s="246">
        <v>25.98</v>
      </c>
      <c r="D139" s="247">
        <v>5</v>
      </c>
      <c r="E139" s="245">
        <v>1</v>
      </c>
      <c r="F139" s="246">
        <f>Table_6170256[[#This Row],[Purchase / Running costs]]/Table_6170256[[#This Row],[Depreciation period]]</f>
        <v>5.1959999999999997</v>
      </c>
      <c r="G139" s="247"/>
      <c r="H139" s="589"/>
      <c r="I139" s="663"/>
      <c r="J139" s="602"/>
      <c r="K139" s="603"/>
      <c r="L139" s="16"/>
      <c r="M139" s="16"/>
      <c r="N139" s="16"/>
      <c r="O139" s="16"/>
      <c r="P139" s="16"/>
      <c r="Q139" s="16"/>
      <c r="R139" s="16"/>
      <c r="S139" s="16"/>
      <c r="T139" s="16"/>
      <c r="U139" s="16"/>
      <c r="V139" s="16"/>
      <c r="W139" s="16"/>
      <c r="X139" s="16"/>
      <c r="Y139" s="16"/>
      <c r="Z139" s="16"/>
      <c r="AA139" s="16"/>
      <c r="AB139" s="16"/>
    </row>
    <row r="140" spans="1:28" ht="15.75" customHeight="1">
      <c r="A140" s="231" t="s">
        <v>1239</v>
      </c>
      <c r="B140" s="248"/>
      <c r="C140" s="246">
        <v>44.54</v>
      </c>
      <c r="D140" s="247">
        <v>10</v>
      </c>
      <c r="E140" s="245">
        <v>8</v>
      </c>
      <c r="F140" s="246">
        <f>Table_6170256[[#This Row],[Purchase / Running costs]]/Table_6170256[[#This Row],[Depreciation period]]</f>
        <v>4.4539999999999997</v>
      </c>
      <c r="G140" s="247"/>
      <c r="H140" s="589"/>
      <c r="I140" s="663"/>
      <c r="J140" s="602"/>
      <c r="K140" s="603"/>
      <c r="L140" s="16"/>
      <c r="M140" s="16"/>
      <c r="N140" s="16"/>
      <c r="O140" s="16"/>
      <c r="P140" s="16"/>
      <c r="Q140" s="16"/>
      <c r="R140" s="16"/>
      <c r="S140" s="16"/>
      <c r="T140" s="16"/>
      <c r="U140" s="16"/>
      <c r="V140" s="16"/>
      <c r="W140" s="16"/>
      <c r="X140" s="16"/>
      <c r="Y140" s="16"/>
      <c r="Z140" s="16"/>
      <c r="AA140" s="16"/>
      <c r="AB140" s="16"/>
    </row>
    <row r="141" spans="1:28" ht="15.75" customHeight="1">
      <c r="A141" s="231" t="s">
        <v>1240</v>
      </c>
      <c r="B141" s="248"/>
      <c r="C141" s="246">
        <v>13</v>
      </c>
      <c r="D141" s="247">
        <v>5</v>
      </c>
      <c r="E141" s="245">
        <v>1</v>
      </c>
      <c r="F141" s="246">
        <f>Table_6170256[[#This Row],[Purchase / Running costs]]/Table_6170256[[#This Row],[Depreciation period]]</f>
        <v>2.6</v>
      </c>
      <c r="G141" s="247"/>
      <c r="H141" s="589"/>
      <c r="I141" s="663"/>
      <c r="J141" s="602"/>
      <c r="K141" s="603"/>
      <c r="L141" s="16"/>
      <c r="M141" s="16"/>
      <c r="N141" s="16"/>
      <c r="O141" s="16"/>
      <c r="P141" s="16"/>
      <c r="Q141" s="16"/>
      <c r="R141" s="16"/>
      <c r="S141" s="16"/>
      <c r="T141" s="16"/>
      <c r="U141" s="16"/>
      <c r="V141" s="16"/>
      <c r="W141" s="16"/>
      <c r="X141" s="16"/>
      <c r="Y141" s="16"/>
      <c r="Z141" s="16"/>
      <c r="AA141" s="16"/>
      <c r="AB141" s="16"/>
    </row>
    <row r="142" spans="1:28" ht="15.75" customHeight="1">
      <c r="A142" s="231" t="s">
        <v>1241</v>
      </c>
      <c r="B142" s="244"/>
      <c r="C142" s="246">
        <v>81.39</v>
      </c>
      <c r="D142" s="247">
        <v>5</v>
      </c>
      <c r="E142" s="245">
        <v>3</v>
      </c>
      <c r="F142" s="246">
        <f>Table_6170256[[#This Row],[Purchase / Running costs]]/Table_6170256[[#This Row],[Depreciation period]]</f>
        <v>16.277999999999999</v>
      </c>
      <c r="G142" s="247"/>
      <c r="H142" s="589"/>
      <c r="I142" s="663"/>
      <c r="J142" s="602"/>
      <c r="K142" s="603"/>
      <c r="L142" s="16"/>
      <c r="M142" s="16"/>
      <c r="N142" s="16"/>
      <c r="O142" s="16"/>
      <c r="P142" s="16"/>
      <c r="Q142" s="16"/>
      <c r="R142" s="16"/>
      <c r="S142" s="16"/>
      <c r="T142" s="16"/>
      <c r="U142" s="16"/>
      <c r="V142" s="16"/>
      <c r="W142" s="16"/>
      <c r="X142" s="16"/>
      <c r="Y142" s="16"/>
      <c r="Z142" s="16"/>
      <c r="AA142" s="16"/>
      <c r="AB142" s="16"/>
    </row>
    <row r="143" spans="1:28" ht="15.75" customHeight="1">
      <c r="A143" s="231" t="s">
        <v>1242</v>
      </c>
      <c r="B143" s="244"/>
      <c r="C143" s="246">
        <v>149.25</v>
      </c>
      <c r="D143" s="247">
        <v>5</v>
      </c>
      <c r="E143" s="245">
        <v>20</v>
      </c>
      <c r="F143" s="246">
        <f>Table_6170256[[#This Row],[Purchase / Running costs]]/Table_6170256[[#This Row],[Depreciation period]]</f>
        <v>29.85</v>
      </c>
      <c r="G143" s="247"/>
      <c r="H143" s="589"/>
      <c r="I143" s="663"/>
      <c r="J143" s="602"/>
      <c r="K143" s="603"/>
      <c r="L143" s="16"/>
      <c r="M143" s="16"/>
      <c r="N143" s="16"/>
      <c r="O143" s="16"/>
      <c r="P143" s="16"/>
      <c r="Q143" s="16"/>
      <c r="R143" s="16"/>
      <c r="S143" s="16"/>
      <c r="T143" s="16"/>
      <c r="U143" s="16"/>
      <c r="V143" s="16"/>
      <c r="W143" s="16"/>
      <c r="X143" s="16"/>
      <c r="Y143" s="16"/>
      <c r="Z143" s="16"/>
      <c r="AA143" s="16"/>
      <c r="AB143" s="16"/>
    </row>
    <row r="144" spans="1:28" ht="15.75" customHeight="1">
      <c r="A144" s="231" t="s">
        <v>1243</v>
      </c>
      <c r="B144" s="244"/>
      <c r="C144" s="246"/>
      <c r="D144" s="247">
        <v>10</v>
      </c>
      <c r="E144" s="245">
        <v>1</v>
      </c>
      <c r="F144" s="246">
        <f>Table_6170256[[#This Row],[Purchase / Running costs]]/Table_6170256[[#This Row],[Depreciation period]]</f>
        <v>0</v>
      </c>
      <c r="G144" s="247"/>
      <c r="H144" s="589"/>
      <c r="I144" s="663"/>
      <c r="J144" s="602"/>
      <c r="K144" s="603"/>
      <c r="L144" s="16"/>
      <c r="M144" s="16"/>
      <c r="N144" s="16"/>
      <c r="O144" s="16"/>
      <c r="P144" s="16"/>
      <c r="Q144" s="16"/>
      <c r="R144" s="16"/>
      <c r="S144" s="16"/>
      <c r="T144" s="16"/>
      <c r="U144" s="16"/>
      <c r="V144" s="16"/>
      <c r="W144" s="16"/>
      <c r="X144" s="16"/>
      <c r="Y144" s="16"/>
      <c r="Z144" s="16"/>
      <c r="AA144" s="16"/>
      <c r="AB144" s="16"/>
    </row>
    <row r="145" spans="1:30" ht="15.75" customHeight="1">
      <c r="A145" s="231" t="s">
        <v>1244</v>
      </c>
      <c r="B145" s="244"/>
      <c r="C145" s="246">
        <v>59.94</v>
      </c>
      <c r="D145" s="247">
        <v>5</v>
      </c>
      <c r="E145" s="245">
        <v>1</v>
      </c>
      <c r="F145" s="246">
        <f>Table_6170256[[#This Row],[Purchase / Running costs]]/Table_6170256[[#This Row],[Depreciation period]]</f>
        <v>11.988</v>
      </c>
      <c r="G145" s="247"/>
      <c r="H145" s="589"/>
      <c r="I145" s="663"/>
      <c r="J145" s="602"/>
      <c r="K145" s="603"/>
      <c r="L145" s="16"/>
      <c r="M145" s="16"/>
      <c r="N145" s="16"/>
      <c r="O145" s="16"/>
      <c r="P145" s="16"/>
      <c r="Q145" s="16"/>
      <c r="R145" s="16"/>
      <c r="S145" s="16"/>
      <c r="T145" s="16"/>
      <c r="U145" s="16"/>
      <c r="V145" s="16"/>
      <c r="W145" s="16"/>
      <c r="X145" s="16"/>
      <c r="Y145" s="16"/>
      <c r="Z145" s="16"/>
      <c r="AA145" s="16"/>
      <c r="AB145" s="16"/>
    </row>
    <row r="146" spans="1:30" ht="15.75" customHeight="1">
      <c r="A146" s="231"/>
      <c r="B146" s="244"/>
      <c r="C146" s="246">
        <v>0</v>
      </c>
      <c r="D146" s="247"/>
      <c r="E146" s="245"/>
      <c r="F146" s="246">
        <v>0</v>
      </c>
      <c r="G146" s="247"/>
      <c r="H146" s="589"/>
      <c r="I146" s="663"/>
      <c r="J146" s="602"/>
      <c r="K146" s="603"/>
      <c r="L146" s="16"/>
      <c r="M146" s="16"/>
      <c r="N146" s="16"/>
      <c r="O146" s="16"/>
      <c r="P146" s="16"/>
      <c r="Q146" s="16"/>
      <c r="R146" s="16"/>
      <c r="S146" s="16"/>
      <c r="T146" s="16"/>
      <c r="U146" s="16"/>
      <c r="V146" s="16"/>
      <c r="W146" s="16"/>
      <c r="X146" s="16"/>
      <c r="Y146" s="16"/>
      <c r="Z146" s="16"/>
      <c r="AA146" s="16"/>
      <c r="AB146" s="16"/>
    </row>
    <row r="147" spans="1:30" ht="15.75" customHeight="1">
      <c r="A147" s="231"/>
      <c r="B147" s="244"/>
      <c r="C147" s="246">
        <v>0</v>
      </c>
      <c r="D147" s="247"/>
      <c r="E147" s="245"/>
      <c r="F147" s="246">
        <v>0</v>
      </c>
      <c r="G147" s="247"/>
      <c r="H147" s="589"/>
      <c r="I147" s="663"/>
      <c r="J147" s="602"/>
      <c r="K147" s="603"/>
      <c r="L147" s="16"/>
      <c r="M147" s="16"/>
      <c r="N147" s="16"/>
      <c r="O147" s="16"/>
      <c r="P147" s="16"/>
      <c r="Q147" s="16"/>
      <c r="R147" s="16"/>
      <c r="S147" s="16"/>
      <c r="T147" s="16"/>
      <c r="U147" s="16"/>
      <c r="V147" s="16"/>
      <c r="W147" s="16"/>
      <c r="X147" s="16"/>
      <c r="Y147" s="16"/>
      <c r="Z147" s="16"/>
      <c r="AA147" s="16"/>
      <c r="AB147" s="16"/>
    </row>
    <row r="148" spans="1:30" ht="15.75" customHeight="1">
      <c r="A148" s="231"/>
      <c r="B148" s="244"/>
      <c r="C148" s="246">
        <v>0</v>
      </c>
      <c r="D148" s="247"/>
      <c r="E148" s="245"/>
      <c r="F148" s="246">
        <v>0</v>
      </c>
      <c r="G148" s="247"/>
      <c r="H148" s="589"/>
      <c r="I148" s="663"/>
      <c r="J148" s="602"/>
      <c r="K148" s="603"/>
      <c r="L148" s="16"/>
      <c r="M148" s="16"/>
      <c r="N148" s="16"/>
      <c r="O148" s="16"/>
      <c r="P148" s="16"/>
      <c r="Q148" s="16"/>
      <c r="R148" s="16"/>
      <c r="S148" s="16"/>
      <c r="T148" s="16"/>
      <c r="U148" s="16"/>
      <c r="V148" s="16"/>
      <c r="W148" s="16"/>
      <c r="X148" s="16"/>
      <c r="Y148" s="16"/>
      <c r="Z148" s="16"/>
      <c r="AA148" s="16"/>
      <c r="AB148" s="16"/>
    </row>
    <row r="149" spans="1:30" ht="15.75" customHeight="1" thickBot="1">
      <c r="A149" s="231"/>
      <c r="B149" s="244"/>
      <c r="C149" s="246">
        <v>0</v>
      </c>
      <c r="D149" s="247"/>
      <c r="E149" s="245"/>
      <c r="F149" s="246">
        <v>0</v>
      </c>
      <c r="G149" s="247"/>
      <c r="H149" s="664"/>
      <c r="I149" s="665"/>
      <c r="J149" s="604"/>
      <c r="K149" s="605"/>
      <c r="L149" s="16"/>
      <c r="M149" s="16"/>
      <c r="N149" s="16"/>
      <c r="O149" s="16"/>
      <c r="P149" s="16"/>
      <c r="Q149" s="16"/>
      <c r="R149" s="16"/>
      <c r="S149" s="16"/>
      <c r="T149" s="16"/>
      <c r="U149" s="16"/>
      <c r="V149" s="16"/>
      <c r="W149" s="16"/>
      <c r="X149" s="16"/>
      <c r="Y149" s="16"/>
      <c r="Z149" s="16"/>
      <c r="AA149" s="16"/>
      <c r="AB149" s="16"/>
    </row>
    <row r="150" spans="1:30" ht="15.75" customHeight="1">
      <c r="A150" s="15"/>
      <c r="B150" s="131"/>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c r="AA150" s="16"/>
      <c r="AB150" s="16"/>
      <c r="AC150" s="16"/>
      <c r="AD150" s="16"/>
    </row>
    <row r="151" spans="1:30" ht="15.75" customHeight="1">
      <c r="A151" s="15"/>
      <c r="B151" s="131"/>
      <c r="C151" s="16"/>
      <c r="D151" s="16"/>
      <c r="E151" s="16"/>
      <c r="F151" s="16"/>
      <c r="G151" s="16"/>
      <c r="I151" s="16"/>
      <c r="J151" s="16"/>
      <c r="K151" s="16"/>
      <c r="L151" s="16"/>
      <c r="M151" s="16"/>
      <c r="N151" s="16"/>
      <c r="O151" s="16"/>
      <c r="P151" s="16"/>
      <c r="Q151" s="16"/>
      <c r="R151" s="16"/>
      <c r="S151" s="16"/>
      <c r="T151" s="16"/>
      <c r="U151" s="16"/>
      <c r="V151" s="16"/>
      <c r="W151" s="16"/>
      <c r="X151" s="16"/>
      <c r="Y151" s="16"/>
      <c r="Z151" s="16"/>
      <c r="AA151" s="16"/>
      <c r="AB151" s="16"/>
      <c r="AC151" s="16"/>
      <c r="AD151" s="16"/>
    </row>
    <row r="152" spans="1:30" ht="15.75" customHeight="1">
      <c r="H152" s="51"/>
      <c r="I152" s="51"/>
      <c r="J152" s="51"/>
      <c r="K152" s="51"/>
      <c r="L152" s="16"/>
      <c r="M152" s="16"/>
      <c r="N152" s="16"/>
      <c r="O152" s="16"/>
      <c r="P152" s="16"/>
      <c r="Q152" s="16"/>
      <c r="R152" s="16"/>
      <c r="S152" s="16"/>
      <c r="T152" s="16"/>
      <c r="U152" s="16"/>
      <c r="V152" s="16"/>
      <c r="W152" s="16"/>
      <c r="X152" s="16"/>
      <c r="Y152" s="16"/>
      <c r="Z152" s="16"/>
      <c r="AA152" s="16"/>
      <c r="AB152" s="16"/>
      <c r="AC152" s="16"/>
      <c r="AD152" s="16"/>
    </row>
    <row r="153" spans="1:30" ht="15.75" customHeight="1">
      <c r="L153" s="16"/>
      <c r="M153" s="16"/>
      <c r="N153" s="16"/>
      <c r="O153" s="16"/>
      <c r="P153" s="16"/>
      <c r="Q153" s="16"/>
      <c r="R153" s="16"/>
      <c r="S153" s="16"/>
      <c r="T153" s="16"/>
      <c r="U153" s="16"/>
      <c r="V153" s="16"/>
      <c r="W153" s="16"/>
      <c r="X153" s="16"/>
      <c r="Y153" s="16"/>
      <c r="Z153" s="16"/>
      <c r="AA153" s="16"/>
      <c r="AB153" s="16"/>
      <c r="AC153" s="16"/>
      <c r="AD153" s="16"/>
    </row>
    <row r="154" spans="1:30" ht="15.75" customHeight="1">
      <c r="L154" s="16"/>
      <c r="M154" s="16"/>
      <c r="N154" s="16"/>
      <c r="O154" s="16"/>
      <c r="P154" s="16"/>
      <c r="Q154" s="16"/>
      <c r="R154" s="16"/>
      <c r="S154" s="16"/>
      <c r="T154" s="16"/>
      <c r="U154" s="16"/>
      <c r="V154" s="16"/>
      <c r="W154" s="16"/>
      <c r="X154" s="16"/>
      <c r="Y154" s="16"/>
      <c r="Z154" s="16"/>
      <c r="AA154" s="16"/>
      <c r="AB154" s="16"/>
      <c r="AC154" s="16"/>
      <c r="AD154" s="16"/>
    </row>
    <row r="155" spans="1:30" ht="15.75" customHeight="1">
      <c r="L155" s="16"/>
      <c r="M155" s="16"/>
      <c r="N155" s="16"/>
      <c r="O155" s="16"/>
      <c r="P155" s="16"/>
      <c r="Q155" s="16"/>
      <c r="R155" s="16"/>
      <c r="S155" s="16"/>
      <c r="T155" s="16"/>
      <c r="U155" s="16"/>
      <c r="V155" s="16"/>
      <c r="W155" s="16"/>
      <c r="X155" s="16"/>
      <c r="Y155" s="16"/>
      <c r="Z155" s="16"/>
      <c r="AA155" s="16"/>
      <c r="AB155" s="16"/>
      <c r="AC155" s="16"/>
      <c r="AD155" s="16"/>
    </row>
    <row r="156" spans="1:30" ht="15.75" customHeight="1">
      <c r="L156" s="16"/>
      <c r="M156" s="16"/>
      <c r="N156" s="16"/>
      <c r="O156" s="16"/>
      <c r="P156" s="16"/>
      <c r="Q156" s="16"/>
      <c r="R156" s="16"/>
      <c r="S156" s="16"/>
      <c r="T156" s="16"/>
      <c r="U156" s="16"/>
      <c r="V156" s="16"/>
      <c r="W156" s="16"/>
      <c r="X156" s="16"/>
      <c r="Y156" s="16"/>
      <c r="Z156" s="16"/>
      <c r="AA156" s="16"/>
      <c r="AB156" s="16"/>
      <c r="AC156" s="16"/>
      <c r="AD156" s="16"/>
    </row>
    <row r="157" spans="1:30" ht="15.75" customHeight="1">
      <c r="L157" s="16"/>
      <c r="M157" s="16"/>
      <c r="N157" s="16"/>
      <c r="O157" s="16"/>
      <c r="P157" s="16"/>
      <c r="Q157" s="16"/>
      <c r="R157" s="16"/>
      <c r="S157" s="16"/>
      <c r="T157" s="16"/>
      <c r="U157" s="16"/>
      <c r="V157" s="16"/>
      <c r="W157" s="16"/>
      <c r="X157" s="16"/>
      <c r="Y157" s="16"/>
      <c r="Z157" s="16"/>
      <c r="AA157" s="16"/>
      <c r="AB157" s="16"/>
      <c r="AC157" s="16"/>
      <c r="AD157" s="16"/>
    </row>
    <row r="158" spans="1:30" ht="15.75" customHeight="1">
      <c r="L158" s="16"/>
      <c r="M158" s="16"/>
      <c r="N158" s="16"/>
      <c r="O158" s="16"/>
      <c r="P158" s="16"/>
      <c r="Q158" s="16"/>
      <c r="R158" s="16"/>
      <c r="S158" s="16"/>
      <c r="T158" s="16"/>
      <c r="U158" s="16"/>
      <c r="V158" s="16"/>
      <c r="W158" s="16"/>
      <c r="X158" s="16"/>
      <c r="Y158" s="16"/>
      <c r="Z158" s="16"/>
      <c r="AA158" s="16"/>
      <c r="AB158" s="16"/>
      <c r="AC158" s="16"/>
      <c r="AD158" s="16"/>
    </row>
    <row r="159" spans="1:30" ht="15.75" customHeight="1">
      <c r="L159" s="16"/>
      <c r="M159" s="16"/>
      <c r="N159" s="16"/>
      <c r="O159" s="16"/>
      <c r="P159" s="735"/>
      <c r="Q159" s="696"/>
      <c r="R159" s="696"/>
      <c r="S159" s="16"/>
      <c r="T159" s="16"/>
      <c r="U159" s="16"/>
      <c r="V159" s="16"/>
      <c r="W159" s="16"/>
      <c r="X159" s="16"/>
      <c r="Y159" s="16"/>
      <c r="Z159" s="16"/>
      <c r="AA159" s="16"/>
      <c r="AB159" s="16"/>
      <c r="AC159" s="16"/>
      <c r="AD159" s="16"/>
    </row>
    <row r="160" spans="1:30" ht="15.75" customHeight="1">
      <c r="L160" s="16"/>
      <c r="M160" s="16"/>
      <c r="N160" s="16"/>
      <c r="O160" s="16"/>
      <c r="P160" s="735"/>
      <c r="Q160" s="696"/>
      <c r="R160" s="696"/>
      <c r="S160" s="16"/>
      <c r="T160" s="16"/>
      <c r="U160" s="16"/>
      <c r="V160" s="16"/>
      <c r="W160" s="16"/>
      <c r="X160" s="16"/>
      <c r="Y160" s="16"/>
      <c r="Z160" s="16"/>
      <c r="AA160" s="16"/>
      <c r="AB160" s="16"/>
      <c r="AC160" s="16"/>
      <c r="AD160" s="16"/>
    </row>
    <row r="161" spans="1:30" ht="15.75" customHeight="1">
      <c r="L161" s="16"/>
      <c r="M161" s="16"/>
      <c r="N161" s="16"/>
      <c r="O161" s="16"/>
      <c r="P161" s="735"/>
      <c r="Q161" s="696"/>
      <c r="R161" s="696"/>
      <c r="S161" s="16"/>
      <c r="T161" s="16"/>
      <c r="U161" s="16"/>
      <c r="V161" s="16"/>
      <c r="W161" s="16"/>
      <c r="X161" s="16"/>
      <c r="Y161" s="16"/>
      <c r="Z161" s="16"/>
      <c r="AA161" s="16"/>
      <c r="AB161" s="16"/>
      <c r="AC161" s="16"/>
      <c r="AD161" s="16"/>
    </row>
    <row r="162" spans="1:30" ht="15.75" customHeight="1">
      <c r="L162" s="16"/>
      <c r="M162" s="16"/>
      <c r="N162" s="16"/>
      <c r="O162" s="16"/>
      <c r="P162" s="735"/>
      <c r="Q162" s="696"/>
      <c r="R162" s="696"/>
      <c r="S162" s="16"/>
      <c r="T162" s="16"/>
      <c r="U162" s="16"/>
      <c r="V162" s="16"/>
      <c r="W162" s="16"/>
      <c r="X162" s="16"/>
      <c r="Y162" s="16"/>
      <c r="Z162" s="16"/>
      <c r="AA162" s="16"/>
      <c r="AB162" s="16"/>
      <c r="AC162" s="16"/>
      <c r="AD162" s="16"/>
    </row>
    <row r="163" spans="1:30" ht="15.75" customHeight="1">
      <c r="L163" s="16"/>
      <c r="M163" s="16"/>
      <c r="N163" s="16"/>
      <c r="O163" s="16"/>
      <c r="P163" s="735"/>
      <c r="Q163" s="696"/>
      <c r="R163" s="696"/>
      <c r="S163" s="16"/>
      <c r="T163" s="16"/>
      <c r="U163" s="16"/>
      <c r="V163" s="16"/>
      <c r="W163" s="16"/>
      <c r="X163" s="16"/>
      <c r="Y163" s="16"/>
      <c r="Z163" s="16"/>
      <c r="AA163" s="16"/>
      <c r="AB163" s="16"/>
      <c r="AC163" s="16"/>
      <c r="AD163" s="16"/>
    </row>
    <row r="164" spans="1:30" ht="15.75" customHeight="1">
      <c r="L164" s="16"/>
      <c r="M164" s="16"/>
      <c r="N164" s="16"/>
      <c r="O164" s="16"/>
      <c r="P164" s="735"/>
      <c r="Q164" s="696"/>
      <c r="R164" s="696"/>
      <c r="S164" s="16"/>
      <c r="T164" s="16"/>
      <c r="U164" s="16"/>
      <c r="V164" s="16"/>
      <c r="W164" s="16"/>
      <c r="X164" s="16"/>
      <c r="Y164" s="16"/>
      <c r="Z164" s="16"/>
      <c r="AA164" s="16"/>
      <c r="AB164" s="16"/>
      <c r="AC164" s="16"/>
      <c r="AD164" s="16"/>
    </row>
    <row r="165" spans="1:30" ht="15.75" customHeight="1">
      <c r="H165" s="248"/>
      <c r="I165" s="248"/>
      <c r="J165" s="228"/>
      <c r="K165" s="228"/>
      <c r="L165" s="16"/>
      <c r="M165" s="16"/>
      <c r="N165" s="16"/>
      <c r="O165" s="16"/>
      <c r="P165" s="735"/>
      <c r="Q165" s="696"/>
      <c r="R165" s="696"/>
      <c r="S165" s="16"/>
      <c r="T165" s="16"/>
      <c r="U165" s="16"/>
      <c r="V165" s="16"/>
      <c r="W165" s="16"/>
      <c r="X165" s="16"/>
      <c r="Y165" s="16"/>
      <c r="Z165" s="16"/>
      <c r="AA165" s="16"/>
      <c r="AB165" s="16"/>
      <c r="AC165" s="16"/>
      <c r="AD165" s="16"/>
    </row>
    <row r="166" spans="1:30" ht="15.75" customHeight="1">
      <c r="A166" s="231"/>
      <c r="B166" s="231"/>
      <c r="C166" s="246"/>
      <c r="D166" s="247"/>
      <c r="E166" s="245"/>
      <c r="F166" s="246"/>
      <c r="G166" s="247"/>
      <c r="H166" s="248"/>
      <c r="I166" s="248"/>
      <c r="J166" s="228"/>
      <c r="K166" s="228"/>
      <c r="L166" s="16"/>
      <c r="M166" s="16"/>
      <c r="N166" s="16"/>
      <c r="O166" s="16"/>
      <c r="P166" s="16"/>
      <c r="Q166" s="16"/>
      <c r="R166" s="16"/>
      <c r="S166" s="16"/>
      <c r="T166" s="16"/>
      <c r="U166" s="16"/>
      <c r="V166" s="16"/>
      <c r="W166" s="16"/>
      <c r="X166" s="16"/>
      <c r="Y166" s="16"/>
      <c r="Z166" s="16"/>
      <c r="AA166" s="16"/>
      <c r="AB166" s="16"/>
      <c r="AC166" s="16"/>
      <c r="AD166" s="16"/>
    </row>
    <row r="167" spans="1:30" ht="15.75" customHeight="1">
      <c r="A167" s="231"/>
      <c r="B167" s="16"/>
      <c r="C167" s="246"/>
      <c r="D167" s="247"/>
      <c r="E167" s="245"/>
      <c r="F167" s="246"/>
      <c r="G167" s="247"/>
      <c r="H167" s="228"/>
      <c r="I167" s="228"/>
      <c r="J167" s="228"/>
      <c r="K167" s="228"/>
      <c r="L167" s="16"/>
      <c r="M167" s="735"/>
      <c r="N167" s="696"/>
      <c r="O167" s="696"/>
      <c r="P167" s="735"/>
      <c r="Q167" s="696"/>
      <c r="R167" s="696"/>
      <c r="S167" s="696"/>
      <c r="T167" s="696"/>
      <c r="U167" s="16"/>
      <c r="V167" s="16"/>
      <c r="W167" s="16"/>
      <c r="X167" s="16"/>
      <c r="Y167" s="16"/>
      <c r="Z167" s="16"/>
      <c r="AA167" s="16"/>
      <c r="AB167" s="16"/>
      <c r="AC167" s="16"/>
      <c r="AD167" s="16"/>
    </row>
    <row r="168" spans="1:30" ht="15.75" customHeight="1">
      <c r="A168" s="16"/>
      <c r="B168" s="16"/>
      <c r="C168" s="16"/>
      <c r="D168" s="16"/>
      <c r="E168" s="16"/>
      <c r="F168" s="16"/>
      <c r="G168" s="16"/>
      <c r="H168" s="16"/>
      <c r="I168" s="16"/>
      <c r="J168" s="16"/>
      <c r="K168" s="16"/>
      <c r="L168" s="16"/>
      <c r="M168" s="735"/>
      <c r="N168" s="696"/>
      <c r="O168" s="696"/>
      <c r="P168" s="735"/>
      <c r="Q168" s="696"/>
      <c r="R168" s="696"/>
      <c r="S168" s="696"/>
      <c r="T168" s="696"/>
      <c r="U168" s="16"/>
      <c r="V168" s="16"/>
      <c r="W168" s="16"/>
      <c r="X168" s="16"/>
      <c r="Y168" s="16"/>
      <c r="Z168" s="16"/>
      <c r="AA168" s="16"/>
      <c r="AB168" s="16"/>
      <c r="AC168" s="16"/>
      <c r="AD168" s="16"/>
    </row>
    <row r="169" spans="1:30" ht="15.75" customHeight="1">
      <c r="A169" s="16"/>
      <c r="B169" s="16"/>
      <c r="C169" s="16"/>
      <c r="D169" s="16"/>
      <c r="E169" s="16"/>
      <c r="F169" s="16"/>
      <c r="G169" s="16"/>
      <c r="H169" s="16"/>
      <c r="I169" s="16"/>
      <c r="J169" s="16"/>
      <c r="K169" s="16"/>
      <c r="L169" s="16"/>
      <c r="M169" s="735"/>
      <c r="N169" s="696"/>
      <c r="O169" s="696"/>
      <c r="P169" s="696"/>
      <c r="Q169" s="696"/>
      <c r="R169" s="696"/>
      <c r="S169" s="696"/>
      <c r="T169" s="696"/>
      <c r="U169" s="16"/>
      <c r="V169" s="16"/>
      <c r="W169" s="16"/>
      <c r="X169" s="16"/>
      <c r="Y169" s="16"/>
      <c r="Z169" s="16"/>
      <c r="AA169" s="16"/>
      <c r="AB169" s="16"/>
      <c r="AC169" s="16"/>
      <c r="AD169" s="16"/>
    </row>
    <row r="170" spans="1:30" ht="15.75" customHeight="1">
      <c r="A170" s="16"/>
      <c r="B170" s="16"/>
      <c r="C170" s="16"/>
      <c r="D170" s="16"/>
      <c r="E170" s="16"/>
      <c r="F170" s="16"/>
      <c r="G170" s="16"/>
      <c r="H170" s="16"/>
      <c r="I170" s="16"/>
      <c r="J170" s="16"/>
      <c r="K170" s="16"/>
      <c r="L170" s="16"/>
      <c r="M170" s="735"/>
      <c r="N170" s="696"/>
      <c r="O170" s="696"/>
      <c r="P170" s="696"/>
      <c r="Q170" s="696"/>
      <c r="R170" s="696"/>
      <c r="S170" s="696"/>
      <c r="T170" s="696"/>
      <c r="U170" s="16"/>
      <c r="V170" s="16"/>
      <c r="W170" s="16"/>
      <c r="X170" s="16"/>
      <c r="Y170" s="16"/>
      <c r="Z170" s="16"/>
      <c r="AA170" s="16"/>
      <c r="AB170" s="16"/>
      <c r="AC170" s="16"/>
      <c r="AD170" s="16"/>
    </row>
    <row r="171" spans="1:30" ht="15.75" customHeight="1">
      <c r="A171" s="16"/>
      <c r="B171" s="16"/>
      <c r="C171" s="16"/>
      <c r="D171" s="16"/>
      <c r="E171" s="16"/>
      <c r="F171" s="16"/>
      <c r="G171" s="16"/>
      <c r="H171" s="16"/>
      <c r="I171" s="16"/>
      <c r="J171" s="16"/>
      <c r="K171" s="16"/>
      <c r="L171" s="16"/>
      <c r="M171" s="735"/>
      <c r="N171" s="696"/>
      <c r="O171" s="696"/>
      <c r="P171" s="696"/>
      <c r="Q171" s="696"/>
      <c r="R171" s="696"/>
      <c r="S171" s="696"/>
      <c r="T171" s="696"/>
      <c r="U171" s="16"/>
      <c r="V171" s="16"/>
      <c r="W171" s="16"/>
      <c r="X171" s="16"/>
      <c r="Y171" s="16"/>
      <c r="Z171" s="16"/>
      <c r="AA171" s="16"/>
      <c r="AB171" s="16"/>
      <c r="AC171" s="16"/>
      <c r="AD171" s="16"/>
    </row>
    <row r="172" spans="1:30" ht="15.75" customHeight="1">
      <c r="A172" s="16"/>
      <c r="B172" s="16"/>
      <c r="C172" s="16"/>
      <c r="D172" s="16"/>
      <c r="E172" s="16"/>
      <c r="F172" s="16"/>
      <c r="G172" s="16"/>
      <c r="H172" s="16"/>
      <c r="I172" s="16"/>
      <c r="J172" s="16"/>
      <c r="K172" s="16"/>
      <c r="L172" s="16"/>
      <c r="M172" s="735"/>
      <c r="N172" s="696"/>
      <c r="O172" s="696"/>
      <c r="P172" s="696"/>
      <c r="Q172" s="696"/>
      <c r="R172" s="696"/>
      <c r="S172" s="696"/>
      <c r="T172" s="696"/>
      <c r="U172" s="16"/>
      <c r="V172" s="16"/>
      <c r="W172" s="16"/>
      <c r="X172" s="16"/>
      <c r="Y172" s="16"/>
      <c r="Z172" s="16"/>
      <c r="AA172" s="16"/>
      <c r="AB172" s="16"/>
      <c r="AC172" s="16"/>
      <c r="AD172" s="16"/>
    </row>
    <row r="173" spans="1:30" ht="15.75" customHeight="1">
      <c r="A173" s="16"/>
      <c r="B173" s="16"/>
      <c r="C173" s="16"/>
      <c r="D173" s="16"/>
      <c r="E173" s="16"/>
      <c r="F173" s="16"/>
      <c r="G173" s="16"/>
      <c r="H173" s="16"/>
      <c r="I173" s="16"/>
      <c r="J173" s="16"/>
      <c r="K173" s="16"/>
      <c r="L173" s="16"/>
      <c r="M173" s="735"/>
      <c r="N173" s="696"/>
      <c r="O173" s="696"/>
      <c r="P173" s="696"/>
      <c r="Q173" s="696"/>
      <c r="R173" s="696"/>
      <c r="S173" s="696"/>
      <c r="T173" s="696"/>
      <c r="U173" s="16"/>
      <c r="V173" s="16"/>
      <c r="W173" s="16"/>
      <c r="X173" s="16"/>
      <c r="Y173" s="16"/>
      <c r="Z173" s="16"/>
      <c r="AA173" s="16"/>
      <c r="AB173" s="16"/>
      <c r="AC173" s="16"/>
      <c r="AD173" s="16"/>
    </row>
    <row r="174" spans="1:30" ht="15.75" customHeight="1">
      <c r="A174" s="16"/>
      <c r="B174" s="16"/>
      <c r="C174" s="16"/>
      <c r="D174" s="16"/>
      <c r="E174" s="16"/>
      <c r="F174" s="16"/>
      <c r="G174" s="16"/>
      <c r="H174" s="16"/>
      <c r="I174" s="16"/>
      <c r="J174" s="16"/>
      <c r="K174" s="16"/>
      <c r="L174" s="16"/>
      <c r="M174" s="735"/>
      <c r="N174" s="696"/>
      <c r="O174" s="696"/>
      <c r="P174" s="696"/>
      <c r="Q174" s="696"/>
      <c r="R174" s="696"/>
      <c r="S174" s="696"/>
      <c r="T174" s="696"/>
      <c r="U174" s="16"/>
      <c r="V174" s="16"/>
      <c r="W174" s="16"/>
      <c r="X174" s="16"/>
      <c r="Y174" s="16"/>
      <c r="Z174" s="16"/>
      <c r="AA174" s="16"/>
      <c r="AB174" s="16"/>
      <c r="AC174" s="16"/>
      <c r="AD174" s="16"/>
    </row>
    <row r="175" spans="1:30" ht="15.75" customHeight="1">
      <c r="A175" s="16"/>
      <c r="B175" s="16"/>
      <c r="C175" s="16"/>
      <c r="D175" s="16"/>
      <c r="E175" s="16"/>
      <c r="F175" s="16"/>
      <c r="G175" s="16"/>
      <c r="H175" s="16"/>
      <c r="I175" s="16"/>
      <c r="J175" s="16"/>
      <c r="K175" s="16"/>
      <c r="L175" s="16"/>
      <c r="M175" s="735"/>
      <c r="N175" s="696"/>
      <c r="O175" s="696"/>
      <c r="P175" s="696"/>
      <c r="Q175" s="696"/>
      <c r="R175" s="696"/>
      <c r="S175" s="696"/>
      <c r="T175" s="696"/>
      <c r="U175" s="16"/>
      <c r="V175" s="16"/>
      <c r="W175" s="16"/>
      <c r="X175" s="16"/>
      <c r="Y175" s="16"/>
      <c r="Z175" s="16"/>
      <c r="AA175" s="16"/>
      <c r="AB175" s="16"/>
      <c r="AC175" s="16"/>
      <c r="AD175" s="16"/>
    </row>
    <row r="176" spans="1:30" ht="15.75" customHeight="1">
      <c r="A176" s="16"/>
      <c r="B176" s="16"/>
      <c r="C176" s="16"/>
      <c r="D176" s="16"/>
      <c r="E176" s="16"/>
      <c r="F176" s="16"/>
      <c r="G176" s="16"/>
      <c r="H176" s="16"/>
      <c r="I176" s="16"/>
      <c r="J176" s="16"/>
      <c r="K176" s="16"/>
      <c r="L176" s="16"/>
      <c r="M176" s="735"/>
      <c r="N176" s="696"/>
      <c r="O176" s="696"/>
      <c r="P176" s="696"/>
      <c r="Q176" s="696"/>
      <c r="R176" s="696"/>
      <c r="S176" s="696"/>
      <c r="T176" s="696"/>
      <c r="U176" s="16"/>
      <c r="V176" s="16"/>
      <c r="W176" s="16"/>
      <c r="X176" s="16"/>
      <c r="Y176" s="16"/>
      <c r="Z176" s="16"/>
      <c r="AA176" s="16"/>
      <c r="AB176" s="16"/>
      <c r="AC176" s="16"/>
      <c r="AD176" s="16"/>
    </row>
    <row r="177" spans="1:30" ht="15.75" customHeight="1">
      <c r="A177" s="16"/>
      <c r="B177" s="16"/>
      <c r="C177" s="16"/>
      <c r="D177" s="16"/>
      <c r="E177" s="16"/>
      <c r="F177" s="16"/>
      <c r="G177" s="16"/>
      <c r="H177" s="16"/>
      <c r="I177" s="16"/>
      <c r="J177" s="16"/>
      <c r="K177" s="16"/>
      <c r="L177" s="16"/>
      <c r="M177" s="735"/>
      <c r="N177" s="696"/>
      <c r="O177" s="696"/>
      <c r="P177" s="696"/>
      <c r="Q177" s="696"/>
      <c r="R177" s="696"/>
      <c r="S177" s="696"/>
      <c r="T177" s="696"/>
      <c r="U177" s="16"/>
      <c r="V177" s="16"/>
      <c r="W177" s="16"/>
      <c r="X177" s="16"/>
      <c r="Y177" s="16"/>
      <c r="Z177" s="16"/>
      <c r="AA177" s="16"/>
      <c r="AB177" s="16"/>
      <c r="AC177" s="16"/>
      <c r="AD177" s="16"/>
    </row>
    <row r="178" spans="1:30" ht="15.75" customHeight="1">
      <c r="A178" s="16"/>
      <c r="B178" s="16"/>
      <c r="C178" s="16"/>
      <c r="D178" s="16"/>
      <c r="E178" s="16"/>
      <c r="F178" s="16"/>
      <c r="G178" s="16"/>
      <c r="H178" s="16"/>
      <c r="I178" s="16"/>
      <c r="J178" s="16"/>
      <c r="K178" s="16"/>
      <c r="L178" s="16"/>
      <c r="M178" s="735"/>
      <c r="N178" s="696"/>
      <c r="O178" s="696"/>
      <c r="P178" s="696"/>
      <c r="Q178" s="696"/>
      <c r="R178" s="696"/>
      <c r="S178" s="696"/>
      <c r="T178" s="696"/>
      <c r="U178" s="16"/>
      <c r="V178" s="16"/>
      <c r="W178" s="16"/>
      <c r="X178" s="16"/>
      <c r="Y178" s="16"/>
      <c r="Z178" s="16"/>
      <c r="AA178" s="16"/>
      <c r="AB178" s="16"/>
      <c r="AC178" s="16"/>
      <c r="AD178" s="16"/>
    </row>
    <row r="179" spans="1:30" ht="15.75" customHeight="1">
      <c r="A179" s="16"/>
      <c r="B179" s="16"/>
      <c r="C179" s="16"/>
      <c r="D179" s="16"/>
      <c r="E179" s="16"/>
      <c r="F179" s="16"/>
      <c r="G179" s="16"/>
      <c r="H179" s="16"/>
      <c r="I179" s="16"/>
      <c r="J179" s="16"/>
      <c r="K179" s="16"/>
      <c r="L179" s="16"/>
      <c r="M179" s="735"/>
      <c r="N179" s="696"/>
      <c r="O179" s="696"/>
      <c r="P179" s="696"/>
      <c r="Q179" s="696"/>
      <c r="R179" s="696"/>
      <c r="S179" s="696"/>
      <c r="T179" s="696"/>
      <c r="U179" s="16"/>
      <c r="V179" s="16"/>
      <c r="W179" s="16"/>
      <c r="X179" s="16"/>
      <c r="Y179" s="16"/>
      <c r="Z179" s="16"/>
      <c r="AA179" s="16"/>
      <c r="AB179" s="16"/>
      <c r="AC179" s="16"/>
      <c r="AD179" s="16"/>
    </row>
    <row r="180" spans="1:30" ht="15.75" customHeight="1">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c r="AD180" s="16"/>
    </row>
    <row r="181" spans="1:30" ht="15.75" customHeight="1">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c r="AD181" s="16"/>
    </row>
    <row r="182" spans="1:30" ht="15.75" customHeight="1">
      <c r="A182" s="16"/>
      <c r="B182" s="16"/>
      <c r="C182" s="16"/>
      <c r="D182" s="16"/>
      <c r="E182" s="16"/>
      <c r="F182" s="16"/>
      <c r="G182" s="16"/>
      <c r="H182" s="16"/>
      <c r="I182" s="16"/>
      <c r="J182" s="16"/>
      <c r="K182" s="16"/>
      <c r="L182" s="16"/>
      <c r="M182" s="735"/>
      <c r="N182" s="696"/>
      <c r="O182" s="696"/>
      <c r="P182" s="735"/>
      <c r="Q182" s="696"/>
      <c r="R182" s="696"/>
      <c r="S182" s="696"/>
      <c r="T182" s="696"/>
      <c r="U182" s="16"/>
      <c r="V182" s="16"/>
      <c r="W182" s="16"/>
      <c r="X182" s="16"/>
      <c r="Y182" s="16"/>
      <c r="Z182" s="16"/>
      <c r="AA182" s="16"/>
      <c r="AB182" s="16"/>
      <c r="AC182" s="16"/>
      <c r="AD182" s="16"/>
    </row>
    <row r="183" spans="1:30" ht="15.75" customHeight="1">
      <c r="A183" s="16"/>
      <c r="B183" s="16"/>
      <c r="C183" s="16"/>
      <c r="D183" s="16"/>
      <c r="E183" s="16"/>
      <c r="F183" s="16"/>
      <c r="G183" s="16"/>
      <c r="H183" s="16"/>
      <c r="I183" s="16"/>
      <c r="J183" s="16"/>
      <c r="K183" s="16"/>
      <c r="L183" s="16"/>
      <c r="M183" s="735"/>
      <c r="N183" s="696"/>
      <c r="O183" s="696"/>
      <c r="P183" s="735"/>
      <c r="Q183" s="696"/>
      <c r="R183" s="696"/>
      <c r="S183" s="696"/>
      <c r="T183" s="696"/>
      <c r="U183" s="16"/>
      <c r="V183" s="16"/>
      <c r="W183" s="16"/>
      <c r="X183" s="16"/>
      <c r="Y183" s="16"/>
      <c r="Z183" s="16"/>
      <c r="AA183" s="16"/>
      <c r="AB183" s="16"/>
      <c r="AC183" s="16"/>
      <c r="AD183" s="16"/>
    </row>
    <row r="184" spans="1:30" ht="15.75" customHeight="1">
      <c r="A184" s="16"/>
      <c r="B184" s="16"/>
      <c r="C184" s="16"/>
      <c r="D184" s="16"/>
      <c r="E184" s="16"/>
      <c r="F184" s="16"/>
      <c r="G184" s="16"/>
      <c r="H184" s="16"/>
      <c r="I184" s="16"/>
      <c r="J184" s="16"/>
      <c r="K184" s="16"/>
      <c r="L184" s="16"/>
      <c r="M184" s="735"/>
      <c r="N184" s="696"/>
      <c r="O184" s="696"/>
      <c r="P184" s="696"/>
      <c r="Q184" s="696"/>
      <c r="R184" s="696"/>
      <c r="S184" s="696"/>
      <c r="T184" s="696"/>
      <c r="U184" s="16"/>
      <c r="V184" s="16"/>
      <c r="W184" s="16"/>
      <c r="X184" s="16"/>
      <c r="Y184" s="16"/>
      <c r="Z184" s="16"/>
      <c r="AA184" s="16"/>
      <c r="AB184" s="16"/>
      <c r="AC184" s="16"/>
      <c r="AD184" s="16"/>
    </row>
    <row r="185" spans="1:30" ht="15.75" customHeight="1">
      <c r="A185" s="16"/>
      <c r="B185" s="16"/>
      <c r="C185" s="16"/>
      <c r="D185" s="16"/>
      <c r="E185" s="16"/>
      <c r="F185" s="16"/>
      <c r="G185" s="16"/>
      <c r="H185" s="16"/>
      <c r="I185" s="16"/>
      <c r="J185" s="16"/>
      <c r="K185" s="16"/>
      <c r="L185" s="16"/>
      <c r="M185" s="735"/>
      <c r="N185" s="696"/>
      <c r="O185" s="696"/>
      <c r="P185" s="696"/>
      <c r="Q185" s="696"/>
      <c r="R185" s="696"/>
      <c r="S185" s="696"/>
      <c r="T185" s="696"/>
      <c r="U185" s="16"/>
      <c r="V185" s="16"/>
      <c r="W185" s="16"/>
      <c r="X185" s="16"/>
      <c r="Y185" s="16"/>
      <c r="Z185" s="16"/>
      <c r="AA185" s="16"/>
      <c r="AB185" s="16"/>
      <c r="AC185" s="16"/>
      <c r="AD185" s="16"/>
    </row>
    <row r="186" spans="1:30" ht="15.75" customHeight="1">
      <c r="A186" s="16"/>
      <c r="B186" s="16"/>
      <c r="C186" s="16"/>
      <c r="D186" s="16"/>
      <c r="E186" s="16"/>
      <c r="F186" s="16"/>
      <c r="G186" s="16"/>
      <c r="H186" s="16"/>
      <c r="I186" s="16"/>
      <c r="J186" s="16"/>
      <c r="K186" s="16"/>
      <c r="L186" s="16"/>
      <c r="M186" s="735"/>
      <c r="N186" s="696"/>
      <c r="O186" s="696"/>
      <c r="P186" s="696"/>
      <c r="Q186" s="696"/>
      <c r="R186" s="696"/>
      <c r="S186" s="696"/>
      <c r="T186" s="696"/>
      <c r="U186" s="16"/>
      <c r="V186" s="16"/>
      <c r="W186" s="16"/>
      <c r="X186" s="16"/>
      <c r="Y186" s="16"/>
      <c r="Z186" s="16"/>
      <c r="AA186" s="16"/>
      <c r="AB186" s="16"/>
      <c r="AC186" s="16"/>
      <c r="AD186" s="16"/>
    </row>
    <row r="187" spans="1:30" ht="15.75" customHeight="1">
      <c r="A187" s="16"/>
      <c r="B187" s="16"/>
      <c r="C187" s="16"/>
      <c r="D187" s="16"/>
      <c r="E187" s="16"/>
      <c r="F187" s="16"/>
      <c r="G187" s="16"/>
      <c r="H187" s="16"/>
      <c r="I187" s="16"/>
      <c r="J187" s="16"/>
      <c r="K187" s="16"/>
      <c r="L187" s="16"/>
      <c r="M187" s="735"/>
      <c r="N187" s="696"/>
      <c r="O187" s="696"/>
      <c r="P187" s="696"/>
      <c r="Q187" s="696"/>
      <c r="R187" s="696"/>
      <c r="S187" s="696"/>
      <c r="T187" s="696"/>
      <c r="U187" s="16"/>
      <c r="V187" s="16"/>
      <c r="W187" s="16"/>
      <c r="X187" s="16"/>
      <c r="Y187" s="16"/>
      <c r="Z187" s="16"/>
      <c r="AA187" s="16"/>
      <c r="AB187" s="16"/>
      <c r="AC187" s="16"/>
      <c r="AD187" s="16"/>
    </row>
    <row r="188" spans="1:30" ht="15.75" customHeight="1">
      <c r="A188" s="16"/>
      <c r="B188" s="16"/>
      <c r="C188" s="16"/>
      <c r="D188" s="16"/>
      <c r="E188" s="16"/>
      <c r="F188" s="16"/>
      <c r="G188" s="16"/>
      <c r="H188" s="16"/>
      <c r="I188" s="16"/>
      <c r="J188" s="16"/>
      <c r="K188" s="16"/>
      <c r="L188" s="16"/>
      <c r="M188" s="735"/>
      <c r="N188" s="696"/>
      <c r="O188" s="696"/>
      <c r="P188" s="696"/>
      <c r="Q188" s="696"/>
      <c r="R188" s="696"/>
      <c r="S188" s="696"/>
      <c r="T188" s="696"/>
      <c r="U188" s="16"/>
      <c r="V188" s="16"/>
      <c r="W188" s="16"/>
      <c r="X188" s="16"/>
      <c r="Y188" s="16"/>
      <c r="Z188" s="16"/>
      <c r="AA188" s="16"/>
      <c r="AB188" s="16"/>
      <c r="AC188" s="16"/>
      <c r="AD188" s="16"/>
    </row>
    <row r="189" spans="1:30" ht="15.75" customHeight="1">
      <c r="A189" s="16"/>
      <c r="B189" s="16"/>
      <c r="C189" s="16"/>
      <c r="D189" s="16"/>
      <c r="E189" s="16"/>
      <c r="F189" s="16"/>
      <c r="G189" s="16"/>
      <c r="H189" s="16"/>
      <c r="I189" s="16"/>
      <c r="J189" s="16"/>
      <c r="K189" s="16"/>
      <c r="L189" s="16"/>
      <c r="M189" s="735"/>
      <c r="N189" s="696"/>
      <c r="O189" s="696"/>
      <c r="P189" s="696"/>
      <c r="Q189" s="696"/>
      <c r="R189" s="696"/>
      <c r="S189" s="696"/>
      <c r="T189" s="696"/>
      <c r="U189" s="16"/>
      <c r="V189" s="16"/>
      <c r="W189" s="16"/>
      <c r="X189" s="16"/>
      <c r="Y189" s="16"/>
      <c r="Z189" s="16"/>
      <c r="AA189" s="16"/>
      <c r="AB189" s="16"/>
      <c r="AC189" s="16"/>
      <c r="AD189" s="16"/>
    </row>
    <row r="190" spans="1:30" ht="15.75" customHeight="1">
      <c r="A190" s="16"/>
      <c r="B190" s="16"/>
      <c r="C190" s="16"/>
      <c r="D190" s="16"/>
      <c r="E190" s="16"/>
      <c r="F190" s="16"/>
      <c r="G190" s="16"/>
      <c r="H190" s="16"/>
      <c r="I190" s="16"/>
      <c r="J190" s="16"/>
      <c r="K190" s="16"/>
      <c r="L190" s="16"/>
      <c r="M190" s="735"/>
      <c r="N190" s="696"/>
      <c r="O190" s="696"/>
      <c r="P190" s="696"/>
      <c r="Q190" s="696"/>
      <c r="R190" s="696"/>
      <c r="S190" s="696"/>
      <c r="T190" s="696"/>
      <c r="U190" s="16"/>
      <c r="V190" s="16"/>
      <c r="W190" s="16"/>
      <c r="X190" s="16"/>
      <c r="Y190" s="16"/>
      <c r="Z190" s="16"/>
      <c r="AA190" s="16"/>
      <c r="AB190" s="16"/>
      <c r="AC190" s="16"/>
      <c r="AD190" s="16"/>
    </row>
    <row r="191" spans="1:30" ht="15.75" customHeight="1">
      <c r="A191" s="16"/>
      <c r="B191" s="16"/>
      <c r="C191" s="16"/>
      <c r="D191" s="16"/>
      <c r="E191" s="16"/>
      <c r="F191" s="16"/>
      <c r="G191" s="16"/>
      <c r="H191" s="16"/>
      <c r="I191" s="16"/>
      <c r="J191" s="16"/>
      <c r="K191" s="16"/>
      <c r="L191" s="16"/>
      <c r="M191" s="735"/>
      <c r="N191" s="696"/>
      <c r="O191" s="696"/>
      <c r="P191" s="696"/>
      <c r="Q191" s="696"/>
      <c r="R191" s="696"/>
      <c r="S191" s="696"/>
      <c r="T191" s="696"/>
      <c r="U191" s="16"/>
      <c r="V191" s="16"/>
      <c r="W191" s="16"/>
      <c r="X191" s="16"/>
      <c r="Y191" s="16"/>
      <c r="Z191" s="16"/>
      <c r="AA191" s="16"/>
      <c r="AB191" s="16"/>
      <c r="AC191" s="16"/>
      <c r="AD191" s="16"/>
    </row>
    <row r="192" spans="1:30" ht="15.75" customHeight="1">
      <c r="A192" s="16"/>
      <c r="B192" s="16"/>
      <c r="C192" s="16"/>
      <c r="D192" s="16"/>
      <c r="E192" s="16"/>
      <c r="F192" s="16"/>
      <c r="G192" s="16"/>
      <c r="H192" s="16"/>
      <c r="I192" s="16"/>
      <c r="J192" s="16"/>
      <c r="K192" s="16"/>
      <c r="L192" s="16"/>
      <c r="M192" s="735"/>
      <c r="N192" s="696"/>
      <c r="O192" s="696"/>
      <c r="P192" s="696"/>
      <c r="Q192" s="696"/>
      <c r="R192" s="696"/>
      <c r="S192" s="696"/>
      <c r="T192" s="696"/>
      <c r="U192" s="16"/>
      <c r="V192" s="16"/>
      <c r="W192" s="16"/>
      <c r="X192" s="16"/>
      <c r="Y192" s="16"/>
      <c r="Z192" s="16"/>
      <c r="AA192" s="16"/>
      <c r="AB192" s="16"/>
      <c r="AC192" s="16"/>
      <c r="AD192" s="16"/>
    </row>
    <row r="193" spans="1:30" ht="15.75" customHeight="1">
      <c r="A193" s="16"/>
      <c r="B193" s="16"/>
      <c r="C193" s="16"/>
      <c r="D193" s="16"/>
      <c r="E193" s="16"/>
      <c r="F193" s="16"/>
      <c r="G193" s="16"/>
      <c r="H193" s="16"/>
      <c r="I193" s="16"/>
      <c r="J193" s="16"/>
      <c r="K193" s="16"/>
      <c r="L193" s="16"/>
      <c r="M193" s="735"/>
      <c r="N193" s="696"/>
      <c r="O193" s="696"/>
      <c r="P193" s="696"/>
      <c r="Q193" s="696"/>
      <c r="R193" s="696"/>
      <c r="S193" s="696"/>
      <c r="T193" s="696"/>
      <c r="U193" s="16"/>
      <c r="V193" s="16"/>
      <c r="W193" s="16"/>
      <c r="X193" s="16"/>
      <c r="Y193" s="16"/>
      <c r="Z193" s="16"/>
      <c r="AA193" s="16"/>
      <c r="AB193" s="16"/>
      <c r="AC193" s="16"/>
      <c r="AD193" s="16"/>
    </row>
    <row r="194" spans="1:30" ht="15.75" customHeight="1">
      <c r="A194" s="16"/>
      <c r="B194" s="16"/>
      <c r="C194" s="16"/>
      <c r="D194" s="16"/>
      <c r="E194" s="16"/>
      <c r="F194" s="16"/>
      <c r="G194" s="16"/>
      <c r="H194" s="16"/>
      <c r="I194" s="16"/>
      <c r="J194" s="16"/>
      <c r="K194" s="16"/>
      <c r="L194" s="16"/>
      <c r="M194" s="735"/>
      <c r="N194" s="696"/>
      <c r="O194" s="696"/>
      <c r="P194" s="696"/>
      <c r="Q194" s="696"/>
      <c r="R194" s="696"/>
      <c r="S194" s="696"/>
      <c r="T194" s="696"/>
      <c r="U194" s="16"/>
      <c r="V194" s="16"/>
      <c r="W194" s="16"/>
      <c r="X194" s="16"/>
      <c r="Y194" s="16"/>
      <c r="Z194" s="16"/>
      <c r="AA194" s="16"/>
      <c r="AB194" s="16"/>
      <c r="AC194" s="16"/>
      <c r="AD194" s="16"/>
    </row>
    <row r="195" spans="1:30" ht="15.75" customHeight="1">
      <c r="A195" s="16"/>
      <c r="B195" s="16"/>
      <c r="C195" s="16"/>
      <c r="D195" s="16"/>
      <c r="E195" s="16"/>
      <c r="F195" s="16"/>
      <c r="G195" s="16"/>
      <c r="H195" s="16"/>
      <c r="I195" s="16"/>
      <c r="J195" s="16"/>
      <c r="K195" s="16"/>
      <c r="L195" s="16"/>
      <c r="M195" s="735"/>
      <c r="N195" s="696"/>
      <c r="O195" s="696"/>
      <c r="P195" s="696"/>
      <c r="Q195" s="696"/>
      <c r="R195" s="696"/>
      <c r="S195" s="696"/>
      <c r="T195" s="696"/>
      <c r="U195" s="16"/>
      <c r="V195" s="16"/>
      <c r="W195" s="16"/>
      <c r="X195" s="16"/>
      <c r="Y195" s="16"/>
      <c r="Z195" s="16"/>
      <c r="AA195" s="16"/>
      <c r="AB195" s="16"/>
      <c r="AC195" s="16"/>
      <c r="AD195" s="16"/>
    </row>
    <row r="196" spans="1:30" ht="15.75" customHeight="1">
      <c r="A196" s="16"/>
      <c r="B196" s="16"/>
      <c r="C196" s="16"/>
      <c r="D196" s="16"/>
      <c r="E196" s="16"/>
      <c r="F196" s="16"/>
      <c r="G196" s="16"/>
      <c r="H196" s="16"/>
      <c r="I196" s="16"/>
      <c r="J196" s="16"/>
      <c r="K196" s="16"/>
      <c r="L196" s="16"/>
      <c r="M196" s="735"/>
      <c r="N196" s="696"/>
      <c r="O196" s="696"/>
      <c r="P196" s="696"/>
      <c r="Q196" s="696"/>
      <c r="R196" s="696"/>
      <c r="S196" s="696"/>
      <c r="T196" s="696"/>
      <c r="U196" s="16"/>
      <c r="V196" s="16"/>
      <c r="W196" s="16"/>
      <c r="X196" s="16"/>
      <c r="Y196" s="16"/>
      <c r="Z196" s="16"/>
      <c r="AA196" s="16"/>
      <c r="AB196" s="16"/>
      <c r="AC196" s="16"/>
      <c r="AD196" s="16"/>
    </row>
    <row r="197" spans="1:30" ht="15.75" customHeight="1">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c r="AD197" s="16"/>
    </row>
    <row r="198" spans="1:30" ht="15.75" customHeight="1">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c r="AD198" s="16"/>
    </row>
    <row r="199" spans="1:30" ht="15.75" customHeight="1">
      <c r="A199" s="16"/>
      <c r="B199" s="735"/>
      <c r="C199" s="696"/>
      <c r="D199" s="16"/>
      <c r="E199" s="16"/>
      <c r="F199" s="16"/>
      <c r="G199" s="16"/>
      <c r="H199" s="16"/>
      <c r="I199" s="16"/>
      <c r="J199" s="16"/>
      <c r="K199" s="16"/>
      <c r="L199" s="16"/>
      <c r="M199" s="735"/>
      <c r="N199" s="696"/>
      <c r="O199" s="696"/>
      <c r="P199" s="735"/>
      <c r="Q199" s="696"/>
      <c r="R199" s="696"/>
      <c r="S199" s="696"/>
      <c r="T199" s="696"/>
      <c r="U199" s="16"/>
      <c r="V199" s="16"/>
      <c r="W199" s="16"/>
      <c r="X199" s="16"/>
      <c r="Y199" s="16"/>
      <c r="Z199" s="16"/>
      <c r="AA199" s="16"/>
      <c r="AB199" s="16"/>
      <c r="AC199" s="16"/>
      <c r="AD199" s="16"/>
    </row>
    <row r="200" spans="1:30" ht="15.75" customHeight="1">
      <c r="A200" s="16"/>
      <c r="B200" s="735"/>
      <c r="C200" s="696"/>
      <c r="D200" s="16"/>
      <c r="E200" s="16"/>
      <c r="F200" s="16"/>
      <c r="G200" s="16"/>
      <c r="H200" s="16"/>
      <c r="I200" s="16"/>
      <c r="J200" s="16"/>
      <c r="K200" s="16"/>
      <c r="L200" s="16"/>
      <c r="M200" s="735"/>
      <c r="N200" s="696"/>
      <c r="O200" s="696"/>
      <c r="P200" s="735"/>
      <c r="Q200" s="696"/>
      <c r="R200" s="696"/>
      <c r="S200" s="696"/>
      <c r="T200" s="696"/>
      <c r="U200" s="16"/>
      <c r="V200" s="16"/>
      <c r="W200" s="16"/>
      <c r="X200" s="16"/>
      <c r="Y200" s="16"/>
      <c r="Z200" s="16"/>
      <c r="AA200" s="16"/>
      <c r="AB200" s="16"/>
      <c r="AC200" s="16"/>
      <c r="AD200" s="16"/>
    </row>
    <row r="201" spans="1:30" ht="15.75" customHeight="1">
      <c r="A201" s="16"/>
      <c r="B201" s="735"/>
      <c r="C201" s="696"/>
      <c r="D201" s="16"/>
      <c r="E201" s="16"/>
      <c r="F201" s="16"/>
      <c r="G201" s="16"/>
      <c r="H201" s="16"/>
      <c r="I201" s="16"/>
      <c r="J201" s="16"/>
      <c r="K201" s="16"/>
      <c r="L201" s="16"/>
      <c r="M201" s="735"/>
      <c r="N201" s="696"/>
      <c r="O201" s="696"/>
      <c r="P201" s="696"/>
      <c r="Q201" s="696"/>
      <c r="R201" s="696"/>
      <c r="S201" s="696"/>
      <c r="T201" s="696"/>
      <c r="U201" s="16"/>
      <c r="V201" s="16"/>
      <c r="W201" s="16"/>
      <c r="X201" s="16"/>
      <c r="Y201" s="16"/>
      <c r="Z201" s="16"/>
      <c r="AA201" s="16"/>
      <c r="AB201" s="16"/>
      <c r="AC201" s="16"/>
      <c r="AD201" s="16"/>
    </row>
    <row r="202" spans="1:30" ht="15.75" customHeight="1">
      <c r="A202" s="16"/>
      <c r="B202" s="735"/>
      <c r="C202" s="696"/>
      <c r="D202" s="16"/>
      <c r="E202" s="16"/>
      <c r="F202" s="16"/>
      <c r="G202" s="16"/>
      <c r="H202" s="16"/>
      <c r="I202" s="16"/>
      <c r="J202" s="16"/>
      <c r="K202" s="16"/>
      <c r="L202" s="16"/>
      <c r="M202" s="735"/>
      <c r="N202" s="696"/>
      <c r="O202" s="696"/>
      <c r="P202" s="696"/>
      <c r="Q202" s="696"/>
      <c r="R202" s="696"/>
      <c r="S202" s="696"/>
      <c r="T202" s="696"/>
      <c r="U202" s="16"/>
      <c r="V202" s="16"/>
      <c r="W202" s="16"/>
      <c r="X202" s="16"/>
      <c r="Y202" s="16"/>
      <c r="Z202" s="16"/>
      <c r="AA202" s="16"/>
      <c r="AB202" s="16"/>
      <c r="AC202" s="16"/>
      <c r="AD202" s="16"/>
    </row>
    <row r="203" spans="1:30" ht="15.75" customHeight="1">
      <c r="A203" s="16"/>
      <c r="B203" s="735"/>
      <c r="C203" s="696"/>
      <c r="D203" s="16"/>
      <c r="E203" s="16"/>
      <c r="F203" s="16"/>
      <c r="G203" s="16"/>
      <c r="H203" s="16"/>
      <c r="I203" s="16"/>
      <c r="J203" s="16"/>
      <c r="K203" s="16"/>
      <c r="L203" s="16"/>
      <c r="M203" s="735"/>
      <c r="N203" s="696"/>
      <c r="O203" s="696"/>
      <c r="P203" s="696"/>
      <c r="Q203" s="696"/>
      <c r="R203" s="696"/>
      <c r="S203" s="696"/>
      <c r="T203" s="696"/>
      <c r="U203" s="16"/>
      <c r="V203" s="16"/>
      <c r="W203" s="16"/>
      <c r="X203" s="16"/>
      <c r="Y203" s="16"/>
      <c r="Z203" s="16"/>
      <c r="AA203" s="16"/>
      <c r="AB203" s="16"/>
      <c r="AC203" s="16"/>
      <c r="AD203" s="16"/>
    </row>
    <row r="204" spans="1:30" ht="15.75" customHeight="1">
      <c r="A204" s="16"/>
      <c r="B204" s="735"/>
      <c r="C204" s="696"/>
      <c r="D204" s="16"/>
      <c r="E204" s="16"/>
      <c r="F204" s="16"/>
      <c r="G204" s="16"/>
      <c r="H204" s="16"/>
      <c r="I204" s="16"/>
      <c r="J204" s="16"/>
      <c r="K204" s="16"/>
      <c r="L204" s="16"/>
      <c r="M204" s="735"/>
      <c r="N204" s="696"/>
      <c r="O204" s="696"/>
      <c r="P204" s="696"/>
      <c r="Q204" s="696"/>
      <c r="R204" s="696"/>
      <c r="S204" s="696"/>
      <c r="T204" s="696"/>
      <c r="U204" s="16"/>
      <c r="V204" s="16"/>
      <c r="W204" s="16"/>
      <c r="X204" s="16"/>
      <c r="Y204" s="16"/>
      <c r="Z204" s="16"/>
      <c r="AA204" s="16"/>
      <c r="AB204" s="16"/>
      <c r="AC204" s="16"/>
      <c r="AD204" s="16"/>
    </row>
    <row r="205" spans="1:30" ht="15.75" customHeight="1">
      <c r="A205" s="16"/>
      <c r="B205" s="735"/>
      <c r="C205" s="696"/>
      <c r="D205" s="16"/>
      <c r="E205" s="16"/>
      <c r="F205" s="16"/>
      <c r="G205" s="16"/>
      <c r="H205" s="16"/>
      <c r="I205" s="16"/>
      <c r="J205" s="16"/>
      <c r="K205" s="16"/>
      <c r="L205" s="16"/>
      <c r="M205" s="735"/>
      <c r="N205" s="696"/>
      <c r="O205" s="696"/>
      <c r="P205" s="696"/>
      <c r="Q205" s="696"/>
      <c r="R205" s="696"/>
      <c r="S205" s="696"/>
      <c r="T205" s="696"/>
      <c r="U205" s="16"/>
      <c r="V205" s="16"/>
      <c r="W205" s="16"/>
      <c r="X205" s="16"/>
      <c r="Y205" s="16"/>
      <c r="Z205" s="16"/>
      <c r="AA205" s="16"/>
      <c r="AB205" s="16"/>
      <c r="AC205" s="16"/>
      <c r="AD205" s="16"/>
    </row>
    <row r="206" spans="1:30" ht="15.75" customHeight="1">
      <c r="A206" s="16"/>
      <c r="B206" s="735"/>
      <c r="C206" s="696"/>
      <c r="D206" s="16"/>
      <c r="E206" s="16"/>
      <c r="F206" s="16"/>
      <c r="G206" s="16"/>
      <c r="H206" s="16"/>
      <c r="I206" s="16"/>
      <c r="J206" s="16"/>
      <c r="K206" s="16"/>
      <c r="L206" s="16"/>
      <c r="M206" s="735"/>
      <c r="N206" s="696"/>
      <c r="O206" s="696"/>
      <c r="P206" s="696"/>
      <c r="Q206" s="696"/>
      <c r="R206" s="696"/>
      <c r="S206" s="696"/>
      <c r="T206" s="696"/>
      <c r="U206" s="16"/>
      <c r="V206" s="16"/>
      <c r="W206" s="16"/>
      <c r="X206" s="16"/>
      <c r="Y206" s="16"/>
      <c r="Z206" s="16"/>
      <c r="AA206" s="16"/>
      <c r="AB206" s="16"/>
      <c r="AC206" s="16"/>
      <c r="AD206" s="16"/>
    </row>
    <row r="207" spans="1:30" ht="15.75" customHeight="1">
      <c r="A207" s="16"/>
      <c r="B207" s="735"/>
      <c r="C207" s="696"/>
      <c r="D207" s="16"/>
      <c r="E207" s="16"/>
      <c r="F207" s="16"/>
      <c r="G207" s="16"/>
      <c r="H207" s="16"/>
      <c r="I207" s="16"/>
      <c r="J207" s="16"/>
      <c r="K207" s="16"/>
      <c r="L207" s="16"/>
      <c r="M207" s="735"/>
      <c r="N207" s="696"/>
      <c r="O207" s="696"/>
      <c r="P207" s="696"/>
      <c r="Q207" s="696"/>
      <c r="R207" s="696"/>
      <c r="S207" s="696"/>
      <c r="T207" s="696"/>
      <c r="U207" s="16"/>
      <c r="V207" s="16"/>
      <c r="W207" s="16"/>
      <c r="X207" s="16"/>
      <c r="Y207" s="16"/>
      <c r="Z207" s="16"/>
      <c r="AA207" s="16"/>
      <c r="AB207" s="16"/>
      <c r="AC207" s="16"/>
      <c r="AD207" s="16"/>
    </row>
    <row r="208" spans="1:30" ht="15.75" customHeight="1">
      <c r="A208" s="16"/>
      <c r="B208" s="735"/>
      <c r="C208" s="696"/>
      <c r="D208" s="16"/>
      <c r="E208" s="16"/>
      <c r="F208" s="16"/>
      <c r="G208" s="16"/>
      <c r="H208" s="16"/>
      <c r="I208" s="16"/>
      <c r="J208" s="16"/>
      <c r="K208" s="16"/>
      <c r="L208" s="16"/>
      <c r="M208" s="735"/>
      <c r="N208" s="696"/>
      <c r="O208" s="696"/>
      <c r="P208" s="696"/>
      <c r="Q208" s="696"/>
      <c r="R208" s="696"/>
      <c r="S208" s="696"/>
      <c r="T208" s="696"/>
      <c r="U208" s="16"/>
      <c r="V208" s="16"/>
      <c r="W208" s="16"/>
      <c r="X208" s="16"/>
      <c r="Y208" s="16"/>
      <c r="Z208" s="16"/>
      <c r="AA208" s="16"/>
      <c r="AB208" s="16"/>
      <c r="AC208" s="16"/>
      <c r="AD208" s="16"/>
    </row>
    <row r="209" spans="1:30" ht="15.75" customHeight="1">
      <c r="A209" s="16"/>
      <c r="B209" s="735"/>
      <c r="C209" s="696"/>
      <c r="D209" s="16"/>
      <c r="E209" s="16"/>
      <c r="F209" s="16"/>
      <c r="G209" s="16"/>
      <c r="H209" s="16"/>
      <c r="I209" s="16"/>
      <c r="J209" s="16"/>
      <c r="K209" s="16"/>
      <c r="L209" s="16"/>
      <c r="M209" s="735"/>
      <c r="N209" s="696"/>
      <c r="O209" s="696"/>
      <c r="P209" s="696"/>
      <c r="Q209" s="696"/>
      <c r="R209" s="696"/>
      <c r="S209" s="696"/>
      <c r="T209" s="696"/>
      <c r="U209" s="16"/>
      <c r="V209" s="16"/>
      <c r="W209" s="16"/>
      <c r="X209" s="16"/>
      <c r="Y209" s="16"/>
      <c r="Z209" s="16"/>
      <c r="AA209" s="16"/>
      <c r="AB209" s="16"/>
      <c r="AC209" s="16"/>
      <c r="AD209" s="16"/>
    </row>
    <row r="210" spans="1:30" ht="15.75" customHeight="1">
      <c r="A210" s="16"/>
      <c r="B210" s="735"/>
      <c r="C210" s="696"/>
      <c r="D210" s="16"/>
      <c r="E210" s="16"/>
      <c r="F210" s="16"/>
      <c r="G210" s="16"/>
      <c r="H210" s="16"/>
      <c r="I210" s="16"/>
      <c r="J210" s="16"/>
      <c r="K210" s="16"/>
      <c r="L210" s="16"/>
      <c r="M210" s="735"/>
      <c r="N210" s="696"/>
      <c r="O210" s="696"/>
      <c r="P210" s="696"/>
      <c r="Q210" s="696"/>
      <c r="R210" s="696"/>
      <c r="S210" s="696"/>
      <c r="T210" s="696"/>
      <c r="U210" s="16"/>
      <c r="V210" s="16"/>
      <c r="W210" s="16"/>
      <c r="X210" s="16"/>
      <c r="Y210" s="16"/>
      <c r="Z210" s="16"/>
      <c r="AA210" s="16"/>
      <c r="AB210" s="16"/>
      <c r="AC210" s="16"/>
      <c r="AD210" s="16"/>
    </row>
    <row r="211" spans="1:30" ht="15.75" customHeight="1">
      <c r="A211" s="16"/>
      <c r="B211" s="735"/>
      <c r="C211" s="696"/>
      <c r="D211" s="16"/>
      <c r="E211" s="16"/>
      <c r="F211" s="16"/>
      <c r="G211" s="16"/>
      <c r="H211" s="16"/>
      <c r="I211" s="16"/>
      <c r="J211" s="16"/>
      <c r="K211" s="16"/>
      <c r="L211" s="16"/>
      <c r="M211" s="735"/>
      <c r="N211" s="696"/>
      <c r="O211" s="696"/>
      <c r="P211" s="696"/>
      <c r="Q211" s="696"/>
      <c r="R211" s="696"/>
      <c r="S211" s="696"/>
      <c r="T211" s="696"/>
      <c r="U211" s="16"/>
      <c r="V211" s="16"/>
      <c r="W211" s="16"/>
      <c r="X211" s="16"/>
      <c r="Y211" s="16"/>
      <c r="Z211" s="16"/>
      <c r="AA211" s="16"/>
      <c r="AB211" s="16"/>
      <c r="AC211" s="16"/>
      <c r="AD211" s="16"/>
    </row>
    <row r="212" spans="1:30" ht="15.75" customHeight="1">
      <c r="A212" s="16"/>
      <c r="B212" s="735"/>
      <c r="C212" s="696"/>
      <c r="D212" s="16"/>
      <c r="E212" s="16"/>
      <c r="F212" s="16"/>
      <c r="G212" s="16"/>
      <c r="H212" s="16"/>
      <c r="I212" s="16"/>
      <c r="J212" s="16"/>
      <c r="K212" s="16"/>
      <c r="L212" s="16"/>
      <c r="M212" s="735"/>
      <c r="N212" s="696"/>
      <c r="O212" s="696"/>
      <c r="P212" s="696"/>
      <c r="Q212" s="696"/>
      <c r="R212" s="696"/>
      <c r="S212" s="696"/>
      <c r="T212" s="696"/>
      <c r="U212" s="16"/>
      <c r="V212" s="16"/>
      <c r="W212" s="16"/>
      <c r="X212" s="16"/>
      <c r="Y212" s="16"/>
      <c r="Z212" s="16"/>
      <c r="AA212" s="16"/>
      <c r="AB212" s="16"/>
      <c r="AC212" s="16"/>
      <c r="AD212" s="16"/>
    </row>
    <row r="213" spans="1:30" ht="15.75" customHeight="1">
      <c r="A213" s="16"/>
      <c r="B213" s="735"/>
      <c r="C213" s="696"/>
      <c r="D213" s="16"/>
      <c r="E213" s="16"/>
      <c r="F213" s="16"/>
      <c r="G213" s="16"/>
      <c r="H213" s="16"/>
      <c r="I213" s="16"/>
      <c r="J213" s="16"/>
      <c r="K213" s="16"/>
      <c r="L213" s="16"/>
      <c r="M213" s="735"/>
      <c r="N213" s="696"/>
      <c r="O213" s="696"/>
      <c r="P213" s="696"/>
      <c r="Q213" s="696"/>
      <c r="R213" s="696"/>
      <c r="S213" s="696"/>
      <c r="T213" s="696"/>
      <c r="U213" s="16"/>
      <c r="V213" s="16"/>
      <c r="W213" s="16"/>
      <c r="X213" s="16"/>
      <c r="Y213" s="16"/>
      <c r="Z213" s="16"/>
      <c r="AA213" s="16"/>
      <c r="AB213" s="16"/>
      <c r="AC213" s="16"/>
      <c r="AD213" s="16"/>
    </row>
    <row r="214" spans="1:30" ht="15.75" customHeight="1">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row>
    <row r="215" spans="1:30" ht="15.75" customHeight="1">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c r="AD215" s="16"/>
    </row>
    <row r="216" spans="1:30" ht="15.75" customHeight="1">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c r="AD216" s="16"/>
    </row>
    <row r="217" spans="1:30" ht="15.75" customHeight="1">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c r="AD217" s="16"/>
    </row>
    <row r="218" spans="1:30" ht="15.75" customHeight="1">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c r="AD218" s="16"/>
    </row>
    <row r="219" spans="1:30" ht="15.75" customHeight="1">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c r="AD219" s="16"/>
    </row>
    <row r="220" spans="1:30" ht="15.75" customHeight="1">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c r="AD220" s="16"/>
    </row>
    <row r="221" spans="1:30" ht="15.75" customHeight="1">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row>
    <row r="222" spans="1:30" ht="15.75" customHeight="1">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row>
    <row r="223" spans="1:30" ht="15.75" customHeight="1">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c r="AD223" s="16"/>
    </row>
    <row r="224" spans="1:30" ht="15.75" customHeight="1">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c r="AD224" s="16"/>
    </row>
    <row r="225" spans="1:30" ht="15.75" customHeight="1">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16"/>
    </row>
    <row r="226" spans="1:30" ht="15.75" customHeight="1">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row>
    <row r="227" spans="1:30" ht="15.75" customHeight="1">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16"/>
    </row>
    <row r="228" spans="1:30" ht="15.75" customHeight="1">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c r="AD228" s="16"/>
    </row>
    <row r="229" spans="1:30" ht="15.75" customHeight="1">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c r="AD229" s="16"/>
    </row>
    <row r="230" spans="1:30" ht="15.75" customHeight="1">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row>
    <row r="231" spans="1:30" ht="15.75" customHeight="1">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c r="AD231" s="16"/>
    </row>
    <row r="232" spans="1:30" ht="15.75" customHeight="1">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c r="AD232" s="16"/>
    </row>
    <row r="233" spans="1:30" ht="15.75" customHeight="1">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c r="AD233" s="16"/>
    </row>
    <row r="234" spans="1:30" ht="15.75" customHeight="1">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c r="AD234" s="16"/>
    </row>
    <row r="235" spans="1:30" ht="15.75" customHeight="1">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row>
    <row r="236" spans="1:30" ht="15.75" customHeight="1">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c r="AD236" s="16"/>
    </row>
    <row r="237" spans="1:30" ht="15.75" customHeight="1">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c r="AD237" s="16"/>
    </row>
    <row r="238" spans="1:30" ht="15.75" customHeight="1">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c r="AD238" s="16"/>
    </row>
    <row r="239" spans="1:30" ht="15.75" customHeight="1">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c r="AD239" s="16"/>
    </row>
    <row r="240" spans="1:30" ht="15.75" customHeight="1">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c r="AD240" s="16"/>
    </row>
    <row r="241" spans="1:30" ht="15.75" customHeight="1">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c r="AD241" s="16"/>
    </row>
    <row r="242" spans="1:30" ht="15.75" customHeight="1">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c r="AD242" s="16"/>
    </row>
    <row r="243" spans="1:30" ht="15.75" customHeight="1">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c r="AD243" s="16"/>
    </row>
    <row r="244" spans="1:30" ht="15.75" customHeight="1">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16"/>
    </row>
    <row r="245" spans="1:30" ht="15.75" customHeight="1">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c r="AD245" s="16"/>
    </row>
    <row r="246" spans="1:30" ht="15.75" customHeight="1">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row>
    <row r="247" spans="1:30" ht="15.75" customHeight="1">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c r="AD247" s="16"/>
    </row>
    <row r="248" spans="1:30" ht="15.75" customHeight="1">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row>
    <row r="249" spans="1:30" ht="15.75" customHeight="1">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row>
    <row r="250" spans="1:30" ht="15.75" customHeight="1">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c r="AD250" s="16"/>
    </row>
    <row r="251" spans="1:30" ht="15.75" customHeight="1">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row>
    <row r="252" spans="1:30" ht="15.75" customHeight="1">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16"/>
    </row>
    <row r="253" spans="1:30" ht="15.75" customHeight="1">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c r="AD253" s="16"/>
    </row>
    <row r="254" spans="1:30" ht="15.75" customHeight="1">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row>
    <row r="255" spans="1:30" ht="15.75" customHeight="1">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c r="AD255" s="16"/>
    </row>
    <row r="256" spans="1:30" ht="15.75" customHeight="1">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row>
    <row r="257" spans="1:30" ht="15.75" customHeight="1">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c r="AD257" s="16"/>
    </row>
    <row r="258" spans="1:30" ht="15.75" customHeight="1">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c r="AD258" s="16"/>
    </row>
    <row r="259" spans="1:30" ht="15.75" customHeight="1">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row>
    <row r="260" spans="1:30" ht="15.75" customHeight="1">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row>
    <row r="261" spans="1:30" ht="15.75" customHeight="1">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c r="AD261" s="16"/>
    </row>
    <row r="262" spans="1:30" ht="15.75" customHeight="1">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row>
    <row r="263" spans="1:30" ht="15.75" customHeight="1">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row>
    <row r="264" spans="1:30" ht="15.75" customHeight="1">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c r="AD264" s="16"/>
    </row>
    <row r="265" spans="1:30" ht="15.75" customHeight="1">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row>
    <row r="266" spans="1:30" ht="15.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row>
    <row r="267" spans="1:30" ht="15.75" customHeight="1">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row>
    <row r="268" spans="1:30" ht="15.75" customHeight="1">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c r="AD268" s="16"/>
    </row>
    <row r="269" spans="1:30" ht="15.75" customHeight="1">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row>
    <row r="270" spans="1:30" ht="15.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row>
    <row r="271" spans="1:30" ht="15.75" customHeight="1">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c r="AD271" s="16"/>
    </row>
    <row r="272" spans="1:30" ht="15.75" customHeight="1">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c r="AD272" s="16"/>
    </row>
    <row r="273" spans="1:30" ht="15.75" customHeight="1">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c r="AD273" s="16"/>
    </row>
    <row r="274" spans="1:30" ht="15.75" customHeight="1">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c r="AD274" s="16"/>
    </row>
    <row r="275" spans="1:30" ht="15.75" customHeight="1">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c r="AD275" s="16"/>
    </row>
    <row r="276" spans="1:30" ht="15.75" customHeight="1">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row>
    <row r="277" spans="1:30" ht="15.75" customHeight="1">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16"/>
    </row>
    <row r="278" spans="1:30" ht="15.75" customHeight="1">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row>
    <row r="279" spans="1:30" ht="15.75" customHeight="1">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16"/>
    </row>
    <row r="280" spans="1:30" ht="15.75" customHeight="1">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c r="AD280" s="16"/>
    </row>
    <row r="281" spans="1:30" ht="15.75" customHeight="1">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c r="AD281" s="16"/>
    </row>
    <row r="282" spans="1:30" ht="15.75" customHeight="1">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c r="AD282" s="16"/>
    </row>
    <row r="283" spans="1:30" ht="15.75" customHeight="1">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c r="AD283" s="16"/>
    </row>
    <row r="284" spans="1:30" ht="15.75" customHeight="1">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c r="AD284" s="16"/>
    </row>
    <row r="285" spans="1:30" ht="15.75" customHeight="1">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c r="AD285" s="16"/>
    </row>
    <row r="286" spans="1:30" ht="15.75" customHeight="1">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row>
    <row r="287" spans="1:30" ht="15.75" customHeight="1">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row>
    <row r="288" spans="1:30" ht="15.75" customHeight="1">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row>
    <row r="289" spans="1:30" ht="15.75" customHeight="1">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row>
    <row r="290" spans="1:30" ht="15.75" customHeight="1">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row>
    <row r="291" spans="1:30" ht="15.75" customHeight="1">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c r="AD291" s="16"/>
    </row>
    <row r="292" spans="1:30" ht="15.75" customHeight="1">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row>
    <row r="293" spans="1:30" ht="15.75" customHeight="1">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row>
    <row r="294" spans="1:30" ht="15.75" customHeight="1">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row>
    <row r="295" spans="1:30" ht="15.75" customHeight="1">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row>
    <row r="296" spans="1:30" ht="15.75" customHeight="1">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row>
    <row r="297" spans="1:30" ht="15.75" customHeight="1">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row>
    <row r="298" spans="1:30" ht="15.75" customHeight="1">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row>
    <row r="299" spans="1:30" ht="15.75" customHeight="1">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row>
    <row r="300" spans="1:30" ht="15.75" customHeight="1">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row>
    <row r="301" spans="1:30" ht="15.75" customHeight="1">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c r="AD301" s="16"/>
    </row>
    <row r="302" spans="1:30" ht="15.75" customHeight="1">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c r="AD302" s="16"/>
    </row>
    <row r="303" spans="1:30" ht="15.75" customHeight="1">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row>
    <row r="304" spans="1:30" ht="15.75" customHeight="1">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c r="AD304" s="16"/>
    </row>
    <row r="305" spans="1:30" ht="15.75" customHeight="1">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c r="AD305" s="16"/>
    </row>
    <row r="306" spans="1:30" ht="15.75" customHeight="1">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c r="AA306" s="16"/>
      <c r="AB306" s="16"/>
      <c r="AC306" s="16"/>
      <c r="AD306" s="16"/>
    </row>
    <row r="307" spans="1:30" ht="15.75" customHeight="1">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c r="AA307" s="16"/>
      <c r="AB307" s="16"/>
      <c r="AC307" s="16"/>
      <c r="AD307" s="16"/>
    </row>
    <row r="308" spans="1:30" ht="15.75" customHeight="1">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c r="AA308" s="16"/>
      <c r="AB308" s="16"/>
      <c r="AC308" s="16"/>
      <c r="AD308" s="16"/>
    </row>
    <row r="309" spans="1:30" ht="15.75" customHeight="1">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c r="AA309" s="16"/>
      <c r="AB309" s="16"/>
      <c r="AC309" s="16"/>
      <c r="AD309" s="16"/>
    </row>
    <row r="310" spans="1:30" ht="15.75" customHeight="1">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c r="AA310" s="16"/>
      <c r="AB310" s="16"/>
      <c r="AC310" s="16"/>
      <c r="AD310" s="16"/>
    </row>
    <row r="311" spans="1:30" ht="15.75" customHeight="1">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c r="AA311" s="16"/>
      <c r="AB311" s="16"/>
      <c r="AC311" s="16"/>
      <c r="AD311" s="16"/>
    </row>
    <row r="312" spans="1:30" ht="15.75" customHeight="1">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c r="AA312" s="16"/>
      <c r="AB312" s="16"/>
      <c r="AC312" s="16"/>
      <c r="AD312" s="16"/>
    </row>
    <row r="313" spans="1:30" ht="15.75" customHeight="1">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c r="AA313" s="16"/>
      <c r="AB313" s="16"/>
      <c r="AC313" s="16"/>
      <c r="AD313" s="16"/>
    </row>
    <row r="314" spans="1:30" ht="15.75" customHeight="1">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c r="AA314" s="16"/>
      <c r="AB314" s="16"/>
      <c r="AC314" s="16"/>
      <c r="AD314" s="16"/>
    </row>
    <row r="315" spans="1:30" ht="15.75" customHeight="1">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c r="AA315" s="16"/>
      <c r="AB315" s="16"/>
      <c r="AC315" s="16"/>
      <c r="AD315" s="16"/>
    </row>
    <row r="316" spans="1:30" ht="15.75" customHeight="1">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c r="AA316" s="16"/>
      <c r="AB316" s="16"/>
      <c r="AC316" s="16"/>
      <c r="AD316" s="16"/>
    </row>
    <row r="317" spans="1:30" ht="15.75" customHeight="1">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c r="AA317" s="16"/>
      <c r="AB317" s="16"/>
      <c r="AC317" s="16"/>
      <c r="AD317" s="16"/>
    </row>
    <row r="318" spans="1:30" ht="15.75" customHeight="1">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c r="AA318" s="16"/>
      <c r="AB318" s="16"/>
      <c r="AC318" s="16"/>
      <c r="AD318" s="16"/>
    </row>
    <row r="319" spans="1:30" ht="15.75" customHeight="1">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c r="AA319" s="16"/>
      <c r="AB319" s="16"/>
      <c r="AC319" s="16"/>
      <c r="AD319" s="16"/>
    </row>
    <row r="320" spans="1:30" ht="15.75" customHeight="1">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c r="AA320" s="16"/>
      <c r="AB320" s="16"/>
      <c r="AC320" s="16"/>
      <c r="AD320" s="16"/>
    </row>
    <row r="321" spans="1:30" ht="15.75" customHeight="1">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c r="AA321" s="16"/>
      <c r="AB321" s="16"/>
      <c r="AC321" s="16"/>
      <c r="AD321" s="16"/>
    </row>
    <row r="322" spans="1:30" ht="15.75" customHeight="1">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c r="AA322" s="16"/>
      <c r="AB322" s="16"/>
      <c r="AC322" s="16"/>
      <c r="AD322" s="16"/>
    </row>
    <row r="323" spans="1:30" ht="15.75" customHeight="1">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c r="AA323" s="16"/>
      <c r="AB323" s="16"/>
      <c r="AC323" s="16"/>
      <c r="AD323" s="16"/>
    </row>
    <row r="324" spans="1:30" ht="15.75" customHeight="1">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c r="AA324" s="16"/>
      <c r="AB324" s="16"/>
      <c r="AC324" s="16"/>
      <c r="AD324" s="16"/>
    </row>
    <row r="325" spans="1:30" ht="15.75" customHeight="1">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c r="AA325" s="16"/>
      <c r="AB325" s="16"/>
      <c r="AC325" s="16"/>
      <c r="AD325" s="16"/>
    </row>
    <row r="326" spans="1:30" ht="15.75" customHeight="1">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c r="AA326" s="16"/>
      <c r="AB326" s="16"/>
      <c r="AC326" s="16"/>
      <c r="AD326" s="16"/>
    </row>
    <row r="327" spans="1:30" ht="15.75" customHeight="1">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c r="AA327" s="16"/>
      <c r="AB327" s="16"/>
      <c r="AC327" s="16"/>
      <c r="AD327" s="16"/>
    </row>
    <row r="328" spans="1:30" ht="15.75" customHeight="1">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c r="AA328" s="16"/>
      <c r="AB328" s="16"/>
      <c r="AC328" s="16"/>
      <c r="AD328" s="16"/>
    </row>
    <row r="329" spans="1:30" ht="15.75" customHeight="1">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c r="AA329" s="16"/>
      <c r="AB329" s="16"/>
      <c r="AC329" s="16"/>
      <c r="AD329" s="16"/>
    </row>
    <row r="330" spans="1:30" ht="15.75" customHeight="1">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c r="AA330" s="16"/>
      <c r="AB330" s="16"/>
      <c r="AC330" s="16"/>
      <c r="AD330" s="16"/>
    </row>
    <row r="331" spans="1:30" ht="15.75" customHeight="1">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c r="AA331" s="16"/>
      <c r="AB331" s="16"/>
      <c r="AC331" s="16"/>
      <c r="AD331" s="16"/>
    </row>
    <row r="332" spans="1:30" ht="15.75" customHeight="1">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c r="AA332" s="16"/>
      <c r="AB332" s="16"/>
      <c r="AC332" s="16"/>
      <c r="AD332" s="16"/>
    </row>
    <row r="333" spans="1:30" ht="15.75" customHeight="1">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c r="AA333" s="16"/>
      <c r="AB333" s="16"/>
      <c r="AC333" s="16"/>
      <c r="AD333" s="16"/>
    </row>
    <row r="334" spans="1:30" ht="15.75" customHeight="1">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c r="AA334" s="16"/>
      <c r="AB334" s="16"/>
      <c r="AC334" s="16"/>
      <c r="AD334" s="16"/>
    </row>
    <row r="335" spans="1:30" ht="15.75" customHeight="1">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c r="AA335" s="16"/>
      <c r="AB335" s="16"/>
      <c r="AC335" s="16"/>
      <c r="AD335" s="16"/>
    </row>
    <row r="336" spans="1:30" ht="15.75" customHeight="1">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c r="AA336" s="16"/>
      <c r="AB336" s="16"/>
      <c r="AC336" s="16"/>
      <c r="AD336" s="16"/>
    </row>
    <row r="337" spans="1:30" ht="15.75" customHeight="1">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c r="AA337" s="16"/>
      <c r="AB337" s="16"/>
      <c r="AC337" s="16"/>
      <c r="AD337" s="16"/>
    </row>
    <row r="338" spans="1:30" ht="15.75" customHeight="1">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c r="AA338" s="16"/>
      <c r="AB338" s="16"/>
      <c r="AC338" s="16"/>
      <c r="AD338" s="16"/>
    </row>
    <row r="339" spans="1:30" ht="15.75" customHeight="1">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c r="AA339" s="16"/>
      <c r="AB339" s="16"/>
      <c r="AC339" s="16"/>
      <c r="AD339" s="16"/>
    </row>
    <row r="340" spans="1:30" ht="15.75" customHeight="1">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c r="AA340" s="16"/>
      <c r="AB340" s="16"/>
      <c r="AC340" s="16"/>
      <c r="AD340" s="16"/>
    </row>
    <row r="341" spans="1:30" ht="15.75" customHeight="1">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c r="AA341" s="16"/>
      <c r="AB341" s="16"/>
      <c r="AC341" s="16"/>
      <c r="AD341" s="16"/>
    </row>
    <row r="342" spans="1:30" ht="15.75" customHeight="1">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c r="AA342" s="16"/>
      <c r="AB342" s="16"/>
      <c r="AC342" s="16"/>
      <c r="AD342" s="16"/>
    </row>
    <row r="343" spans="1:30" ht="15.75" customHeight="1">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c r="AA343" s="16"/>
      <c r="AB343" s="16"/>
      <c r="AC343" s="16"/>
      <c r="AD343" s="16"/>
    </row>
    <row r="344" spans="1:30" ht="15.75" customHeight="1">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c r="AA344" s="16"/>
      <c r="AB344" s="16"/>
      <c r="AC344" s="16"/>
      <c r="AD344" s="16"/>
    </row>
    <row r="345" spans="1:30" ht="15.75" customHeight="1">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c r="AA345" s="16"/>
      <c r="AB345" s="16"/>
      <c r="AC345" s="16"/>
      <c r="AD345" s="16"/>
    </row>
    <row r="346" spans="1:30" ht="15.75" customHeight="1">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c r="AA346" s="16"/>
      <c r="AB346" s="16"/>
      <c r="AC346" s="16"/>
      <c r="AD346" s="16"/>
    </row>
    <row r="347" spans="1:30" ht="15.75" customHeight="1">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c r="AA347" s="16"/>
      <c r="AB347" s="16"/>
      <c r="AC347" s="16"/>
      <c r="AD347" s="16"/>
    </row>
    <row r="348" spans="1:30" ht="15.75" customHeight="1">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c r="AA348" s="16"/>
      <c r="AB348" s="16"/>
      <c r="AC348" s="16"/>
      <c r="AD348" s="16"/>
    </row>
    <row r="349" spans="1:30" ht="15.75" customHeight="1">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c r="AA349" s="16"/>
      <c r="AB349" s="16"/>
      <c r="AC349" s="16"/>
      <c r="AD349" s="16"/>
    </row>
    <row r="350" spans="1:30" ht="15.75" customHeight="1"/>
    <row r="351" spans="1:30" ht="15.75" customHeight="1"/>
    <row r="352" spans="1:30"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sheetData>
  <mergeCells count="99">
    <mergeCell ref="A29:F29"/>
    <mergeCell ref="A1:C1"/>
    <mergeCell ref="E1:H1"/>
    <mergeCell ref="D7:I7"/>
    <mergeCell ref="D8:I8"/>
    <mergeCell ref="A28:F28"/>
    <mergeCell ref="A30:F30"/>
    <mergeCell ref="A31:F31"/>
    <mergeCell ref="A32:F32"/>
    <mergeCell ref="A34:F34"/>
    <mergeCell ref="H37:J37"/>
    <mergeCell ref="P159:R159"/>
    <mergeCell ref="P160:R160"/>
    <mergeCell ref="P161:R161"/>
    <mergeCell ref="P162:R162"/>
    <mergeCell ref="K73:O89"/>
    <mergeCell ref="P73:Q89"/>
    <mergeCell ref="J93:K93"/>
    <mergeCell ref="P163:R163"/>
    <mergeCell ref="P164:R164"/>
    <mergeCell ref="P165:R165"/>
    <mergeCell ref="M167:O167"/>
    <mergeCell ref="P167:T167"/>
    <mergeCell ref="M168:O168"/>
    <mergeCell ref="P168:T179"/>
    <mergeCell ref="M169:O169"/>
    <mergeCell ref="M170:O170"/>
    <mergeCell ref="M171:O171"/>
    <mergeCell ref="M172:O172"/>
    <mergeCell ref="M173:O173"/>
    <mergeCell ref="M174:O174"/>
    <mergeCell ref="M175:O175"/>
    <mergeCell ref="M176:O176"/>
    <mergeCell ref="M177:O177"/>
    <mergeCell ref="M178:O178"/>
    <mergeCell ref="M179:O179"/>
    <mergeCell ref="P182:T182"/>
    <mergeCell ref="M183:O183"/>
    <mergeCell ref="P183:T196"/>
    <mergeCell ref="M184:O184"/>
    <mergeCell ref="M185:O185"/>
    <mergeCell ref="M186:O186"/>
    <mergeCell ref="M187:O187"/>
    <mergeCell ref="M188:O188"/>
    <mergeCell ref="M189:O189"/>
    <mergeCell ref="M190:O190"/>
    <mergeCell ref="M191:O191"/>
    <mergeCell ref="M192:O192"/>
    <mergeCell ref="M193:O193"/>
    <mergeCell ref="M194:O194"/>
    <mergeCell ref="M195:O195"/>
    <mergeCell ref="M182:O182"/>
    <mergeCell ref="M200:O200"/>
    <mergeCell ref="P200:T213"/>
    <mergeCell ref="B201:C201"/>
    <mergeCell ref="M201:O201"/>
    <mergeCell ref="B202:C202"/>
    <mergeCell ref="M207:O207"/>
    <mergeCell ref="B208:C208"/>
    <mergeCell ref="M208:O208"/>
    <mergeCell ref="M202:O202"/>
    <mergeCell ref="B203:C203"/>
    <mergeCell ref="M203:O203"/>
    <mergeCell ref="B205:C205"/>
    <mergeCell ref="M205:O205"/>
    <mergeCell ref="B212:C212"/>
    <mergeCell ref="M212:O212"/>
    <mergeCell ref="B199:C199"/>
    <mergeCell ref="M199:O199"/>
    <mergeCell ref="B213:C213"/>
    <mergeCell ref="M213:O213"/>
    <mergeCell ref="B210:C210"/>
    <mergeCell ref="M210:O210"/>
    <mergeCell ref="B211:C211"/>
    <mergeCell ref="M211:O211"/>
    <mergeCell ref="B204:C204"/>
    <mergeCell ref="M204:O204"/>
    <mergeCell ref="B209:C209"/>
    <mergeCell ref="M209:O209"/>
    <mergeCell ref="B206:C206"/>
    <mergeCell ref="M206:O206"/>
    <mergeCell ref="B207:C207"/>
    <mergeCell ref="B200:C200"/>
    <mergeCell ref="P199:T199"/>
    <mergeCell ref="AG29:AH29"/>
    <mergeCell ref="AI29:AJ29"/>
    <mergeCell ref="AG30:AH40"/>
    <mergeCell ref="H38:J44"/>
    <mergeCell ref="J94:K149"/>
    <mergeCell ref="H94:I149"/>
    <mergeCell ref="AI30:AJ40"/>
    <mergeCell ref="H93:I93"/>
    <mergeCell ref="I47:K47"/>
    <mergeCell ref="K56:M56"/>
    <mergeCell ref="K57:M69"/>
    <mergeCell ref="K72:O72"/>
    <mergeCell ref="P72:Q72"/>
    <mergeCell ref="I48:K53"/>
    <mergeCell ref="M196:O196"/>
  </mergeCells>
  <phoneticPr fontId="31" type="noConversion"/>
  <conditionalFormatting sqref="I57:I68">
    <cfRule type="containsText" dxfId="471" priority="1" operator="containsText" text="5">
      <formula>NOT(ISERROR(SEARCH(("5"),(I57))))</formula>
    </cfRule>
    <cfRule type="containsText" dxfId="470" priority="2" operator="containsText" text="42">
      <formula>NOT(ISERROR(SEARCH(("42"),(I57))))</formula>
    </cfRule>
    <cfRule type="containsText" dxfId="469" priority="3" operator="containsText" text="Please fill in">
      <formula>NOT(ISERROR(SEARCH(("Please fill in"),(I57))))</formula>
    </cfRule>
  </conditionalFormatting>
  <dataValidations count="5">
    <dataValidation type="list" allowBlank="1" showErrorMessage="1" sqref="H66:H69" xr:uid="{74C24DAF-5D80-F74D-99E5-F678C47105D3}">
      <formula1>Kronos!TypesOfTrainers</formula1>
    </dataValidation>
    <dataValidation type="list" allowBlank="1" showErrorMessage="1" sqref="B9" xr:uid="{3CFEE256-24DB-8645-A74E-680853334EBA}">
      <formula1>"yes,no,partial"</formula1>
    </dataValidation>
    <dataValidation type="list" allowBlank="1" sqref="G48:G53" xr:uid="{60962F6C-2C53-AA49-A5FC-BC1A3EE1FEEF}">
      <formula1>"yes,no"</formula1>
    </dataValidation>
    <dataValidation type="list" allowBlank="1" showErrorMessage="1" sqref="D48:D53 H57:H65" xr:uid="{D09EAD17-E316-4942-A9FA-9F46D7750E86}">
      <formula1>'https://universiteittwente.sharepoint.com/sites/SportsCoordinatorsSUT/Gedeelde documenten/General/(WIP) FAM Sheets - Regulations 2025-28 - Version April 2025.xlsx'!TypesOfTrainers</formula1>
    </dataValidation>
    <dataValidation type="list" allowBlank="1" showErrorMessage="1" sqref="B81:B82" xr:uid="{B952A641-216A-1149-AA37-186F4E03F648}">
      <formula1>'https://universiteittwente.sharepoint.com/sites/SportsCoordinatorsSUT/Gedeelde documenten/General/(WIP) FAM Sheets - Regulations 2025-28 - Version April 2025.xlsx'!LocationNames</formula1>
    </dataValidation>
  </dataValidations>
  <pageMargins left="0.7" right="0.7" top="0.75" bottom="0.75" header="0" footer="0"/>
  <pageSetup paperSize="9" orientation="portrait"/>
  <ignoredErrors>
    <ignoredError sqref="F115" formula="1"/>
    <ignoredError sqref="H79" calculatedColumn="1"/>
  </ignoredErrors>
  <drawing r:id="rId1"/>
  <tableParts count="6">
    <tablePart r:id="rId2"/>
    <tablePart r:id="rId3"/>
    <tablePart r:id="rId4"/>
    <tablePart r:id="rId5"/>
    <tablePart r:id="rId6"/>
    <tablePart r:id="rId7"/>
  </tableParts>
  <extLst>
    <ext xmlns:x14="http://schemas.microsoft.com/office/spreadsheetml/2009/9/main" uri="{CCE6A557-97BC-4b89-ADB6-D9C93CAAB3DF}">
      <x14:dataValidations xmlns:xm="http://schemas.microsoft.com/office/excel/2006/main" count="4">
        <x14:dataValidation type="list" allowBlank="1" showInputMessage="1" showErrorMessage="1" xr:uid="{B0C49E34-992A-7043-AC09-D90689361BD7}">
          <x14:formula1>
            <xm:f>Constants!$M$6:$M$7</xm:f>
          </x14:formula1>
          <xm:sqref>B94:B151</xm:sqref>
        </x14:dataValidation>
        <x14:dataValidation type="list" allowBlank="1" showInputMessage="1" showErrorMessage="1" xr:uid="{A0E21AAD-02A1-834A-8A3A-4F9BE271266C}">
          <x14:formula1>
            <xm:f>Constants!$C$55:$C$56</xm:f>
          </x14:formula1>
          <xm:sqref>B12</xm:sqref>
        </x14:dataValidation>
        <x14:dataValidation type="list" allowBlank="1" showErrorMessage="1" xr:uid="{6C3EFA3B-C450-704E-98D2-408510FC1B77}">
          <x14:formula1>
            <xm:f>Constants!$H$6:$H$13</xm:f>
          </x14:formula1>
          <xm:sqref>B57:B69</xm:sqref>
        </x14:dataValidation>
        <x14:dataValidation type="list" allowBlank="1" showErrorMessage="1" xr:uid="{9D415A4C-CA6B-0A48-950D-C06F8B898731}">
          <x14:formula1>
            <xm:f>Constants!$A$2:$AD$2</xm:f>
          </x14:formula1>
          <xm:sqref>B84:B89 B73:B79</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0AA225-79CB-4068-8C87-6ABB43600317}">
  <dimension ref="A1:BG1003"/>
  <sheetViews>
    <sheetView topLeftCell="Z24" workbookViewId="0">
      <selection activeCell="AF30" sqref="AF30"/>
    </sheetView>
  </sheetViews>
  <sheetFormatPr defaultColWidth="12.625" defaultRowHeight="15" customHeight="1"/>
  <cols>
    <col min="1" max="1" width="36.625" customWidth="1"/>
    <col min="2" max="2" width="28.125" customWidth="1"/>
    <col min="3" max="3" width="21" customWidth="1"/>
    <col min="4" max="4" width="17.5" customWidth="1"/>
    <col min="5" max="5" width="16.125" customWidth="1"/>
    <col min="6" max="6" width="21.5" customWidth="1"/>
    <col min="7" max="7" width="22.625" customWidth="1"/>
    <col min="8" max="8" width="18.625" customWidth="1"/>
    <col min="9" max="9" width="19.625" customWidth="1"/>
    <col min="10" max="10" width="18.875" customWidth="1"/>
    <col min="11" max="11" width="21.625" customWidth="1"/>
    <col min="12" max="12" width="17.375" customWidth="1"/>
    <col min="13" max="13" width="15.125" customWidth="1"/>
    <col min="14" max="14" width="15.625" customWidth="1"/>
    <col min="15" max="15" width="28.5" customWidth="1"/>
    <col min="16" max="16" width="13.125" customWidth="1"/>
    <col min="17" max="17" width="21.875" customWidth="1"/>
    <col min="18" max="18" width="27" customWidth="1"/>
    <col min="19" max="19" width="20.5" customWidth="1"/>
    <col min="20" max="22" width="7.625" customWidth="1"/>
    <col min="23" max="23" width="31.875" customWidth="1"/>
    <col min="24" max="24" width="7.625" customWidth="1"/>
    <col min="25" max="25" width="8.375" customWidth="1"/>
    <col min="26" max="26" width="21.625" customWidth="1"/>
    <col min="27" max="27" width="12" customWidth="1"/>
    <col min="28" max="28" width="16.5" customWidth="1"/>
    <col min="29" max="29" width="6" customWidth="1"/>
    <col min="30" max="30" width="27.375" customWidth="1"/>
  </cols>
  <sheetData>
    <row r="1" spans="1:59" ht="171" customHeight="1">
      <c r="A1" s="703"/>
      <c r="B1" s="704"/>
      <c r="C1" s="705"/>
      <c r="D1" s="16"/>
      <c r="E1" s="572" t="s">
        <v>138</v>
      </c>
      <c r="F1" s="704"/>
      <c r="G1" s="704"/>
      <c r="H1" s="705"/>
      <c r="I1" s="16"/>
      <c r="J1" s="16"/>
      <c r="K1" s="16"/>
      <c r="L1" s="16"/>
      <c r="M1" s="16"/>
      <c r="N1" s="16"/>
      <c r="O1" s="16"/>
      <c r="P1" s="16"/>
      <c r="Q1" s="16"/>
      <c r="R1" s="16"/>
      <c r="S1" s="16"/>
      <c r="T1" s="16"/>
      <c r="U1" s="16"/>
      <c r="V1" s="16"/>
      <c r="W1" s="16"/>
      <c r="X1" s="16"/>
      <c r="Y1" s="16"/>
      <c r="Z1" s="16"/>
      <c r="AA1" s="16"/>
      <c r="AB1" s="16"/>
      <c r="AC1" s="16"/>
      <c r="AD1" s="16"/>
    </row>
    <row r="2" spans="1:59">
      <c r="A2" s="58" t="s">
        <v>404</v>
      </c>
      <c r="B2" s="152" t="s">
        <v>532</v>
      </c>
      <c r="C2" s="59"/>
      <c r="D2" s="16"/>
      <c r="E2" s="60" t="s">
        <v>406</v>
      </c>
      <c r="F2" s="153"/>
      <c r="G2" s="154"/>
      <c r="H2" s="61"/>
      <c r="I2" s="16"/>
      <c r="J2" s="16"/>
      <c r="K2" s="16"/>
      <c r="L2" s="16"/>
      <c r="M2" s="16"/>
      <c r="N2" s="16"/>
      <c r="O2" s="16"/>
      <c r="P2" s="16"/>
      <c r="Q2" s="16"/>
      <c r="R2" s="16"/>
      <c r="S2" s="16"/>
      <c r="T2" s="16"/>
      <c r="U2" s="16"/>
      <c r="V2" s="16"/>
      <c r="W2" s="16"/>
      <c r="X2" s="16"/>
      <c r="Y2" s="16"/>
      <c r="Z2" s="15"/>
      <c r="AA2" s="15"/>
      <c r="AB2" s="15"/>
      <c r="AC2" s="15"/>
      <c r="AD2" s="16"/>
      <c r="AE2" s="16"/>
      <c r="AF2" s="16"/>
      <c r="AG2" s="16"/>
      <c r="AH2" s="16"/>
      <c r="AI2" s="17"/>
      <c r="AJ2" s="17"/>
      <c r="AK2" s="17"/>
      <c r="AL2" s="17"/>
      <c r="AM2" s="17"/>
      <c r="AN2" s="17"/>
      <c r="AO2" s="17"/>
      <c r="AP2" s="17"/>
      <c r="AQ2" s="17"/>
      <c r="AR2" s="18"/>
      <c r="AS2" s="17"/>
      <c r="AT2" s="17"/>
      <c r="AU2" s="16"/>
      <c r="AV2" s="16"/>
      <c r="AW2" s="16"/>
      <c r="AX2" s="16"/>
      <c r="AY2" s="16"/>
      <c r="AZ2" s="16"/>
      <c r="BA2" s="16"/>
    </row>
    <row r="3" spans="1:59">
      <c r="A3" s="62" t="s">
        <v>408</v>
      </c>
      <c r="B3" s="155">
        <v>3</v>
      </c>
      <c r="C3" s="156"/>
      <c r="D3" s="16"/>
      <c r="E3" s="63" t="s">
        <v>409</v>
      </c>
      <c r="F3" s="157"/>
      <c r="G3" s="158"/>
      <c r="H3" s="159"/>
      <c r="I3" s="16"/>
      <c r="J3" s="16"/>
      <c r="K3" s="16"/>
      <c r="L3" s="16"/>
      <c r="M3" s="16"/>
      <c r="N3" s="16"/>
      <c r="O3" s="16"/>
      <c r="P3" s="16"/>
      <c r="Q3" s="16"/>
      <c r="R3" s="16"/>
      <c r="S3" s="16"/>
      <c r="T3" s="16"/>
      <c r="U3" s="16"/>
      <c r="V3" s="16"/>
      <c r="W3" s="16"/>
      <c r="X3" s="16"/>
      <c r="Y3" s="16"/>
      <c r="Z3" s="16"/>
      <c r="AA3" s="16"/>
      <c r="AB3" s="16"/>
      <c r="AC3" s="16"/>
      <c r="AD3" s="16"/>
    </row>
    <row r="4" spans="1:59">
      <c r="A4" s="160" t="s">
        <v>410</v>
      </c>
      <c r="B4" s="161">
        <v>45812</v>
      </c>
      <c r="C4" s="162"/>
      <c r="D4" s="16"/>
      <c r="E4" s="163"/>
      <c r="F4" s="164"/>
      <c r="G4" s="165"/>
      <c r="H4" s="166"/>
      <c r="I4" s="16"/>
      <c r="J4" s="16"/>
      <c r="K4" s="16"/>
      <c r="L4" s="16"/>
      <c r="M4" s="16"/>
      <c r="N4" s="16"/>
      <c r="O4" s="16"/>
      <c r="P4" s="16"/>
      <c r="Q4" s="16"/>
      <c r="R4" s="16"/>
      <c r="S4" s="16"/>
      <c r="T4" s="16"/>
      <c r="U4" s="16"/>
      <c r="V4" s="16"/>
      <c r="W4" s="16"/>
      <c r="X4" s="16"/>
      <c r="Y4" s="16"/>
      <c r="Z4" s="16"/>
      <c r="AA4" s="16"/>
      <c r="AB4" s="16"/>
      <c r="AC4" s="16"/>
      <c r="AD4" s="16"/>
    </row>
    <row r="5" spans="1:59">
      <c r="A5" s="167" t="s">
        <v>411</v>
      </c>
      <c r="B5" s="168"/>
      <c r="C5" s="167"/>
      <c r="D5" s="16"/>
      <c r="E5" s="169" t="s">
        <v>412</v>
      </c>
      <c r="F5" s="169"/>
      <c r="G5" s="158"/>
      <c r="H5" s="169"/>
      <c r="I5" s="16"/>
      <c r="J5" s="16"/>
      <c r="K5" s="16"/>
      <c r="L5" s="16"/>
      <c r="M5" s="16"/>
      <c r="N5" s="16"/>
      <c r="O5" s="16"/>
      <c r="P5" s="16"/>
      <c r="Q5" s="16"/>
      <c r="R5" s="16"/>
      <c r="S5" s="16"/>
      <c r="T5" s="16"/>
      <c r="U5" s="16"/>
      <c r="V5" s="16"/>
      <c r="W5" s="16"/>
      <c r="X5" s="16"/>
      <c r="Y5" s="16"/>
      <c r="Z5" s="16"/>
      <c r="AA5" s="16"/>
      <c r="AB5" s="16"/>
      <c r="AC5" s="16"/>
      <c r="AD5" s="16"/>
    </row>
    <row r="6" spans="1:59">
      <c r="A6" s="15"/>
      <c r="B6" s="64"/>
      <c r="C6" s="16"/>
      <c r="D6" s="16"/>
      <c r="E6" s="16"/>
      <c r="F6" s="16"/>
      <c r="G6" s="16"/>
      <c r="H6" s="16"/>
      <c r="I6" s="16"/>
      <c r="J6" s="64"/>
      <c r="K6" s="16"/>
      <c r="L6" s="16"/>
      <c r="M6" s="16"/>
      <c r="N6" s="16"/>
      <c r="O6" s="16"/>
      <c r="P6" s="16"/>
      <c r="Q6" s="16"/>
      <c r="R6" s="16"/>
      <c r="S6" s="16"/>
      <c r="T6" s="16"/>
      <c r="U6" s="16"/>
      <c r="V6" s="16"/>
      <c r="W6" s="16"/>
      <c r="X6" s="16"/>
      <c r="Y6" s="16"/>
      <c r="Z6" s="16"/>
      <c r="AA6" s="16"/>
      <c r="AB6" s="16"/>
      <c r="AC6" s="16"/>
      <c r="AD6" s="16"/>
    </row>
    <row r="7" spans="1:59">
      <c r="A7" s="170" t="s">
        <v>413</v>
      </c>
      <c r="B7" s="59">
        <v>65</v>
      </c>
      <c r="C7" s="16"/>
      <c r="D7" s="573" t="s">
        <v>414</v>
      </c>
      <c r="E7" s="701"/>
      <c r="F7" s="701"/>
      <c r="G7" s="701"/>
      <c r="H7" s="701"/>
      <c r="I7" s="701"/>
      <c r="J7" s="16"/>
      <c r="K7" s="16"/>
      <c r="L7" s="16"/>
      <c r="M7" s="16"/>
      <c r="N7" s="16"/>
      <c r="O7" s="16"/>
      <c r="P7" s="16"/>
      <c r="Q7" s="16"/>
      <c r="R7" s="16"/>
      <c r="S7" s="16"/>
      <c r="T7" s="16"/>
      <c r="U7" s="16"/>
      <c r="V7" s="16"/>
      <c r="W7" s="16"/>
      <c r="X7" s="16"/>
      <c r="Y7" s="16"/>
      <c r="Z7" s="16"/>
      <c r="AA7" s="16"/>
      <c r="AB7" s="16"/>
      <c r="AC7" s="16"/>
      <c r="AD7" s="16"/>
    </row>
    <row r="8" spans="1:59" ht="14.25" customHeight="1">
      <c r="A8" s="171" t="s">
        <v>415</v>
      </c>
      <c r="B8" s="172">
        <f ca="1">M21-M17</f>
        <v>6043.6143186434256</v>
      </c>
      <c r="C8" s="16" t="s">
        <v>416</v>
      </c>
      <c r="D8" s="574" t="s">
        <v>417</v>
      </c>
      <c r="E8" s="704"/>
      <c r="F8" s="704"/>
      <c r="G8" s="704"/>
      <c r="H8" s="704"/>
      <c r="I8" s="704"/>
      <c r="J8" s="16"/>
      <c r="K8" s="16"/>
      <c r="L8" s="16"/>
      <c r="M8" s="16"/>
      <c r="N8" s="16"/>
      <c r="O8" s="16"/>
      <c r="P8" s="16"/>
      <c r="Q8" s="16"/>
      <c r="R8" s="16"/>
      <c r="S8" s="16"/>
      <c r="T8" s="16"/>
      <c r="U8" s="16"/>
      <c r="V8" s="16"/>
      <c r="W8" s="16"/>
      <c r="X8" s="16"/>
      <c r="Y8" s="16"/>
      <c r="Z8" s="16"/>
      <c r="AA8" s="16"/>
      <c r="AB8" s="16"/>
      <c r="AC8" s="16"/>
    </row>
    <row r="9" spans="1:59">
      <c r="A9" s="65" t="s">
        <v>418</v>
      </c>
      <c r="B9" s="173" t="s">
        <v>419</v>
      </c>
      <c r="C9" s="16"/>
      <c r="D9" s="16"/>
      <c r="E9" s="17"/>
      <c r="F9" s="17"/>
      <c r="G9" s="17"/>
      <c r="H9" s="17"/>
      <c r="I9" s="17"/>
      <c r="J9" s="17"/>
      <c r="K9" s="17"/>
      <c r="L9" s="17"/>
      <c r="M9" s="17"/>
      <c r="N9" s="17"/>
      <c r="O9" s="17"/>
      <c r="P9" s="17"/>
      <c r="Q9" s="16"/>
      <c r="R9" s="17"/>
      <c r="S9" s="17"/>
      <c r="T9" s="17"/>
      <c r="U9" s="17"/>
      <c r="V9" s="17"/>
      <c r="W9" s="17"/>
      <c r="X9" s="17"/>
      <c r="Y9" s="17"/>
      <c r="Z9" s="17"/>
      <c r="AA9" s="17"/>
      <c r="AB9" s="17"/>
      <c r="AC9" s="17"/>
      <c r="AD9" s="18" t="s">
        <v>242</v>
      </c>
    </row>
    <row r="10" spans="1:59">
      <c r="A10" s="174" t="s">
        <v>420</v>
      </c>
      <c r="B10" s="66">
        <f>COUNTA(A39:A42)</f>
        <v>2</v>
      </c>
      <c r="C10" s="16"/>
      <c r="D10" s="16"/>
      <c r="E10" s="17"/>
      <c r="F10" s="17"/>
      <c r="G10" s="17"/>
      <c r="H10" s="17"/>
      <c r="I10" s="17"/>
      <c r="J10" s="17"/>
      <c r="K10" s="17"/>
      <c r="L10" s="17"/>
      <c r="M10" s="17"/>
      <c r="N10" s="17"/>
      <c r="O10" s="17"/>
      <c r="P10" s="17"/>
      <c r="Q10" s="16"/>
      <c r="R10" s="17"/>
      <c r="S10" s="17"/>
      <c r="T10" s="17"/>
      <c r="U10" s="17"/>
      <c r="V10" s="17"/>
      <c r="W10" s="17"/>
      <c r="X10" s="17"/>
      <c r="Y10" s="17"/>
      <c r="Z10" s="17"/>
      <c r="AA10" s="17"/>
      <c r="AB10" s="17"/>
      <c r="AC10" s="17"/>
      <c r="AD10" s="18"/>
    </row>
    <row r="11" spans="1:59">
      <c r="A11" s="171" t="s">
        <v>421</v>
      </c>
      <c r="B11" s="238">
        <f>SUM(B39:B42)</f>
        <v>29</v>
      </c>
      <c r="C11" s="16"/>
      <c r="D11" s="16"/>
      <c r="E11" s="17"/>
      <c r="F11" s="17"/>
      <c r="G11" s="17"/>
      <c r="H11" s="17"/>
      <c r="I11" s="17"/>
      <c r="J11" s="17"/>
      <c r="K11" s="17"/>
      <c r="L11" s="17"/>
      <c r="M11" s="17"/>
      <c r="N11" s="17"/>
      <c r="O11" s="17"/>
      <c r="P11" s="17"/>
      <c r="Q11" s="16"/>
      <c r="R11" s="17"/>
      <c r="S11" s="17"/>
      <c r="T11" s="17"/>
      <c r="U11" s="17"/>
      <c r="V11" s="17"/>
      <c r="W11" s="17"/>
      <c r="X11" s="17"/>
      <c r="Y11" s="17"/>
      <c r="Z11" s="17"/>
      <c r="AA11" s="17"/>
      <c r="AB11" s="17"/>
      <c r="AC11" s="17"/>
      <c r="AD11" s="18"/>
    </row>
    <row r="12" spans="1:59">
      <c r="A12" s="239" t="s">
        <v>422</v>
      </c>
      <c r="B12" s="240" t="s">
        <v>317</v>
      </c>
      <c r="C12" s="16"/>
      <c r="D12" s="16"/>
      <c r="E12" s="17"/>
      <c r="F12" s="17"/>
      <c r="G12" s="17"/>
      <c r="H12" s="17"/>
      <c r="I12" s="17"/>
      <c r="J12" s="17"/>
      <c r="K12" s="17"/>
      <c r="L12" s="17"/>
      <c r="M12" s="17"/>
      <c r="N12" s="17"/>
      <c r="O12" s="17"/>
      <c r="P12" s="17"/>
      <c r="Q12" s="16"/>
      <c r="R12" s="17"/>
      <c r="S12" s="17"/>
      <c r="T12" s="17"/>
      <c r="U12" s="17"/>
      <c r="V12" s="17"/>
      <c r="W12" s="17"/>
      <c r="X12" s="17"/>
      <c r="Y12" s="17"/>
      <c r="Z12" s="17"/>
      <c r="AA12" s="17"/>
      <c r="AB12" s="17"/>
      <c r="AC12" s="17"/>
      <c r="AD12" s="18"/>
    </row>
    <row r="13" spans="1:59">
      <c r="A13" s="16"/>
      <c r="B13" s="16"/>
      <c r="C13" s="16"/>
      <c r="D13" s="16"/>
      <c r="E13" s="17"/>
      <c r="F13" s="17"/>
      <c r="G13" s="17"/>
      <c r="H13" s="17"/>
      <c r="I13" s="17"/>
      <c r="J13" s="17"/>
      <c r="K13" s="17"/>
      <c r="L13" s="17"/>
      <c r="M13" s="17"/>
      <c r="N13" s="17"/>
      <c r="O13" s="17"/>
      <c r="P13" s="17"/>
      <c r="Q13" s="16"/>
      <c r="R13" s="17"/>
      <c r="S13" s="17"/>
      <c r="T13" s="17"/>
      <c r="U13" s="17"/>
      <c r="V13" s="17"/>
      <c r="W13" s="17"/>
      <c r="X13" s="17"/>
      <c r="Y13" s="17"/>
      <c r="Z13" s="17"/>
      <c r="AA13" s="17"/>
      <c r="AB13" s="17"/>
      <c r="AC13" s="17"/>
      <c r="AD13" s="17" t="str" cm="1">
        <f t="array" ref="AD13:BF14">Constants!A2:AC3</f>
        <v>SC1</v>
      </c>
      <c r="AE13" s="17" t="str">
        <v>SC1 - Half</v>
      </c>
      <c r="AF13" s="17" t="str">
        <v>SC2</v>
      </c>
      <c r="AG13" s="17" t="str">
        <v>SC2 - Half</v>
      </c>
      <c r="AH13" s="17" t="str">
        <v>SC3</v>
      </c>
      <c r="AI13" s="17" t="str">
        <v>SC4</v>
      </c>
      <c r="AJ13" s="17" t="str">
        <v>SC5</v>
      </c>
      <c r="AK13" s="17" t="str">
        <v>SC6</v>
      </c>
      <c r="AL13" s="17" t="str">
        <v>Dojo</v>
      </c>
      <c r="AM13" s="17" t="str">
        <v>Boulder Wall</v>
      </c>
      <c r="AN13" s="17" t="str">
        <v>Climbing Wall</v>
      </c>
      <c r="AO13" s="17" t="str">
        <v>Artificial Hockey field</v>
      </c>
      <c r="AP13" s="17" t="str">
        <v>Artificial Hockey field - Half</v>
      </c>
      <c r="AQ13" s="17" t="str">
        <v>Artificial Soccer field</v>
      </c>
      <c r="AR13" s="17" t="str">
        <v>Artificial Soccer field - Half</v>
      </c>
      <c r="AS13" s="17" t="str">
        <v>Basketball</v>
      </c>
      <c r="AT13" s="17" t="str">
        <v>Bastille field</v>
      </c>
      <c r="AU13" s="17" t="str">
        <v>Beach fields</v>
      </c>
      <c r="AV13" s="17" t="str">
        <v>Shooting range</v>
      </c>
      <c r="AW13" s="17" t="str">
        <v>Multi/Lacrosse field</v>
      </c>
      <c r="AX13" s="17" t="str">
        <v>Multi/Lacrosse field - Half</v>
      </c>
      <c r="AY13" s="17" t="str">
        <v>Bootcamp field</v>
      </c>
      <c r="AZ13" s="17" t="str">
        <v>Multi/Baseball field</v>
      </c>
      <c r="BA13" s="17" t="str">
        <v>Tennis court</v>
      </c>
      <c r="BB13" s="17" t="str">
        <v>Utrack</v>
      </c>
      <c r="BC13" s="22" t="str">
        <v>Verreveld</v>
      </c>
      <c r="BD13" s="22" t="str">
        <v>Wsc</v>
      </c>
      <c r="BE13" s="22" t="str">
        <v>Indoor pool</v>
      </c>
      <c r="BF13" s="22" t="str">
        <v>Outdoor pool</v>
      </c>
      <c r="BG13" s="22"/>
    </row>
    <row r="14" spans="1:59" ht="15.95" thickBot="1">
      <c r="A14" s="175" t="s">
        <v>423</v>
      </c>
      <c r="B14" s="16"/>
      <c r="C14" s="16"/>
      <c r="D14" s="16"/>
      <c r="E14" s="16"/>
      <c r="F14" s="16"/>
      <c r="G14" s="175" t="s">
        <v>424</v>
      </c>
      <c r="I14" s="17"/>
      <c r="J14" s="17"/>
      <c r="K14" s="176" t="s">
        <v>425</v>
      </c>
      <c r="L14" s="17"/>
      <c r="M14" s="176" t="s">
        <v>426</v>
      </c>
      <c r="N14" s="17"/>
      <c r="O14" s="17"/>
      <c r="P14" s="17"/>
      <c r="Q14" s="17"/>
      <c r="R14" s="17"/>
      <c r="S14" s="16"/>
      <c r="T14" s="17"/>
      <c r="U14" s="17"/>
      <c r="V14" s="17"/>
      <c r="W14" s="17"/>
      <c r="X14" s="17"/>
      <c r="Y14" s="17"/>
      <c r="Z14" s="17"/>
      <c r="AA14" s="17"/>
      <c r="AB14" s="17"/>
      <c r="AC14" s="17"/>
      <c r="AD14" s="19">
        <v>67.5</v>
      </c>
      <c r="AE14" s="19">
        <v>35</v>
      </c>
      <c r="AF14" s="19">
        <v>67.5</v>
      </c>
      <c r="AG14" s="19">
        <v>35</v>
      </c>
      <c r="AH14" s="19">
        <v>40</v>
      </c>
      <c r="AI14" s="19">
        <v>40</v>
      </c>
      <c r="AJ14" s="19">
        <v>35</v>
      </c>
      <c r="AK14" s="19">
        <v>35</v>
      </c>
      <c r="AL14" s="19">
        <v>40</v>
      </c>
      <c r="AM14" s="19">
        <v>27.5</v>
      </c>
      <c r="AN14" s="19">
        <v>45</v>
      </c>
      <c r="AO14" s="19">
        <v>75</v>
      </c>
      <c r="AP14" s="19">
        <v>40</v>
      </c>
      <c r="AQ14" s="19">
        <v>75</v>
      </c>
      <c r="AR14" s="19">
        <v>40</v>
      </c>
      <c r="AS14" s="19">
        <v>30</v>
      </c>
      <c r="AT14" s="19">
        <v>50</v>
      </c>
      <c r="AU14" s="19">
        <v>75</v>
      </c>
      <c r="AV14" s="19">
        <v>40</v>
      </c>
      <c r="AW14" s="19">
        <v>75</v>
      </c>
      <c r="AX14" s="19">
        <v>40</v>
      </c>
      <c r="AY14" s="19">
        <v>50</v>
      </c>
      <c r="AZ14" s="19">
        <v>65</v>
      </c>
      <c r="BA14" s="19">
        <v>35</v>
      </c>
      <c r="BB14" s="19">
        <v>45</v>
      </c>
      <c r="BC14" s="19">
        <v>50</v>
      </c>
      <c r="BD14" s="19">
        <v>0</v>
      </c>
      <c r="BE14" s="19">
        <v>65</v>
      </c>
      <c r="BF14" s="20">
        <v>70</v>
      </c>
      <c r="BG14" s="20"/>
    </row>
    <row r="15" spans="1:59" ht="15.95" thickTop="1">
      <c r="A15" s="67"/>
      <c r="B15" s="68" t="str">
        <f>Constants!H6</f>
        <v>Performance training</v>
      </c>
      <c r="C15" s="68" t="str">
        <f>Constants!H7</f>
        <v>Performance coaching</v>
      </c>
      <c r="D15" s="68" t="str">
        <f>Constants!H8</f>
        <v>Dangerous</v>
      </c>
      <c r="E15" s="69" t="str">
        <f>Constants!H9</f>
        <v>Recreational</v>
      </c>
      <c r="F15" s="69" t="s">
        <v>290</v>
      </c>
      <c r="G15" s="70"/>
      <c r="H15" s="71" t="s">
        <v>427</v>
      </c>
      <c r="I15" s="72" t="s">
        <v>272</v>
      </c>
      <c r="J15" s="70" t="s">
        <v>5</v>
      </c>
      <c r="K15" s="72" t="s">
        <v>428</v>
      </c>
      <c r="L15" s="70" t="s">
        <v>429</v>
      </c>
      <c r="M15" s="73" cm="1">
        <f t="array" ref="M15">(SUM(IF($D$46:$D$50="PT",($F$46:$F$50)/1.5+IF($G$46:$G$50="yes",1)))+SUM(IF($D$46:$D$50="Extern",($F$46:$F$50)/1.5+IF($G$46:$G$50="yes",1)))+SUM(IF($D$46:$D$50="PT-ZZP",($F$46:$F$50)/1.5+IF($G$46:$G$50="yes",1))))*Constants!B10</f>
        <v>1833.3333333333335</v>
      </c>
      <c r="N15" s="17"/>
      <c r="O15" s="17"/>
      <c r="P15" s="17"/>
      <c r="Q15" s="17"/>
      <c r="R15" s="16"/>
      <c r="S15" s="17"/>
      <c r="T15" s="17"/>
      <c r="U15" s="17"/>
      <c r="V15" s="17"/>
      <c r="W15" s="17"/>
      <c r="X15" s="17"/>
      <c r="Y15" s="17"/>
      <c r="Z15" s="17"/>
      <c r="AA15" s="17"/>
      <c r="AB15" s="17"/>
      <c r="AC15" s="17"/>
      <c r="AD15" s="16">
        <f t="shared" ref="AD15:BF15" si="0">SUMIF($B$71:$B$88,AD13,$F$71:$F$88)</f>
        <v>0</v>
      </c>
      <c r="AE15" s="16">
        <f t="shared" si="0"/>
        <v>0</v>
      </c>
      <c r="AF15" s="16">
        <f t="shared" si="0"/>
        <v>0</v>
      </c>
      <c r="AG15" s="16">
        <f t="shared" si="0"/>
        <v>0</v>
      </c>
      <c r="AH15" s="16">
        <f t="shared" si="0"/>
        <v>0</v>
      </c>
      <c r="AI15" s="16">
        <f t="shared" si="0"/>
        <v>388.5</v>
      </c>
      <c r="AJ15" s="16">
        <f t="shared" si="0"/>
        <v>0</v>
      </c>
      <c r="AK15" s="16">
        <f t="shared" si="0"/>
        <v>0</v>
      </c>
      <c r="AL15" s="16">
        <f t="shared" si="0"/>
        <v>0</v>
      </c>
      <c r="AM15" s="16">
        <f t="shared" si="0"/>
        <v>0</v>
      </c>
      <c r="AN15" s="16">
        <f t="shared" si="0"/>
        <v>0</v>
      </c>
      <c r="AO15" s="16">
        <f t="shared" si="0"/>
        <v>0</v>
      </c>
      <c r="AP15" s="16">
        <f t="shared" si="0"/>
        <v>0</v>
      </c>
      <c r="AQ15" s="16">
        <f t="shared" si="0"/>
        <v>0</v>
      </c>
      <c r="AR15" s="16">
        <f t="shared" si="0"/>
        <v>0</v>
      </c>
      <c r="AS15" s="16">
        <f t="shared" si="0"/>
        <v>0</v>
      </c>
      <c r="AT15" s="16">
        <f t="shared" si="0"/>
        <v>0</v>
      </c>
      <c r="AU15" s="16">
        <f t="shared" si="0"/>
        <v>0</v>
      </c>
      <c r="AV15" s="16">
        <f t="shared" si="0"/>
        <v>0</v>
      </c>
      <c r="AW15" s="16">
        <f t="shared" si="0"/>
        <v>0</v>
      </c>
      <c r="AX15" s="16">
        <f t="shared" si="0"/>
        <v>0</v>
      </c>
      <c r="AY15" s="16">
        <f t="shared" si="0"/>
        <v>0</v>
      </c>
      <c r="AZ15" s="16">
        <f t="shared" si="0"/>
        <v>0</v>
      </c>
      <c r="BA15" s="16">
        <f t="shared" si="0"/>
        <v>0</v>
      </c>
      <c r="BB15" s="16">
        <f t="shared" si="0"/>
        <v>0</v>
      </c>
      <c r="BC15" s="16">
        <f t="shared" si="0"/>
        <v>0</v>
      </c>
      <c r="BD15" s="16">
        <f t="shared" si="0"/>
        <v>0</v>
      </c>
      <c r="BE15" s="16">
        <f t="shared" si="0"/>
        <v>0</v>
      </c>
      <c r="BF15" s="16">
        <f t="shared" si="0"/>
        <v>0</v>
      </c>
    </row>
    <row r="16" spans="1:59">
      <c r="A16" s="74" t="str">
        <f>Constants!E6</f>
        <v>PT</v>
      </c>
      <c r="B16" s="16">
        <f>SUMIFS('Linea Recta'!$F$55:$F$67,'Linea Recta'!$B$55:$B$67, B$15,'Linea Recta'!$H$55:$H$67,$A16)*(1+Constants!$B$7)</f>
        <v>0</v>
      </c>
      <c r="C16" s="16">
        <f>SUMIFS('Linea Recta'!$F$55:$F$67,'Linea Recta'!$B$55:$B$67, C$15,'Linea Recta'!$H$55:$H$67,$A16)</f>
        <v>0</v>
      </c>
      <c r="D16" s="16">
        <f>SUMIFS('Linea Recta'!$F$55:$F$67,'Linea Recta'!$B$55:$B$67, D$15,'Linea Recta'!$H$55:$H$67,$A16)*(1+Constants!$B$7)</f>
        <v>277.2</v>
      </c>
      <c r="E16" s="16">
        <f>SUMIFS('Linea Recta'!$F$55:$F$67,'Linea Recta'!$B$55:$B$67, E$15,'Linea Recta'!$H$55:$H$67,$A16)*(1+Constants!$B$7)</f>
        <v>0</v>
      </c>
      <c r="F16" s="16">
        <f>SUMIFS('Linea Recta'!$F$55:$F$67,'Linea Recta'!$B$55:$B$67, F$15,'Linea Recta'!$H$55:$H$67,$A16)*(1+Constants!$B$7)</f>
        <v>0</v>
      </c>
      <c r="G16" s="74" t="s">
        <v>430</v>
      </c>
      <c r="H16" s="16">
        <f>SUMIF('Linea Recta'!$B$71:$B$89,"&lt;&gt;External",'Linea Recta'!$F$71:$F$89)</f>
        <v>388.5</v>
      </c>
      <c r="I16" s="75">
        <f>SUMIF('Linea Recta'!$B$71:$B$89,"External",'Linea Recta'!$F$71:$F$89)</f>
        <v>15</v>
      </c>
      <c r="J16" s="234">
        <f>SUM($F$92:$F$105)</f>
        <v>155</v>
      </c>
      <c r="K16" s="76">
        <f>IF(OR(ISBLANK(B7),ISBLANK(B9)), "ERROR",MAX(MIN(J16,B7*Constants!B15)-Constants!B14*B7,0)*IF(B9="yes",Constants!B16,IF(B9="no",Constants!B17,0)))</f>
        <v>0</v>
      </c>
      <c r="L16" s="77" t="s">
        <v>360</v>
      </c>
      <c r="M16" s="76">
        <f>E16*Constants!B6+E17*Constants!B8+E22+E21</f>
        <v>0</v>
      </c>
      <c r="N16" s="17"/>
      <c r="O16" s="17"/>
      <c r="P16" s="17"/>
      <c r="Q16" s="17"/>
      <c r="R16" s="16"/>
      <c r="S16" s="17"/>
      <c r="T16" s="17"/>
      <c r="U16" s="17"/>
      <c r="V16" s="17"/>
      <c r="W16" s="17"/>
      <c r="X16" s="17"/>
      <c r="Y16" s="17"/>
      <c r="Z16" s="17"/>
      <c r="AA16" s="17"/>
      <c r="AB16" s="17"/>
      <c r="AC16" s="17"/>
      <c r="AD16" s="19">
        <f t="shared" ref="AD16:BF16" si="1">AD14*AD15</f>
        <v>0</v>
      </c>
      <c r="AE16" s="19">
        <f t="shared" si="1"/>
        <v>0</v>
      </c>
      <c r="AF16" s="19">
        <f t="shared" si="1"/>
        <v>0</v>
      </c>
      <c r="AG16" s="19">
        <f t="shared" si="1"/>
        <v>0</v>
      </c>
      <c r="AH16" s="19">
        <f t="shared" si="1"/>
        <v>0</v>
      </c>
      <c r="AI16" s="19">
        <f t="shared" si="1"/>
        <v>15540</v>
      </c>
      <c r="AJ16" s="19">
        <f t="shared" si="1"/>
        <v>0</v>
      </c>
      <c r="AK16" s="19">
        <f t="shared" si="1"/>
        <v>0</v>
      </c>
      <c r="AL16" s="19">
        <f t="shared" si="1"/>
        <v>0</v>
      </c>
      <c r="AM16" s="19">
        <f t="shared" si="1"/>
        <v>0</v>
      </c>
      <c r="AN16" s="19">
        <f t="shared" si="1"/>
        <v>0</v>
      </c>
      <c r="AO16" s="19">
        <f t="shared" si="1"/>
        <v>0</v>
      </c>
      <c r="AP16" s="19">
        <f t="shared" si="1"/>
        <v>0</v>
      </c>
      <c r="AQ16" s="19">
        <f t="shared" si="1"/>
        <v>0</v>
      </c>
      <c r="AR16" s="19">
        <f t="shared" si="1"/>
        <v>0</v>
      </c>
      <c r="AS16" s="19">
        <f t="shared" si="1"/>
        <v>0</v>
      </c>
      <c r="AT16" s="19">
        <f t="shared" si="1"/>
        <v>0</v>
      </c>
      <c r="AU16" s="19">
        <f t="shared" si="1"/>
        <v>0</v>
      </c>
      <c r="AV16" s="19">
        <f t="shared" si="1"/>
        <v>0</v>
      </c>
      <c r="AW16" s="19">
        <f t="shared" si="1"/>
        <v>0</v>
      </c>
      <c r="AX16" s="19">
        <f t="shared" si="1"/>
        <v>0</v>
      </c>
      <c r="AY16" s="19">
        <f t="shared" si="1"/>
        <v>0</v>
      </c>
      <c r="AZ16" s="19">
        <f t="shared" si="1"/>
        <v>0</v>
      </c>
      <c r="BA16" s="19">
        <f t="shared" si="1"/>
        <v>0</v>
      </c>
      <c r="BB16" s="19">
        <f t="shared" si="1"/>
        <v>0</v>
      </c>
      <c r="BC16" s="19">
        <f t="shared" si="1"/>
        <v>0</v>
      </c>
      <c r="BD16" s="19">
        <f t="shared" si="1"/>
        <v>0</v>
      </c>
      <c r="BE16" s="19">
        <f t="shared" si="1"/>
        <v>0</v>
      </c>
      <c r="BF16" s="19">
        <f t="shared" si="1"/>
        <v>0</v>
      </c>
    </row>
    <row r="17" spans="1:36">
      <c r="A17" s="74" t="str">
        <f>Constants!E7</f>
        <v>PT-V</v>
      </c>
      <c r="B17" s="16">
        <f>SUMIFS('Linea Recta'!$F$55:$F$67,'Linea Recta'!$B$55:$B$67, B$15,'Linea Recta'!$H$55:$H$67,$A17)*(1+Constants!$B$9)</f>
        <v>0</v>
      </c>
      <c r="C17" s="16">
        <f>SUMIFS('Linea Recta'!$F$55:$F$67,'Linea Recta'!$B$55:$B$67, C$15,'Linea Recta'!$H$55:$H$67,$A17)</f>
        <v>0</v>
      </c>
      <c r="D17" s="16">
        <f>SUMIFS('Linea Recta'!$F$55:$F$67,'Linea Recta'!$B$55:$B$67, D$15,'Linea Recta'!$H$55:$H$67,$A17)*(1+Constants!$B$9)</f>
        <v>0</v>
      </c>
      <c r="E17" s="16">
        <f>SUMIFS('Linea Recta'!$F$55:$F$67,'Linea Recta'!$B$55:$B$67, E$15,'Linea Recta'!$H$55:$H$67,$A17)*(1+Constants!$B$9)</f>
        <v>0</v>
      </c>
      <c r="F17" s="16">
        <f>SUMIFS('Linea Recta'!$F$55:$F$67,'Linea Recta'!$B$55:$B$67, F$15,'Linea Recta'!$H$55:$H$67,$A17)</f>
        <v>0</v>
      </c>
      <c r="G17" s="74" t="s">
        <v>38</v>
      </c>
      <c r="H17" s="78">
        <f>SUM(AD16:BZ16)</f>
        <v>15540</v>
      </c>
      <c r="I17" s="76" cm="1">
        <f t="array" ref="I17">SUM(IF($B$71:$B$87="External",$F$71:$F$87*$H$71:$H$87,0))</f>
        <v>207.75</v>
      </c>
      <c r="J17" s="79"/>
      <c r="K17" s="80"/>
      <c r="L17" s="77" t="s">
        <v>63</v>
      </c>
      <c r="M17" s="76">
        <f>J16-K16</f>
        <v>155</v>
      </c>
      <c r="N17" s="17"/>
      <c r="O17" s="17"/>
      <c r="P17" s="17"/>
      <c r="Q17" s="17"/>
      <c r="R17" s="16"/>
      <c r="S17" s="17"/>
      <c r="T17" s="17"/>
      <c r="U17" s="17"/>
      <c r="V17" s="17"/>
      <c r="W17" s="17"/>
      <c r="X17" s="17"/>
      <c r="Y17" s="17"/>
      <c r="Z17" s="17"/>
      <c r="AA17" s="17"/>
      <c r="AB17" s="17"/>
      <c r="AC17" s="17"/>
      <c r="AD17" s="17"/>
      <c r="AE17" s="17"/>
    </row>
    <row r="18" spans="1:36">
      <c r="A18" s="74" t="str">
        <f>Constants!E8</f>
        <v>PT-ZZP</v>
      </c>
      <c r="B18" s="16">
        <f>SUMIFS('Linea Recta'!$F$55:$F$67,'Linea Recta'!$B$55:$B$67, B$15,'Linea Recta'!$H$55:$H$67,$A18)*(1+Constants!$B$7)</f>
        <v>0</v>
      </c>
      <c r="C18" s="16">
        <f>SUMIFS('Linea Recta'!$F$55:$F$67,'Linea Recta'!$B$55:$B$67, C$15,'Linea Recta'!$H$55:$H$67,$A18)</f>
        <v>0</v>
      </c>
      <c r="D18" s="16">
        <f>SUMIFS('Linea Recta'!$F$55:$F$67,'Linea Recta'!$B$55:$B$67, D$15,'Linea Recta'!$H$55:$H$67,$A18)*(1+Constants!$B$7)</f>
        <v>0</v>
      </c>
      <c r="E18" s="16">
        <f>SUMIFS('Linea Recta'!$F$55:$F$67,'Linea Recta'!$B$55:$B$67, E$15,'Linea Recta'!$H$55:$H$67,$A18)*(1+Constants!$B$7)</f>
        <v>0</v>
      </c>
      <c r="F18" s="16">
        <f>SUMIFS('Linea Recta'!$F$55:$F$67,'Linea Recta'!$B$55:$B$67, F$15,'Linea Recta'!$H$55:$H$67,$A18)*(1+Constants!$B$7)</f>
        <v>0</v>
      </c>
      <c r="G18" s="74"/>
      <c r="H18" s="78"/>
      <c r="I18" s="76"/>
      <c r="J18" s="79"/>
      <c r="K18" s="80"/>
      <c r="L18" s="77" t="s">
        <v>60</v>
      </c>
      <c r="M18" s="76" t="str">
        <f>IF(I17-Constants!I17*$B$7&gt;0,$I$17-Constants!I17*$B$7,"-")</f>
        <v>-</v>
      </c>
      <c r="N18" s="17"/>
      <c r="O18" s="17"/>
      <c r="P18" s="17"/>
      <c r="Q18" s="17"/>
      <c r="R18" s="16"/>
      <c r="S18" s="17"/>
      <c r="T18" s="17"/>
      <c r="U18" s="17"/>
      <c r="V18" s="17"/>
      <c r="W18" s="17"/>
      <c r="X18" s="17"/>
      <c r="Y18" s="17"/>
      <c r="Z18" s="17"/>
      <c r="AA18" s="17"/>
      <c r="AB18" s="17"/>
      <c r="AC18" s="17"/>
      <c r="AD18" s="17"/>
      <c r="AE18" s="17"/>
    </row>
    <row r="19" spans="1:36">
      <c r="A19" s="74" t="str">
        <f>Constants!E9</f>
        <v>RT</v>
      </c>
      <c r="B19" s="16">
        <f>SUMIFS('Linea Recta'!$F$55:$F$67,'Linea Recta'!$B$55:$B$67, B$15,'Linea Recta'!$H$55:$H$67,$A19)</f>
        <v>0</v>
      </c>
      <c r="C19" s="16">
        <f>SUMIFS('Linea Recta'!$F$55:$F$67,'Linea Recta'!$B$55:$B$67, C$15,'Linea Recta'!$H$55:$H$67,$A19)</f>
        <v>0</v>
      </c>
      <c r="D19" s="16">
        <f>SUMIFS('Linea Recta'!$F$55:$F$67,'Linea Recta'!$B$55:$B$67, D$15,'Linea Recta'!$H$55:$H$67,$A19)</f>
        <v>0</v>
      </c>
      <c r="E19" s="16">
        <f>SUMIFS('Linea Recta'!$F$55:$F$67,'Linea Recta'!$B$55:$B$67, E$15,'Linea Recta'!$H$55:$H$67,$A19)</f>
        <v>0</v>
      </c>
      <c r="F19" s="16">
        <f>SUMIFS('Linea Recta'!$F$55:$F$67,'Linea Recta'!$B$55:$B$67, F$15,'Linea Recta'!$H$55:$H$67,$A19)</f>
        <v>0</v>
      </c>
      <c r="G19" s="74" t="s">
        <v>396</v>
      </c>
      <c r="H19" s="78"/>
      <c r="I19" s="76">
        <f>IF(B7*Constants!I17&lt;I17,B7*Constants!I17,I17)</f>
        <v>207.75</v>
      </c>
      <c r="J19" s="79"/>
      <c r="K19" s="80"/>
      <c r="L19" s="77" t="s">
        <v>431</v>
      </c>
      <c r="M19" s="255">
        <f ca="1">Constants!C31*B7+Data!L20</f>
        <v>4210.2809853100925</v>
      </c>
      <c r="N19" s="17"/>
      <c r="O19" s="17"/>
      <c r="P19" s="17"/>
      <c r="Q19" s="17"/>
      <c r="R19" s="16"/>
      <c r="S19" s="17"/>
      <c r="T19" s="17"/>
      <c r="U19" s="17"/>
      <c r="V19" s="17"/>
      <c r="W19" s="17"/>
      <c r="X19" s="17"/>
      <c r="Y19" s="17"/>
      <c r="Z19" s="17"/>
      <c r="AA19" s="17"/>
      <c r="AB19" s="17"/>
      <c r="AC19" s="17"/>
      <c r="AD19" s="17"/>
      <c r="AE19" s="17"/>
    </row>
    <row r="20" spans="1:36">
      <c r="A20" s="74" t="str">
        <f>Constants!E10</f>
        <v>Extern</v>
      </c>
      <c r="B20" s="16">
        <f>SUMIFS('Linea Recta'!$F$55:$F$67,'Linea Recta'!$B$55:$B$67, B$15,'Linea Recta'!$H$55:$H$67,$A20)</f>
        <v>0</v>
      </c>
      <c r="C20" s="16">
        <f>SUMIFS('Linea Recta'!$F$55:$F$67,'Linea Recta'!$B$55:$B$67, C$15,'Linea Recta'!$H$55:$H$67,$A20)</f>
        <v>0</v>
      </c>
      <c r="D20" s="16">
        <f>SUMIFS('Linea Recta'!$F$55:$F$67,'Linea Recta'!$B$55:$B$67, D$15,'Linea Recta'!$H$55:$H$67,$A20)</f>
        <v>0</v>
      </c>
      <c r="E20" s="16">
        <f>SUMIFS('Linea Recta'!$F$55:$F$67,'Linea Recta'!$B$55:$B$67, E$15,'Linea Recta'!$H$55:$H$67,$A20)</f>
        <v>0</v>
      </c>
      <c r="F20" s="16">
        <f>SUMIFS('Linea Recta'!$F$55:$F$67,'Linea Recta'!$B$55:$B$67, F$15,'Linea Recta'!$H$55:$H$67,$A20)</f>
        <v>0</v>
      </c>
      <c r="G20" s="81"/>
      <c r="H20" s="16"/>
      <c r="I20" s="75"/>
      <c r="J20" s="79"/>
      <c r="K20" s="82"/>
      <c r="L20" s="83"/>
      <c r="M20" s="84"/>
      <c r="N20" s="17"/>
      <c r="O20" s="17"/>
      <c r="P20" s="17"/>
      <c r="Q20" s="17"/>
      <c r="R20" s="16"/>
      <c r="S20" s="17"/>
      <c r="T20" s="17"/>
      <c r="U20" s="17"/>
      <c r="V20" s="17"/>
      <c r="W20" s="17"/>
      <c r="X20" s="17"/>
      <c r="Y20" s="17"/>
      <c r="Z20" s="17"/>
      <c r="AA20" s="17"/>
      <c r="AB20" s="17"/>
      <c r="AC20" s="17"/>
      <c r="AD20" s="17"/>
      <c r="AE20" s="17"/>
    </row>
    <row r="21" spans="1:36">
      <c r="A21" s="74" t="str">
        <f>CONCATENATE(A18," Costs")</f>
        <v>PT-ZZP Costs</v>
      </c>
      <c r="B21" s="78">
        <f t="array" ref="B21">SUM(IF('Linea Recta'!$B$55:$B$67=B$15,IF('Linea Recta'!$H$55:$H$67="PT-ZZP",'Linea Recta'!$F$55:$F$67*'Linea Recta'!$I$55:$I$67*(1+Constants!$B$7),0),0))</f>
        <v>0</v>
      </c>
      <c r="C21" s="78">
        <f t="array" ref="C21">SUM(IF('Linea Recta'!$B$55:$B$67=C$15,IF('Linea Recta'!$H$55:$H$67="PT-ZZP",'Linea Recta'!$F$55:$F$67*'Linea Recta'!$I$55:$I$67,0),0))</f>
        <v>0</v>
      </c>
      <c r="D21" s="78">
        <f t="array" ref="D21">SUM(IF('Linea Recta'!$B$55:$B$67=D$15,IF('Linea Recta'!$H$55:$H$67="PT-ZZP",'Linea Recta'!$F$55:$F$67*'Linea Recta'!$I$55:$I$67*(1+Constants!$B$7),0),0))</f>
        <v>0</v>
      </c>
      <c r="E21" s="78">
        <f t="array" ref="E21">SUM(IF('Linea Recta'!$B$55:$B$67=E$15,IF('Linea Recta'!$H$55:$H$67="PT-ZZP",'Linea Recta'!$F$55:$F$67*'Linea Recta'!$I$55:$I$67*(1+Constants!$B$7),0),0))</f>
        <v>0</v>
      </c>
      <c r="F21" s="78">
        <f t="array" ref="F21">SUM(IF('Linea Recta'!$B$55:$B$67=F$15,IF('Linea Recta'!$H$55:$H$67="PT-ZZP",'Linea Recta'!$F$55:$F$67*'Linea Recta'!$I$55:$I$67*(1+Constants!$B$7),0),0))</f>
        <v>0</v>
      </c>
      <c r="G21" s="81"/>
      <c r="H21" s="16"/>
      <c r="I21" s="75"/>
      <c r="J21" s="79"/>
      <c r="K21" s="82"/>
      <c r="L21" s="77" t="s">
        <v>5</v>
      </c>
      <c r="M21" s="76">
        <f ca="1">SUM(M15:M20)</f>
        <v>6198.6143186434256</v>
      </c>
      <c r="N21" s="17"/>
      <c r="O21" s="17"/>
      <c r="P21" s="17"/>
      <c r="Q21" s="17"/>
      <c r="R21" s="16"/>
      <c r="S21" s="17"/>
      <c r="T21" s="17"/>
      <c r="U21" s="17"/>
      <c r="V21" s="17"/>
      <c r="W21" s="17"/>
      <c r="X21" s="17"/>
      <c r="Y21" s="17"/>
      <c r="Z21" s="17"/>
      <c r="AA21" s="17"/>
      <c r="AB21" s="17"/>
      <c r="AC21" s="17"/>
      <c r="AD21" s="17"/>
      <c r="AE21" s="17"/>
    </row>
    <row r="22" spans="1:36" ht="15.75" customHeight="1" thickBot="1">
      <c r="A22" s="74" t="str">
        <f>CONCATENATE(A20," Costs")</f>
        <v>Extern Costs</v>
      </c>
      <c r="B22" s="78">
        <f t="array" ref="B22">SUM(IF('Linea Recta'!$B$55:$B$67=B$15,IF('Linea Recta'!$H$55:$H$67="Extern",'Linea Recta'!$F$55:$F$67*'Linea Recta'!$I$55:$I$67,0),0))</f>
        <v>0</v>
      </c>
      <c r="C22" s="78">
        <f t="array" ref="C22">SUM(IF('Linea Recta'!$B$55:$B$67=C$15,IF('Linea Recta'!$H$55:$H$67="Extern",'Linea Recta'!$F$55:$F$67*'Linea Recta'!$I$55:$I$67,0),0))</f>
        <v>0</v>
      </c>
      <c r="D22" s="78">
        <f t="array" ref="D22">SUM(IF('Linea Recta'!$B$55:$B$67=D$15,IF('Linea Recta'!$H$55:$H$67="Extern",'Linea Recta'!$F$55:$F$67*'Linea Recta'!$I$55:$I$67,0),0))</f>
        <v>0</v>
      </c>
      <c r="E22" s="78">
        <f t="array" ref="E22">SUM(IF('Linea Recta'!$B$55:$B$67=E$15,IF('Linea Recta'!$H$55:$H$67="Extern",'Linea Recta'!$F$55:$F$67*'Linea Recta'!$I$55:$I$67,0),0))</f>
        <v>0</v>
      </c>
      <c r="F22" s="76">
        <f t="array" ref="F22">SUM(IF('Linea Recta'!$B$55:$B$67=F$15,IF('Linea Recta'!$H$55:$H$67="Extern",'Linea Recta'!$F$55:$F$67*'Linea Recta'!$I$55:$I$67,0),0))</f>
        <v>0</v>
      </c>
      <c r="G22" s="85"/>
      <c r="H22" s="177"/>
      <c r="I22" s="86"/>
      <c r="J22" s="87"/>
      <c r="K22" s="88"/>
      <c r="L22" s="87"/>
      <c r="M22" s="88"/>
      <c r="N22" s="17"/>
      <c r="O22" s="17"/>
      <c r="P22" s="17"/>
      <c r="Q22" s="17"/>
      <c r="R22" s="16"/>
      <c r="S22" s="17"/>
      <c r="T22" s="17"/>
      <c r="U22" s="17"/>
      <c r="V22" s="17"/>
      <c r="W22" s="17"/>
      <c r="X22" s="17"/>
      <c r="Y22" s="17"/>
      <c r="Z22" s="17"/>
      <c r="AA22" s="17"/>
      <c r="AB22" s="17"/>
      <c r="AC22" s="17"/>
      <c r="AD22" s="17"/>
      <c r="AE22" s="17"/>
    </row>
    <row r="23" spans="1:36" ht="15" customHeight="1" thickTop="1">
      <c r="A23" s="74" t="s">
        <v>432</v>
      </c>
      <c r="B23" s="78"/>
      <c r="C23" s="78"/>
      <c r="D23" s="78"/>
      <c r="E23" s="78"/>
      <c r="F23" s="76">
        <f t="array" ref="F23">SUMIFS('Linea Recta'!$F$55:$F$67,'Linea Recta'!$B$55:$B$67,"Mentorship",'Linea Recta'!$H$55:$H$67,"PT-V")*Constants!B8+SUMIFS('Linea Recta'!$F$55:$F$67,'Linea Recta'!$B$55:$B$67,"Mentorship",'Linea Recta'!$H$55:$H$67,"PT")*Constants!B6+SUMPRODUCT(IF('Linea Recta'!$B$55:$B$67="Mentorship",IF('Linea Recta'!$H$55:$H$67="PT-ZZP",'Linea Recta'!$F$55:$F$67*'Linea Recta'!$I$55:$I$67,0)))</f>
        <v>0</v>
      </c>
    </row>
    <row r="24" spans="1:36" ht="15" customHeight="1" thickBot="1">
      <c r="A24" s="89" t="s">
        <v>433</v>
      </c>
      <c r="B24" s="178"/>
      <c r="C24" s="178"/>
      <c r="D24" s="178"/>
      <c r="E24" s="178">
        <f>SUMIF('Linea Recta'!$B$55:$B$67,"External Trainer Course",'Linea Recta'!$I$55:$I$67)</f>
        <v>0</v>
      </c>
      <c r="F24" s="90"/>
    </row>
    <row r="25" spans="1:36" ht="15.75" customHeight="1" thickTop="1">
      <c r="A25" s="16"/>
      <c r="B25" s="16"/>
      <c r="C25" s="16"/>
      <c r="D25" s="16"/>
      <c r="E25" s="17"/>
      <c r="F25" s="17"/>
      <c r="G25" s="17"/>
      <c r="H25" s="17"/>
      <c r="I25" s="17"/>
      <c r="J25" s="17"/>
      <c r="K25" s="17"/>
      <c r="L25" s="17"/>
      <c r="M25" s="17"/>
      <c r="N25" s="17"/>
      <c r="O25" s="17"/>
      <c r="P25" s="17"/>
      <c r="Q25" s="16"/>
      <c r="R25" s="17"/>
      <c r="S25" s="17"/>
      <c r="T25" s="17"/>
      <c r="U25" s="17"/>
      <c r="V25" s="17"/>
      <c r="W25" s="17"/>
      <c r="X25" s="17"/>
      <c r="Y25" s="17"/>
      <c r="Z25" s="17"/>
      <c r="AA25" s="17"/>
      <c r="AB25" s="17"/>
      <c r="AC25" s="17"/>
      <c r="AD25" s="17"/>
    </row>
    <row r="26" spans="1:36" ht="15.75" customHeight="1">
      <c r="A26" s="16"/>
      <c r="B26" s="16"/>
      <c r="C26" s="16"/>
      <c r="D26" s="16"/>
      <c r="E26" s="17"/>
      <c r="F26" s="17"/>
      <c r="G26" s="17"/>
      <c r="H26" s="17"/>
      <c r="I26" s="17"/>
      <c r="J26" s="17"/>
      <c r="K26" s="17"/>
      <c r="L26" s="17"/>
      <c r="M26" s="17"/>
      <c r="N26" s="17"/>
      <c r="O26" s="17"/>
      <c r="P26" s="17"/>
      <c r="Q26" s="16"/>
      <c r="R26" s="17"/>
      <c r="S26" s="17"/>
      <c r="T26" s="17"/>
      <c r="U26" s="17"/>
      <c r="V26" s="17"/>
      <c r="W26" s="17"/>
      <c r="X26" s="17"/>
      <c r="Y26" s="17"/>
      <c r="Z26" s="17"/>
      <c r="AA26" s="17"/>
      <c r="AB26" s="17"/>
      <c r="AC26" s="17"/>
      <c r="AD26" s="17"/>
    </row>
    <row r="27" spans="1:36" ht="15.75" customHeight="1" thickBot="1">
      <c r="A27" s="91" t="s">
        <v>434</v>
      </c>
      <c r="B27" s="17"/>
      <c r="C27" s="17"/>
      <c r="D27" s="17"/>
      <c r="E27" s="17"/>
      <c r="F27" s="17"/>
      <c r="G27" s="92"/>
      <c r="H27" s="19"/>
      <c r="I27" s="17"/>
      <c r="J27" s="17"/>
      <c r="K27" s="17"/>
      <c r="L27" s="17"/>
      <c r="M27" s="17"/>
      <c r="N27" s="17"/>
      <c r="O27" s="17"/>
      <c r="P27" s="17"/>
      <c r="Q27" s="16"/>
      <c r="R27" s="17"/>
      <c r="S27" s="17"/>
      <c r="T27" s="17"/>
      <c r="U27" s="17"/>
      <c r="V27" s="17"/>
      <c r="W27" s="17"/>
      <c r="X27" s="17"/>
      <c r="Y27" s="17"/>
      <c r="Z27" s="17"/>
      <c r="AA27" s="17"/>
      <c r="AB27" s="17"/>
      <c r="AC27" s="17"/>
      <c r="AD27" s="17"/>
    </row>
    <row r="28" spans="1:36" ht="15.75" customHeight="1" thickTop="1" thickBot="1">
      <c r="A28" s="706" t="s">
        <v>435</v>
      </c>
      <c r="B28" s="707"/>
      <c r="C28" s="707"/>
      <c r="D28" s="707"/>
      <c r="E28" s="707"/>
      <c r="F28" s="708"/>
      <c r="G28" s="15"/>
      <c r="H28" s="17"/>
      <c r="I28" s="17"/>
      <c r="J28" s="17"/>
      <c r="K28" s="17"/>
      <c r="L28" s="17"/>
      <c r="M28" s="17"/>
      <c r="N28" s="17"/>
      <c r="O28" s="17"/>
      <c r="P28" s="17"/>
      <c r="Q28" s="16"/>
      <c r="R28" s="17"/>
      <c r="S28" s="17"/>
      <c r="T28" s="17"/>
      <c r="U28" s="17"/>
      <c r="V28" s="17"/>
      <c r="W28" s="17"/>
      <c r="X28" s="17"/>
      <c r="Y28" s="17"/>
      <c r="Z28" s="17"/>
      <c r="AA28" s="17"/>
      <c r="AB28" s="17"/>
      <c r="AC28" s="17"/>
      <c r="AD28" s="242" t="s">
        <v>436</v>
      </c>
      <c r="AE28" s="16"/>
      <c r="AF28" s="128"/>
      <c r="AG28" s="51"/>
      <c r="AH28" s="51"/>
      <c r="AI28" s="51"/>
      <c r="AJ28" s="51"/>
    </row>
    <row r="29" spans="1:36" ht="15.75" customHeight="1" thickBot="1">
      <c r="A29" s="709" t="s">
        <v>437</v>
      </c>
      <c r="B29" s="696"/>
      <c r="C29" s="696"/>
      <c r="D29" s="696"/>
      <c r="E29" s="696"/>
      <c r="F29" s="710"/>
      <c r="G29" s="17"/>
      <c r="H29" s="17"/>
      <c r="I29" s="17"/>
      <c r="J29" s="17"/>
      <c r="K29" s="17"/>
      <c r="L29" s="17"/>
      <c r="M29" s="17"/>
      <c r="N29" s="17"/>
      <c r="O29" s="17"/>
      <c r="P29" s="17"/>
      <c r="Q29" s="16"/>
      <c r="R29" s="17"/>
      <c r="S29" s="17"/>
      <c r="T29" s="17"/>
      <c r="U29" s="17"/>
      <c r="V29" s="17"/>
      <c r="W29" s="17"/>
      <c r="X29" s="17"/>
      <c r="Y29" s="17"/>
      <c r="Z29" s="17"/>
      <c r="AA29" s="17"/>
      <c r="AB29" s="17"/>
      <c r="AC29" s="17"/>
      <c r="AD29" s="243" t="s">
        <v>438</v>
      </c>
      <c r="AE29" s="243" t="s">
        <v>439</v>
      </c>
      <c r="AF29" s="243" t="s">
        <v>440</v>
      </c>
      <c r="AG29" s="711" t="s">
        <v>441</v>
      </c>
      <c r="AH29" s="712"/>
      <c r="AI29" s="711" t="s">
        <v>434</v>
      </c>
      <c r="AJ29" s="712"/>
    </row>
    <row r="30" spans="1:36" ht="15.75" customHeight="1" thickBot="1">
      <c r="A30" s="709" t="s">
        <v>442</v>
      </c>
      <c r="B30" s="696"/>
      <c r="C30" s="696"/>
      <c r="D30" s="696"/>
      <c r="E30" s="696"/>
      <c r="F30" s="710"/>
      <c r="G30" s="17"/>
      <c r="H30" s="17"/>
      <c r="I30" s="17"/>
      <c r="J30" s="17"/>
      <c r="K30" s="17"/>
      <c r="L30" s="17"/>
      <c r="M30" s="17"/>
      <c r="N30" s="17"/>
      <c r="O30" s="17"/>
      <c r="P30" s="17"/>
      <c r="Q30" s="16"/>
      <c r="R30" s="17"/>
      <c r="S30" s="17"/>
      <c r="T30" s="17"/>
      <c r="U30" s="17"/>
      <c r="V30" s="17"/>
      <c r="W30" s="17"/>
      <c r="X30" s="17"/>
      <c r="Y30" s="17"/>
      <c r="Z30" s="17"/>
      <c r="AA30" s="17"/>
      <c r="AB30" s="17"/>
      <c r="AC30" s="17"/>
      <c r="AD30" s="244" t="str">
        <f>IF($B$12="individual",Constants!F55,Constants!L55)</f>
        <v>member count</v>
      </c>
      <c r="AE30" s="244">
        <f>B7</f>
        <v>65</v>
      </c>
      <c r="AF30" s="269">
        <f>IF(AE30&gt;=301,5,IF(AE30&gt;=176,4,IF(AE30&gt;=101,3,IF(AE30&gt;=51,2,1))))</f>
        <v>2</v>
      </c>
      <c r="AG30" s="560"/>
      <c r="AH30" s="560"/>
      <c r="AI30" s="560" t="s">
        <v>443</v>
      </c>
      <c r="AJ30" s="560"/>
    </row>
    <row r="31" spans="1:36" ht="15" customHeight="1" thickBot="1">
      <c r="A31" s="709" t="s">
        <v>444</v>
      </c>
      <c r="B31" s="696"/>
      <c r="C31" s="696"/>
      <c r="D31" s="696"/>
      <c r="E31" s="696"/>
      <c r="F31" s="710"/>
      <c r="G31" s="17"/>
      <c r="H31" s="17"/>
      <c r="I31" s="17"/>
      <c r="J31" s="17"/>
      <c r="K31" s="17"/>
      <c r="L31" s="17"/>
      <c r="M31" s="17"/>
      <c r="N31" s="17"/>
      <c r="O31" s="17"/>
      <c r="P31" s="17"/>
      <c r="Q31" s="16"/>
      <c r="R31" s="17"/>
      <c r="S31" s="17"/>
      <c r="T31" s="17"/>
      <c r="U31" s="17"/>
      <c r="V31" s="17"/>
      <c r="W31" s="17"/>
      <c r="X31" s="17"/>
      <c r="Y31" s="17"/>
      <c r="Z31" s="17"/>
      <c r="AA31" s="17"/>
      <c r="AB31" s="17"/>
      <c r="AC31" s="17"/>
      <c r="AD31" s="244" t="str">
        <f>IF($B$12="individual",Constants!F56,Constants!L56)</f>
        <v>number of trainings per week</v>
      </c>
      <c r="AE31" s="244" cm="1">
        <f t="array" ref="AE31">SUMPRODUCT(C55:C67*D55:D67)/42</f>
        <v>3</v>
      </c>
      <c r="AF31" s="270">
        <f>IF(AE31&gt;=4,3,IF(AE31&gt;=3,2,IF(AE31&gt;=2,1,0)))</f>
        <v>2</v>
      </c>
      <c r="AG31" s="560"/>
      <c r="AH31" s="560"/>
      <c r="AI31" s="560"/>
      <c r="AJ31" s="560"/>
    </row>
    <row r="32" spans="1:36" ht="15.75" customHeight="1" thickBot="1">
      <c r="A32" s="709" t="s">
        <v>445</v>
      </c>
      <c r="B32" s="696"/>
      <c r="C32" s="696"/>
      <c r="D32" s="696"/>
      <c r="E32" s="696"/>
      <c r="F32" s="710"/>
      <c r="G32" s="17"/>
      <c r="H32" s="16"/>
      <c r="I32" s="16"/>
      <c r="J32" s="16"/>
      <c r="K32" s="17"/>
      <c r="L32" s="17"/>
      <c r="M32" s="17"/>
      <c r="N32" s="17"/>
      <c r="O32" s="17"/>
      <c r="P32" s="17"/>
      <c r="Q32" s="16"/>
      <c r="R32" s="17"/>
      <c r="S32" s="17"/>
      <c r="T32" s="17"/>
      <c r="U32" s="17"/>
      <c r="V32" s="17"/>
      <c r="W32" s="17"/>
      <c r="X32" s="17"/>
      <c r="Y32" s="17"/>
      <c r="Z32" s="17"/>
      <c r="AA32" s="17"/>
      <c r="AB32" s="17"/>
      <c r="AC32" s="17"/>
      <c r="AD32" s="244" t="str">
        <f>IF($B$12="individual",Constants!F57,Constants!L57)</f>
        <v>number of trainings weeks per year</v>
      </c>
      <c r="AE32" s="252">
        <f>MAX(C55:C67)</f>
        <v>42</v>
      </c>
      <c r="AF32" s="250">
        <f>IF(AE32&gt;=40,3,IF(AE32&gt;=35,2,1))</f>
        <v>3</v>
      </c>
      <c r="AG32" s="560"/>
      <c r="AH32" s="560"/>
      <c r="AI32" s="560"/>
      <c r="AJ32" s="560"/>
    </row>
    <row r="33" spans="1:58" ht="15.75" customHeight="1" thickBot="1">
      <c r="A33" s="93" t="s">
        <v>446</v>
      </c>
      <c r="F33" s="94"/>
      <c r="G33" s="17"/>
      <c r="H33" s="16"/>
      <c r="I33" s="16"/>
      <c r="J33" s="16"/>
      <c r="K33" s="17"/>
      <c r="L33" s="17"/>
      <c r="M33" s="17"/>
      <c r="N33" s="17"/>
      <c r="O33" s="17"/>
      <c r="P33" s="17"/>
      <c r="Q33" s="16"/>
      <c r="R33" s="17"/>
      <c r="S33" s="17"/>
      <c r="T33" s="17"/>
      <c r="U33" s="17"/>
      <c r="V33" s="17"/>
      <c r="W33" s="17"/>
      <c r="X33" s="17"/>
      <c r="Y33" s="17"/>
      <c r="Z33" s="17"/>
      <c r="AA33" s="17"/>
      <c r="AB33" s="17"/>
      <c r="AC33" s="17"/>
      <c r="AD33" s="244" t="str">
        <f>IF($B$12="individual",Constants!F58,Constants!L58)</f>
        <v>number of training hours by RT / PT-V</v>
      </c>
      <c r="AE33" s="251">
        <f>(SUMIF(H55:H67,"RT",F55:F67)+SUMIF(H55:H67,"PT-V",F55:F67))/SUM(F55:F67)</f>
        <v>0</v>
      </c>
      <c r="AF33" s="270">
        <f>IF(AE33&gt;0.9,3,IF(AE33&gt;0.6,2,IF(AE33&gt;0.3,1,0)))</f>
        <v>0</v>
      </c>
      <c r="AG33" s="560"/>
      <c r="AH33" s="560"/>
      <c r="AI33" s="560"/>
      <c r="AJ33" s="560"/>
    </row>
    <row r="34" spans="1:58" ht="15.75" customHeight="1" thickBot="1">
      <c r="A34" s="713" t="s">
        <v>447</v>
      </c>
      <c r="B34" s="714"/>
      <c r="C34" s="714"/>
      <c r="D34" s="714"/>
      <c r="E34" s="714"/>
      <c r="F34" s="715"/>
      <c r="G34" s="17"/>
      <c r="H34" s="16"/>
      <c r="I34" s="16"/>
      <c r="J34" s="16"/>
      <c r="K34" s="17"/>
      <c r="L34" s="17"/>
      <c r="M34" s="17"/>
      <c r="N34" s="17"/>
      <c r="O34" s="17"/>
      <c r="P34" s="17"/>
      <c r="Q34" s="16"/>
      <c r="R34" s="17"/>
      <c r="S34" s="17"/>
      <c r="T34" s="17"/>
      <c r="U34" s="17"/>
      <c r="V34" s="17"/>
      <c r="W34" s="17"/>
      <c r="X34" s="17"/>
      <c r="Y34" s="17"/>
      <c r="Z34" s="17"/>
      <c r="AA34" s="17"/>
      <c r="AB34" s="17"/>
      <c r="AC34" s="17"/>
      <c r="AD34" s="244" t="str">
        <f>IF($B$12="individual",Constants!F59,Constants!L59)</f>
        <v>number of training groups / teams</v>
      </c>
      <c r="AE34" s="244">
        <f>B10</f>
        <v>2</v>
      </c>
      <c r="AF34" s="271">
        <f>IF(AE34&gt;9,3,IF(AE34&gt;4,2,IF(AE34&gt;2,1,0)))</f>
        <v>0</v>
      </c>
      <c r="AG34" s="560"/>
      <c r="AH34" s="560"/>
      <c r="AI34" s="560"/>
      <c r="AJ34" s="560"/>
    </row>
    <row r="35" spans="1:58" ht="15.75" customHeight="1" thickTop="1" thickBot="1">
      <c r="A35" s="16"/>
      <c r="G35" s="17"/>
      <c r="H35" s="16"/>
      <c r="I35" s="16"/>
      <c r="J35" s="16"/>
      <c r="K35" s="17"/>
      <c r="L35" s="17"/>
      <c r="M35" s="17"/>
      <c r="N35" s="17"/>
      <c r="O35" s="17"/>
      <c r="P35" s="17"/>
      <c r="Q35" s="16"/>
      <c r="R35" s="17"/>
      <c r="S35" s="17"/>
      <c r="T35" s="17"/>
      <c r="U35" s="17"/>
      <c r="V35" s="17"/>
      <c r="W35" s="17"/>
      <c r="X35" s="17"/>
      <c r="Y35" s="17"/>
      <c r="Z35" s="17"/>
      <c r="AA35" s="17"/>
      <c r="AB35" s="17"/>
      <c r="AC35" s="17"/>
      <c r="AD35" s="244" t="str">
        <f>IF($B$12="individual",Constants!F60,Constants!L60)</f>
        <v>number of competitions organised</v>
      </c>
      <c r="AE35" s="249">
        <v>0</v>
      </c>
      <c r="AF35" s="271">
        <f>IF(AE35&gt;=4,5,IF(AE35&gt;=2,3,IF(AE35&gt;=1,1,0)))</f>
        <v>0</v>
      </c>
      <c r="AG35" s="560"/>
      <c r="AH35" s="560"/>
      <c r="AI35" s="560"/>
      <c r="AJ35" s="560"/>
    </row>
    <row r="36" spans="1:58" ht="15.75" customHeight="1" thickBot="1">
      <c r="A36" s="179" t="s">
        <v>448</v>
      </c>
      <c r="B36" s="16"/>
      <c r="C36" s="16"/>
      <c r="D36" s="16"/>
      <c r="E36" s="16"/>
      <c r="F36" s="16"/>
      <c r="G36" s="16"/>
      <c r="H36" s="16"/>
      <c r="I36" s="16"/>
      <c r="J36" s="16"/>
      <c r="K36" s="16"/>
      <c r="L36" s="16"/>
      <c r="M36" s="16"/>
      <c r="N36" s="16"/>
      <c r="O36" s="16"/>
      <c r="P36" s="16"/>
      <c r="Q36" s="16"/>
      <c r="R36" s="16"/>
      <c r="S36" s="16"/>
      <c r="T36" s="16"/>
      <c r="U36" s="16"/>
      <c r="V36" s="16"/>
      <c r="W36" s="16"/>
      <c r="X36" s="16"/>
      <c r="Y36" s="16"/>
      <c r="Z36" s="16"/>
      <c r="AA36" s="16"/>
      <c r="AB36" s="18"/>
      <c r="AC36" s="16"/>
      <c r="AD36" s="244" t="str">
        <f>IF($B$12="individual",Constants!F61,Constants!L61)</f>
        <v>number of social activities</v>
      </c>
      <c r="AE36" s="249">
        <v>16</v>
      </c>
      <c r="AF36" s="271">
        <f>IF(AE36&gt;=20,2,IF(AE36&gt;=10,1,0))</f>
        <v>1</v>
      </c>
      <c r="AG36" s="560"/>
      <c r="AH36" s="560"/>
      <c r="AI36" s="560"/>
      <c r="AJ36" s="560"/>
    </row>
    <row r="37" spans="1:58" ht="15" customHeight="1" thickTop="1" thickBot="1">
      <c r="A37" s="258" t="s">
        <v>449</v>
      </c>
      <c r="B37" s="259" t="s">
        <v>450</v>
      </c>
      <c r="C37" s="258" t="s">
        <v>451</v>
      </c>
      <c r="D37" s="258" t="s">
        <v>452</v>
      </c>
      <c r="E37" s="258" t="s">
        <v>453</v>
      </c>
      <c r="F37" s="258" t="s">
        <v>454</v>
      </c>
      <c r="G37" s="259" t="s">
        <v>455</v>
      </c>
      <c r="H37" s="561" t="s">
        <v>456</v>
      </c>
      <c r="I37" s="716"/>
      <c r="J37" s="717"/>
      <c r="K37" s="98"/>
      <c r="L37" s="98"/>
      <c r="M37" s="98"/>
      <c r="N37" s="98"/>
      <c r="O37" s="98"/>
      <c r="P37" s="98"/>
      <c r="Q37" s="98"/>
      <c r="R37" s="98"/>
      <c r="S37" s="98"/>
      <c r="T37" s="98"/>
      <c r="U37" s="96"/>
      <c r="V37" s="96"/>
      <c r="W37" s="96"/>
      <c r="X37" s="96"/>
      <c r="Y37" s="99"/>
      <c r="Z37" s="96"/>
      <c r="AA37" s="96"/>
      <c r="AB37" s="100"/>
      <c r="AC37" s="100"/>
      <c r="AD37" s="244" t="str">
        <f>IF($B$12="individual",Constants!F62,Constants!L62)</f>
        <v>number of bar days</v>
      </c>
      <c r="AE37" s="249">
        <v>12</v>
      </c>
      <c r="AF37" s="271">
        <f>IF(AE37&gt;=15,2,IF(AE37&gt;=8,1,0))</f>
        <v>1</v>
      </c>
      <c r="AG37" s="560"/>
      <c r="AH37" s="560"/>
      <c r="AI37" s="560"/>
      <c r="AJ37" s="560"/>
      <c r="AK37" s="100"/>
      <c r="AL37" s="100"/>
      <c r="AM37" s="100"/>
      <c r="AN37" s="100"/>
      <c r="AO37" s="100"/>
      <c r="AP37" s="100"/>
      <c r="AQ37" s="100"/>
      <c r="AR37" s="100"/>
      <c r="AS37" s="100"/>
      <c r="AT37" s="100"/>
      <c r="AU37" s="100"/>
      <c r="AV37" s="100"/>
      <c r="AW37" s="100"/>
      <c r="AX37" s="100"/>
      <c r="AY37" s="100"/>
      <c r="AZ37" s="100"/>
      <c r="BA37" s="100"/>
      <c r="BB37" s="100"/>
      <c r="BC37" s="100"/>
      <c r="BD37" s="100"/>
      <c r="BE37" s="100"/>
      <c r="BF37" s="100"/>
    </row>
    <row r="38" spans="1:58" ht="14.25" customHeight="1" thickTop="1" thickBot="1">
      <c r="A38" s="196" t="s">
        <v>1245</v>
      </c>
      <c r="B38" s="196">
        <v>23</v>
      </c>
      <c r="C38" s="196">
        <v>2</v>
      </c>
      <c r="D38" s="313">
        <v>42</v>
      </c>
      <c r="E38" s="312" t="s">
        <v>57</v>
      </c>
      <c r="F38" s="324"/>
      <c r="G38" s="323"/>
      <c r="H38" s="618"/>
      <c r="I38" s="741"/>
      <c r="J38" s="742"/>
      <c r="K38" s="16"/>
      <c r="L38" s="16"/>
      <c r="M38" s="16"/>
      <c r="N38" s="16"/>
      <c r="O38" s="16"/>
      <c r="P38" s="16"/>
      <c r="Q38" s="16"/>
      <c r="R38" s="16"/>
      <c r="S38" s="16"/>
      <c r="T38" s="16"/>
      <c r="U38" s="16"/>
      <c r="V38" s="16"/>
      <c r="W38" s="16"/>
      <c r="X38" s="16"/>
      <c r="Y38" s="17"/>
      <c r="Z38" s="16"/>
      <c r="AA38" s="16"/>
      <c r="AD38" s="244" t="str">
        <f>IF($B$12="individual",Constants!F63,Constants!L63)</f>
        <v>own bar / extra location</v>
      </c>
      <c r="AE38" s="249">
        <v>0</v>
      </c>
      <c r="AF38" s="271">
        <f>IF(AE38&gt;=15,2,IF(AE38&gt;=8,1,0))</f>
        <v>0</v>
      </c>
      <c r="AG38" s="560"/>
      <c r="AH38" s="560"/>
      <c r="AI38" s="560"/>
      <c r="AJ38" s="560"/>
    </row>
    <row r="39" spans="1:58" ht="14.25" customHeight="1" thickBot="1">
      <c r="A39" s="199" t="s">
        <v>1246</v>
      </c>
      <c r="B39" s="199">
        <v>17</v>
      </c>
      <c r="C39" s="199">
        <v>1</v>
      </c>
      <c r="D39" s="313">
        <v>42</v>
      </c>
      <c r="E39" s="328" t="s">
        <v>57</v>
      </c>
      <c r="F39" s="261"/>
      <c r="G39" s="325"/>
      <c r="H39" s="743"/>
      <c r="I39" s="744"/>
      <c r="J39" s="745"/>
      <c r="K39" s="16"/>
      <c r="L39" s="16"/>
      <c r="M39" s="16"/>
      <c r="N39" s="16"/>
      <c r="O39" s="16"/>
      <c r="P39" s="16"/>
      <c r="Q39" s="16"/>
      <c r="R39" s="16"/>
      <c r="S39" s="16"/>
      <c r="T39" s="16"/>
      <c r="U39" s="16"/>
      <c r="V39" s="16"/>
      <c r="W39" s="16"/>
      <c r="X39" s="16"/>
      <c r="Y39" s="17"/>
      <c r="Z39" s="16"/>
      <c r="AA39" s="16"/>
      <c r="AD39" s="244" t="str">
        <f>IF($B$12="individual",Constants!F65,Constants!L64)</f>
        <v>number of competitions attended</v>
      </c>
      <c r="AE39" s="249">
        <v>5</v>
      </c>
      <c r="AF39" s="273">
        <f>IF(B12="individual", IF(AE39&gt;10, 5, IF(AE39&gt;6, 3, IF(AE39&gt;2, 1, 0))), IF(AE39&gt;3, 3, IF(AE39&gt;1, 2, 1)))</f>
        <v>1</v>
      </c>
      <c r="AG39" s="560"/>
      <c r="AH39" s="560"/>
      <c r="AI39" s="560"/>
      <c r="AJ39" s="560"/>
    </row>
    <row r="40" spans="1:58" ht="15.75" customHeight="1" thickBot="1">
      <c r="A40" s="196" t="s">
        <v>1245</v>
      </c>
      <c r="B40" s="196">
        <v>12</v>
      </c>
      <c r="C40" s="196">
        <v>1</v>
      </c>
      <c r="D40" s="313">
        <v>42</v>
      </c>
      <c r="E40" s="245"/>
      <c r="F40" s="261"/>
      <c r="G40" s="231"/>
      <c r="H40" s="743"/>
      <c r="I40" s="744"/>
      <c r="J40" s="745"/>
      <c r="K40" s="16"/>
      <c r="L40" s="16"/>
      <c r="M40" s="16"/>
      <c r="N40" s="16"/>
      <c r="O40" s="16"/>
      <c r="P40" s="16"/>
      <c r="Q40" s="16"/>
      <c r="R40" s="16"/>
      <c r="S40" s="16"/>
      <c r="T40" s="16"/>
      <c r="U40" s="16"/>
      <c r="V40" s="16"/>
      <c r="W40" s="16"/>
      <c r="X40" s="16"/>
      <c r="Y40" s="16"/>
      <c r="Z40" s="16"/>
      <c r="AA40" s="16"/>
      <c r="AD40" s="231" t="str">
        <f>IF($B$12="individual",Constants!F64,Constants!L65)</f>
        <v>n/a</v>
      </c>
      <c r="AE40" s="231" t="str">
        <f>IF(AD40="n/a","",COUNTA(A46:A50)/COUNTA(A39:A42))</f>
        <v/>
      </c>
      <c r="AF40" s="272" t="str">
        <f>IF(B12="group", IF(AE40&gt;0.15, 5, IF(AE40&gt;0.1, 3, IF(AE40&gt;0.05, 1, 0))), " ")</f>
        <v xml:space="preserve"> </v>
      </c>
      <c r="AG40" s="560"/>
      <c r="AH40" s="560"/>
      <c r="AI40" s="560"/>
      <c r="AJ40" s="560"/>
    </row>
    <row r="41" spans="1:58" ht="15.75" customHeight="1" thickBot="1">
      <c r="A41" s="231"/>
      <c r="B41" s="232"/>
      <c r="C41" s="231"/>
      <c r="D41" s="232"/>
      <c r="E41" s="245"/>
      <c r="F41" s="261"/>
      <c r="G41" s="231"/>
      <c r="H41" s="743"/>
      <c r="I41" s="744"/>
      <c r="J41" s="745"/>
      <c r="K41" s="16"/>
      <c r="L41" s="16"/>
      <c r="M41" s="16"/>
      <c r="N41" s="16"/>
      <c r="O41" s="16"/>
      <c r="P41" s="16"/>
      <c r="Q41" s="16"/>
      <c r="R41" s="16"/>
      <c r="S41" s="16"/>
      <c r="T41" s="16"/>
      <c r="U41" s="16"/>
      <c r="V41" s="16"/>
      <c r="W41" s="16"/>
      <c r="X41" s="16"/>
      <c r="Y41" s="16"/>
      <c r="Z41" s="16"/>
      <c r="AA41" s="16"/>
      <c r="AD41" s="16"/>
      <c r="AE41" s="275" t="s">
        <v>461</v>
      </c>
      <c r="AF41" s="277">
        <f>SUM(AF30:AF40)</f>
        <v>10</v>
      </c>
      <c r="AG41" s="247"/>
      <c r="AH41" s="245"/>
      <c r="AI41" s="246"/>
      <c r="AJ41" s="247"/>
    </row>
    <row r="42" spans="1:58" ht="15.75" customHeight="1" thickBot="1">
      <c r="A42" s="231"/>
      <c r="B42" s="326"/>
      <c r="C42" s="245"/>
      <c r="D42" s="232"/>
      <c r="E42" s="261"/>
      <c r="F42" s="261"/>
      <c r="G42" s="231"/>
      <c r="H42" s="746"/>
      <c r="I42" s="747"/>
      <c r="J42" s="748"/>
      <c r="K42" s="16"/>
      <c r="L42" s="16"/>
      <c r="M42" s="16"/>
      <c r="N42" s="16"/>
      <c r="O42" s="16"/>
      <c r="P42" s="16"/>
      <c r="Q42" s="16"/>
      <c r="R42" s="16"/>
      <c r="S42" s="16"/>
      <c r="T42" s="16"/>
      <c r="U42" s="16"/>
      <c r="V42" s="16"/>
      <c r="W42" s="16"/>
      <c r="X42" s="16"/>
      <c r="Y42" s="16"/>
      <c r="Z42" s="16"/>
      <c r="AA42" s="16"/>
    </row>
    <row r="43" spans="1:58" ht="15.75" customHeight="1" thickTop="1">
      <c r="A43" s="18"/>
      <c r="B43" s="18"/>
      <c r="C43" s="18"/>
      <c r="D43" s="18"/>
      <c r="E43" s="18"/>
      <c r="F43" s="18"/>
      <c r="G43" s="17"/>
      <c r="H43" s="17"/>
      <c r="I43" s="17"/>
      <c r="J43" s="17"/>
      <c r="K43" s="17"/>
      <c r="L43" s="17"/>
      <c r="M43" s="17"/>
      <c r="N43" s="17"/>
      <c r="O43" s="17"/>
      <c r="P43" s="17"/>
      <c r="Q43" s="16"/>
      <c r="R43" s="17"/>
      <c r="S43" s="17"/>
      <c r="T43" s="17"/>
      <c r="U43" s="17"/>
      <c r="V43" s="17"/>
      <c r="W43" s="17"/>
      <c r="X43" s="17"/>
      <c r="Y43" s="17"/>
      <c r="Z43" s="17"/>
      <c r="AA43" s="17"/>
      <c r="AB43" s="17"/>
      <c r="AC43" s="17"/>
      <c r="AD43" s="17"/>
    </row>
    <row r="44" spans="1:58" ht="15.75" customHeight="1" thickBot="1">
      <c r="A44" s="179" t="s">
        <v>462</v>
      </c>
      <c r="B44" s="169"/>
      <c r="C44" s="16"/>
      <c r="D44" s="16"/>
      <c r="E44" s="16"/>
      <c r="F44" s="16"/>
      <c r="G44" s="16"/>
      <c r="H44" s="16"/>
      <c r="I44" s="16"/>
      <c r="J44" s="16"/>
      <c r="K44" s="16"/>
      <c r="L44" s="16"/>
      <c r="M44" s="16"/>
      <c r="N44" s="16"/>
      <c r="O44" s="16"/>
      <c r="P44" s="16"/>
      <c r="Q44" s="16"/>
      <c r="R44" s="16"/>
      <c r="S44" s="16"/>
      <c r="T44" s="16"/>
      <c r="U44" s="16"/>
      <c r="V44" s="16"/>
      <c r="W44" s="16"/>
      <c r="X44" s="16"/>
      <c r="Y44" s="16"/>
      <c r="Z44" s="16"/>
      <c r="AA44" s="16"/>
      <c r="AB44" s="18"/>
      <c r="AC44" s="16"/>
      <c r="AD44" s="16"/>
    </row>
    <row r="45" spans="1:58" ht="15" customHeight="1" thickTop="1" thickBot="1">
      <c r="A45" s="258" t="s">
        <v>449</v>
      </c>
      <c r="B45" s="259" t="s">
        <v>450</v>
      </c>
      <c r="C45" s="258" t="s">
        <v>463</v>
      </c>
      <c r="D45" s="258" t="s">
        <v>464</v>
      </c>
      <c r="E45" s="258" t="s">
        <v>465</v>
      </c>
      <c r="F45" s="258" t="s">
        <v>466</v>
      </c>
      <c r="G45" s="258" t="s">
        <v>467</v>
      </c>
      <c r="H45" s="259" t="s">
        <v>455</v>
      </c>
      <c r="I45" s="561" t="s">
        <v>456</v>
      </c>
      <c r="J45" s="716"/>
      <c r="K45" s="717"/>
      <c r="L45" s="98"/>
      <c r="M45" s="98"/>
      <c r="N45" s="98"/>
      <c r="O45" s="98"/>
      <c r="P45" s="98"/>
      <c r="Q45" s="98"/>
      <c r="R45" s="98"/>
      <c r="S45" s="98"/>
      <c r="T45" s="98"/>
      <c r="U45" s="98"/>
      <c r="V45" s="96"/>
      <c r="W45" s="96"/>
      <c r="X45" s="96"/>
      <c r="Y45" s="96"/>
      <c r="Z45" s="99"/>
      <c r="AA45" s="96"/>
      <c r="AB45" s="96"/>
      <c r="AC45" s="100"/>
      <c r="AD45" s="100"/>
      <c r="AE45" s="100"/>
      <c r="AF45" s="100"/>
      <c r="AG45" s="100"/>
      <c r="AH45" s="100"/>
      <c r="AI45" s="100"/>
      <c r="AJ45" s="100"/>
      <c r="AK45" s="100"/>
      <c r="AL45" s="100"/>
      <c r="AM45" s="100"/>
      <c r="AN45" s="100"/>
      <c r="AO45" s="100"/>
      <c r="AP45" s="100"/>
      <c r="AQ45" s="100"/>
      <c r="AR45" s="100"/>
      <c r="AS45" s="100"/>
      <c r="AT45" s="100"/>
      <c r="AU45" s="100"/>
      <c r="AV45" s="100"/>
      <c r="AW45" s="100"/>
      <c r="AX45" s="100"/>
      <c r="AY45" s="100"/>
      <c r="AZ45" s="100"/>
      <c r="BA45" s="100"/>
      <c r="BB45" s="100"/>
      <c r="BC45" s="100"/>
      <c r="BD45" s="100"/>
      <c r="BE45" s="100"/>
      <c r="BF45" s="100"/>
    </row>
    <row r="46" spans="1:58" ht="14.25" customHeight="1" thickTop="1">
      <c r="A46" s="196" t="s">
        <v>1245</v>
      </c>
      <c r="B46" s="196" t="s">
        <v>1247</v>
      </c>
      <c r="C46" s="196" t="s">
        <v>1248</v>
      </c>
      <c r="D46" s="196" t="s">
        <v>57</v>
      </c>
      <c r="E46" s="364">
        <v>2</v>
      </c>
      <c r="F46" s="279">
        <v>3.5</v>
      </c>
      <c r="G46" s="196" t="s">
        <v>471</v>
      </c>
      <c r="H46" s="323"/>
      <c r="I46" s="618"/>
      <c r="J46" s="741"/>
      <c r="K46" s="742"/>
      <c r="L46" s="16"/>
      <c r="M46" s="16"/>
      <c r="N46" s="16"/>
      <c r="O46" s="16"/>
      <c r="P46" s="16"/>
      <c r="Q46" s="16"/>
      <c r="R46" s="16"/>
      <c r="S46" s="16"/>
      <c r="T46" s="16"/>
      <c r="U46" s="16"/>
      <c r="V46" s="16"/>
      <c r="W46" s="16"/>
      <c r="X46" s="16"/>
      <c r="Y46" s="16"/>
      <c r="Z46" s="17"/>
      <c r="AA46" s="16"/>
      <c r="AB46" s="16"/>
    </row>
    <row r="47" spans="1:58" ht="14.25" customHeight="1">
      <c r="A47" s="199" t="s">
        <v>1246</v>
      </c>
      <c r="B47" s="199" t="s">
        <v>1249</v>
      </c>
      <c r="C47" s="199" t="s">
        <v>1248</v>
      </c>
      <c r="D47" s="199" t="s">
        <v>57</v>
      </c>
      <c r="E47" s="346">
        <v>1</v>
      </c>
      <c r="F47" s="357">
        <v>2</v>
      </c>
      <c r="G47" s="199" t="s">
        <v>471</v>
      </c>
      <c r="H47" s="323"/>
      <c r="I47" s="743"/>
      <c r="J47" s="744"/>
      <c r="K47" s="745"/>
      <c r="L47" s="16"/>
      <c r="M47" s="16"/>
      <c r="N47" s="16"/>
      <c r="O47" s="16"/>
      <c r="P47" s="16"/>
      <c r="Q47" s="16"/>
      <c r="R47" s="16"/>
      <c r="S47" s="16"/>
      <c r="T47" s="16"/>
      <c r="U47" s="16"/>
      <c r="V47" s="16"/>
      <c r="W47" s="16"/>
      <c r="X47" s="16"/>
      <c r="Y47" s="16"/>
      <c r="Z47" s="17"/>
      <c r="AA47" s="16"/>
      <c r="AB47" s="16"/>
    </row>
    <row r="48" spans="1:58" ht="15.75" customHeight="1">
      <c r="A48" s="196" t="s">
        <v>1245</v>
      </c>
      <c r="B48" s="425">
        <v>45580</v>
      </c>
      <c r="C48" s="196"/>
      <c r="D48" s="196"/>
      <c r="E48" s="364">
        <v>1</v>
      </c>
      <c r="F48" s="365">
        <v>1.75</v>
      </c>
      <c r="G48" s="355" t="s">
        <v>471</v>
      </c>
      <c r="H48" s="323"/>
      <c r="I48" s="743"/>
      <c r="J48" s="744"/>
      <c r="K48" s="745"/>
      <c r="L48" s="16"/>
      <c r="M48" s="16"/>
      <c r="N48" s="16"/>
      <c r="O48" s="16"/>
      <c r="P48" s="16"/>
      <c r="Q48" s="16"/>
      <c r="R48" s="16"/>
      <c r="S48" s="16"/>
      <c r="T48" s="16"/>
      <c r="U48" s="16"/>
      <c r="V48" s="16"/>
      <c r="W48" s="16"/>
      <c r="X48" s="16"/>
      <c r="Y48" s="16"/>
      <c r="Z48" s="16"/>
      <c r="AA48" s="16"/>
      <c r="AB48" s="16"/>
    </row>
    <row r="49" spans="1:30" ht="15.75" customHeight="1">
      <c r="A49" s="231"/>
      <c r="B49" s="232"/>
      <c r="C49" s="231"/>
      <c r="D49" s="269"/>
      <c r="E49" s="245"/>
      <c r="F49" s="261"/>
      <c r="G49" s="263"/>
      <c r="H49" s="231"/>
      <c r="I49" s="743"/>
      <c r="J49" s="744"/>
      <c r="K49" s="745"/>
      <c r="L49" s="16"/>
      <c r="M49" s="16"/>
      <c r="N49" s="16"/>
      <c r="O49" s="16"/>
      <c r="P49" s="16"/>
      <c r="Q49" s="16"/>
      <c r="R49" s="16"/>
      <c r="S49" s="16"/>
      <c r="T49" s="16"/>
      <c r="U49" s="16"/>
      <c r="V49" s="16"/>
      <c r="W49" s="16"/>
      <c r="X49" s="16"/>
      <c r="Y49" s="16"/>
      <c r="Z49" s="16"/>
      <c r="AA49" s="16"/>
      <c r="AB49" s="16"/>
    </row>
    <row r="50" spans="1:30" ht="15.75" customHeight="1" thickBot="1">
      <c r="A50" s="231"/>
      <c r="B50" s="326"/>
      <c r="C50" s="245"/>
      <c r="D50" s="245"/>
      <c r="E50" s="261"/>
      <c r="F50" s="261"/>
      <c r="G50" s="263"/>
      <c r="H50" s="231"/>
      <c r="I50" s="746"/>
      <c r="J50" s="747"/>
      <c r="K50" s="748"/>
      <c r="L50" s="16"/>
      <c r="M50" s="16"/>
      <c r="N50" s="16"/>
      <c r="O50" s="16"/>
      <c r="P50" s="16"/>
      <c r="Q50" s="16"/>
      <c r="R50" s="16"/>
      <c r="S50" s="16"/>
      <c r="T50" s="16"/>
      <c r="U50" s="16"/>
      <c r="V50" s="16"/>
      <c r="W50" s="16"/>
      <c r="X50" s="16"/>
      <c r="Y50" s="16"/>
      <c r="Z50" s="16"/>
      <c r="AA50" s="16"/>
      <c r="AB50" s="16"/>
    </row>
    <row r="51" spans="1:30" ht="15.75" customHeight="1" thickTop="1">
      <c r="A51" s="15"/>
      <c r="B51" s="16"/>
      <c r="C51" s="16"/>
      <c r="D51" s="16"/>
      <c r="E51" s="16"/>
      <c r="F51" s="16"/>
      <c r="G51" s="16"/>
      <c r="H51" s="16"/>
      <c r="I51" s="16"/>
      <c r="J51" s="16"/>
      <c r="K51" s="16"/>
      <c r="L51" s="16"/>
      <c r="M51" s="16"/>
      <c r="N51" s="16"/>
      <c r="O51" s="16"/>
      <c r="P51" s="16"/>
      <c r="Q51" s="16"/>
      <c r="R51" s="16"/>
      <c r="S51" s="16"/>
      <c r="T51" s="16"/>
      <c r="U51" s="16"/>
      <c r="V51" s="16"/>
      <c r="W51" s="16"/>
      <c r="X51" s="16"/>
      <c r="Y51" s="16"/>
      <c r="Z51" s="16"/>
      <c r="AA51" s="16"/>
      <c r="AB51" s="16"/>
      <c r="AC51" s="16"/>
      <c r="AD51" s="16"/>
    </row>
    <row r="52" spans="1:30" ht="15.75" customHeight="1">
      <c r="A52" s="15"/>
      <c r="B52" s="16"/>
      <c r="C52" s="16"/>
      <c r="D52" s="16"/>
      <c r="E52" s="16"/>
      <c r="F52" s="16"/>
      <c r="G52" s="16"/>
      <c r="H52" s="16"/>
      <c r="I52" s="16"/>
      <c r="J52" s="16"/>
      <c r="K52" s="16"/>
      <c r="L52" s="16"/>
      <c r="M52" s="16"/>
      <c r="N52" s="16"/>
      <c r="O52" s="16"/>
      <c r="P52" s="16"/>
      <c r="Q52" s="16"/>
      <c r="W52" s="16"/>
      <c r="X52" s="16"/>
      <c r="Y52" s="16"/>
      <c r="Z52" s="16"/>
      <c r="AA52" s="16"/>
      <c r="AB52" s="16"/>
      <c r="AC52" s="16"/>
      <c r="AD52" s="16"/>
    </row>
    <row r="53" spans="1:30" ht="15.75" customHeight="1" thickBot="1">
      <c r="A53" s="186" t="s">
        <v>475</v>
      </c>
      <c r="B53" s="231"/>
      <c r="C53" s="231"/>
      <c r="D53" s="231"/>
      <c r="E53" s="231"/>
      <c r="F53" s="231"/>
      <c r="G53" s="231"/>
      <c r="H53" s="231"/>
      <c r="I53" s="231"/>
      <c r="J53" s="231"/>
      <c r="K53" s="16"/>
      <c r="L53" s="16"/>
      <c r="M53" s="16"/>
      <c r="N53" s="16"/>
      <c r="O53" s="16"/>
      <c r="P53" s="16"/>
      <c r="Q53" s="16"/>
      <c r="W53" s="16"/>
      <c r="X53" s="16"/>
      <c r="Y53" s="16"/>
      <c r="Z53" s="16"/>
      <c r="AA53" s="16"/>
      <c r="AB53" s="16"/>
      <c r="AC53" s="16"/>
      <c r="AD53" s="16"/>
    </row>
    <row r="54" spans="1:30" ht="15.75" customHeight="1" thickTop="1" thickBot="1">
      <c r="A54" s="230" t="s">
        <v>476</v>
      </c>
      <c r="B54" s="230" t="s">
        <v>477</v>
      </c>
      <c r="C54" s="230" t="s">
        <v>478</v>
      </c>
      <c r="D54" s="230" t="s">
        <v>479</v>
      </c>
      <c r="E54" s="230" t="s">
        <v>480</v>
      </c>
      <c r="F54" s="230" t="s">
        <v>481</v>
      </c>
      <c r="G54" s="230" t="s">
        <v>482</v>
      </c>
      <c r="H54" s="230" t="s">
        <v>453</v>
      </c>
      <c r="I54" s="230" t="s">
        <v>483</v>
      </c>
      <c r="J54" s="230" t="s">
        <v>484</v>
      </c>
      <c r="K54" s="721" t="s">
        <v>485</v>
      </c>
      <c r="L54" s="716"/>
      <c r="M54" s="722"/>
      <c r="N54" s="15"/>
      <c r="O54" s="16"/>
      <c r="P54" s="16"/>
      <c r="Q54" s="16"/>
      <c r="W54" s="16"/>
      <c r="X54" s="16"/>
      <c r="Y54" s="16"/>
      <c r="Z54" s="16"/>
      <c r="AA54" s="16"/>
      <c r="AB54" s="16"/>
    </row>
    <row r="55" spans="1:30" ht="15" customHeight="1" thickTop="1">
      <c r="A55" s="354" t="s">
        <v>1245</v>
      </c>
      <c r="B55" s="354" t="s">
        <v>285</v>
      </c>
      <c r="C55" s="341">
        <v>42</v>
      </c>
      <c r="D55" s="341">
        <v>2</v>
      </c>
      <c r="E55" s="279">
        <v>3.5</v>
      </c>
      <c r="F55" s="231">
        <f>Table_4168156[[#This Row],[Total hours/week]]*Table_4168156[[#This Row],['# Weeks]]</f>
        <v>147</v>
      </c>
      <c r="G55" s="354" t="s">
        <v>1248</v>
      </c>
      <c r="H55" s="354" t="s">
        <v>57</v>
      </c>
      <c r="I55" s="360" t="s">
        <v>328</v>
      </c>
      <c r="J55" s="231"/>
      <c r="K55" s="653"/>
      <c r="L55" s="741"/>
      <c r="M55" s="742"/>
      <c r="N55" s="16"/>
      <c r="O55" s="16"/>
      <c r="P55" s="16"/>
      <c r="Q55" s="16"/>
      <c r="W55" s="16"/>
      <c r="X55" s="16"/>
      <c r="Y55" s="16"/>
      <c r="Z55" s="16"/>
      <c r="AA55" s="16"/>
      <c r="AB55" s="16"/>
    </row>
    <row r="56" spans="1:30" ht="15.75" customHeight="1">
      <c r="A56" s="199" t="s">
        <v>1246</v>
      </c>
      <c r="B56" s="347" t="s">
        <v>285</v>
      </c>
      <c r="C56" s="342">
        <v>42</v>
      </c>
      <c r="D56" s="342">
        <v>1</v>
      </c>
      <c r="E56" s="357">
        <v>2</v>
      </c>
      <c r="F56" s="231">
        <f>Table_4168156[[#This Row],[Total hours/week]]*Table_4168156[[#This Row],['# Weeks]]</f>
        <v>84</v>
      </c>
      <c r="G56" s="347" t="s">
        <v>1248</v>
      </c>
      <c r="H56" s="347" t="s">
        <v>57</v>
      </c>
      <c r="I56" s="362" t="s">
        <v>328</v>
      </c>
      <c r="J56" s="231"/>
      <c r="K56" s="702"/>
      <c r="L56" s="744"/>
      <c r="M56" s="745"/>
      <c r="N56" s="16"/>
      <c r="O56" s="16"/>
      <c r="P56" s="16"/>
      <c r="Q56" s="16"/>
      <c r="W56" s="16"/>
      <c r="X56" s="16"/>
      <c r="Y56" s="16"/>
      <c r="Z56" s="16"/>
      <c r="AA56" s="16"/>
      <c r="AB56" s="16"/>
    </row>
    <row r="57" spans="1:30" ht="14.25" customHeight="1">
      <c r="A57" s="231"/>
      <c r="B57" s="319"/>
      <c r="C57" s="231"/>
      <c r="D57" s="231"/>
      <c r="E57" s="231"/>
      <c r="F57" s="231"/>
      <c r="G57" s="248"/>
      <c r="H57" s="319"/>
      <c r="I57" s="331"/>
      <c r="J57" s="231"/>
      <c r="K57" s="702"/>
      <c r="L57" s="744"/>
      <c r="M57" s="745"/>
      <c r="N57" s="16"/>
      <c r="O57" s="16"/>
      <c r="P57" s="16"/>
      <c r="Q57" s="16"/>
      <c r="W57" s="16"/>
      <c r="X57" s="16"/>
      <c r="Y57" s="16"/>
      <c r="Z57" s="16"/>
      <c r="AA57" s="16"/>
      <c r="AB57" s="16"/>
    </row>
    <row r="58" spans="1:30" ht="15.75" customHeight="1">
      <c r="A58" s="319"/>
      <c r="B58" s="319"/>
      <c r="C58" s="231"/>
      <c r="D58" s="231"/>
      <c r="E58" s="231"/>
      <c r="F58" s="231"/>
      <c r="G58" s="231"/>
      <c r="H58" s="319"/>
      <c r="I58" s="331"/>
      <c r="J58" s="231"/>
      <c r="K58" s="702"/>
      <c r="L58" s="744"/>
      <c r="M58" s="745"/>
      <c r="N58" s="16"/>
      <c r="O58" s="16"/>
      <c r="P58" s="16"/>
      <c r="Q58" s="16"/>
      <c r="W58" s="16"/>
      <c r="X58" s="16"/>
      <c r="Y58" s="16"/>
      <c r="Z58" s="16"/>
      <c r="AA58" s="16"/>
      <c r="AB58" s="16"/>
    </row>
    <row r="59" spans="1:30" ht="15.75" customHeight="1">
      <c r="A59" s="319"/>
      <c r="B59" s="319"/>
      <c r="C59" s="231"/>
      <c r="D59" s="231"/>
      <c r="E59" s="231"/>
      <c r="F59" s="231"/>
      <c r="G59" s="231"/>
      <c r="H59" s="319"/>
      <c r="I59" s="331"/>
      <c r="J59" s="231"/>
      <c r="K59" s="702"/>
      <c r="L59" s="744"/>
      <c r="M59" s="745"/>
      <c r="N59" s="16"/>
      <c r="O59" s="16"/>
      <c r="P59" s="16"/>
      <c r="Q59" s="16"/>
      <c r="W59" s="16"/>
      <c r="X59" s="16"/>
      <c r="Y59" s="16"/>
      <c r="Z59" s="16"/>
      <c r="AA59" s="16"/>
      <c r="AB59" s="16"/>
    </row>
    <row r="60" spans="1:30" ht="15.75" customHeight="1">
      <c r="A60" s="319"/>
      <c r="B60" s="319"/>
      <c r="C60" s="231"/>
      <c r="D60" s="231"/>
      <c r="E60" s="231"/>
      <c r="F60" s="231"/>
      <c r="G60" s="319"/>
      <c r="H60" s="319"/>
      <c r="I60" s="331"/>
      <c r="J60" s="231"/>
      <c r="K60" s="702"/>
      <c r="L60" s="744"/>
      <c r="M60" s="745"/>
      <c r="N60" s="16"/>
      <c r="O60" s="16"/>
      <c r="P60" s="16"/>
      <c r="Q60" s="16"/>
      <c r="W60" s="16"/>
      <c r="X60" s="16"/>
      <c r="Y60" s="16"/>
      <c r="Z60" s="16"/>
      <c r="AA60" s="16"/>
      <c r="AB60" s="16"/>
    </row>
    <row r="61" spans="1:30" ht="15.75" customHeight="1">
      <c r="A61" s="319"/>
      <c r="B61" s="319"/>
      <c r="C61" s="231"/>
      <c r="D61" s="231"/>
      <c r="E61" s="231"/>
      <c r="F61" s="231"/>
      <c r="G61" s="319"/>
      <c r="H61" s="319"/>
      <c r="I61" s="331"/>
      <c r="J61" s="231"/>
      <c r="K61" s="702"/>
      <c r="L61" s="744"/>
      <c r="M61" s="745"/>
      <c r="N61" s="16"/>
      <c r="O61" s="16"/>
      <c r="P61" s="16"/>
      <c r="Q61" s="16"/>
      <c r="W61" s="16"/>
      <c r="X61" s="16"/>
      <c r="Y61" s="16"/>
      <c r="Z61" s="16"/>
      <c r="AA61" s="16"/>
      <c r="AB61" s="16"/>
    </row>
    <row r="62" spans="1:30" ht="15.75" customHeight="1">
      <c r="A62" s="319"/>
      <c r="B62" s="319"/>
      <c r="C62" s="261"/>
      <c r="D62" s="261"/>
      <c r="E62" s="261"/>
      <c r="F62" s="262"/>
      <c r="G62" s="319"/>
      <c r="H62" s="319"/>
      <c r="I62" s="331"/>
      <c r="J62" s="231"/>
      <c r="K62" s="702"/>
      <c r="L62" s="744"/>
      <c r="M62" s="745"/>
      <c r="N62" s="16"/>
      <c r="O62" s="16"/>
      <c r="P62" s="16"/>
      <c r="Q62" s="16"/>
      <c r="W62" s="16"/>
      <c r="X62" s="16"/>
      <c r="Y62" s="16"/>
      <c r="Z62" s="16"/>
      <c r="AA62" s="16"/>
      <c r="AB62" s="16"/>
    </row>
    <row r="63" spans="1:30" ht="15.75" customHeight="1">
      <c r="A63" s="319"/>
      <c r="B63" s="319"/>
      <c r="C63" s="261"/>
      <c r="D63" s="261"/>
      <c r="E63" s="261"/>
      <c r="F63" s="262"/>
      <c r="G63" s="319"/>
      <c r="H63" s="319"/>
      <c r="I63" s="331"/>
      <c r="J63" s="231"/>
      <c r="K63" s="702"/>
      <c r="L63" s="744"/>
      <c r="M63" s="745"/>
      <c r="N63" s="16"/>
      <c r="O63" s="16"/>
      <c r="P63" s="16"/>
      <c r="Q63" s="16"/>
      <c r="W63" s="16"/>
      <c r="X63" s="16"/>
      <c r="Y63" s="16"/>
      <c r="Z63" s="16"/>
      <c r="AA63" s="16"/>
      <c r="AB63" s="16"/>
    </row>
    <row r="64" spans="1:30" ht="15.75" customHeight="1">
      <c r="A64" s="231"/>
      <c r="B64" s="319"/>
      <c r="C64" s="232"/>
      <c r="D64" s="232"/>
      <c r="E64" s="261"/>
      <c r="F64" s="262"/>
      <c r="G64" s="231"/>
      <c r="H64" s="319"/>
      <c r="I64" s="331"/>
      <c r="J64" s="231"/>
      <c r="K64" s="702"/>
      <c r="L64" s="744"/>
      <c r="M64" s="745"/>
      <c r="N64" s="16"/>
      <c r="O64" s="16"/>
      <c r="P64" s="16"/>
      <c r="Q64" s="16"/>
      <c r="W64" s="16"/>
      <c r="X64" s="16"/>
      <c r="Y64" s="16"/>
      <c r="Z64" s="16"/>
      <c r="AA64" s="16"/>
      <c r="AB64" s="16"/>
    </row>
    <row r="65" spans="1:30" ht="15.75" customHeight="1">
      <c r="A65" s="231"/>
      <c r="B65" s="319"/>
      <c r="C65" s="232"/>
      <c r="D65" s="232"/>
      <c r="E65" s="261"/>
      <c r="F65" s="262"/>
      <c r="G65" s="231"/>
      <c r="H65" s="319"/>
      <c r="I65" s="331"/>
      <c r="J65" s="231"/>
      <c r="K65" s="702"/>
      <c r="L65" s="744"/>
      <c r="M65" s="745"/>
      <c r="N65" s="16"/>
      <c r="O65" s="16"/>
      <c r="P65" s="16"/>
      <c r="Q65" s="16"/>
      <c r="W65" s="16"/>
      <c r="X65" s="16"/>
      <c r="Y65" s="16"/>
      <c r="Z65" s="16"/>
      <c r="AA65" s="16"/>
      <c r="AB65" s="16"/>
    </row>
    <row r="66" spans="1:30" ht="15.75" customHeight="1">
      <c r="A66" s="231"/>
      <c r="B66" s="319"/>
      <c r="C66" s="232"/>
      <c r="D66" s="232"/>
      <c r="E66" s="261"/>
      <c r="F66" s="262"/>
      <c r="G66" s="231"/>
      <c r="H66" s="319"/>
      <c r="I66" s="331"/>
      <c r="J66" s="231"/>
      <c r="K66" s="702"/>
      <c r="L66" s="744"/>
      <c r="M66" s="745"/>
      <c r="N66" s="16"/>
      <c r="O66" s="16"/>
      <c r="P66" s="16"/>
      <c r="Q66" s="16"/>
      <c r="W66" s="16"/>
      <c r="X66" s="16"/>
      <c r="Y66" s="16"/>
      <c r="Z66" s="16"/>
      <c r="AA66" s="16"/>
      <c r="AB66" s="16"/>
    </row>
    <row r="67" spans="1:30" ht="15.75" customHeight="1" thickBot="1">
      <c r="A67" s="231"/>
      <c r="B67" s="319"/>
      <c r="C67" s="245"/>
      <c r="D67" s="232"/>
      <c r="E67" s="261"/>
      <c r="F67" s="262"/>
      <c r="G67" s="263"/>
      <c r="H67" s="263"/>
      <c r="I67" s="264"/>
      <c r="J67" s="231"/>
      <c r="K67" s="747"/>
      <c r="L67" s="747"/>
      <c r="M67" s="748"/>
      <c r="N67" s="16"/>
      <c r="O67" s="16"/>
      <c r="P67" s="16"/>
      <c r="Q67" s="16"/>
      <c r="W67" s="16"/>
      <c r="X67" s="16"/>
      <c r="Y67" s="16"/>
      <c r="Z67" s="16"/>
      <c r="AA67" s="16"/>
      <c r="AB67" s="16"/>
    </row>
    <row r="68" spans="1:30" ht="15.75" customHeight="1" thickTop="1">
      <c r="A68" s="16"/>
      <c r="B68" s="16"/>
      <c r="C68" s="16"/>
      <c r="D68" s="16"/>
      <c r="E68" s="16"/>
      <c r="F68" s="16"/>
      <c r="G68" s="16"/>
      <c r="H68" s="16"/>
      <c r="I68" s="16"/>
      <c r="J68" s="16"/>
      <c r="K68" s="16"/>
      <c r="L68" s="16"/>
      <c r="M68" s="16"/>
      <c r="N68" s="16"/>
      <c r="O68" s="16"/>
      <c r="P68" s="16"/>
      <c r="Q68" s="16"/>
      <c r="W68" s="16"/>
      <c r="X68" s="16"/>
      <c r="Y68" s="16"/>
      <c r="Z68" s="16"/>
      <c r="AA68" s="16"/>
      <c r="AB68" s="16"/>
      <c r="AC68" s="16"/>
      <c r="AD68" s="16"/>
    </row>
    <row r="69" spans="1:30" ht="15.75" customHeight="1" thickBot="1">
      <c r="A69" s="186" t="s">
        <v>499</v>
      </c>
      <c r="B69" s="231"/>
      <c r="C69" s="231"/>
      <c r="D69" s="231"/>
      <c r="E69" s="231"/>
      <c r="F69" s="231"/>
      <c r="G69" s="231"/>
      <c r="H69" s="231"/>
      <c r="I69" s="231"/>
      <c r="J69" s="231"/>
      <c r="K69" s="123"/>
      <c r="L69" s="123"/>
      <c r="M69" s="16"/>
      <c r="N69" s="16"/>
      <c r="O69" s="16"/>
      <c r="P69" s="16"/>
      <c r="Q69" s="16"/>
      <c r="W69" s="16"/>
      <c r="X69" s="16"/>
      <c r="Y69" s="16"/>
      <c r="Z69" s="16"/>
      <c r="AA69" s="16"/>
      <c r="AB69" s="16"/>
      <c r="AC69" s="16"/>
      <c r="AD69" s="16"/>
    </row>
    <row r="70" spans="1:30" ht="15.75" customHeight="1" thickTop="1" thickBot="1">
      <c r="A70" s="230" t="s">
        <v>476</v>
      </c>
      <c r="B70" s="230" t="s">
        <v>500</v>
      </c>
      <c r="C70" s="230" t="s">
        <v>501</v>
      </c>
      <c r="D70" s="230" t="s">
        <v>502</v>
      </c>
      <c r="E70" s="230" t="s">
        <v>503</v>
      </c>
      <c r="F70" s="230" t="s">
        <v>504</v>
      </c>
      <c r="G70" s="230" t="s">
        <v>505</v>
      </c>
      <c r="H70" s="230" t="s">
        <v>506</v>
      </c>
      <c r="I70" s="230" t="s">
        <v>507</v>
      </c>
      <c r="J70" s="230" t="s">
        <v>508</v>
      </c>
      <c r="K70" s="561" t="s">
        <v>441</v>
      </c>
      <c r="L70" s="561"/>
      <c r="M70" s="561"/>
      <c r="N70" s="561"/>
      <c r="O70" s="570"/>
      <c r="P70" s="726" t="s">
        <v>434</v>
      </c>
      <c r="Q70" s="727"/>
      <c r="R70" s="16"/>
      <c r="S70" s="16"/>
      <c r="V70" s="16"/>
      <c r="W70" s="16"/>
      <c r="X70" s="16"/>
      <c r="Y70" s="16"/>
      <c r="Z70" s="16"/>
      <c r="AA70" s="16"/>
    </row>
    <row r="71" spans="1:30" ht="15.75" customHeight="1" thickTop="1">
      <c r="A71" s="354" t="s">
        <v>1250</v>
      </c>
      <c r="B71" s="196" t="s">
        <v>248</v>
      </c>
      <c r="C71" s="196" t="s">
        <v>515</v>
      </c>
      <c r="D71" s="365">
        <v>1.75</v>
      </c>
      <c r="E71" s="364">
        <v>42</v>
      </c>
      <c r="F71" s="326">
        <f>'Linea Recta'!$D71*'Linea Recta'!$E71</f>
        <v>73.5</v>
      </c>
      <c r="G71" s="245">
        <v>1</v>
      </c>
      <c r="H71" s="332">
        <f>IF($B71= "","-",IF($B71= "External","Specify location tariff", INDEX(Constants!$3:$3,MATCH($B71,Constants!$2:$2,0))))</f>
        <v>40</v>
      </c>
      <c r="I71" s="333">
        <f t="shared" ref="I71:I87" si="2">IF($H71="-","-",IF($H71="Specify location tariff","-",$H71*$F71))</f>
        <v>2940</v>
      </c>
      <c r="J71" s="247"/>
      <c r="K71" s="610"/>
      <c r="L71" s="611"/>
      <c r="M71" s="611"/>
      <c r="N71" s="611"/>
      <c r="O71" s="612"/>
      <c r="P71" s="564" t="s">
        <v>511</v>
      </c>
      <c r="Q71" s="565"/>
      <c r="R71" s="16"/>
      <c r="S71" s="16"/>
      <c r="V71" s="16"/>
      <c r="W71" s="16"/>
      <c r="X71" s="16"/>
      <c r="Y71" s="16"/>
      <c r="Z71" s="16"/>
      <c r="AA71" s="16"/>
    </row>
    <row r="72" spans="1:30" ht="15.75" customHeight="1">
      <c r="A72" s="199" t="s">
        <v>1250</v>
      </c>
      <c r="B72" s="199" t="s">
        <v>248</v>
      </c>
      <c r="C72" s="199" t="s">
        <v>515</v>
      </c>
      <c r="D72" s="367">
        <v>1.75</v>
      </c>
      <c r="E72" s="346">
        <v>42</v>
      </c>
      <c r="F72" s="326">
        <f>'Linea Recta'!$D72*'Linea Recta'!$E72</f>
        <v>73.5</v>
      </c>
      <c r="G72" s="245">
        <v>1</v>
      </c>
      <c r="H72" s="332">
        <f>IF($B72= "","-",IF($B72= "External","Specify location tariff", INDEX(Constants!$3:$3,MATCH($B72,Constants!$2:$2,0))))</f>
        <v>40</v>
      </c>
      <c r="I72" s="333">
        <f t="shared" si="2"/>
        <v>2940</v>
      </c>
      <c r="J72" s="247"/>
      <c r="K72" s="613"/>
      <c r="L72" s="562"/>
      <c r="M72" s="562"/>
      <c r="N72" s="562"/>
      <c r="O72" s="614"/>
      <c r="P72" s="566"/>
      <c r="Q72" s="567"/>
      <c r="R72" s="16"/>
      <c r="S72" s="16"/>
      <c r="V72" s="16"/>
      <c r="W72" s="16"/>
      <c r="X72" s="16"/>
      <c r="Y72" s="16"/>
      <c r="Z72" s="16"/>
      <c r="AA72" s="16"/>
    </row>
    <row r="73" spans="1:30" ht="15.75" customHeight="1">
      <c r="A73" s="196" t="s">
        <v>1250</v>
      </c>
      <c r="B73" s="196" t="s">
        <v>248</v>
      </c>
      <c r="C73" s="196" t="s">
        <v>513</v>
      </c>
      <c r="D73" s="365">
        <v>1.75</v>
      </c>
      <c r="E73" s="364">
        <v>42</v>
      </c>
      <c r="F73" s="326">
        <f>'Linea Recta'!$D73*'Linea Recta'!$E73</f>
        <v>73.5</v>
      </c>
      <c r="G73" s="245">
        <v>1</v>
      </c>
      <c r="H73" s="332">
        <f>IF($B73= "","-",IF($B73= "External","Specify location tariff", INDEX(Constants!$3:$3,MATCH($B73,Constants!$2:$2,0))))</f>
        <v>40</v>
      </c>
      <c r="I73" s="333">
        <f t="shared" si="2"/>
        <v>2940</v>
      </c>
      <c r="J73" s="247"/>
      <c r="K73" s="613"/>
      <c r="L73" s="562"/>
      <c r="M73" s="562"/>
      <c r="N73" s="562"/>
      <c r="O73" s="614"/>
      <c r="P73" s="566"/>
      <c r="Q73" s="567"/>
      <c r="R73" s="16"/>
      <c r="S73" s="16"/>
      <c r="V73" s="16"/>
      <c r="W73" s="16"/>
      <c r="X73" s="16"/>
      <c r="Y73" s="16"/>
      <c r="Z73" s="16"/>
      <c r="AA73" s="16"/>
    </row>
    <row r="74" spans="1:30" ht="15.75" customHeight="1">
      <c r="A74" s="347" t="s">
        <v>1251</v>
      </c>
      <c r="B74" s="199" t="s">
        <v>248</v>
      </c>
      <c r="C74" s="199" t="s">
        <v>513</v>
      </c>
      <c r="D74" s="367">
        <v>2</v>
      </c>
      <c r="E74" s="346">
        <v>42</v>
      </c>
      <c r="F74" s="326">
        <f>'Linea Recta'!$D74*'Linea Recta'!$E74</f>
        <v>84</v>
      </c>
      <c r="G74" s="245">
        <v>1</v>
      </c>
      <c r="H74" s="332">
        <f>IF($B74= "","-",IF($B74= "External","Specify location tariff", INDEX(Constants!$3:$3,MATCH($B74,Constants!$2:$2,0))))</f>
        <v>40</v>
      </c>
      <c r="I74" s="333">
        <f t="shared" si="2"/>
        <v>3360</v>
      </c>
      <c r="J74" s="247"/>
      <c r="K74" s="613"/>
      <c r="L74" s="562"/>
      <c r="M74" s="562"/>
      <c r="N74" s="562"/>
      <c r="O74" s="614"/>
      <c r="P74" s="566"/>
      <c r="Q74" s="567"/>
      <c r="R74" s="16"/>
      <c r="S74" s="16"/>
      <c r="V74" s="16"/>
      <c r="W74" s="16"/>
      <c r="X74" s="16"/>
      <c r="Y74" s="16"/>
      <c r="Z74" s="16"/>
      <c r="AA74" s="16"/>
    </row>
    <row r="75" spans="1:30" ht="15.75" customHeight="1">
      <c r="A75" s="196" t="s">
        <v>287</v>
      </c>
      <c r="B75" s="196" t="s">
        <v>248</v>
      </c>
      <c r="C75" s="196" t="s">
        <v>514</v>
      </c>
      <c r="D75" s="365">
        <v>2</v>
      </c>
      <c r="E75" s="364">
        <v>42</v>
      </c>
      <c r="F75" s="326">
        <f>'Linea Recta'!$D75*'Linea Recta'!$E75</f>
        <v>84</v>
      </c>
      <c r="G75" s="245">
        <v>1</v>
      </c>
      <c r="H75" s="332">
        <f>IF($B75= "","-",IF($B75= "External","Specify location tariff", INDEX(Constants!$3:$3,MATCH($B75,Constants!$2:$2,0))))</f>
        <v>40</v>
      </c>
      <c r="I75" s="333">
        <f t="shared" si="2"/>
        <v>3360</v>
      </c>
      <c r="J75" s="247"/>
      <c r="K75" s="613"/>
      <c r="L75" s="562"/>
      <c r="M75" s="562"/>
      <c r="N75" s="562"/>
      <c r="O75" s="614"/>
      <c r="P75" s="566"/>
      <c r="Q75" s="567"/>
      <c r="R75" s="16"/>
      <c r="S75" s="16"/>
      <c r="V75" s="16"/>
      <c r="W75" s="16"/>
      <c r="X75" s="16"/>
      <c r="Y75" s="16"/>
      <c r="Z75" s="16"/>
      <c r="AA75" s="16"/>
    </row>
    <row r="76" spans="1:30" ht="15.75" customHeight="1">
      <c r="A76" s="199" t="s">
        <v>1250</v>
      </c>
      <c r="B76" s="231" t="s">
        <v>272</v>
      </c>
      <c r="C76" s="199" t="s">
        <v>516</v>
      </c>
      <c r="D76" s="367">
        <v>1.5</v>
      </c>
      <c r="E76" s="342">
        <v>5</v>
      </c>
      <c r="F76" s="326">
        <f>'Linea Recta'!$D76*'Linea Recta'!$E76</f>
        <v>7.5</v>
      </c>
      <c r="G76" s="245">
        <v>2</v>
      </c>
      <c r="H76" s="332">
        <v>13.85</v>
      </c>
      <c r="I76" s="333">
        <v>106</v>
      </c>
      <c r="J76" s="247" t="s">
        <v>1252</v>
      </c>
      <c r="K76" s="613"/>
      <c r="L76" s="562"/>
      <c r="M76" s="562"/>
      <c r="N76" s="562"/>
      <c r="O76" s="614"/>
      <c r="P76" s="566"/>
      <c r="Q76" s="567"/>
      <c r="R76" s="16"/>
      <c r="S76" s="16"/>
      <c r="V76" s="16"/>
      <c r="W76" s="16"/>
      <c r="X76" s="16"/>
      <c r="Y76" s="16"/>
      <c r="Z76" s="16"/>
      <c r="AA76" s="16"/>
    </row>
    <row r="77" spans="1:30" ht="15.75" customHeight="1">
      <c r="A77" s="196" t="s">
        <v>1250</v>
      </c>
      <c r="B77" s="231" t="s">
        <v>272</v>
      </c>
      <c r="C77" s="196" t="s">
        <v>512</v>
      </c>
      <c r="D77" s="279">
        <v>1.5</v>
      </c>
      <c r="E77" s="364">
        <v>5</v>
      </c>
      <c r="F77" s="326">
        <f>'Linea Recta'!$D77*'Linea Recta'!$E77</f>
        <v>7.5</v>
      </c>
      <c r="G77" s="245">
        <v>2</v>
      </c>
      <c r="H77" s="332">
        <v>13.85</v>
      </c>
      <c r="I77" s="333">
        <v>106</v>
      </c>
      <c r="J77" s="247"/>
      <c r="K77" s="613"/>
      <c r="L77" s="562"/>
      <c r="M77" s="562"/>
      <c r="N77" s="562"/>
      <c r="O77" s="614"/>
      <c r="P77" s="566"/>
      <c r="Q77" s="567"/>
      <c r="R77" s="16"/>
      <c r="S77" s="16"/>
      <c r="V77" s="16"/>
      <c r="W77" s="16"/>
      <c r="X77" s="16"/>
      <c r="Y77" s="16"/>
      <c r="Z77" s="16"/>
      <c r="AA77" s="16"/>
    </row>
    <row r="78" spans="1:30" ht="15.75" customHeight="1">
      <c r="A78" s="231"/>
      <c r="B78" s="231"/>
      <c r="C78" s="232"/>
      <c r="D78" s="261"/>
      <c r="E78" s="245"/>
      <c r="F78" s="326">
        <f>'Linea Recta'!$D78*'Linea Recta'!$E78</f>
        <v>0</v>
      </c>
      <c r="G78" s="245"/>
      <c r="H78" s="332" t="str">
        <f>IF($B78= "","-",IF($B78= "External","Specify location tariff", INDEX(Constants!$3:$3,MATCH($B78,Constants!$2:$2,0))))</f>
        <v>-</v>
      </c>
      <c r="I78" s="333" t="str">
        <f t="shared" si="2"/>
        <v>-</v>
      </c>
      <c r="J78" s="247"/>
      <c r="K78" s="613"/>
      <c r="L78" s="562"/>
      <c r="M78" s="562"/>
      <c r="N78" s="562"/>
      <c r="O78" s="614"/>
      <c r="P78" s="566"/>
      <c r="Q78" s="567"/>
      <c r="R78" s="16"/>
      <c r="S78" s="16"/>
      <c r="V78" s="16"/>
      <c r="W78" s="16"/>
      <c r="X78" s="16"/>
      <c r="Y78" s="16"/>
      <c r="Z78" s="16"/>
      <c r="AA78" s="16"/>
    </row>
    <row r="79" spans="1:30" ht="15.75" customHeight="1">
      <c r="A79" s="231"/>
      <c r="B79" s="231"/>
      <c r="C79" s="232"/>
      <c r="D79" s="261"/>
      <c r="E79" s="245"/>
      <c r="F79" s="326">
        <f>'Linea Recta'!$D79*'Linea Recta'!$E79</f>
        <v>0</v>
      </c>
      <c r="G79" s="245"/>
      <c r="H79" s="332" t="str">
        <f>IF($B79= "","-",IF($B79= "External","Specify location tariff", INDEX(Constants!$3:$3,MATCH($B79,Constants!$2:$2,0))))</f>
        <v>-</v>
      </c>
      <c r="I79" s="333" t="str">
        <f t="shared" si="2"/>
        <v>-</v>
      </c>
      <c r="J79" s="247"/>
      <c r="K79" s="613"/>
      <c r="L79" s="562"/>
      <c r="M79" s="562"/>
      <c r="N79" s="562"/>
      <c r="O79" s="614"/>
      <c r="P79" s="566"/>
      <c r="Q79" s="567"/>
      <c r="R79" s="16"/>
      <c r="S79" s="16"/>
      <c r="V79" s="16"/>
      <c r="W79" s="16"/>
      <c r="X79" s="16"/>
      <c r="Y79" s="16"/>
      <c r="Z79" s="16"/>
      <c r="AA79" s="16"/>
    </row>
    <row r="80" spans="1:30" ht="15.75" customHeight="1">
      <c r="A80" s="231"/>
      <c r="B80" s="231"/>
      <c r="C80" s="232"/>
      <c r="D80" s="261"/>
      <c r="E80" s="245"/>
      <c r="F80" s="326">
        <f>'Linea Recta'!$D80*'Linea Recta'!$E80</f>
        <v>0</v>
      </c>
      <c r="G80" s="245"/>
      <c r="H80" s="332" t="str">
        <f>IF($B80= "","-",IF($B80= "External","Specify location tariff", INDEX(Constants!$3:$3,MATCH($B80,Constants!$2:$2,0))))</f>
        <v>-</v>
      </c>
      <c r="I80" s="333" t="str">
        <f t="shared" si="2"/>
        <v>-</v>
      </c>
      <c r="J80" s="247"/>
      <c r="K80" s="613"/>
      <c r="L80" s="562"/>
      <c r="M80" s="562"/>
      <c r="N80" s="562"/>
      <c r="O80" s="614"/>
      <c r="P80" s="566"/>
      <c r="Q80" s="567"/>
      <c r="R80" s="16"/>
      <c r="S80" s="16"/>
      <c r="V80" s="16"/>
      <c r="W80" s="16"/>
      <c r="X80" s="16"/>
      <c r="Y80" s="16"/>
      <c r="Z80" s="16"/>
      <c r="AA80" s="16"/>
    </row>
    <row r="81" spans="1:30" ht="15.75" customHeight="1">
      <c r="A81" s="231"/>
      <c r="B81" s="231"/>
      <c r="C81" s="232"/>
      <c r="D81" s="261"/>
      <c r="E81" s="245"/>
      <c r="F81" s="326">
        <f>'Linea Recta'!$D81*'Linea Recta'!$E81</f>
        <v>0</v>
      </c>
      <c r="G81" s="245"/>
      <c r="H81" s="332" t="str">
        <f>IF($B81= "","-",IF($B81= "External","Specify location tariff", INDEX(Constants!$3:$3,MATCH($B81,Constants!$2:$2,0))))</f>
        <v>-</v>
      </c>
      <c r="I81" s="333" t="str">
        <f t="shared" si="2"/>
        <v>-</v>
      </c>
      <c r="J81" s="247"/>
      <c r="K81" s="613"/>
      <c r="L81" s="562"/>
      <c r="M81" s="562"/>
      <c r="N81" s="562"/>
      <c r="O81" s="614"/>
      <c r="P81" s="566"/>
      <c r="Q81" s="567"/>
      <c r="R81" s="16"/>
      <c r="S81" s="16"/>
      <c r="V81" s="16"/>
      <c r="W81" s="16"/>
      <c r="X81" s="16"/>
      <c r="Y81" s="16"/>
      <c r="Z81" s="16"/>
      <c r="AA81" s="16"/>
    </row>
    <row r="82" spans="1:30" ht="15.75" customHeight="1">
      <c r="A82" s="231"/>
      <c r="B82" s="231"/>
      <c r="C82" s="232"/>
      <c r="D82" s="261"/>
      <c r="E82" s="245"/>
      <c r="F82" s="326">
        <f>'Linea Recta'!$D82*'Linea Recta'!$E82</f>
        <v>0</v>
      </c>
      <c r="G82" s="245"/>
      <c r="H82" s="332" t="str">
        <f>IF($B82= "","-",IF($B82= "External","Specify location tariff", INDEX(Constants!$3:$3,MATCH($B82,Constants!$2:$2,0))))</f>
        <v>-</v>
      </c>
      <c r="I82" s="333" t="str">
        <f t="shared" si="2"/>
        <v>-</v>
      </c>
      <c r="J82" s="247"/>
      <c r="K82" s="613"/>
      <c r="L82" s="562"/>
      <c r="M82" s="562"/>
      <c r="N82" s="562"/>
      <c r="O82" s="614"/>
      <c r="P82" s="566"/>
      <c r="Q82" s="567"/>
      <c r="R82" s="16"/>
      <c r="S82" s="16"/>
      <c r="V82" s="16"/>
      <c r="W82" s="16"/>
      <c r="X82" s="16"/>
      <c r="Y82" s="16"/>
      <c r="Z82" s="16"/>
      <c r="AA82" s="16"/>
    </row>
    <row r="83" spans="1:30" ht="15.75" customHeight="1">
      <c r="A83" s="231"/>
      <c r="B83" s="231"/>
      <c r="C83" s="232"/>
      <c r="D83" s="261"/>
      <c r="E83" s="245"/>
      <c r="F83" s="326">
        <f>'Linea Recta'!$D83*'Linea Recta'!$E83</f>
        <v>0</v>
      </c>
      <c r="G83" s="245"/>
      <c r="H83" s="332" t="str">
        <f>IF($B83= "","-",IF($B83= "External","Specify location tariff", INDEX(Constants!$3:$3,MATCH($B83,Constants!$2:$2,0))))</f>
        <v>-</v>
      </c>
      <c r="I83" s="333" t="str">
        <f t="shared" si="2"/>
        <v>-</v>
      </c>
      <c r="J83" s="247"/>
      <c r="K83" s="613"/>
      <c r="L83" s="562"/>
      <c r="M83" s="562"/>
      <c r="N83" s="562"/>
      <c r="O83" s="614"/>
      <c r="P83" s="566"/>
      <c r="Q83" s="567"/>
      <c r="R83" s="16"/>
      <c r="S83" s="16"/>
      <c r="V83" s="16"/>
      <c r="W83" s="16"/>
      <c r="X83" s="16"/>
      <c r="Y83" s="16"/>
      <c r="Z83" s="16"/>
      <c r="AA83" s="16"/>
    </row>
    <row r="84" spans="1:30" ht="15.75" customHeight="1">
      <c r="A84" s="231"/>
      <c r="B84" s="231"/>
      <c r="C84" s="232"/>
      <c r="D84" s="261"/>
      <c r="E84" s="245"/>
      <c r="F84" s="326">
        <f>'Linea Recta'!$D84*'Linea Recta'!$E84</f>
        <v>0</v>
      </c>
      <c r="G84" s="245"/>
      <c r="H84" s="332" t="str">
        <f>IF($B84= "","-",IF($B84= "External","Specify location tariff", INDEX(Constants!$3:$3,MATCH($B84,Constants!$2:$2,0))))</f>
        <v>-</v>
      </c>
      <c r="I84" s="333" t="str">
        <f t="shared" si="2"/>
        <v>-</v>
      </c>
      <c r="J84" s="247"/>
      <c r="K84" s="613"/>
      <c r="L84" s="562"/>
      <c r="M84" s="562"/>
      <c r="N84" s="562"/>
      <c r="O84" s="614"/>
      <c r="P84" s="566"/>
      <c r="Q84" s="567"/>
      <c r="R84" s="16"/>
      <c r="S84" s="16"/>
      <c r="V84" s="16"/>
      <c r="W84" s="16"/>
      <c r="X84" s="16"/>
      <c r="Y84" s="16"/>
      <c r="Z84" s="16"/>
      <c r="AA84" s="16"/>
    </row>
    <row r="85" spans="1:30" ht="15.75" customHeight="1">
      <c r="A85" s="231"/>
      <c r="B85" s="231"/>
      <c r="C85" s="232"/>
      <c r="D85" s="261"/>
      <c r="E85" s="245"/>
      <c r="F85" s="326">
        <f>'Linea Recta'!$D85*'Linea Recta'!$E85</f>
        <v>0</v>
      </c>
      <c r="G85" s="245"/>
      <c r="H85" s="332" t="str">
        <f>IF($B85= "","-",IF($B85= "External","Specify location tariff", INDEX(Constants!$3:$3,MATCH($B85,Constants!$2:$2,0))))</f>
        <v>-</v>
      </c>
      <c r="I85" s="333" t="str">
        <f t="shared" si="2"/>
        <v>-</v>
      </c>
      <c r="J85" s="247"/>
      <c r="K85" s="613"/>
      <c r="L85" s="562"/>
      <c r="M85" s="562"/>
      <c r="N85" s="562"/>
      <c r="O85" s="614"/>
      <c r="P85" s="566"/>
      <c r="Q85" s="567"/>
      <c r="R85" s="16"/>
      <c r="S85" s="16"/>
      <c r="V85" s="16"/>
      <c r="W85" s="16"/>
      <c r="X85" s="16"/>
      <c r="Y85" s="16"/>
      <c r="Z85" s="16"/>
      <c r="AA85" s="16"/>
    </row>
    <row r="86" spans="1:30" ht="15.75" customHeight="1">
      <c r="A86" s="231"/>
      <c r="B86" s="231"/>
      <c r="C86" s="232"/>
      <c r="D86" s="261"/>
      <c r="E86" s="245"/>
      <c r="F86" s="326">
        <f>'Linea Recta'!$D86*'Linea Recta'!$E86</f>
        <v>0</v>
      </c>
      <c r="G86" s="245"/>
      <c r="H86" s="332" t="str">
        <f>IF($B86= "","-",IF($B86= "External","Specify location tariff", INDEX(Constants!$3:$3,MATCH($B86,Constants!$2:$2,0))))</f>
        <v>-</v>
      </c>
      <c r="I86" s="333" t="str">
        <f t="shared" si="2"/>
        <v>-</v>
      </c>
      <c r="J86" s="247"/>
      <c r="K86" s="613"/>
      <c r="L86" s="562"/>
      <c r="M86" s="562"/>
      <c r="N86" s="562"/>
      <c r="O86" s="614"/>
      <c r="P86" s="566"/>
      <c r="Q86" s="567"/>
      <c r="R86" s="16"/>
      <c r="S86" s="16"/>
      <c r="V86" s="16"/>
      <c r="W86" s="16"/>
      <c r="X86" s="16"/>
      <c r="Y86" s="16"/>
      <c r="Z86" s="16"/>
      <c r="AA86" s="16"/>
    </row>
    <row r="87" spans="1:30" ht="15.75" customHeight="1" thickBot="1">
      <c r="A87" s="231"/>
      <c r="B87" s="231"/>
      <c r="C87" s="232"/>
      <c r="D87" s="261"/>
      <c r="E87" s="245"/>
      <c r="F87" s="326">
        <f>'Linea Recta'!$D87*'Linea Recta'!$E87</f>
        <v>0</v>
      </c>
      <c r="G87" s="245"/>
      <c r="H87" s="332" t="str">
        <f>IF($B87= "","-",IF($B87= "External","Specify location tariff", INDEX(Constants!$3:$3,MATCH($B87,Constants!$2:$2,0))))</f>
        <v>-</v>
      </c>
      <c r="I87" s="333" t="str">
        <f t="shared" si="2"/>
        <v>-</v>
      </c>
      <c r="J87" s="247"/>
      <c r="K87" s="615"/>
      <c r="L87" s="616"/>
      <c r="M87" s="616"/>
      <c r="N87" s="616"/>
      <c r="O87" s="617"/>
      <c r="P87" s="568"/>
      <c r="Q87" s="569"/>
      <c r="R87" s="16"/>
      <c r="S87" s="16"/>
      <c r="V87" s="16"/>
      <c r="W87" s="16"/>
      <c r="X87" s="16"/>
      <c r="Y87" s="16"/>
      <c r="Z87" s="16"/>
      <c r="AA87" s="16"/>
    </row>
    <row r="88" spans="1:30" ht="15.75" customHeight="1" thickTop="1">
      <c r="A88" s="15"/>
      <c r="B88" s="16"/>
      <c r="C88" s="16"/>
      <c r="D88" s="16"/>
      <c r="E88" s="16"/>
      <c r="F88" s="16"/>
      <c r="G88" s="16"/>
      <c r="H88" s="16"/>
      <c r="I88" s="16"/>
      <c r="J88" s="16"/>
      <c r="K88" s="16"/>
      <c r="L88" s="16"/>
      <c r="M88" s="16"/>
      <c r="N88" s="16"/>
      <c r="O88" s="16"/>
      <c r="P88" s="16"/>
      <c r="Q88" s="16"/>
      <c r="R88" s="16"/>
      <c r="S88" s="16"/>
      <c r="T88" s="16"/>
      <c r="U88" s="16"/>
      <c r="V88" s="16"/>
      <c r="W88" s="16"/>
      <c r="X88" s="16"/>
      <c r="Y88" s="16"/>
      <c r="Z88" s="16"/>
      <c r="AA88" s="16"/>
      <c r="AB88" s="16"/>
      <c r="AC88" s="16"/>
      <c r="AD88" s="16"/>
    </row>
    <row r="89" spans="1:30" ht="15.75" customHeight="1">
      <c r="A89" s="15"/>
      <c r="B89" s="16"/>
      <c r="C89" s="16"/>
      <c r="D89" s="16"/>
      <c r="E89" s="16"/>
      <c r="F89" s="16"/>
      <c r="G89" s="16"/>
      <c r="H89" s="16"/>
      <c r="I89" s="16"/>
      <c r="J89" s="16"/>
      <c r="K89" s="16"/>
      <c r="L89" s="16"/>
      <c r="M89" s="16"/>
      <c r="N89" s="16"/>
      <c r="O89" s="16"/>
      <c r="P89" s="16"/>
      <c r="Q89" s="16"/>
      <c r="R89" s="16"/>
      <c r="S89" s="16"/>
      <c r="T89" s="16"/>
      <c r="U89" s="16"/>
      <c r="V89" s="16"/>
      <c r="W89" s="16"/>
      <c r="X89" s="16"/>
      <c r="Y89" s="16"/>
      <c r="Z89" s="16"/>
      <c r="AA89" s="16"/>
      <c r="AB89" s="16"/>
      <c r="AC89" s="16"/>
      <c r="AD89" s="16"/>
    </row>
    <row r="90" spans="1:30" ht="15.75" customHeight="1" thickBot="1">
      <c r="A90" s="186" t="s">
        <v>519</v>
      </c>
      <c r="B90" s="16"/>
      <c r="C90" s="128"/>
      <c r="D90" s="51"/>
      <c r="E90" s="51"/>
      <c r="F90" s="51"/>
      <c r="G90" s="51"/>
      <c r="H90" s="51"/>
      <c r="I90" s="51"/>
      <c r="J90" s="51"/>
      <c r="K90" s="51"/>
      <c r="L90" s="232"/>
      <c r="M90" s="231"/>
      <c r="N90" s="16"/>
      <c r="O90" s="16"/>
      <c r="P90" s="16"/>
      <c r="Q90" s="16"/>
      <c r="R90" s="16"/>
      <c r="S90" s="16"/>
      <c r="T90" s="16"/>
      <c r="U90" s="16"/>
      <c r="V90" s="16"/>
      <c r="W90" s="16"/>
      <c r="X90" s="16"/>
      <c r="Y90" s="16"/>
      <c r="Z90" s="16"/>
      <c r="AA90" s="16"/>
      <c r="AB90" s="16"/>
      <c r="AC90" s="16"/>
      <c r="AD90" s="16"/>
    </row>
    <row r="91" spans="1:30" ht="15" customHeight="1" thickTop="1" thickBot="1">
      <c r="A91" s="230" t="s">
        <v>438</v>
      </c>
      <c r="B91" s="230" t="s">
        <v>439</v>
      </c>
      <c r="C91" s="230" t="s">
        <v>520</v>
      </c>
      <c r="D91" s="230" t="s">
        <v>521</v>
      </c>
      <c r="E91" s="230" t="s">
        <v>522</v>
      </c>
      <c r="F91" s="230" t="s">
        <v>523</v>
      </c>
      <c r="G91" s="230" t="s">
        <v>508</v>
      </c>
      <c r="H91" s="721" t="s">
        <v>441</v>
      </c>
      <c r="I91" s="728"/>
      <c r="J91" s="729" t="s">
        <v>434</v>
      </c>
      <c r="K91" s="730"/>
      <c r="L91" s="16"/>
      <c r="M91" s="16"/>
      <c r="N91" s="16"/>
      <c r="O91" s="16"/>
      <c r="P91" s="117"/>
      <c r="Q91" s="15"/>
      <c r="R91" s="16"/>
      <c r="S91" s="130"/>
      <c r="T91" s="16"/>
      <c r="U91" s="16"/>
      <c r="V91" s="16"/>
      <c r="W91" s="241"/>
      <c r="X91" s="16"/>
      <c r="Y91" s="16"/>
      <c r="Z91" s="16"/>
      <c r="AA91" s="16"/>
      <c r="AB91" s="16"/>
    </row>
    <row r="92" spans="1:30" ht="14.25" customHeight="1" thickTop="1">
      <c r="A92" s="231" t="s">
        <v>1253</v>
      </c>
      <c r="B92" s="248" t="s">
        <v>279</v>
      </c>
      <c r="C92" s="246">
        <v>16.25</v>
      </c>
      <c r="D92" s="382">
        <v>2</v>
      </c>
      <c r="E92" s="245">
        <v>8</v>
      </c>
      <c r="F92" s="246">
        <f>IF(Table_6170158[[#This Row],[Item]]="",0,Table_6170158[[#This Row],[Amount]]*Table_6170158[[#This Row],[Purchase / Running costs]])</f>
        <v>130</v>
      </c>
      <c r="G92" s="247"/>
      <c r="H92" s="653"/>
      <c r="I92" s="750"/>
      <c r="J92" s="628" t="s">
        <v>526</v>
      </c>
      <c r="K92" s="730"/>
      <c r="L92" s="16"/>
      <c r="M92" s="16"/>
      <c r="N92" s="16"/>
      <c r="O92" s="16"/>
      <c r="P92" s="16"/>
      <c r="Q92" s="133"/>
      <c r="R92" s="16"/>
      <c r="S92" s="16"/>
      <c r="T92" s="16"/>
      <c r="U92" s="16"/>
      <c r="V92" s="16"/>
      <c r="W92" s="16"/>
      <c r="X92" s="16"/>
      <c r="Y92" s="16"/>
      <c r="Z92" s="16"/>
      <c r="AA92" s="16"/>
      <c r="AB92" s="16"/>
    </row>
    <row r="93" spans="1:30" ht="15.75" customHeight="1">
      <c r="A93" s="231" t="s">
        <v>1254</v>
      </c>
      <c r="B93" s="248" t="s">
        <v>279</v>
      </c>
      <c r="C93" s="246">
        <v>5</v>
      </c>
      <c r="D93" s="426" t="s">
        <v>1255</v>
      </c>
      <c r="E93" s="245">
        <v>5</v>
      </c>
      <c r="F93" s="246">
        <f>IF(Table_6170158[[#This Row],[Item]]="",0,Table_6170158[[#This Row],[Amount]]*Table_6170158[[#This Row],[Purchase / Running costs]])</f>
        <v>25</v>
      </c>
      <c r="G93" s="247"/>
      <c r="H93" s="744"/>
      <c r="I93" s="751"/>
      <c r="J93" s="702"/>
      <c r="K93" s="732"/>
      <c r="L93" s="16"/>
      <c r="M93" s="16"/>
      <c r="N93" s="16"/>
      <c r="O93" s="16"/>
      <c r="P93" s="16"/>
      <c r="Q93" s="16"/>
      <c r="R93" s="16"/>
      <c r="S93" s="16"/>
      <c r="T93" s="16"/>
      <c r="U93" s="16"/>
      <c r="V93" s="16"/>
      <c r="W93" s="16"/>
      <c r="X93" s="16"/>
      <c r="Y93" s="16"/>
      <c r="Z93" s="16"/>
      <c r="AA93" s="16"/>
      <c r="AB93" s="16"/>
    </row>
    <row r="94" spans="1:30" ht="15.75" customHeight="1">
      <c r="A94" s="231"/>
      <c r="B94" s="248"/>
      <c r="C94" s="246">
        <v>0</v>
      </c>
      <c r="D94" s="382"/>
      <c r="E94" s="245"/>
      <c r="F94" s="246">
        <f>IF(Table_6170158[[#This Row],[Item]]="",0,Table_6170158[[#This Row],[Amount]]*Table_6170158[[#This Row],[Purchase / Running costs]])</f>
        <v>0</v>
      </c>
      <c r="G94" s="247"/>
      <c r="H94" s="744"/>
      <c r="I94" s="751"/>
      <c r="J94" s="702"/>
      <c r="K94" s="732"/>
      <c r="L94" s="16"/>
      <c r="M94" s="16"/>
      <c r="N94" s="16"/>
      <c r="O94" s="16"/>
      <c r="P94" s="16"/>
      <c r="Q94" s="16"/>
      <c r="R94" s="16"/>
      <c r="S94" s="16"/>
      <c r="T94" s="16"/>
      <c r="U94" s="16"/>
      <c r="V94" s="16"/>
      <c r="W94" s="16"/>
      <c r="X94" s="16"/>
      <c r="Y94" s="16"/>
      <c r="Z94" s="16"/>
      <c r="AA94" s="16"/>
      <c r="AB94" s="16"/>
    </row>
    <row r="95" spans="1:30" ht="15.75" customHeight="1">
      <c r="A95" s="231"/>
      <c r="B95" s="248"/>
      <c r="C95" s="246">
        <v>0</v>
      </c>
      <c r="D95" s="382"/>
      <c r="E95" s="245"/>
      <c r="F95" s="246">
        <f>IF(Table_6170158[[#This Row],[Item]]="",0,Table_6170158[[#This Row],[Amount]]*Table_6170158[[#This Row],[Purchase / Running costs]])</f>
        <v>0</v>
      </c>
      <c r="G95" s="247"/>
      <c r="H95" s="744"/>
      <c r="I95" s="751"/>
      <c r="J95" s="702"/>
      <c r="K95" s="732"/>
      <c r="L95" s="16"/>
      <c r="M95" s="16"/>
      <c r="N95" s="16"/>
      <c r="O95" s="16"/>
      <c r="P95" s="16"/>
      <c r="Q95" s="16"/>
      <c r="R95" s="16"/>
      <c r="S95" s="16"/>
      <c r="T95" s="16"/>
      <c r="U95" s="16"/>
      <c r="V95" s="16"/>
      <c r="W95" s="16"/>
      <c r="X95" s="16"/>
      <c r="Y95" s="16"/>
      <c r="Z95" s="16"/>
      <c r="AA95" s="16"/>
      <c r="AB95" s="16"/>
    </row>
    <row r="96" spans="1:30" ht="15.75" customHeight="1">
      <c r="A96" s="231"/>
      <c r="B96" s="248"/>
      <c r="C96" s="246">
        <v>0</v>
      </c>
      <c r="D96" s="382"/>
      <c r="E96" s="245"/>
      <c r="F96" s="246">
        <f>IF(Table_6170158[[#This Row],[Item]]="",0,Table_6170158[[#This Row],[Amount]]*Table_6170158[[#This Row],[Purchase / Running costs]])</f>
        <v>0</v>
      </c>
      <c r="G96" s="247"/>
      <c r="H96" s="744"/>
      <c r="I96" s="751"/>
      <c r="J96" s="702"/>
      <c r="K96" s="732"/>
      <c r="L96" s="16"/>
      <c r="M96" s="16"/>
      <c r="N96" s="16"/>
      <c r="O96" s="16"/>
      <c r="P96" s="16"/>
      <c r="Q96" s="16"/>
      <c r="R96" s="16"/>
      <c r="S96" s="16"/>
      <c r="T96" s="16"/>
      <c r="U96" s="16"/>
      <c r="V96" s="16"/>
      <c r="W96" s="16"/>
      <c r="X96" s="16"/>
      <c r="Y96" s="16"/>
      <c r="Z96" s="16"/>
      <c r="AA96" s="16"/>
      <c r="AB96" s="16"/>
    </row>
    <row r="97" spans="1:30" ht="15.75" customHeight="1">
      <c r="A97" s="231"/>
      <c r="B97" s="248"/>
      <c r="C97" s="246">
        <v>0</v>
      </c>
      <c r="D97" s="382"/>
      <c r="E97" s="245"/>
      <c r="F97" s="246">
        <f>IF(Table_6170158[[#This Row],[Item]]="",0,Table_6170158[[#This Row],[Amount]]*Table_6170158[[#This Row],[Purchase / Running costs]])</f>
        <v>0</v>
      </c>
      <c r="G97" s="247"/>
      <c r="H97" s="744"/>
      <c r="I97" s="751"/>
      <c r="J97" s="702"/>
      <c r="K97" s="732"/>
      <c r="L97" s="16"/>
      <c r="M97" s="16"/>
      <c r="N97" s="16"/>
      <c r="O97" s="16"/>
      <c r="P97" s="16"/>
      <c r="Q97" s="16"/>
      <c r="R97" s="16"/>
      <c r="S97" s="16"/>
      <c r="T97" s="16"/>
      <c r="U97" s="16"/>
      <c r="V97" s="16"/>
      <c r="W97" s="16"/>
      <c r="X97" s="16"/>
      <c r="Y97" s="16"/>
      <c r="Z97" s="16"/>
      <c r="AA97" s="16"/>
      <c r="AB97" s="16"/>
    </row>
    <row r="98" spans="1:30" ht="15.75" customHeight="1">
      <c r="A98" s="231"/>
      <c r="B98" s="244"/>
      <c r="C98" s="246">
        <v>0</v>
      </c>
      <c r="D98" s="382"/>
      <c r="E98" s="245"/>
      <c r="F98" s="246">
        <f>IF(Table_6170158[[#This Row],[Item]]="",0,Table_6170158[[#This Row],[Amount]]*Table_6170158[[#This Row],[Purchase / Running costs]])</f>
        <v>0</v>
      </c>
      <c r="G98" s="247"/>
      <c r="H98" s="744"/>
      <c r="I98" s="751"/>
      <c r="J98" s="702"/>
      <c r="K98" s="732"/>
      <c r="L98" s="16"/>
      <c r="M98" s="16"/>
      <c r="N98" s="16"/>
      <c r="O98" s="16"/>
      <c r="P98" s="16"/>
      <c r="Q98" s="16"/>
      <c r="R98" s="16"/>
      <c r="S98" s="16"/>
      <c r="T98" s="16"/>
      <c r="U98" s="16"/>
      <c r="V98" s="16"/>
      <c r="W98" s="16"/>
      <c r="X98" s="16"/>
      <c r="Y98" s="16"/>
      <c r="Z98" s="16"/>
      <c r="AA98" s="16"/>
      <c r="AB98" s="16"/>
    </row>
    <row r="99" spans="1:30" ht="15.75" customHeight="1">
      <c r="A99" s="231"/>
      <c r="B99" s="244"/>
      <c r="C99" s="246">
        <v>0</v>
      </c>
      <c r="D99" s="382"/>
      <c r="E99" s="245"/>
      <c r="F99" s="246">
        <f>IF(Table_6170158[[#This Row],[Item]]="",0,Table_6170158[[#This Row],[Amount]]*Table_6170158[[#This Row],[Purchase / Running costs]])</f>
        <v>0</v>
      </c>
      <c r="G99" s="247"/>
      <c r="H99" s="744"/>
      <c r="I99" s="751"/>
      <c r="J99" s="702"/>
      <c r="K99" s="732"/>
      <c r="L99" s="16"/>
      <c r="M99" s="16"/>
      <c r="N99" s="16"/>
      <c r="O99" s="16"/>
      <c r="P99" s="16"/>
      <c r="Q99" s="16"/>
      <c r="R99" s="16"/>
      <c r="S99" s="16"/>
      <c r="T99" s="16"/>
      <c r="U99" s="16"/>
      <c r="V99" s="16"/>
      <c r="W99" s="16"/>
      <c r="X99" s="16"/>
      <c r="Y99" s="16"/>
      <c r="Z99" s="16"/>
      <c r="AA99" s="16"/>
      <c r="AB99" s="16"/>
    </row>
    <row r="100" spans="1:30" ht="15.75" customHeight="1">
      <c r="A100" s="231"/>
      <c r="B100" s="244"/>
      <c r="C100" s="246">
        <v>0</v>
      </c>
      <c r="D100" s="382"/>
      <c r="E100" s="245"/>
      <c r="F100" s="246">
        <f>IF(Table_6170158[[#This Row],[Item]]="",0,Table_6170158[[#This Row],[Amount]]*Table_6170158[[#This Row],[Purchase / Running costs]])</f>
        <v>0</v>
      </c>
      <c r="G100" s="247"/>
      <c r="H100" s="744"/>
      <c r="I100" s="751"/>
      <c r="J100" s="702"/>
      <c r="K100" s="732"/>
      <c r="L100" s="16"/>
      <c r="M100" s="16"/>
      <c r="N100" s="16"/>
      <c r="O100" s="16"/>
      <c r="P100" s="16"/>
      <c r="Q100" s="16"/>
      <c r="R100" s="16"/>
      <c r="S100" s="16"/>
      <c r="T100" s="16"/>
      <c r="U100" s="16"/>
      <c r="V100" s="16"/>
      <c r="W100" s="16"/>
      <c r="X100" s="16"/>
      <c r="Y100" s="16"/>
      <c r="Z100" s="16"/>
      <c r="AA100" s="16"/>
      <c r="AB100" s="16"/>
    </row>
    <row r="101" spans="1:30" ht="15.75" customHeight="1">
      <c r="A101" s="231"/>
      <c r="B101" s="244"/>
      <c r="C101" s="246">
        <v>0</v>
      </c>
      <c r="D101" s="382"/>
      <c r="E101" s="245"/>
      <c r="F101" s="246">
        <f>IF(Table_6170158[[#This Row],[Item]]="",0,Table_6170158[[#This Row],[Amount]]*Table_6170158[[#This Row],[Purchase / Running costs]])</f>
        <v>0</v>
      </c>
      <c r="G101" s="247"/>
      <c r="H101" s="744"/>
      <c r="I101" s="751"/>
      <c r="J101" s="702"/>
      <c r="K101" s="732"/>
      <c r="L101" s="16"/>
      <c r="M101" s="16"/>
      <c r="N101" s="16"/>
      <c r="O101" s="16"/>
      <c r="P101" s="16"/>
      <c r="Q101" s="16"/>
      <c r="R101" s="16"/>
      <c r="S101" s="16"/>
      <c r="T101" s="16"/>
      <c r="U101" s="16"/>
      <c r="V101" s="16"/>
      <c r="W101" s="16"/>
      <c r="X101" s="16"/>
      <c r="Y101" s="16"/>
      <c r="Z101" s="16"/>
      <c r="AA101" s="16"/>
      <c r="AB101" s="16"/>
    </row>
    <row r="102" spans="1:30" ht="15.75" customHeight="1">
      <c r="A102" s="231"/>
      <c r="B102" s="244"/>
      <c r="C102" s="246">
        <v>0</v>
      </c>
      <c r="D102" s="382"/>
      <c r="E102" s="245"/>
      <c r="F102" s="246">
        <f>IF(Table_6170158[[#This Row],[Item]]="",0,Table_6170158[[#This Row],[Amount]]*Table_6170158[[#This Row],[Purchase / Running costs]])</f>
        <v>0</v>
      </c>
      <c r="G102" s="247"/>
      <c r="H102" s="744"/>
      <c r="I102" s="751"/>
      <c r="J102" s="702"/>
      <c r="K102" s="732"/>
      <c r="L102" s="16"/>
      <c r="M102" s="16"/>
      <c r="N102" s="16"/>
      <c r="O102" s="16"/>
      <c r="P102" s="16"/>
      <c r="Q102" s="16"/>
      <c r="R102" s="16"/>
      <c r="S102" s="16"/>
      <c r="T102" s="16"/>
      <c r="U102" s="16"/>
      <c r="V102" s="16"/>
      <c r="W102" s="16"/>
      <c r="X102" s="16"/>
      <c r="Y102" s="16"/>
      <c r="Z102" s="16"/>
      <c r="AA102" s="16"/>
      <c r="AB102" s="16"/>
    </row>
    <row r="103" spans="1:30" ht="15.75" customHeight="1">
      <c r="A103" s="231"/>
      <c r="B103" s="244"/>
      <c r="C103" s="246">
        <v>0</v>
      </c>
      <c r="D103" s="382"/>
      <c r="E103" s="245"/>
      <c r="F103" s="246">
        <f>IF(Table_6170158[[#This Row],[Item]]="",0,Table_6170158[[#This Row],[Amount]]*Table_6170158[[#This Row],[Purchase / Running costs]])</f>
        <v>0</v>
      </c>
      <c r="G103" s="247"/>
      <c r="H103" s="744"/>
      <c r="I103" s="751"/>
      <c r="J103" s="702"/>
      <c r="K103" s="732"/>
      <c r="L103" s="16"/>
      <c r="M103" s="16"/>
      <c r="N103" s="16"/>
      <c r="O103" s="16"/>
      <c r="P103" s="16"/>
      <c r="Q103" s="16"/>
      <c r="R103" s="16"/>
      <c r="S103" s="16"/>
      <c r="T103" s="16"/>
      <c r="U103" s="16"/>
      <c r="V103" s="16"/>
      <c r="W103" s="16"/>
      <c r="X103" s="16"/>
      <c r="Y103" s="16"/>
      <c r="Z103" s="16"/>
      <c r="AA103" s="16"/>
      <c r="AB103" s="16"/>
    </row>
    <row r="104" spans="1:30" ht="15.75" customHeight="1">
      <c r="A104" s="231"/>
      <c r="B104" s="244"/>
      <c r="C104" s="246">
        <v>0</v>
      </c>
      <c r="D104" s="382"/>
      <c r="E104" s="245"/>
      <c r="F104" s="246">
        <f>IF(Table_6170158[[#This Row],[Item]]="",0,Table_6170158[[#This Row],[Amount]]*Table_6170158[[#This Row],[Purchase / Running costs]])</f>
        <v>0</v>
      </c>
      <c r="G104" s="247"/>
      <c r="H104" s="744"/>
      <c r="I104" s="751"/>
      <c r="J104" s="702"/>
      <c r="K104" s="732"/>
      <c r="L104" s="16"/>
      <c r="M104" s="16"/>
      <c r="N104" s="16"/>
      <c r="O104" s="16"/>
      <c r="P104" s="16"/>
      <c r="Q104" s="16"/>
      <c r="R104" s="16"/>
      <c r="S104" s="16"/>
      <c r="T104" s="16"/>
      <c r="U104" s="16"/>
      <c r="V104" s="16"/>
      <c r="W104" s="16"/>
      <c r="X104" s="16"/>
      <c r="Y104" s="16"/>
      <c r="Z104" s="16"/>
      <c r="AA104" s="16"/>
      <c r="AB104" s="16"/>
    </row>
    <row r="105" spans="1:30" ht="15.75" customHeight="1" thickBot="1">
      <c r="A105" s="231"/>
      <c r="B105" s="244"/>
      <c r="C105" s="246">
        <v>0</v>
      </c>
      <c r="D105" s="382"/>
      <c r="E105" s="245"/>
      <c r="F105" s="246">
        <f>IF(Table_6170158[[#This Row],[Item]]="",0,Table_6170158[[#This Row],[Amount]]*Table_6170158[[#This Row],[Purchase / Running costs]])</f>
        <v>0</v>
      </c>
      <c r="G105" s="247"/>
      <c r="H105" s="747"/>
      <c r="I105" s="748"/>
      <c r="J105" s="752"/>
      <c r="K105" s="734"/>
      <c r="L105" s="16"/>
      <c r="M105" s="16"/>
      <c r="N105" s="16"/>
      <c r="O105" s="16"/>
      <c r="P105" s="16"/>
      <c r="Q105" s="16"/>
      <c r="R105" s="16"/>
      <c r="S105" s="16"/>
      <c r="T105" s="16"/>
      <c r="U105" s="16"/>
      <c r="V105" s="16"/>
      <c r="W105" s="16"/>
      <c r="X105" s="16"/>
      <c r="Y105" s="16"/>
      <c r="Z105" s="16"/>
      <c r="AA105" s="16"/>
      <c r="AB105" s="16"/>
    </row>
    <row r="106" spans="1:30" ht="15.75" customHeight="1" thickTop="1">
      <c r="A106" s="15"/>
      <c r="B106" s="131"/>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c r="AD106" s="16"/>
    </row>
    <row r="107" spans="1:30" ht="15.75" customHeight="1">
      <c r="A107" s="15"/>
      <c r="B107" s="131"/>
      <c r="C107" s="16"/>
      <c r="D107" s="16"/>
      <c r="E107" s="16"/>
      <c r="F107" s="16"/>
      <c r="G107" s="16"/>
      <c r="I107" s="16"/>
      <c r="J107" s="16"/>
      <c r="K107" s="16"/>
      <c r="L107" s="16"/>
      <c r="M107" s="16"/>
      <c r="N107" s="16"/>
      <c r="O107" s="16"/>
      <c r="P107" s="16"/>
      <c r="Q107" s="16"/>
      <c r="R107" s="16"/>
      <c r="S107" s="16"/>
      <c r="T107" s="16"/>
      <c r="U107" s="16"/>
      <c r="V107" s="16"/>
      <c r="W107" s="16"/>
      <c r="X107" s="16"/>
      <c r="Y107" s="16"/>
      <c r="Z107" s="16"/>
      <c r="AA107" s="16"/>
      <c r="AB107" s="16"/>
      <c r="AC107" s="16"/>
      <c r="AD107" s="16"/>
    </row>
    <row r="108" spans="1:30" ht="15.75" customHeight="1">
      <c r="H108" s="51"/>
      <c r="I108" s="51"/>
      <c r="J108" s="51"/>
      <c r="K108" s="51"/>
      <c r="L108" s="16"/>
      <c r="M108" s="16"/>
      <c r="N108" s="16"/>
      <c r="O108" s="16"/>
      <c r="P108" s="16"/>
      <c r="Q108" s="16"/>
      <c r="R108" s="16"/>
      <c r="S108" s="16"/>
      <c r="T108" s="16"/>
      <c r="U108" s="16"/>
      <c r="V108" s="16"/>
      <c r="W108" s="16"/>
      <c r="X108" s="16"/>
      <c r="Y108" s="16"/>
      <c r="Z108" s="16"/>
      <c r="AA108" s="16"/>
      <c r="AB108" s="16"/>
      <c r="AC108" s="16"/>
      <c r="AD108" s="16"/>
    </row>
    <row r="109" spans="1:30" ht="15.75" customHeight="1">
      <c r="L109" s="16"/>
      <c r="M109" s="16"/>
      <c r="N109" s="16"/>
      <c r="O109" s="16"/>
      <c r="P109" s="16"/>
      <c r="Q109" s="16"/>
      <c r="R109" s="16"/>
      <c r="S109" s="16"/>
      <c r="T109" s="16"/>
      <c r="U109" s="16"/>
      <c r="V109" s="16"/>
      <c r="W109" s="16"/>
      <c r="X109" s="16"/>
      <c r="Y109" s="16"/>
      <c r="Z109" s="16"/>
      <c r="AA109" s="16"/>
      <c r="AB109" s="16"/>
      <c r="AC109" s="16"/>
      <c r="AD109" s="16"/>
    </row>
    <row r="110" spans="1:30" ht="15.75" customHeight="1">
      <c r="L110" s="16"/>
      <c r="M110" s="16"/>
      <c r="N110" s="16"/>
      <c r="O110" s="16"/>
      <c r="P110" s="16"/>
      <c r="Q110" s="16"/>
      <c r="R110" s="16"/>
      <c r="S110" s="16"/>
      <c r="T110" s="16"/>
      <c r="U110" s="16"/>
      <c r="V110" s="16"/>
      <c r="W110" s="16"/>
      <c r="X110" s="16"/>
      <c r="Y110" s="16"/>
      <c r="Z110" s="16"/>
      <c r="AA110" s="16"/>
      <c r="AB110" s="16"/>
      <c r="AC110" s="16"/>
      <c r="AD110" s="16"/>
    </row>
    <row r="111" spans="1:30" ht="15.75" customHeight="1">
      <c r="L111" s="16"/>
      <c r="M111" s="16"/>
      <c r="N111" s="16"/>
      <c r="O111" s="16"/>
      <c r="P111" s="16"/>
      <c r="Q111" s="16"/>
      <c r="R111" s="16"/>
      <c r="S111" s="16"/>
      <c r="T111" s="16"/>
      <c r="U111" s="16"/>
      <c r="V111" s="16"/>
      <c r="W111" s="16"/>
      <c r="X111" s="16"/>
      <c r="Y111" s="16"/>
      <c r="Z111" s="16"/>
      <c r="AA111" s="16"/>
      <c r="AB111" s="16"/>
      <c r="AC111" s="16"/>
      <c r="AD111" s="16"/>
    </row>
    <row r="112" spans="1:30" ht="15.75" customHeight="1">
      <c r="L112" s="16"/>
      <c r="M112" s="16"/>
      <c r="N112" s="16"/>
      <c r="O112" s="16"/>
      <c r="P112" s="16"/>
      <c r="Q112" s="16"/>
      <c r="R112" s="16"/>
      <c r="S112" s="16"/>
      <c r="T112" s="16"/>
      <c r="U112" s="16"/>
      <c r="V112" s="16"/>
      <c r="W112" s="16"/>
      <c r="X112" s="16"/>
      <c r="Y112" s="16"/>
      <c r="Z112" s="16"/>
      <c r="AA112" s="16"/>
      <c r="AB112" s="16"/>
      <c r="AC112" s="16"/>
      <c r="AD112" s="16"/>
    </row>
    <row r="113" spans="1:30" ht="15.75" customHeight="1">
      <c r="L113" s="16"/>
      <c r="M113" s="16"/>
      <c r="N113" s="16"/>
      <c r="O113" s="16"/>
      <c r="P113" s="16"/>
      <c r="Q113" s="16"/>
      <c r="R113" s="16"/>
      <c r="S113" s="16"/>
      <c r="T113" s="16"/>
      <c r="U113" s="16"/>
      <c r="V113" s="16"/>
      <c r="W113" s="16"/>
      <c r="X113" s="16"/>
      <c r="Y113" s="16"/>
      <c r="Z113" s="16"/>
      <c r="AA113" s="16"/>
      <c r="AB113" s="16"/>
      <c r="AC113" s="16"/>
      <c r="AD113" s="16"/>
    </row>
    <row r="114" spans="1:30" ht="15.75" customHeight="1">
      <c r="L114" s="16"/>
      <c r="M114" s="16"/>
      <c r="N114" s="16"/>
      <c r="O114" s="16"/>
      <c r="P114" s="16"/>
      <c r="Q114" s="16"/>
      <c r="R114" s="16"/>
      <c r="S114" s="16"/>
      <c r="T114" s="16"/>
      <c r="U114" s="16"/>
      <c r="V114" s="16"/>
      <c r="W114" s="16"/>
      <c r="X114" s="16"/>
      <c r="Y114" s="16"/>
      <c r="Z114" s="16"/>
      <c r="AA114" s="16"/>
      <c r="AB114" s="16"/>
      <c r="AC114" s="16"/>
      <c r="AD114" s="16"/>
    </row>
    <row r="115" spans="1:30" ht="15.75" customHeight="1">
      <c r="L115" s="16"/>
      <c r="M115" s="16"/>
      <c r="N115" s="16"/>
      <c r="O115" s="16"/>
      <c r="P115" s="735"/>
      <c r="Q115" s="696"/>
      <c r="R115" s="696"/>
      <c r="S115" s="16"/>
      <c r="T115" s="16"/>
      <c r="U115" s="16"/>
      <c r="V115" s="16"/>
      <c r="W115" s="16"/>
      <c r="X115" s="16"/>
      <c r="Y115" s="16"/>
      <c r="Z115" s="16"/>
      <c r="AA115" s="16"/>
      <c r="AB115" s="16"/>
      <c r="AC115" s="16"/>
      <c r="AD115" s="16"/>
    </row>
    <row r="116" spans="1:30" ht="15.75" customHeight="1">
      <c r="L116" s="16"/>
      <c r="M116" s="16"/>
      <c r="N116" s="16"/>
      <c r="O116" s="16"/>
      <c r="P116" s="735"/>
      <c r="Q116" s="696"/>
      <c r="R116" s="696"/>
      <c r="S116" s="16"/>
      <c r="T116" s="16"/>
      <c r="U116" s="16"/>
      <c r="V116" s="16"/>
      <c r="W116" s="16"/>
      <c r="X116" s="16"/>
      <c r="Y116" s="16"/>
      <c r="Z116" s="16"/>
      <c r="AA116" s="16"/>
      <c r="AB116" s="16"/>
      <c r="AC116" s="16"/>
      <c r="AD116" s="16"/>
    </row>
    <row r="117" spans="1:30" ht="15.75" customHeight="1">
      <c r="L117" s="16"/>
      <c r="M117" s="16"/>
      <c r="N117" s="16"/>
      <c r="O117" s="16"/>
      <c r="P117" s="735"/>
      <c r="Q117" s="696"/>
      <c r="R117" s="696"/>
      <c r="S117" s="16"/>
      <c r="T117" s="16"/>
      <c r="U117" s="16"/>
      <c r="V117" s="16"/>
      <c r="W117" s="16"/>
      <c r="X117" s="16"/>
      <c r="Y117" s="16"/>
      <c r="Z117" s="16"/>
      <c r="AA117" s="16"/>
      <c r="AB117" s="16"/>
      <c r="AC117" s="16"/>
      <c r="AD117" s="16"/>
    </row>
    <row r="118" spans="1:30" ht="15.75" customHeight="1">
      <c r="L118" s="16"/>
      <c r="M118" s="16"/>
      <c r="N118" s="16"/>
      <c r="O118" s="16"/>
      <c r="P118" s="735"/>
      <c r="Q118" s="696"/>
      <c r="R118" s="696"/>
      <c r="S118" s="16"/>
      <c r="T118" s="16"/>
      <c r="U118" s="16"/>
      <c r="V118" s="16"/>
      <c r="W118" s="16"/>
      <c r="X118" s="16"/>
      <c r="Y118" s="16"/>
      <c r="Z118" s="16"/>
      <c r="AA118" s="16"/>
      <c r="AB118" s="16"/>
      <c r="AC118" s="16"/>
      <c r="AD118" s="16"/>
    </row>
    <row r="119" spans="1:30" ht="15.75" customHeight="1">
      <c r="L119" s="16"/>
      <c r="M119" s="16"/>
      <c r="N119" s="16"/>
      <c r="O119" s="16"/>
      <c r="P119" s="735"/>
      <c r="Q119" s="696"/>
      <c r="R119" s="696"/>
      <c r="S119" s="16"/>
      <c r="T119" s="16"/>
      <c r="U119" s="16"/>
      <c r="V119" s="16"/>
      <c r="W119" s="16"/>
      <c r="X119" s="16"/>
      <c r="Y119" s="16"/>
      <c r="Z119" s="16"/>
      <c r="AA119" s="16"/>
      <c r="AB119" s="16"/>
      <c r="AC119" s="16"/>
      <c r="AD119" s="16"/>
    </row>
    <row r="120" spans="1:30" ht="15.75" customHeight="1">
      <c r="L120" s="16"/>
      <c r="M120" s="16"/>
      <c r="N120" s="16"/>
      <c r="O120" s="16"/>
      <c r="P120" s="735"/>
      <c r="Q120" s="696"/>
      <c r="R120" s="696"/>
      <c r="S120" s="16"/>
      <c r="T120" s="16"/>
      <c r="U120" s="16"/>
      <c r="V120" s="16"/>
      <c r="W120" s="16"/>
      <c r="X120" s="16"/>
      <c r="Y120" s="16"/>
      <c r="Z120" s="16"/>
      <c r="AA120" s="16"/>
      <c r="AB120" s="16"/>
      <c r="AC120" s="16"/>
      <c r="AD120" s="16"/>
    </row>
    <row r="121" spans="1:30" ht="15.75" customHeight="1">
      <c r="H121" s="248"/>
      <c r="I121" s="248"/>
      <c r="J121" s="228"/>
      <c r="K121" s="228"/>
      <c r="L121" s="16"/>
      <c r="M121" s="16"/>
      <c r="N121" s="16"/>
      <c r="O121" s="16"/>
      <c r="P121" s="735"/>
      <c r="Q121" s="696"/>
      <c r="R121" s="696"/>
      <c r="S121" s="16"/>
      <c r="T121" s="16"/>
      <c r="U121" s="16"/>
      <c r="V121" s="16"/>
      <c r="W121" s="16"/>
      <c r="X121" s="16"/>
      <c r="Y121" s="16"/>
      <c r="Z121" s="16"/>
      <c r="AA121" s="16"/>
      <c r="AB121" s="16"/>
      <c r="AC121" s="16"/>
      <c r="AD121" s="16"/>
    </row>
    <row r="122" spans="1:30" ht="15.75" customHeight="1">
      <c r="A122" s="231"/>
      <c r="B122" s="231"/>
      <c r="C122" s="246"/>
      <c r="D122" s="247"/>
      <c r="E122" s="245"/>
      <c r="F122" s="246"/>
      <c r="G122" s="247"/>
      <c r="H122" s="248"/>
      <c r="I122" s="248"/>
      <c r="J122" s="228"/>
      <c r="K122" s="228"/>
      <c r="L122" s="16"/>
      <c r="M122" s="16"/>
      <c r="N122" s="16"/>
      <c r="O122" s="16"/>
      <c r="P122" s="16"/>
      <c r="Q122" s="16"/>
      <c r="R122" s="16"/>
      <c r="S122" s="16"/>
      <c r="T122" s="16"/>
      <c r="U122" s="16"/>
      <c r="V122" s="16"/>
      <c r="W122" s="16"/>
      <c r="X122" s="16"/>
      <c r="Y122" s="16"/>
      <c r="Z122" s="16"/>
      <c r="AA122" s="16"/>
      <c r="AB122" s="16"/>
      <c r="AC122" s="16"/>
      <c r="AD122" s="16"/>
    </row>
    <row r="123" spans="1:30" ht="15.75" customHeight="1">
      <c r="A123" s="231"/>
      <c r="B123" s="16"/>
      <c r="C123" s="246"/>
      <c r="D123" s="247"/>
      <c r="E123" s="245"/>
      <c r="F123" s="246"/>
      <c r="G123" s="247"/>
      <c r="H123" s="228"/>
      <c r="I123" s="228"/>
      <c r="J123" s="228"/>
      <c r="K123" s="228"/>
      <c r="L123" s="16"/>
      <c r="M123" s="735"/>
      <c r="N123" s="696"/>
      <c r="O123" s="696"/>
      <c r="P123" s="735"/>
      <c r="Q123" s="696"/>
      <c r="R123" s="696"/>
      <c r="S123" s="696"/>
      <c r="T123" s="696"/>
      <c r="U123" s="16"/>
      <c r="V123" s="16"/>
      <c r="W123" s="16"/>
      <c r="X123" s="16"/>
      <c r="Y123" s="16"/>
      <c r="Z123" s="16"/>
      <c r="AA123" s="16"/>
      <c r="AB123" s="16"/>
      <c r="AC123" s="16"/>
      <c r="AD123" s="16"/>
    </row>
    <row r="124" spans="1:30" ht="15.75" customHeight="1">
      <c r="A124" s="16"/>
      <c r="B124" s="16"/>
      <c r="C124" s="16"/>
      <c r="D124" s="16"/>
      <c r="E124" s="16"/>
      <c r="F124" s="16"/>
      <c r="G124" s="16"/>
      <c r="H124" s="16"/>
      <c r="I124" s="16"/>
      <c r="J124" s="16"/>
      <c r="K124" s="16"/>
      <c r="L124" s="16"/>
      <c r="M124" s="735"/>
      <c r="N124" s="696"/>
      <c r="O124" s="696"/>
      <c r="P124" s="735"/>
      <c r="Q124" s="696"/>
      <c r="R124" s="696"/>
      <c r="S124" s="696"/>
      <c r="T124" s="696"/>
      <c r="U124" s="16"/>
      <c r="V124" s="16"/>
      <c r="W124" s="16"/>
      <c r="X124" s="16"/>
      <c r="Y124" s="16"/>
      <c r="Z124" s="16"/>
      <c r="AA124" s="16"/>
      <c r="AB124" s="16"/>
      <c r="AC124" s="16"/>
      <c r="AD124" s="16"/>
    </row>
    <row r="125" spans="1:30" ht="15.75" customHeight="1">
      <c r="A125" s="16"/>
      <c r="B125" s="16"/>
      <c r="C125" s="16"/>
      <c r="D125" s="16"/>
      <c r="E125" s="16"/>
      <c r="F125" s="16"/>
      <c r="G125" s="16"/>
      <c r="H125" s="16"/>
      <c r="I125" s="16"/>
      <c r="J125" s="16"/>
      <c r="K125" s="16"/>
      <c r="L125" s="16"/>
      <c r="M125" s="735"/>
      <c r="N125" s="696"/>
      <c r="O125" s="696"/>
      <c r="P125" s="696"/>
      <c r="Q125" s="696"/>
      <c r="R125" s="696"/>
      <c r="S125" s="696"/>
      <c r="T125" s="696"/>
      <c r="U125" s="16"/>
      <c r="V125" s="16"/>
      <c r="W125" s="16"/>
      <c r="X125" s="16"/>
      <c r="Y125" s="16"/>
      <c r="Z125" s="16"/>
      <c r="AA125" s="16"/>
      <c r="AB125" s="16"/>
      <c r="AC125" s="16"/>
      <c r="AD125" s="16"/>
    </row>
    <row r="126" spans="1:30" ht="15.75" customHeight="1">
      <c r="A126" s="16"/>
      <c r="B126" s="16"/>
      <c r="C126" s="16"/>
      <c r="D126" s="16"/>
      <c r="E126" s="16"/>
      <c r="F126" s="16"/>
      <c r="G126" s="16"/>
      <c r="H126" s="16"/>
      <c r="I126" s="16"/>
      <c r="J126" s="16"/>
      <c r="K126" s="16"/>
      <c r="L126" s="16"/>
      <c r="M126" s="735"/>
      <c r="N126" s="696"/>
      <c r="O126" s="696"/>
      <c r="P126" s="696"/>
      <c r="Q126" s="696"/>
      <c r="R126" s="696"/>
      <c r="S126" s="696"/>
      <c r="T126" s="696"/>
      <c r="U126" s="16"/>
      <c r="V126" s="16"/>
      <c r="W126" s="16"/>
      <c r="X126" s="16"/>
      <c r="Y126" s="16"/>
      <c r="Z126" s="16"/>
      <c r="AA126" s="16"/>
      <c r="AB126" s="16"/>
      <c r="AC126" s="16"/>
      <c r="AD126" s="16"/>
    </row>
    <row r="127" spans="1:30" ht="15.75" customHeight="1">
      <c r="A127" s="16"/>
      <c r="B127" s="16"/>
      <c r="C127" s="16"/>
      <c r="D127" s="16"/>
      <c r="E127" s="16"/>
      <c r="F127" s="16"/>
      <c r="G127" s="16"/>
      <c r="H127" s="16"/>
      <c r="I127" s="16"/>
      <c r="J127" s="16"/>
      <c r="K127" s="16"/>
      <c r="L127" s="16"/>
      <c r="M127" s="735"/>
      <c r="N127" s="696"/>
      <c r="O127" s="696"/>
      <c r="P127" s="696"/>
      <c r="Q127" s="696"/>
      <c r="R127" s="696"/>
      <c r="S127" s="696"/>
      <c r="T127" s="696"/>
      <c r="U127" s="16"/>
      <c r="V127" s="16"/>
      <c r="W127" s="16"/>
      <c r="X127" s="16"/>
      <c r="Y127" s="16"/>
      <c r="Z127" s="16"/>
      <c r="AA127" s="16"/>
      <c r="AB127" s="16"/>
      <c r="AC127" s="16"/>
      <c r="AD127" s="16"/>
    </row>
    <row r="128" spans="1:30" ht="15.75" customHeight="1">
      <c r="A128" s="16"/>
      <c r="B128" s="16"/>
      <c r="C128" s="16"/>
      <c r="D128" s="16"/>
      <c r="E128" s="16"/>
      <c r="F128" s="16"/>
      <c r="G128" s="16"/>
      <c r="H128" s="16"/>
      <c r="I128" s="16"/>
      <c r="J128" s="16"/>
      <c r="K128" s="16"/>
      <c r="L128" s="16"/>
      <c r="M128" s="735"/>
      <c r="N128" s="696"/>
      <c r="O128" s="696"/>
      <c r="P128" s="696"/>
      <c r="Q128" s="696"/>
      <c r="R128" s="696"/>
      <c r="S128" s="696"/>
      <c r="T128" s="696"/>
      <c r="U128" s="16"/>
      <c r="V128" s="16"/>
      <c r="W128" s="16"/>
      <c r="X128" s="16"/>
      <c r="Y128" s="16"/>
      <c r="Z128" s="16"/>
      <c r="AA128" s="16"/>
      <c r="AB128" s="16"/>
      <c r="AC128" s="16"/>
      <c r="AD128" s="16"/>
    </row>
    <row r="129" spans="1:30" ht="15.75" customHeight="1">
      <c r="A129" s="16"/>
      <c r="B129" s="16"/>
      <c r="C129" s="16"/>
      <c r="D129" s="16"/>
      <c r="E129" s="16"/>
      <c r="F129" s="16"/>
      <c r="G129" s="16"/>
      <c r="H129" s="16"/>
      <c r="I129" s="16"/>
      <c r="J129" s="16"/>
      <c r="K129" s="16"/>
      <c r="L129" s="16"/>
      <c r="M129" s="735"/>
      <c r="N129" s="696"/>
      <c r="O129" s="696"/>
      <c r="P129" s="696"/>
      <c r="Q129" s="696"/>
      <c r="R129" s="696"/>
      <c r="S129" s="696"/>
      <c r="T129" s="696"/>
      <c r="U129" s="16"/>
      <c r="V129" s="16"/>
      <c r="W129" s="16"/>
      <c r="X129" s="16"/>
      <c r="Y129" s="16"/>
      <c r="Z129" s="16"/>
      <c r="AA129" s="16"/>
      <c r="AB129" s="16"/>
      <c r="AC129" s="16"/>
      <c r="AD129" s="16"/>
    </row>
    <row r="130" spans="1:30" ht="15.75" customHeight="1">
      <c r="A130" s="16"/>
      <c r="B130" s="16"/>
      <c r="C130" s="16"/>
      <c r="D130" s="16"/>
      <c r="E130" s="16"/>
      <c r="F130" s="16"/>
      <c r="G130" s="16"/>
      <c r="H130" s="16"/>
      <c r="I130" s="16"/>
      <c r="J130" s="16"/>
      <c r="K130" s="16"/>
      <c r="L130" s="16"/>
      <c r="M130" s="735"/>
      <c r="N130" s="696"/>
      <c r="O130" s="696"/>
      <c r="P130" s="696"/>
      <c r="Q130" s="696"/>
      <c r="R130" s="696"/>
      <c r="S130" s="696"/>
      <c r="T130" s="696"/>
      <c r="U130" s="16"/>
      <c r="V130" s="16"/>
      <c r="W130" s="16"/>
      <c r="X130" s="16"/>
      <c r="Y130" s="16"/>
      <c r="Z130" s="16"/>
      <c r="AA130" s="16"/>
      <c r="AB130" s="16"/>
      <c r="AC130" s="16"/>
      <c r="AD130" s="16"/>
    </row>
    <row r="131" spans="1:30" ht="15.75" customHeight="1">
      <c r="A131" s="16"/>
      <c r="B131" s="16"/>
      <c r="C131" s="16"/>
      <c r="D131" s="16"/>
      <c r="E131" s="16"/>
      <c r="F131" s="16"/>
      <c r="G131" s="16"/>
      <c r="H131" s="16"/>
      <c r="I131" s="16"/>
      <c r="J131" s="16"/>
      <c r="K131" s="16"/>
      <c r="L131" s="16"/>
      <c r="M131" s="735"/>
      <c r="N131" s="696"/>
      <c r="O131" s="696"/>
      <c r="P131" s="696"/>
      <c r="Q131" s="696"/>
      <c r="R131" s="696"/>
      <c r="S131" s="696"/>
      <c r="T131" s="696"/>
      <c r="U131" s="16"/>
      <c r="V131" s="16"/>
      <c r="W131" s="16"/>
      <c r="X131" s="16"/>
      <c r="Y131" s="16"/>
      <c r="Z131" s="16"/>
      <c r="AA131" s="16"/>
      <c r="AB131" s="16"/>
      <c r="AC131" s="16"/>
      <c r="AD131" s="16"/>
    </row>
    <row r="132" spans="1:30" ht="15.75" customHeight="1">
      <c r="A132" s="16"/>
      <c r="B132" s="16"/>
      <c r="C132" s="16"/>
      <c r="D132" s="16"/>
      <c r="E132" s="16"/>
      <c r="F132" s="16"/>
      <c r="G132" s="16"/>
      <c r="H132" s="16"/>
      <c r="I132" s="16"/>
      <c r="J132" s="16"/>
      <c r="K132" s="16"/>
      <c r="L132" s="16"/>
      <c r="M132" s="735"/>
      <c r="N132" s="696"/>
      <c r="O132" s="696"/>
      <c r="P132" s="696"/>
      <c r="Q132" s="696"/>
      <c r="R132" s="696"/>
      <c r="S132" s="696"/>
      <c r="T132" s="696"/>
      <c r="U132" s="16"/>
      <c r="V132" s="16"/>
      <c r="W132" s="16"/>
      <c r="X132" s="16"/>
      <c r="Y132" s="16"/>
      <c r="Z132" s="16"/>
      <c r="AA132" s="16"/>
      <c r="AB132" s="16"/>
      <c r="AC132" s="16"/>
      <c r="AD132" s="16"/>
    </row>
    <row r="133" spans="1:30" ht="15.75" customHeight="1">
      <c r="A133" s="16"/>
      <c r="B133" s="16"/>
      <c r="C133" s="16"/>
      <c r="D133" s="16"/>
      <c r="E133" s="16"/>
      <c r="F133" s="16"/>
      <c r="G133" s="16"/>
      <c r="H133" s="16"/>
      <c r="I133" s="16"/>
      <c r="J133" s="16"/>
      <c r="K133" s="16"/>
      <c r="L133" s="16"/>
      <c r="M133" s="735"/>
      <c r="N133" s="696"/>
      <c r="O133" s="696"/>
      <c r="P133" s="696"/>
      <c r="Q133" s="696"/>
      <c r="R133" s="696"/>
      <c r="S133" s="696"/>
      <c r="T133" s="696"/>
      <c r="U133" s="16"/>
      <c r="V133" s="16"/>
      <c r="W133" s="16"/>
      <c r="X133" s="16"/>
      <c r="Y133" s="16"/>
      <c r="Z133" s="16"/>
      <c r="AA133" s="16"/>
      <c r="AB133" s="16"/>
      <c r="AC133" s="16"/>
      <c r="AD133" s="16"/>
    </row>
    <row r="134" spans="1:30" ht="15.75" customHeight="1">
      <c r="A134" s="16"/>
      <c r="B134" s="16"/>
      <c r="C134" s="16"/>
      <c r="D134" s="16"/>
      <c r="E134" s="16"/>
      <c r="F134" s="16"/>
      <c r="G134" s="16"/>
      <c r="H134" s="16"/>
      <c r="I134" s="16"/>
      <c r="J134" s="16"/>
      <c r="K134" s="16"/>
      <c r="L134" s="16"/>
      <c r="M134" s="735"/>
      <c r="N134" s="696"/>
      <c r="O134" s="696"/>
      <c r="P134" s="696"/>
      <c r="Q134" s="696"/>
      <c r="R134" s="696"/>
      <c r="S134" s="696"/>
      <c r="T134" s="696"/>
      <c r="U134" s="16"/>
      <c r="V134" s="16"/>
      <c r="W134" s="16"/>
      <c r="X134" s="16"/>
      <c r="Y134" s="16"/>
      <c r="Z134" s="16"/>
      <c r="AA134" s="16"/>
      <c r="AB134" s="16"/>
      <c r="AC134" s="16"/>
      <c r="AD134" s="16"/>
    </row>
    <row r="135" spans="1:30" ht="15.75" customHeight="1">
      <c r="A135" s="16"/>
      <c r="B135" s="16"/>
      <c r="C135" s="16"/>
      <c r="D135" s="16"/>
      <c r="E135" s="16"/>
      <c r="F135" s="16"/>
      <c r="G135" s="16"/>
      <c r="H135" s="16"/>
      <c r="I135" s="16"/>
      <c r="J135" s="16"/>
      <c r="K135" s="16"/>
      <c r="L135" s="16"/>
      <c r="M135" s="735"/>
      <c r="N135" s="696"/>
      <c r="O135" s="696"/>
      <c r="P135" s="696"/>
      <c r="Q135" s="696"/>
      <c r="R135" s="696"/>
      <c r="S135" s="696"/>
      <c r="T135" s="696"/>
      <c r="U135" s="16"/>
      <c r="V135" s="16"/>
      <c r="W135" s="16"/>
      <c r="X135" s="16"/>
      <c r="Y135" s="16"/>
      <c r="Z135" s="16"/>
      <c r="AA135" s="16"/>
      <c r="AB135" s="16"/>
      <c r="AC135" s="16"/>
      <c r="AD135" s="16"/>
    </row>
    <row r="136" spans="1:30" ht="15.75" customHeight="1">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c r="AA136" s="16"/>
      <c r="AB136" s="16"/>
      <c r="AC136" s="16"/>
      <c r="AD136" s="16"/>
    </row>
    <row r="137" spans="1:30" ht="15.75" customHeight="1">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c r="AA137" s="16"/>
      <c r="AB137" s="16"/>
      <c r="AC137" s="16"/>
      <c r="AD137" s="16"/>
    </row>
    <row r="138" spans="1:30" ht="15.75" customHeight="1">
      <c r="A138" s="16"/>
      <c r="B138" s="16"/>
      <c r="C138" s="16"/>
      <c r="D138" s="16"/>
      <c r="E138" s="16"/>
      <c r="F138" s="16"/>
      <c r="G138" s="16"/>
      <c r="H138" s="16"/>
      <c r="I138" s="16"/>
      <c r="J138" s="16"/>
      <c r="K138" s="16"/>
      <c r="L138" s="16"/>
      <c r="M138" s="735"/>
      <c r="N138" s="696"/>
      <c r="O138" s="696"/>
      <c r="P138" s="735"/>
      <c r="Q138" s="696"/>
      <c r="R138" s="696"/>
      <c r="S138" s="696"/>
      <c r="T138" s="696"/>
      <c r="U138" s="16"/>
      <c r="V138" s="16"/>
      <c r="W138" s="16"/>
      <c r="X138" s="16"/>
      <c r="Y138" s="16"/>
      <c r="Z138" s="16"/>
      <c r="AA138" s="16"/>
      <c r="AB138" s="16"/>
      <c r="AC138" s="16"/>
      <c r="AD138" s="16"/>
    </row>
    <row r="139" spans="1:30" ht="15.75" customHeight="1">
      <c r="A139" s="16"/>
      <c r="B139" s="16"/>
      <c r="C139" s="16"/>
      <c r="D139" s="16"/>
      <c r="E139" s="16"/>
      <c r="F139" s="16"/>
      <c r="G139" s="16"/>
      <c r="H139" s="16"/>
      <c r="I139" s="16"/>
      <c r="J139" s="16"/>
      <c r="K139" s="16"/>
      <c r="L139" s="16"/>
      <c r="M139" s="735"/>
      <c r="N139" s="696"/>
      <c r="O139" s="696"/>
      <c r="P139" s="735"/>
      <c r="Q139" s="696"/>
      <c r="R139" s="696"/>
      <c r="S139" s="696"/>
      <c r="T139" s="696"/>
      <c r="U139" s="16"/>
      <c r="V139" s="16"/>
      <c r="W139" s="16"/>
      <c r="X139" s="16"/>
      <c r="Y139" s="16"/>
      <c r="Z139" s="16"/>
      <c r="AA139" s="16"/>
      <c r="AB139" s="16"/>
      <c r="AC139" s="16"/>
      <c r="AD139" s="16"/>
    </row>
    <row r="140" spans="1:30" ht="15.75" customHeight="1">
      <c r="A140" s="16"/>
      <c r="B140" s="16"/>
      <c r="C140" s="16"/>
      <c r="D140" s="16"/>
      <c r="E140" s="16"/>
      <c r="F140" s="16"/>
      <c r="G140" s="16"/>
      <c r="H140" s="16"/>
      <c r="I140" s="16"/>
      <c r="J140" s="16"/>
      <c r="K140" s="16"/>
      <c r="L140" s="16"/>
      <c r="M140" s="735"/>
      <c r="N140" s="696"/>
      <c r="O140" s="696"/>
      <c r="P140" s="696"/>
      <c r="Q140" s="696"/>
      <c r="R140" s="696"/>
      <c r="S140" s="696"/>
      <c r="T140" s="696"/>
      <c r="U140" s="16"/>
      <c r="V140" s="16"/>
      <c r="W140" s="16"/>
      <c r="X140" s="16"/>
      <c r="Y140" s="16"/>
      <c r="Z140" s="16"/>
      <c r="AA140" s="16"/>
      <c r="AB140" s="16"/>
      <c r="AC140" s="16"/>
      <c r="AD140" s="16"/>
    </row>
    <row r="141" spans="1:30" ht="15.75" customHeight="1">
      <c r="A141" s="16"/>
      <c r="B141" s="16"/>
      <c r="C141" s="16"/>
      <c r="D141" s="16"/>
      <c r="E141" s="16"/>
      <c r="F141" s="16"/>
      <c r="G141" s="16"/>
      <c r="H141" s="16"/>
      <c r="I141" s="16"/>
      <c r="J141" s="16"/>
      <c r="K141" s="16"/>
      <c r="L141" s="16"/>
      <c r="M141" s="735"/>
      <c r="N141" s="696"/>
      <c r="O141" s="696"/>
      <c r="P141" s="696"/>
      <c r="Q141" s="696"/>
      <c r="R141" s="696"/>
      <c r="S141" s="696"/>
      <c r="T141" s="696"/>
      <c r="U141" s="16"/>
      <c r="V141" s="16"/>
      <c r="W141" s="16"/>
      <c r="X141" s="16"/>
      <c r="Y141" s="16"/>
      <c r="Z141" s="16"/>
      <c r="AA141" s="16"/>
      <c r="AB141" s="16"/>
      <c r="AC141" s="16"/>
      <c r="AD141" s="16"/>
    </row>
    <row r="142" spans="1:30" ht="15.75" customHeight="1">
      <c r="A142" s="16"/>
      <c r="B142" s="16"/>
      <c r="C142" s="16"/>
      <c r="D142" s="16"/>
      <c r="E142" s="16"/>
      <c r="F142" s="16"/>
      <c r="G142" s="16"/>
      <c r="H142" s="16"/>
      <c r="I142" s="16"/>
      <c r="J142" s="16"/>
      <c r="K142" s="16"/>
      <c r="L142" s="16"/>
      <c r="M142" s="735"/>
      <c r="N142" s="696"/>
      <c r="O142" s="696"/>
      <c r="P142" s="696"/>
      <c r="Q142" s="696"/>
      <c r="R142" s="696"/>
      <c r="S142" s="696"/>
      <c r="T142" s="696"/>
      <c r="U142" s="16"/>
      <c r="V142" s="16"/>
      <c r="W142" s="16"/>
      <c r="X142" s="16"/>
      <c r="Y142" s="16"/>
      <c r="Z142" s="16"/>
      <c r="AA142" s="16"/>
      <c r="AB142" s="16"/>
      <c r="AC142" s="16"/>
      <c r="AD142" s="16"/>
    </row>
    <row r="143" spans="1:30" ht="15.75" customHeight="1">
      <c r="A143" s="16"/>
      <c r="B143" s="16"/>
      <c r="C143" s="16"/>
      <c r="D143" s="16"/>
      <c r="E143" s="16"/>
      <c r="F143" s="16"/>
      <c r="G143" s="16"/>
      <c r="H143" s="16"/>
      <c r="I143" s="16"/>
      <c r="J143" s="16"/>
      <c r="K143" s="16"/>
      <c r="L143" s="16"/>
      <c r="M143" s="735"/>
      <c r="N143" s="696"/>
      <c r="O143" s="696"/>
      <c r="P143" s="696"/>
      <c r="Q143" s="696"/>
      <c r="R143" s="696"/>
      <c r="S143" s="696"/>
      <c r="T143" s="696"/>
      <c r="U143" s="16"/>
      <c r="V143" s="16"/>
      <c r="W143" s="16"/>
      <c r="X143" s="16"/>
      <c r="Y143" s="16"/>
      <c r="Z143" s="16"/>
      <c r="AA143" s="16"/>
      <c r="AB143" s="16"/>
      <c r="AC143" s="16"/>
      <c r="AD143" s="16"/>
    </row>
    <row r="144" spans="1:30" ht="15.75" customHeight="1">
      <c r="A144" s="16"/>
      <c r="B144" s="16"/>
      <c r="C144" s="16"/>
      <c r="D144" s="16"/>
      <c r="E144" s="16"/>
      <c r="F144" s="16"/>
      <c r="G144" s="16"/>
      <c r="H144" s="16"/>
      <c r="I144" s="16"/>
      <c r="J144" s="16"/>
      <c r="K144" s="16"/>
      <c r="L144" s="16"/>
      <c r="M144" s="735"/>
      <c r="N144" s="696"/>
      <c r="O144" s="696"/>
      <c r="P144" s="696"/>
      <c r="Q144" s="696"/>
      <c r="R144" s="696"/>
      <c r="S144" s="696"/>
      <c r="T144" s="696"/>
      <c r="U144" s="16"/>
      <c r="V144" s="16"/>
      <c r="W144" s="16"/>
      <c r="X144" s="16"/>
      <c r="Y144" s="16"/>
      <c r="Z144" s="16"/>
      <c r="AA144" s="16"/>
      <c r="AB144" s="16"/>
      <c r="AC144" s="16"/>
      <c r="AD144" s="16"/>
    </row>
    <row r="145" spans="1:30" ht="15.75" customHeight="1">
      <c r="A145" s="16"/>
      <c r="B145" s="16"/>
      <c r="C145" s="16"/>
      <c r="D145" s="16"/>
      <c r="E145" s="16"/>
      <c r="F145" s="16"/>
      <c r="G145" s="16"/>
      <c r="H145" s="16"/>
      <c r="I145" s="16"/>
      <c r="J145" s="16"/>
      <c r="K145" s="16"/>
      <c r="L145" s="16"/>
      <c r="M145" s="735"/>
      <c r="N145" s="696"/>
      <c r="O145" s="696"/>
      <c r="P145" s="696"/>
      <c r="Q145" s="696"/>
      <c r="R145" s="696"/>
      <c r="S145" s="696"/>
      <c r="T145" s="696"/>
      <c r="U145" s="16"/>
      <c r="V145" s="16"/>
      <c r="W145" s="16"/>
      <c r="X145" s="16"/>
      <c r="Y145" s="16"/>
      <c r="Z145" s="16"/>
      <c r="AA145" s="16"/>
      <c r="AB145" s="16"/>
      <c r="AC145" s="16"/>
      <c r="AD145" s="16"/>
    </row>
    <row r="146" spans="1:30" ht="15.75" customHeight="1">
      <c r="A146" s="16"/>
      <c r="B146" s="16"/>
      <c r="C146" s="16"/>
      <c r="D146" s="16"/>
      <c r="E146" s="16"/>
      <c r="F146" s="16"/>
      <c r="G146" s="16"/>
      <c r="H146" s="16"/>
      <c r="I146" s="16"/>
      <c r="J146" s="16"/>
      <c r="K146" s="16"/>
      <c r="L146" s="16"/>
      <c r="M146" s="735"/>
      <c r="N146" s="696"/>
      <c r="O146" s="696"/>
      <c r="P146" s="696"/>
      <c r="Q146" s="696"/>
      <c r="R146" s="696"/>
      <c r="S146" s="696"/>
      <c r="T146" s="696"/>
      <c r="U146" s="16"/>
      <c r="V146" s="16"/>
      <c r="W146" s="16"/>
      <c r="X146" s="16"/>
      <c r="Y146" s="16"/>
      <c r="Z146" s="16"/>
      <c r="AA146" s="16"/>
      <c r="AB146" s="16"/>
      <c r="AC146" s="16"/>
      <c r="AD146" s="16"/>
    </row>
    <row r="147" spans="1:30" ht="15.75" customHeight="1">
      <c r="A147" s="16"/>
      <c r="B147" s="16"/>
      <c r="C147" s="16"/>
      <c r="D147" s="16"/>
      <c r="E147" s="16"/>
      <c r="F147" s="16"/>
      <c r="G147" s="16"/>
      <c r="H147" s="16"/>
      <c r="I147" s="16"/>
      <c r="J147" s="16"/>
      <c r="K147" s="16"/>
      <c r="L147" s="16"/>
      <c r="M147" s="735"/>
      <c r="N147" s="696"/>
      <c r="O147" s="696"/>
      <c r="P147" s="696"/>
      <c r="Q147" s="696"/>
      <c r="R147" s="696"/>
      <c r="S147" s="696"/>
      <c r="T147" s="696"/>
      <c r="U147" s="16"/>
      <c r="V147" s="16"/>
      <c r="W147" s="16"/>
      <c r="X147" s="16"/>
      <c r="Y147" s="16"/>
      <c r="Z147" s="16"/>
      <c r="AA147" s="16"/>
      <c r="AB147" s="16"/>
      <c r="AC147" s="16"/>
      <c r="AD147" s="16"/>
    </row>
    <row r="148" spans="1:30" ht="15.75" customHeight="1">
      <c r="A148" s="16"/>
      <c r="B148" s="16"/>
      <c r="C148" s="16"/>
      <c r="D148" s="16"/>
      <c r="E148" s="16"/>
      <c r="F148" s="16"/>
      <c r="G148" s="16"/>
      <c r="H148" s="16"/>
      <c r="I148" s="16"/>
      <c r="J148" s="16"/>
      <c r="K148" s="16"/>
      <c r="L148" s="16"/>
      <c r="M148" s="735"/>
      <c r="N148" s="696"/>
      <c r="O148" s="696"/>
      <c r="P148" s="696"/>
      <c r="Q148" s="696"/>
      <c r="R148" s="696"/>
      <c r="S148" s="696"/>
      <c r="T148" s="696"/>
      <c r="U148" s="16"/>
      <c r="V148" s="16"/>
      <c r="W148" s="16"/>
      <c r="X148" s="16"/>
      <c r="Y148" s="16"/>
      <c r="Z148" s="16"/>
      <c r="AA148" s="16"/>
      <c r="AB148" s="16"/>
      <c r="AC148" s="16"/>
      <c r="AD148" s="16"/>
    </row>
    <row r="149" spans="1:30" ht="15.75" customHeight="1">
      <c r="A149" s="16"/>
      <c r="B149" s="16"/>
      <c r="C149" s="16"/>
      <c r="D149" s="16"/>
      <c r="E149" s="16"/>
      <c r="F149" s="16"/>
      <c r="G149" s="16"/>
      <c r="H149" s="16"/>
      <c r="I149" s="16"/>
      <c r="J149" s="16"/>
      <c r="K149" s="16"/>
      <c r="L149" s="16"/>
      <c r="M149" s="735"/>
      <c r="N149" s="696"/>
      <c r="O149" s="696"/>
      <c r="P149" s="696"/>
      <c r="Q149" s="696"/>
      <c r="R149" s="696"/>
      <c r="S149" s="696"/>
      <c r="T149" s="696"/>
      <c r="U149" s="16"/>
      <c r="V149" s="16"/>
      <c r="W149" s="16"/>
      <c r="X149" s="16"/>
      <c r="Y149" s="16"/>
      <c r="Z149" s="16"/>
      <c r="AA149" s="16"/>
      <c r="AB149" s="16"/>
      <c r="AC149" s="16"/>
      <c r="AD149" s="16"/>
    </row>
    <row r="150" spans="1:30" ht="15.75" customHeight="1">
      <c r="A150" s="16"/>
      <c r="B150" s="16"/>
      <c r="C150" s="16"/>
      <c r="D150" s="16"/>
      <c r="E150" s="16"/>
      <c r="F150" s="16"/>
      <c r="G150" s="16"/>
      <c r="H150" s="16"/>
      <c r="I150" s="16"/>
      <c r="J150" s="16"/>
      <c r="K150" s="16"/>
      <c r="L150" s="16"/>
      <c r="M150" s="735"/>
      <c r="N150" s="696"/>
      <c r="O150" s="696"/>
      <c r="P150" s="696"/>
      <c r="Q150" s="696"/>
      <c r="R150" s="696"/>
      <c r="S150" s="696"/>
      <c r="T150" s="696"/>
      <c r="U150" s="16"/>
      <c r="V150" s="16"/>
      <c r="W150" s="16"/>
      <c r="X150" s="16"/>
      <c r="Y150" s="16"/>
      <c r="Z150" s="16"/>
      <c r="AA150" s="16"/>
      <c r="AB150" s="16"/>
      <c r="AC150" s="16"/>
      <c r="AD150" s="16"/>
    </row>
    <row r="151" spans="1:30" ht="15.75" customHeight="1">
      <c r="A151" s="16"/>
      <c r="B151" s="16"/>
      <c r="C151" s="16"/>
      <c r="D151" s="16"/>
      <c r="E151" s="16"/>
      <c r="F151" s="16"/>
      <c r="G151" s="16"/>
      <c r="H151" s="16"/>
      <c r="I151" s="16"/>
      <c r="J151" s="16"/>
      <c r="K151" s="16"/>
      <c r="L151" s="16"/>
      <c r="M151" s="735"/>
      <c r="N151" s="696"/>
      <c r="O151" s="696"/>
      <c r="P151" s="696"/>
      <c r="Q151" s="696"/>
      <c r="R151" s="696"/>
      <c r="S151" s="696"/>
      <c r="T151" s="696"/>
      <c r="U151" s="16"/>
      <c r="V151" s="16"/>
      <c r="W151" s="16"/>
      <c r="X151" s="16"/>
      <c r="Y151" s="16"/>
      <c r="Z151" s="16"/>
      <c r="AA151" s="16"/>
      <c r="AB151" s="16"/>
      <c r="AC151" s="16"/>
      <c r="AD151" s="16"/>
    </row>
    <row r="152" spans="1:30" ht="15.75" customHeight="1">
      <c r="A152" s="16"/>
      <c r="B152" s="16"/>
      <c r="C152" s="16"/>
      <c r="D152" s="16"/>
      <c r="E152" s="16"/>
      <c r="F152" s="16"/>
      <c r="G152" s="16"/>
      <c r="H152" s="16"/>
      <c r="I152" s="16"/>
      <c r="J152" s="16"/>
      <c r="K152" s="16"/>
      <c r="L152" s="16"/>
      <c r="M152" s="735"/>
      <c r="N152" s="696"/>
      <c r="O152" s="696"/>
      <c r="P152" s="696"/>
      <c r="Q152" s="696"/>
      <c r="R152" s="696"/>
      <c r="S152" s="696"/>
      <c r="T152" s="696"/>
      <c r="U152" s="16"/>
      <c r="V152" s="16"/>
      <c r="W152" s="16"/>
      <c r="X152" s="16"/>
      <c r="Y152" s="16"/>
      <c r="Z152" s="16"/>
      <c r="AA152" s="16"/>
      <c r="AB152" s="16"/>
      <c r="AC152" s="16"/>
      <c r="AD152" s="16"/>
    </row>
    <row r="153" spans="1:30" ht="15.75" customHeight="1">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c r="AA153" s="16"/>
      <c r="AB153" s="16"/>
      <c r="AC153" s="16"/>
      <c r="AD153" s="16"/>
    </row>
    <row r="154" spans="1:30" ht="15.75" customHeight="1">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c r="AA154" s="16"/>
      <c r="AB154" s="16"/>
      <c r="AC154" s="16"/>
      <c r="AD154" s="16"/>
    </row>
    <row r="155" spans="1:30" ht="15.75" customHeight="1">
      <c r="A155" s="16"/>
      <c r="B155" s="735"/>
      <c r="C155" s="696"/>
      <c r="D155" s="16"/>
      <c r="E155" s="16"/>
      <c r="F155" s="16"/>
      <c r="G155" s="16"/>
      <c r="H155" s="16"/>
      <c r="I155" s="16"/>
      <c r="J155" s="16"/>
      <c r="K155" s="16"/>
      <c r="L155" s="16"/>
      <c r="M155" s="735"/>
      <c r="N155" s="696"/>
      <c r="O155" s="696"/>
      <c r="P155" s="735"/>
      <c r="Q155" s="696"/>
      <c r="R155" s="696"/>
      <c r="S155" s="696"/>
      <c r="T155" s="696"/>
      <c r="U155" s="16"/>
      <c r="V155" s="16"/>
      <c r="W155" s="16"/>
      <c r="X155" s="16"/>
      <c r="Y155" s="16"/>
      <c r="Z155" s="16"/>
      <c r="AA155" s="16"/>
      <c r="AB155" s="16"/>
      <c r="AC155" s="16"/>
      <c r="AD155" s="16"/>
    </row>
    <row r="156" spans="1:30" ht="15.75" customHeight="1">
      <c r="A156" s="16"/>
      <c r="B156" s="735"/>
      <c r="C156" s="696"/>
      <c r="D156" s="16"/>
      <c r="E156" s="16"/>
      <c r="F156" s="16"/>
      <c r="G156" s="16"/>
      <c r="H156" s="16"/>
      <c r="I156" s="16"/>
      <c r="J156" s="16"/>
      <c r="K156" s="16"/>
      <c r="L156" s="16"/>
      <c r="M156" s="735"/>
      <c r="N156" s="696"/>
      <c r="O156" s="696"/>
      <c r="P156" s="735"/>
      <c r="Q156" s="696"/>
      <c r="R156" s="696"/>
      <c r="S156" s="696"/>
      <c r="T156" s="696"/>
      <c r="U156" s="16"/>
      <c r="V156" s="16"/>
      <c r="W156" s="16"/>
      <c r="X156" s="16"/>
      <c r="Y156" s="16"/>
      <c r="Z156" s="16"/>
      <c r="AA156" s="16"/>
      <c r="AB156" s="16"/>
      <c r="AC156" s="16"/>
      <c r="AD156" s="16"/>
    </row>
    <row r="157" spans="1:30" ht="15.75" customHeight="1">
      <c r="A157" s="16"/>
      <c r="B157" s="735"/>
      <c r="C157" s="696"/>
      <c r="D157" s="16"/>
      <c r="E157" s="16"/>
      <c r="F157" s="16"/>
      <c r="G157" s="16"/>
      <c r="H157" s="16"/>
      <c r="I157" s="16"/>
      <c r="J157" s="16"/>
      <c r="K157" s="16"/>
      <c r="L157" s="16"/>
      <c r="M157" s="735"/>
      <c r="N157" s="696"/>
      <c r="O157" s="696"/>
      <c r="P157" s="696"/>
      <c r="Q157" s="696"/>
      <c r="R157" s="696"/>
      <c r="S157" s="696"/>
      <c r="T157" s="696"/>
      <c r="U157" s="16"/>
      <c r="V157" s="16"/>
      <c r="W157" s="16"/>
      <c r="X157" s="16"/>
      <c r="Y157" s="16"/>
      <c r="Z157" s="16"/>
      <c r="AA157" s="16"/>
      <c r="AB157" s="16"/>
      <c r="AC157" s="16"/>
      <c r="AD157" s="16"/>
    </row>
    <row r="158" spans="1:30" ht="15.75" customHeight="1">
      <c r="A158" s="16"/>
      <c r="B158" s="735"/>
      <c r="C158" s="696"/>
      <c r="D158" s="16"/>
      <c r="E158" s="16"/>
      <c r="F158" s="16"/>
      <c r="G158" s="16"/>
      <c r="H158" s="16"/>
      <c r="I158" s="16"/>
      <c r="J158" s="16"/>
      <c r="K158" s="16"/>
      <c r="L158" s="16"/>
      <c r="M158" s="735"/>
      <c r="N158" s="696"/>
      <c r="O158" s="696"/>
      <c r="P158" s="696"/>
      <c r="Q158" s="696"/>
      <c r="R158" s="696"/>
      <c r="S158" s="696"/>
      <c r="T158" s="696"/>
      <c r="U158" s="16"/>
      <c r="V158" s="16"/>
      <c r="W158" s="16"/>
      <c r="X158" s="16"/>
      <c r="Y158" s="16"/>
      <c r="Z158" s="16"/>
      <c r="AA158" s="16"/>
      <c r="AB158" s="16"/>
      <c r="AC158" s="16"/>
      <c r="AD158" s="16"/>
    </row>
    <row r="159" spans="1:30" ht="15.75" customHeight="1">
      <c r="A159" s="16"/>
      <c r="B159" s="735"/>
      <c r="C159" s="696"/>
      <c r="D159" s="16"/>
      <c r="E159" s="16"/>
      <c r="F159" s="16"/>
      <c r="G159" s="16"/>
      <c r="H159" s="16"/>
      <c r="I159" s="16"/>
      <c r="J159" s="16"/>
      <c r="K159" s="16"/>
      <c r="L159" s="16"/>
      <c r="M159" s="735"/>
      <c r="N159" s="696"/>
      <c r="O159" s="696"/>
      <c r="P159" s="696"/>
      <c r="Q159" s="696"/>
      <c r="R159" s="696"/>
      <c r="S159" s="696"/>
      <c r="T159" s="696"/>
      <c r="U159" s="16"/>
      <c r="V159" s="16"/>
      <c r="W159" s="16"/>
      <c r="X159" s="16"/>
      <c r="Y159" s="16"/>
      <c r="Z159" s="16"/>
      <c r="AA159" s="16"/>
      <c r="AB159" s="16"/>
      <c r="AC159" s="16"/>
      <c r="AD159" s="16"/>
    </row>
    <row r="160" spans="1:30" ht="15.75" customHeight="1">
      <c r="A160" s="16"/>
      <c r="B160" s="735"/>
      <c r="C160" s="696"/>
      <c r="D160" s="16"/>
      <c r="E160" s="16"/>
      <c r="F160" s="16"/>
      <c r="G160" s="16"/>
      <c r="H160" s="16"/>
      <c r="I160" s="16"/>
      <c r="J160" s="16"/>
      <c r="K160" s="16"/>
      <c r="L160" s="16"/>
      <c r="M160" s="735"/>
      <c r="N160" s="696"/>
      <c r="O160" s="696"/>
      <c r="P160" s="696"/>
      <c r="Q160" s="696"/>
      <c r="R160" s="696"/>
      <c r="S160" s="696"/>
      <c r="T160" s="696"/>
      <c r="U160" s="16"/>
      <c r="V160" s="16"/>
      <c r="W160" s="16"/>
      <c r="X160" s="16"/>
      <c r="Y160" s="16"/>
      <c r="Z160" s="16"/>
      <c r="AA160" s="16"/>
      <c r="AB160" s="16"/>
      <c r="AC160" s="16"/>
      <c r="AD160" s="16"/>
    </row>
    <row r="161" spans="1:30" ht="15.75" customHeight="1">
      <c r="A161" s="16"/>
      <c r="B161" s="735"/>
      <c r="C161" s="696"/>
      <c r="D161" s="16"/>
      <c r="E161" s="16"/>
      <c r="F161" s="16"/>
      <c r="G161" s="16"/>
      <c r="H161" s="16"/>
      <c r="I161" s="16"/>
      <c r="J161" s="16"/>
      <c r="K161" s="16"/>
      <c r="L161" s="16"/>
      <c r="M161" s="735"/>
      <c r="N161" s="696"/>
      <c r="O161" s="696"/>
      <c r="P161" s="696"/>
      <c r="Q161" s="696"/>
      <c r="R161" s="696"/>
      <c r="S161" s="696"/>
      <c r="T161" s="696"/>
      <c r="U161" s="16"/>
      <c r="V161" s="16"/>
      <c r="W161" s="16"/>
      <c r="X161" s="16"/>
      <c r="Y161" s="16"/>
      <c r="Z161" s="16"/>
      <c r="AA161" s="16"/>
      <c r="AB161" s="16"/>
      <c r="AC161" s="16"/>
      <c r="AD161" s="16"/>
    </row>
    <row r="162" spans="1:30" ht="15.75" customHeight="1">
      <c r="A162" s="16"/>
      <c r="B162" s="735"/>
      <c r="C162" s="696"/>
      <c r="D162" s="16"/>
      <c r="E162" s="16"/>
      <c r="F162" s="16"/>
      <c r="G162" s="16"/>
      <c r="H162" s="16"/>
      <c r="I162" s="16"/>
      <c r="J162" s="16"/>
      <c r="K162" s="16"/>
      <c r="L162" s="16"/>
      <c r="M162" s="735"/>
      <c r="N162" s="696"/>
      <c r="O162" s="696"/>
      <c r="P162" s="696"/>
      <c r="Q162" s="696"/>
      <c r="R162" s="696"/>
      <c r="S162" s="696"/>
      <c r="T162" s="696"/>
      <c r="U162" s="16"/>
      <c r="V162" s="16"/>
      <c r="W162" s="16"/>
      <c r="X162" s="16"/>
      <c r="Y162" s="16"/>
      <c r="Z162" s="16"/>
      <c r="AA162" s="16"/>
      <c r="AB162" s="16"/>
      <c r="AC162" s="16"/>
      <c r="AD162" s="16"/>
    </row>
    <row r="163" spans="1:30" ht="15.75" customHeight="1">
      <c r="A163" s="16"/>
      <c r="B163" s="735"/>
      <c r="C163" s="696"/>
      <c r="D163" s="16"/>
      <c r="E163" s="16"/>
      <c r="F163" s="16"/>
      <c r="G163" s="16"/>
      <c r="H163" s="16"/>
      <c r="I163" s="16"/>
      <c r="J163" s="16"/>
      <c r="K163" s="16"/>
      <c r="L163" s="16"/>
      <c r="M163" s="735"/>
      <c r="N163" s="696"/>
      <c r="O163" s="696"/>
      <c r="P163" s="696"/>
      <c r="Q163" s="696"/>
      <c r="R163" s="696"/>
      <c r="S163" s="696"/>
      <c r="T163" s="696"/>
      <c r="U163" s="16"/>
      <c r="V163" s="16"/>
      <c r="W163" s="16"/>
      <c r="X163" s="16"/>
      <c r="Y163" s="16"/>
      <c r="Z163" s="16"/>
      <c r="AA163" s="16"/>
      <c r="AB163" s="16"/>
      <c r="AC163" s="16"/>
      <c r="AD163" s="16"/>
    </row>
    <row r="164" spans="1:30" ht="15.75" customHeight="1">
      <c r="A164" s="16"/>
      <c r="B164" s="735"/>
      <c r="C164" s="696"/>
      <c r="D164" s="16"/>
      <c r="E164" s="16"/>
      <c r="F164" s="16"/>
      <c r="G164" s="16"/>
      <c r="H164" s="16"/>
      <c r="I164" s="16"/>
      <c r="J164" s="16"/>
      <c r="K164" s="16"/>
      <c r="L164" s="16"/>
      <c r="M164" s="735"/>
      <c r="N164" s="696"/>
      <c r="O164" s="696"/>
      <c r="P164" s="696"/>
      <c r="Q164" s="696"/>
      <c r="R164" s="696"/>
      <c r="S164" s="696"/>
      <c r="T164" s="696"/>
      <c r="U164" s="16"/>
      <c r="V164" s="16"/>
      <c r="W164" s="16"/>
      <c r="X164" s="16"/>
      <c r="Y164" s="16"/>
      <c r="Z164" s="16"/>
      <c r="AA164" s="16"/>
      <c r="AB164" s="16"/>
      <c r="AC164" s="16"/>
      <c r="AD164" s="16"/>
    </row>
    <row r="165" spans="1:30" ht="15.75" customHeight="1">
      <c r="A165" s="16"/>
      <c r="B165" s="735"/>
      <c r="C165" s="696"/>
      <c r="D165" s="16"/>
      <c r="E165" s="16"/>
      <c r="F165" s="16"/>
      <c r="G165" s="16"/>
      <c r="H165" s="16"/>
      <c r="I165" s="16"/>
      <c r="J165" s="16"/>
      <c r="K165" s="16"/>
      <c r="L165" s="16"/>
      <c r="M165" s="735"/>
      <c r="N165" s="696"/>
      <c r="O165" s="696"/>
      <c r="P165" s="696"/>
      <c r="Q165" s="696"/>
      <c r="R165" s="696"/>
      <c r="S165" s="696"/>
      <c r="T165" s="696"/>
      <c r="U165" s="16"/>
      <c r="V165" s="16"/>
      <c r="W165" s="16"/>
      <c r="X165" s="16"/>
      <c r="Y165" s="16"/>
      <c r="Z165" s="16"/>
      <c r="AA165" s="16"/>
      <c r="AB165" s="16"/>
      <c r="AC165" s="16"/>
      <c r="AD165" s="16"/>
    </row>
    <row r="166" spans="1:30" ht="15.75" customHeight="1">
      <c r="A166" s="16"/>
      <c r="B166" s="735"/>
      <c r="C166" s="696"/>
      <c r="D166" s="16"/>
      <c r="E166" s="16"/>
      <c r="F166" s="16"/>
      <c r="G166" s="16"/>
      <c r="H166" s="16"/>
      <c r="I166" s="16"/>
      <c r="J166" s="16"/>
      <c r="K166" s="16"/>
      <c r="L166" s="16"/>
      <c r="M166" s="735"/>
      <c r="N166" s="696"/>
      <c r="O166" s="696"/>
      <c r="P166" s="696"/>
      <c r="Q166" s="696"/>
      <c r="R166" s="696"/>
      <c r="S166" s="696"/>
      <c r="T166" s="696"/>
      <c r="U166" s="16"/>
      <c r="V166" s="16"/>
      <c r="W166" s="16"/>
      <c r="X166" s="16"/>
      <c r="Y166" s="16"/>
      <c r="Z166" s="16"/>
      <c r="AA166" s="16"/>
      <c r="AB166" s="16"/>
      <c r="AC166" s="16"/>
      <c r="AD166" s="16"/>
    </row>
    <row r="167" spans="1:30" ht="15.75" customHeight="1">
      <c r="A167" s="16"/>
      <c r="B167" s="735"/>
      <c r="C167" s="696"/>
      <c r="D167" s="16"/>
      <c r="E167" s="16"/>
      <c r="F167" s="16"/>
      <c r="G167" s="16"/>
      <c r="H167" s="16"/>
      <c r="I167" s="16"/>
      <c r="J167" s="16"/>
      <c r="K167" s="16"/>
      <c r="L167" s="16"/>
      <c r="M167" s="735"/>
      <c r="N167" s="696"/>
      <c r="O167" s="696"/>
      <c r="P167" s="696"/>
      <c r="Q167" s="696"/>
      <c r="R167" s="696"/>
      <c r="S167" s="696"/>
      <c r="T167" s="696"/>
      <c r="U167" s="16"/>
      <c r="V167" s="16"/>
      <c r="W167" s="16"/>
      <c r="X167" s="16"/>
      <c r="Y167" s="16"/>
      <c r="Z167" s="16"/>
      <c r="AA167" s="16"/>
      <c r="AB167" s="16"/>
      <c r="AC167" s="16"/>
      <c r="AD167" s="16"/>
    </row>
    <row r="168" spans="1:30" ht="15.75" customHeight="1">
      <c r="A168" s="16"/>
      <c r="B168" s="735"/>
      <c r="C168" s="696"/>
      <c r="D168" s="16"/>
      <c r="E168" s="16"/>
      <c r="F168" s="16"/>
      <c r="G168" s="16"/>
      <c r="H168" s="16"/>
      <c r="I168" s="16"/>
      <c r="J168" s="16"/>
      <c r="K168" s="16"/>
      <c r="L168" s="16"/>
      <c r="M168" s="735"/>
      <c r="N168" s="696"/>
      <c r="O168" s="696"/>
      <c r="P168" s="696"/>
      <c r="Q168" s="696"/>
      <c r="R168" s="696"/>
      <c r="S168" s="696"/>
      <c r="T168" s="696"/>
      <c r="U168" s="16"/>
      <c r="V168" s="16"/>
      <c r="W168" s="16"/>
      <c r="X168" s="16"/>
      <c r="Y168" s="16"/>
      <c r="Z168" s="16"/>
      <c r="AA168" s="16"/>
      <c r="AB168" s="16"/>
      <c r="AC168" s="16"/>
      <c r="AD168" s="16"/>
    </row>
    <row r="169" spans="1:30" ht="15.75" customHeight="1">
      <c r="A169" s="16"/>
      <c r="B169" s="735"/>
      <c r="C169" s="696"/>
      <c r="D169" s="16"/>
      <c r="E169" s="16"/>
      <c r="F169" s="16"/>
      <c r="G169" s="16"/>
      <c r="H169" s="16"/>
      <c r="I169" s="16"/>
      <c r="J169" s="16"/>
      <c r="K169" s="16"/>
      <c r="L169" s="16"/>
      <c r="M169" s="735"/>
      <c r="N169" s="696"/>
      <c r="O169" s="696"/>
      <c r="P169" s="696"/>
      <c r="Q169" s="696"/>
      <c r="R169" s="696"/>
      <c r="S169" s="696"/>
      <c r="T169" s="696"/>
      <c r="U169" s="16"/>
      <c r="V169" s="16"/>
      <c r="W169" s="16"/>
      <c r="X169" s="16"/>
      <c r="Y169" s="16"/>
      <c r="Z169" s="16"/>
      <c r="AA169" s="16"/>
      <c r="AB169" s="16"/>
      <c r="AC169" s="16"/>
      <c r="AD169" s="16"/>
    </row>
    <row r="170" spans="1:30" ht="15.75" customHeight="1">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c r="AA170" s="16"/>
      <c r="AB170" s="16"/>
      <c r="AC170" s="16"/>
      <c r="AD170" s="16"/>
    </row>
    <row r="171" spans="1:30" ht="15.75" customHeight="1">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c r="AA171" s="16"/>
      <c r="AB171" s="16"/>
      <c r="AC171" s="16"/>
      <c r="AD171" s="16"/>
    </row>
    <row r="172" spans="1:30" ht="15.75" customHeight="1">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row>
    <row r="173" spans="1:30" ht="15.75" customHeight="1">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c r="AC173" s="16"/>
      <c r="AD173" s="16"/>
    </row>
    <row r="174" spans="1:30" ht="15.75" customHeight="1">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c r="AC174" s="16"/>
      <c r="AD174" s="16"/>
    </row>
    <row r="175" spans="1:30" ht="15.75" customHeight="1">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c r="AA175" s="16"/>
      <c r="AB175" s="16"/>
      <c r="AC175" s="16"/>
      <c r="AD175" s="16"/>
    </row>
    <row r="176" spans="1:30" ht="15.75" customHeight="1">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c r="AD176" s="16"/>
    </row>
    <row r="177" spans="1:30" ht="15.75" customHeight="1">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c r="AD177" s="16"/>
    </row>
    <row r="178" spans="1:30" ht="15.75" customHeight="1">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c r="AA178" s="16"/>
      <c r="AB178" s="16"/>
      <c r="AC178" s="16"/>
      <c r="AD178" s="16"/>
    </row>
    <row r="179" spans="1:30" ht="15.75" customHeight="1">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c r="AD179" s="16"/>
    </row>
    <row r="180" spans="1:30" ht="15.75" customHeight="1">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c r="AD180" s="16"/>
    </row>
    <row r="181" spans="1:30" ht="15.75" customHeight="1">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c r="AD181" s="16"/>
    </row>
    <row r="182" spans="1:30" ht="15.75" customHeight="1">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c r="AD182" s="16"/>
    </row>
    <row r="183" spans="1:30" ht="15.75" customHeight="1">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c r="AD183" s="16"/>
    </row>
    <row r="184" spans="1:30" ht="15.75" customHeight="1">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c r="AD184" s="16"/>
    </row>
    <row r="185" spans="1:30" ht="15.75" customHeight="1">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c r="AD185" s="16"/>
    </row>
    <row r="186" spans="1:30" ht="15.75" customHeight="1">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c r="AD186" s="16"/>
    </row>
    <row r="187" spans="1:30" ht="15.75" customHeight="1">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16"/>
      <c r="AB187" s="16"/>
      <c r="AC187" s="16"/>
      <c r="AD187" s="16"/>
    </row>
    <row r="188" spans="1:30" ht="15.75" customHeight="1">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c r="AD188" s="16"/>
    </row>
    <row r="189" spans="1:30" ht="15.75" customHeight="1">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c r="AD189" s="16"/>
    </row>
    <row r="190" spans="1:30" ht="15.75" customHeight="1">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c r="AD190" s="16"/>
    </row>
    <row r="191" spans="1:30" ht="15.75" customHeight="1">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c r="AD191" s="16"/>
    </row>
    <row r="192" spans="1:30" ht="15.75" customHeight="1">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c r="AD192" s="16"/>
    </row>
    <row r="193" spans="1:30" ht="15.75" customHeight="1">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c r="AA193" s="16"/>
      <c r="AB193" s="16"/>
      <c r="AC193" s="16"/>
      <c r="AD193" s="16"/>
    </row>
    <row r="194" spans="1:30" ht="15.75" customHeight="1">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c r="AA194" s="16"/>
      <c r="AB194" s="16"/>
      <c r="AC194" s="16"/>
      <c r="AD194" s="16"/>
    </row>
    <row r="195" spans="1:30" ht="15.75" customHeight="1">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c r="AA195" s="16"/>
      <c r="AB195" s="16"/>
      <c r="AC195" s="16"/>
      <c r="AD195" s="16"/>
    </row>
    <row r="196" spans="1:30" ht="15.75" customHeight="1">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c r="AA196" s="16"/>
      <c r="AB196" s="16"/>
      <c r="AC196" s="16"/>
      <c r="AD196" s="16"/>
    </row>
    <row r="197" spans="1:30" ht="15.75" customHeight="1">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c r="AD197" s="16"/>
    </row>
    <row r="198" spans="1:30" ht="15.75" customHeight="1">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c r="AD198" s="16"/>
    </row>
    <row r="199" spans="1:30" ht="15.75" customHeight="1">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c r="AA199" s="16"/>
      <c r="AB199" s="16"/>
      <c r="AC199" s="16"/>
      <c r="AD199" s="16"/>
    </row>
    <row r="200" spans="1:30" ht="15.75" customHeight="1">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c r="AA200" s="16"/>
      <c r="AB200" s="16"/>
      <c r="AC200" s="16"/>
      <c r="AD200" s="16"/>
    </row>
    <row r="201" spans="1:30" ht="15.75" customHeight="1">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c r="AD201" s="16"/>
    </row>
    <row r="202" spans="1:30" ht="15.75" customHeight="1">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c r="AD202" s="16"/>
    </row>
    <row r="203" spans="1:30" ht="15.75" customHeight="1">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c r="AA203" s="16"/>
      <c r="AB203" s="16"/>
      <c r="AC203" s="16"/>
      <c r="AD203" s="16"/>
    </row>
    <row r="204" spans="1:30" ht="15.75" customHeight="1">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c r="AA204" s="16"/>
      <c r="AB204" s="16"/>
      <c r="AC204" s="16"/>
      <c r="AD204" s="16"/>
    </row>
    <row r="205" spans="1:30" ht="15.75" customHeight="1">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c r="AD205" s="16"/>
    </row>
    <row r="206" spans="1:30" ht="15.75" customHeight="1">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row>
    <row r="207" spans="1:30" ht="15.75" customHeight="1">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c r="AD207" s="16"/>
    </row>
    <row r="208" spans="1:30" ht="15.75" customHeight="1">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c r="AD208" s="16"/>
    </row>
    <row r="209" spans="1:30" ht="15.75" customHeight="1">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c r="AD209" s="16"/>
    </row>
    <row r="210" spans="1:30" ht="15.75" customHeight="1">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c r="AD210" s="16"/>
    </row>
    <row r="211" spans="1:30" ht="15.75" customHeight="1">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row>
    <row r="212" spans="1:30" ht="15.75" customHeight="1">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c r="AD212" s="16"/>
    </row>
    <row r="213" spans="1:30" ht="15.75" customHeight="1">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c r="AD213" s="16"/>
    </row>
    <row r="214" spans="1:30" ht="15.75" customHeight="1">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row>
    <row r="215" spans="1:30" ht="15.75" customHeight="1">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c r="AD215" s="16"/>
    </row>
    <row r="216" spans="1:30" ht="15.75" customHeight="1">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c r="AD216" s="16"/>
    </row>
    <row r="217" spans="1:30" ht="15.75" customHeight="1">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c r="AD217" s="16"/>
    </row>
    <row r="218" spans="1:30" ht="15.75" customHeight="1">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c r="AD218" s="16"/>
    </row>
    <row r="219" spans="1:30" ht="15.75" customHeight="1">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c r="AD219" s="16"/>
    </row>
    <row r="220" spans="1:30" ht="15.75" customHeight="1">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c r="AD220" s="16"/>
    </row>
    <row r="221" spans="1:30" ht="15.75" customHeight="1">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row>
    <row r="222" spans="1:30" ht="15.75" customHeight="1">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row>
    <row r="223" spans="1:30" ht="15.75" customHeight="1">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c r="AD223" s="16"/>
    </row>
    <row r="224" spans="1:30" ht="15.75" customHeight="1">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c r="AD224" s="16"/>
    </row>
    <row r="225" spans="1:30" ht="15.75" customHeight="1">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16"/>
    </row>
    <row r="226" spans="1:30" ht="15.75" customHeight="1">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row>
    <row r="227" spans="1:30" ht="15.75" customHeight="1">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16"/>
    </row>
    <row r="228" spans="1:30" ht="15.75" customHeight="1">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c r="AD228" s="16"/>
    </row>
    <row r="229" spans="1:30" ht="15.75" customHeight="1">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c r="AD229" s="16"/>
    </row>
    <row r="230" spans="1:30" ht="15.75" customHeight="1">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row>
    <row r="231" spans="1:30" ht="15.75" customHeight="1">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c r="AD231" s="16"/>
    </row>
    <row r="232" spans="1:30" ht="15.75" customHeight="1">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c r="AD232" s="16"/>
    </row>
    <row r="233" spans="1:30" ht="15.75" customHeight="1">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c r="AD233" s="16"/>
    </row>
    <row r="234" spans="1:30" ht="15.75" customHeight="1">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c r="AD234" s="16"/>
    </row>
    <row r="235" spans="1:30" ht="15.75" customHeight="1">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row>
    <row r="236" spans="1:30" ht="15.75" customHeight="1">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c r="AD236" s="16"/>
    </row>
    <row r="237" spans="1:30" ht="15.75" customHeight="1">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c r="AD237" s="16"/>
    </row>
    <row r="238" spans="1:30" ht="15.75" customHeight="1">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c r="AD238" s="16"/>
    </row>
    <row r="239" spans="1:30" ht="15.75" customHeight="1">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c r="AD239" s="16"/>
    </row>
    <row r="240" spans="1:30" ht="15.75" customHeight="1">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c r="AD240" s="16"/>
    </row>
    <row r="241" spans="1:30" ht="15.75" customHeight="1">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c r="AD241" s="16"/>
    </row>
    <row r="242" spans="1:30" ht="15.75" customHeight="1">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c r="AD242" s="16"/>
    </row>
    <row r="243" spans="1:30" ht="15.75" customHeight="1">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c r="AD243" s="16"/>
    </row>
    <row r="244" spans="1:30" ht="15.75" customHeight="1">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16"/>
    </row>
    <row r="245" spans="1:30" ht="15.75" customHeight="1">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c r="AD245" s="16"/>
    </row>
    <row r="246" spans="1:30" ht="15.75" customHeight="1">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row>
    <row r="247" spans="1:30" ht="15.75" customHeight="1">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c r="AD247" s="16"/>
    </row>
    <row r="248" spans="1:30" ht="15.75" customHeight="1">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row>
    <row r="249" spans="1:30" ht="15.75" customHeight="1">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row>
    <row r="250" spans="1:30" ht="15.75" customHeight="1">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c r="AD250" s="16"/>
    </row>
    <row r="251" spans="1:30" ht="15.75" customHeight="1">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row>
    <row r="252" spans="1:30" ht="15.75" customHeight="1">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16"/>
    </row>
    <row r="253" spans="1:30" ht="15.75" customHeight="1">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c r="AD253" s="16"/>
    </row>
    <row r="254" spans="1:30" ht="15.75" customHeight="1">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row>
    <row r="255" spans="1:30" ht="15.75" customHeight="1">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c r="AD255" s="16"/>
    </row>
    <row r="256" spans="1:30" ht="15.75" customHeight="1">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row>
    <row r="257" spans="1:30" ht="15.75" customHeight="1">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c r="AD257" s="16"/>
    </row>
    <row r="258" spans="1:30" ht="15.75" customHeight="1">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c r="AD258" s="16"/>
    </row>
    <row r="259" spans="1:30" ht="15.75" customHeight="1">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row>
    <row r="260" spans="1:30" ht="15.75" customHeight="1">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row>
    <row r="261" spans="1:30" ht="15.75" customHeight="1">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c r="AD261" s="16"/>
    </row>
    <row r="262" spans="1:30" ht="15.75" customHeight="1">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row>
    <row r="263" spans="1:30" ht="15.75" customHeight="1">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row>
    <row r="264" spans="1:30" ht="15.75" customHeight="1">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c r="AD264" s="16"/>
    </row>
    <row r="265" spans="1:30" ht="15.75" customHeight="1">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row>
    <row r="266" spans="1:30" ht="15.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row>
    <row r="267" spans="1:30" ht="15.75" customHeight="1">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row>
    <row r="268" spans="1:30" ht="15.75" customHeight="1">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c r="AD268" s="16"/>
    </row>
    <row r="269" spans="1:30" ht="15.75" customHeight="1">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row>
    <row r="270" spans="1:30" ht="15.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row>
    <row r="271" spans="1:30" ht="15.75" customHeight="1">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c r="AD271" s="16"/>
    </row>
    <row r="272" spans="1:30" ht="15.75" customHeight="1">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c r="AD272" s="16"/>
    </row>
    <row r="273" spans="1:30" ht="15.75" customHeight="1">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c r="AD273" s="16"/>
    </row>
    <row r="274" spans="1:30" ht="15.75" customHeight="1">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c r="AD274" s="16"/>
    </row>
    <row r="275" spans="1:30" ht="15.75" customHeight="1">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c r="AD275" s="16"/>
    </row>
    <row r="276" spans="1:30" ht="15.75" customHeight="1">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row>
    <row r="277" spans="1:30" ht="15.75" customHeight="1">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16"/>
    </row>
    <row r="278" spans="1:30" ht="15.75" customHeight="1">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row>
    <row r="279" spans="1:30" ht="15.75" customHeight="1">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16"/>
    </row>
    <row r="280" spans="1:30" ht="15.75" customHeight="1">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c r="AD280" s="16"/>
    </row>
    <row r="281" spans="1:30" ht="15.75" customHeight="1">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c r="AD281" s="16"/>
    </row>
    <row r="282" spans="1:30" ht="15.75" customHeight="1">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c r="AD282" s="16"/>
    </row>
    <row r="283" spans="1:30" ht="15.75" customHeight="1">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c r="AD283" s="16"/>
    </row>
    <row r="284" spans="1:30" ht="15.75" customHeight="1">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c r="AD284" s="16"/>
    </row>
    <row r="285" spans="1:30" ht="15.75" customHeight="1">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c r="AD285" s="16"/>
    </row>
    <row r="286" spans="1:30" ht="15.75" customHeight="1">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row>
    <row r="287" spans="1:30" ht="15.75" customHeight="1">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row>
    <row r="288" spans="1:30" ht="15.75" customHeight="1">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row>
    <row r="289" spans="1:30" ht="15.75" customHeight="1">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row>
    <row r="290" spans="1:30" ht="15.75" customHeight="1">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row>
    <row r="291" spans="1:30" ht="15.75" customHeight="1">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c r="AD291" s="16"/>
    </row>
    <row r="292" spans="1:30" ht="15.75" customHeight="1">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row>
    <row r="293" spans="1:30" ht="15.75" customHeight="1">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row>
    <row r="294" spans="1:30" ht="15.75" customHeight="1">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row>
    <row r="295" spans="1:30" ht="15.75" customHeight="1">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row>
    <row r="296" spans="1:30" ht="15.75" customHeight="1">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row>
    <row r="297" spans="1:30" ht="15.75" customHeight="1">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row>
    <row r="298" spans="1:30" ht="15.75" customHeight="1">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row>
    <row r="299" spans="1:30" ht="15.75" customHeight="1">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row>
    <row r="300" spans="1:30" ht="15.75" customHeight="1">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row>
    <row r="301" spans="1:30" ht="15.75" customHeight="1">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c r="AD301" s="16"/>
    </row>
    <row r="302" spans="1:30" ht="15.75" customHeight="1">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c r="AD302" s="16"/>
    </row>
    <row r="303" spans="1:30" ht="15.75" customHeight="1">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row>
    <row r="304" spans="1:30" ht="15.75" customHeight="1">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c r="AD304" s="16"/>
    </row>
    <row r="305" spans="1:30" ht="15.75" customHeight="1">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c r="AD305" s="16"/>
    </row>
    <row r="306" spans="1:30" ht="15.75" customHeight="1"/>
    <row r="307" spans="1:30" ht="15.75" customHeight="1"/>
    <row r="308" spans="1:30" ht="15.75" customHeight="1"/>
    <row r="309" spans="1:30" ht="15.75" customHeight="1"/>
    <row r="310" spans="1:30" ht="15.75" customHeight="1"/>
    <row r="311" spans="1:30" ht="15.75" customHeight="1"/>
    <row r="312" spans="1:30" ht="15.75" customHeight="1"/>
    <row r="313" spans="1:30" ht="15.75" customHeight="1"/>
    <row r="314" spans="1:30" ht="15.75" customHeight="1"/>
    <row r="315" spans="1:30" ht="15.75" customHeight="1"/>
    <row r="316" spans="1:30" ht="15.75" customHeight="1"/>
    <row r="317" spans="1:30" ht="15.75" customHeight="1"/>
    <row r="318" spans="1:30" ht="15.75" customHeight="1"/>
    <row r="319" spans="1:30" ht="15.75" customHeight="1"/>
    <row r="320" spans="1:3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99">
    <mergeCell ref="K55:M67"/>
    <mergeCell ref="A30:F30"/>
    <mergeCell ref="A31:F31"/>
    <mergeCell ref="A32:F32"/>
    <mergeCell ref="A34:F34"/>
    <mergeCell ref="A29:F29"/>
    <mergeCell ref="A1:C1"/>
    <mergeCell ref="E1:H1"/>
    <mergeCell ref="D7:I7"/>
    <mergeCell ref="D8:I8"/>
    <mergeCell ref="A28:F28"/>
    <mergeCell ref="H92:I105"/>
    <mergeCell ref="J92:K105"/>
    <mergeCell ref="AG29:AH29"/>
    <mergeCell ref="AI29:AJ29"/>
    <mergeCell ref="AG30:AH40"/>
    <mergeCell ref="AI30:AJ40"/>
    <mergeCell ref="H37:J37"/>
    <mergeCell ref="K71:O87"/>
    <mergeCell ref="P71:Q87"/>
    <mergeCell ref="H91:I91"/>
    <mergeCell ref="J91:K91"/>
    <mergeCell ref="K70:O70"/>
    <mergeCell ref="H38:J42"/>
    <mergeCell ref="I45:K45"/>
    <mergeCell ref="I46:K50"/>
    <mergeCell ref="K54:M54"/>
    <mergeCell ref="P115:R115"/>
    <mergeCell ref="P70:Q70"/>
    <mergeCell ref="P116:R116"/>
    <mergeCell ref="P117:R117"/>
    <mergeCell ref="P118:R118"/>
    <mergeCell ref="P119:R119"/>
    <mergeCell ref="P120:R120"/>
    <mergeCell ref="M135:O135"/>
    <mergeCell ref="P121:R121"/>
    <mergeCell ref="M123:O123"/>
    <mergeCell ref="P123:T123"/>
    <mergeCell ref="M124:O124"/>
    <mergeCell ref="P124:T135"/>
    <mergeCell ref="M125:O125"/>
    <mergeCell ref="M126:O126"/>
    <mergeCell ref="M127:O127"/>
    <mergeCell ref="M128:O128"/>
    <mergeCell ref="M129:O129"/>
    <mergeCell ref="M130:O130"/>
    <mergeCell ref="M131:O131"/>
    <mergeCell ref="M132:O132"/>
    <mergeCell ref="M133:O133"/>
    <mergeCell ref="M134:O134"/>
    <mergeCell ref="M151:O151"/>
    <mergeCell ref="M138:O138"/>
    <mergeCell ref="P138:T138"/>
    <mergeCell ref="M139:O139"/>
    <mergeCell ref="P139:T152"/>
    <mergeCell ref="M140:O140"/>
    <mergeCell ref="M141:O141"/>
    <mergeCell ref="M142:O142"/>
    <mergeCell ref="M143:O143"/>
    <mergeCell ref="M144:O144"/>
    <mergeCell ref="M145:O145"/>
    <mergeCell ref="M146:O146"/>
    <mergeCell ref="M147:O147"/>
    <mergeCell ref="M148:O148"/>
    <mergeCell ref="M149:O149"/>
    <mergeCell ref="M150:O150"/>
    <mergeCell ref="P155:T155"/>
    <mergeCell ref="B156:C156"/>
    <mergeCell ref="M156:O156"/>
    <mergeCell ref="P156:T169"/>
    <mergeCell ref="B157:C157"/>
    <mergeCell ref="M157:O157"/>
    <mergeCell ref="B158:C158"/>
    <mergeCell ref="B161:C161"/>
    <mergeCell ref="M161:O161"/>
    <mergeCell ref="B160:C160"/>
    <mergeCell ref="M160:O160"/>
    <mergeCell ref="B162:C162"/>
    <mergeCell ref="M162:O162"/>
    <mergeCell ref="B163:C163"/>
    <mergeCell ref="M163:O163"/>
    <mergeCell ref="B164:C164"/>
    <mergeCell ref="M152:O152"/>
    <mergeCell ref="B155:C155"/>
    <mergeCell ref="M155:O155"/>
    <mergeCell ref="M158:O158"/>
    <mergeCell ref="B159:C159"/>
    <mergeCell ref="M159:O159"/>
    <mergeCell ref="M164:O164"/>
    <mergeCell ref="B168:C168"/>
    <mergeCell ref="M168:O168"/>
    <mergeCell ref="B169:C169"/>
    <mergeCell ref="M169:O169"/>
    <mergeCell ref="B165:C165"/>
    <mergeCell ref="M165:O165"/>
    <mergeCell ref="B166:C166"/>
    <mergeCell ref="M166:O166"/>
    <mergeCell ref="B167:C167"/>
    <mergeCell ref="M167:O167"/>
  </mergeCells>
  <conditionalFormatting sqref="I55:I66">
    <cfRule type="containsText" dxfId="446" priority="1" operator="containsText" text="5">
      <formula>NOT(ISERROR(SEARCH(("5"),(I55))))</formula>
    </cfRule>
    <cfRule type="containsText" dxfId="445" priority="2" operator="containsText" text="42">
      <formula>NOT(ISERROR(SEARCH(("42"),(I55))))</formula>
    </cfRule>
    <cfRule type="containsText" dxfId="444" priority="3" operator="containsText" text="Please fill in">
      <formula>NOT(ISERROR(SEARCH(("Please fill in"),(I55))))</formula>
    </cfRule>
  </conditionalFormatting>
  <dataValidations count="5">
    <dataValidation type="list" allowBlank="1" showErrorMessage="1" sqref="D49:D50 H57:H67" xr:uid="{61B0EF3A-E144-4687-B0D2-2CFF2BA3173C}">
      <formula1>'Linea Recta'!TypesOfTrainers</formula1>
    </dataValidation>
    <dataValidation type="list" allowBlank="1" showErrorMessage="1" sqref="B9" xr:uid="{7A1BE08F-EBB8-4A0B-B6D2-B24A581A8D13}">
      <formula1>"yes,no,partial"</formula1>
    </dataValidation>
    <dataValidation type="list" allowBlank="1" sqref="G46:G50" xr:uid="{86C11B24-4926-4152-B0D0-A9F68BD3CEE5}">
      <formula1>"yes,no"</formula1>
    </dataValidation>
    <dataValidation type="list" allowBlank="1" showErrorMessage="1" sqref="D46:D48 H55:H56" xr:uid="{28CA97EF-F0EF-4777-A341-D28412DA012E}">
      <formula1>'https://universiteittwente.sharepoint.com/sites/SportsCoordinatorsSUT/Gedeelde documenten/General/(WIP) FAM Sheets - Regulations 2025-28 - Version April 2025.xlsx'!TypesOfTrainers</formula1>
    </dataValidation>
    <dataValidation type="list" allowBlank="1" showErrorMessage="1" sqref="B71:B77" xr:uid="{D4678C2E-FCFC-4092-AB45-26B743F6942E}">
      <formula1>'https://universiteittwente.sharepoint.com/sites/SportsCoordinatorsSUT/Gedeelde documenten/General/(WIP) FAM Sheets - Regulations 2025-28 - Version April 2025.xlsx'!LocationNames</formula1>
    </dataValidation>
  </dataValidations>
  <pageMargins left="0.7" right="0.7" top="0.75" bottom="0.75" header="0" footer="0"/>
  <pageSetup paperSize="9" orientation="portrait"/>
  <drawing r:id="rId1"/>
  <legacyDrawing r:id="rId2"/>
  <tableParts count="6">
    <tablePart r:id="rId3"/>
    <tablePart r:id="rId4"/>
    <tablePart r:id="rId5"/>
    <tablePart r:id="rId6"/>
    <tablePart r:id="rId7"/>
    <tablePart r:id="rId8"/>
  </tableParts>
  <extLst>
    <ext xmlns:x14="http://schemas.microsoft.com/office/spreadsheetml/2009/9/main" uri="{CCE6A557-97BC-4b89-ADB6-D9C93CAAB3DF}">
      <x14:dataValidations xmlns:xm="http://schemas.microsoft.com/office/excel/2006/main" count="4">
        <x14:dataValidation type="list" allowBlank="1" showInputMessage="1" showErrorMessage="1" xr:uid="{D70A24CF-A0B7-4679-B8A3-C96918CC57E6}">
          <x14:formula1>
            <xm:f>Constants!$M$6:$M$7</xm:f>
          </x14:formula1>
          <xm:sqref>B92:B107</xm:sqref>
        </x14:dataValidation>
        <x14:dataValidation type="list" allowBlank="1" showInputMessage="1" showErrorMessage="1" xr:uid="{C457093C-8B29-451F-93A2-9755DF9EC854}">
          <x14:formula1>
            <xm:f>Constants!$C$55:$C$56</xm:f>
          </x14:formula1>
          <xm:sqref>B12</xm:sqref>
        </x14:dataValidation>
        <x14:dataValidation type="list" allowBlank="1" showErrorMessage="1" xr:uid="{1AB5707A-F682-45D5-83B5-7179515DE9AB}">
          <x14:formula1>
            <xm:f>Constants!$H$6:$H$13</xm:f>
          </x14:formula1>
          <xm:sqref>B55:B67</xm:sqref>
        </x14:dataValidation>
        <x14:dataValidation type="list" allowBlank="1" showErrorMessage="1" xr:uid="{4013D08D-2F6B-4793-A5AE-7BA4C2C786D5}">
          <x14:formula1>
            <xm:f>Constants!$A$2:$AD$2</xm:f>
          </x14:formula1>
          <xm:sqref>B78:B87</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BA340F-C900-284C-871E-0C1E36FAE529}">
  <dimension ref="A1:BG1040"/>
  <sheetViews>
    <sheetView topLeftCell="Z8" workbookViewId="0">
      <selection activeCell="AF30" sqref="AF30"/>
    </sheetView>
  </sheetViews>
  <sheetFormatPr defaultColWidth="12.625" defaultRowHeight="15" customHeight="1"/>
  <cols>
    <col min="1" max="1" width="36.625" customWidth="1"/>
    <col min="2" max="2" width="28.125" customWidth="1"/>
    <col min="3" max="3" width="21" customWidth="1"/>
    <col min="4" max="4" width="17.5" customWidth="1"/>
    <col min="5" max="5" width="16.125" customWidth="1"/>
    <col min="6" max="6" width="21.5" customWidth="1"/>
    <col min="7" max="7" width="22.625" customWidth="1"/>
    <col min="8" max="8" width="18.625" customWidth="1"/>
    <col min="9" max="9" width="19.625" customWidth="1"/>
    <col min="10" max="10" width="18.875" customWidth="1"/>
    <col min="11" max="11" width="21.625" customWidth="1"/>
    <col min="12" max="12" width="17.375" customWidth="1"/>
    <col min="13" max="13" width="15.125" customWidth="1"/>
    <col min="14" max="14" width="15.625" customWidth="1"/>
    <col min="15" max="15" width="28.5" customWidth="1"/>
    <col min="16" max="16" width="13.125" customWidth="1"/>
    <col min="17" max="17" width="21.875" customWidth="1"/>
    <col min="18" max="18" width="27" customWidth="1"/>
    <col min="19" max="19" width="20.5" customWidth="1"/>
    <col min="20" max="22" width="7.625" customWidth="1"/>
    <col min="23" max="23" width="31.875" customWidth="1"/>
    <col min="24" max="24" width="7.625" customWidth="1"/>
    <col min="25" max="25" width="8.375" customWidth="1"/>
    <col min="26" max="26" width="21.625" customWidth="1"/>
    <col min="27" max="27" width="12" customWidth="1"/>
    <col min="28" max="28" width="16.5" customWidth="1"/>
    <col min="29" max="29" width="6" customWidth="1"/>
    <col min="30" max="30" width="13.625" customWidth="1"/>
  </cols>
  <sheetData>
    <row r="1" spans="1:59" ht="171" customHeight="1">
      <c r="A1" s="703"/>
      <c r="B1" s="704"/>
      <c r="C1" s="705"/>
      <c r="D1" s="16"/>
      <c r="E1" s="572" t="s">
        <v>1256</v>
      </c>
      <c r="F1" s="704"/>
      <c r="G1" s="704"/>
      <c r="H1" s="705"/>
      <c r="I1" s="16"/>
      <c r="J1" s="16"/>
      <c r="K1" s="16"/>
      <c r="L1" s="16"/>
      <c r="M1" s="16"/>
      <c r="N1" s="16"/>
      <c r="O1" s="16"/>
      <c r="P1" s="16"/>
      <c r="Q1" s="16"/>
      <c r="R1" s="16"/>
      <c r="S1" s="16"/>
      <c r="T1" s="16"/>
      <c r="U1" s="16"/>
      <c r="V1" s="16"/>
      <c r="W1" s="16"/>
      <c r="X1" s="16"/>
      <c r="Y1" s="16"/>
      <c r="Z1" s="16"/>
      <c r="AA1" s="16"/>
      <c r="AB1" s="16"/>
      <c r="AC1" s="16"/>
      <c r="AD1" s="16"/>
    </row>
    <row r="2" spans="1:59">
      <c r="A2" s="58" t="s">
        <v>404</v>
      </c>
      <c r="B2" s="293" t="s">
        <v>405</v>
      </c>
      <c r="C2" s="59"/>
      <c r="D2" s="16"/>
      <c r="E2" s="60" t="s">
        <v>406</v>
      </c>
      <c r="F2" s="291" t="s">
        <v>1257</v>
      </c>
      <c r="G2" s="154"/>
      <c r="H2" s="61"/>
      <c r="I2" s="16"/>
      <c r="J2" s="16"/>
      <c r="K2" s="16"/>
      <c r="L2" s="16"/>
      <c r="M2" s="16"/>
      <c r="N2" s="16"/>
      <c r="O2" s="16"/>
      <c r="P2" s="16"/>
      <c r="Q2" s="16"/>
      <c r="R2" s="16"/>
      <c r="S2" s="16"/>
      <c r="T2" s="16"/>
      <c r="U2" s="16"/>
      <c r="V2" s="16"/>
      <c r="W2" s="16"/>
      <c r="X2" s="16"/>
      <c r="Y2" s="16"/>
      <c r="Z2" s="15"/>
      <c r="AA2" s="15"/>
      <c r="AB2" s="15"/>
      <c r="AC2" s="15"/>
      <c r="AD2" s="16"/>
      <c r="AE2" s="16"/>
      <c r="AF2" s="16"/>
      <c r="AG2" s="16"/>
      <c r="AH2" s="16"/>
      <c r="AI2" s="17"/>
      <c r="AJ2" s="17"/>
      <c r="AK2" s="17"/>
      <c r="AL2" s="17"/>
      <c r="AM2" s="17"/>
      <c r="AN2" s="17"/>
      <c r="AO2" s="17"/>
      <c r="AP2" s="17"/>
      <c r="AQ2" s="17"/>
      <c r="AR2" s="18"/>
      <c r="AS2" s="17"/>
      <c r="AT2" s="17"/>
      <c r="AU2" s="16"/>
      <c r="AV2" s="16"/>
      <c r="AW2" s="16"/>
      <c r="AX2" s="16"/>
      <c r="AY2" s="16"/>
      <c r="AZ2" s="16"/>
      <c r="BA2" s="16"/>
    </row>
    <row r="3" spans="1:59">
      <c r="A3" s="62" t="s">
        <v>408</v>
      </c>
      <c r="B3" s="294">
        <v>4</v>
      </c>
      <c r="C3" s="156"/>
      <c r="D3" s="16"/>
      <c r="E3" s="63" t="s">
        <v>409</v>
      </c>
      <c r="F3" s="292" t="s">
        <v>1258</v>
      </c>
      <c r="G3" s="158"/>
      <c r="H3" s="159"/>
      <c r="I3" s="16"/>
      <c r="J3" s="16"/>
      <c r="K3" s="16"/>
      <c r="L3" s="16"/>
      <c r="M3" s="16"/>
      <c r="N3" s="16"/>
      <c r="O3" s="16"/>
      <c r="P3" s="16"/>
      <c r="Q3" s="16"/>
      <c r="R3" s="16"/>
      <c r="S3" s="16"/>
      <c r="T3" s="16"/>
      <c r="U3" s="16"/>
      <c r="V3" s="16"/>
      <c r="W3" s="16"/>
      <c r="X3" s="16"/>
      <c r="Y3" s="16"/>
      <c r="Z3" s="16"/>
      <c r="AA3" s="16"/>
      <c r="AB3" s="16"/>
      <c r="AC3" s="16"/>
      <c r="AD3" s="16"/>
    </row>
    <row r="4" spans="1:59">
      <c r="A4" s="160" t="s">
        <v>410</v>
      </c>
      <c r="B4" s="161">
        <v>45812</v>
      </c>
      <c r="C4" s="162"/>
      <c r="D4" s="16"/>
      <c r="E4" s="163"/>
      <c r="F4" s="164"/>
      <c r="G4" s="165"/>
      <c r="H4" s="166"/>
      <c r="I4" s="16"/>
      <c r="J4" s="16"/>
      <c r="K4" s="16"/>
      <c r="L4" s="16"/>
      <c r="M4" s="16"/>
      <c r="N4" s="16"/>
      <c r="O4" s="16"/>
      <c r="P4" s="16"/>
      <c r="Q4" s="16"/>
      <c r="R4" s="16"/>
      <c r="S4" s="16"/>
      <c r="T4" s="16"/>
      <c r="U4" s="16"/>
      <c r="V4" s="16"/>
      <c r="W4" s="16"/>
      <c r="X4" s="16"/>
      <c r="Y4" s="16"/>
      <c r="Z4" s="16"/>
      <c r="AA4" s="16"/>
      <c r="AB4" s="16"/>
      <c r="AC4" s="16"/>
      <c r="AD4" s="16"/>
    </row>
    <row r="5" spans="1:59">
      <c r="A5" s="167" t="s">
        <v>411</v>
      </c>
      <c r="B5" s="168"/>
      <c r="C5" s="167"/>
      <c r="D5" s="16"/>
      <c r="E5" s="169" t="s">
        <v>412</v>
      </c>
      <c r="F5" s="169"/>
      <c r="G5" s="158"/>
      <c r="H5" s="169"/>
      <c r="I5" s="16"/>
      <c r="J5" s="16"/>
      <c r="K5" s="16"/>
      <c r="L5" s="16"/>
      <c r="M5" s="16"/>
      <c r="N5" s="16"/>
      <c r="O5" s="16"/>
      <c r="P5" s="16"/>
      <c r="Q5" s="16"/>
      <c r="R5" s="16"/>
      <c r="S5" s="16"/>
      <c r="T5" s="16"/>
      <c r="U5" s="16"/>
      <c r="V5" s="16"/>
      <c r="W5" s="16"/>
      <c r="X5" s="16"/>
      <c r="Y5" s="16"/>
      <c r="Z5" s="16"/>
      <c r="AA5" s="16"/>
      <c r="AB5" s="16"/>
      <c r="AC5" s="16"/>
      <c r="AD5" s="16"/>
    </row>
    <row r="6" spans="1:59">
      <c r="A6" s="15"/>
      <c r="B6" s="64"/>
      <c r="C6" s="16"/>
      <c r="D6" s="16"/>
      <c r="E6" s="16"/>
      <c r="F6" s="16"/>
      <c r="G6" s="16"/>
      <c r="H6" s="16"/>
      <c r="I6" s="16"/>
      <c r="J6" s="64"/>
      <c r="K6" s="16"/>
      <c r="L6" s="16"/>
      <c r="M6" s="16"/>
      <c r="N6" s="16"/>
      <c r="O6" s="16"/>
      <c r="P6" s="16"/>
      <c r="Q6" s="16"/>
      <c r="R6" s="16"/>
      <c r="S6" s="16"/>
      <c r="T6" s="16"/>
      <c r="U6" s="16"/>
      <c r="V6" s="16"/>
      <c r="W6" s="16"/>
      <c r="X6" s="16"/>
      <c r="Y6" s="16"/>
      <c r="Z6" s="16"/>
      <c r="AA6" s="16"/>
      <c r="AB6" s="16"/>
      <c r="AC6" s="16"/>
      <c r="AD6" s="16"/>
    </row>
    <row r="7" spans="1:59">
      <c r="A7" s="170" t="s">
        <v>413</v>
      </c>
      <c r="B7" s="59">
        <v>436</v>
      </c>
      <c r="C7" s="16"/>
      <c r="D7" s="573" t="s">
        <v>414</v>
      </c>
      <c r="E7" s="701"/>
      <c r="F7" s="701"/>
      <c r="G7" s="701"/>
      <c r="H7" s="701"/>
      <c r="I7" s="701"/>
      <c r="J7" s="16"/>
      <c r="K7" s="16"/>
      <c r="L7" s="16"/>
      <c r="M7" s="16"/>
      <c r="N7" s="16"/>
      <c r="O7" s="16"/>
      <c r="P7" s="16"/>
      <c r="Q7" s="16"/>
      <c r="R7" s="16"/>
      <c r="S7" s="16"/>
      <c r="T7" s="16"/>
      <c r="U7" s="16"/>
      <c r="V7" s="16"/>
      <c r="W7" s="16"/>
      <c r="X7" s="16"/>
      <c r="Y7" s="16"/>
      <c r="Z7" s="16"/>
      <c r="AA7" s="16"/>
      <c r="AB7" s="16"/>
      <c r="AC7" s="16"/>
      <c r="AD7" s="16"/>
    </row>
    <row r="8" spans="1:59" ht="14.25" customHeight="1">
      <c r="A8" s="171" t="s">
        <v>415</v>
      </c>
      <c r="B8" s="172">
        <f ca="1">M21-M17</f>
        <v>33055.97522340712</v>
      </c>
      <c r="C8" s="16" t="s">
        <v>416</v>
      </c>
      <c r="D8" s="574" t="s">
        <v>417</v>
      </c>
      <c r="E8" s="704"/>
      <c r="F8" s="704"/>
      <c r="G8" s="704"/>
      <c r="H8" s="704"/>
      <c r="I8" s="704"/>
      <c r="J8" s="16"/>
      <c r="K8" s="16"/>
      <c r="L8" s="16"/>
      <c r="M8" s="16"/>
      <c r="N8" s="16"/>
      <c r="O8" s="16"/>
      <c r="P8" s="16"/>
      <c r="Q8" s="16"/>
      <c r="R8" s="16"/>
      <c r="S8" s="16"/>
      <c r="T8" s="16"/>
      <c r="U8" s="16"/>
      <c r="V8" s="16"/>
      <c r="W8" s="16"/>
      <c r="X8" s="16"/>
      <c r="Y8" s="16"/>
      <c r="Z8" s="16"/>
      <c r="AA8" s="16"/>
      <c r="AB8" s="16"/>
      <c r="AC8" s="16"/>
    </row>
    <row r="9" spans="1:59">
      <c r="A9" s="65" t="s">
        <v>418</v>
      </c>
      <c r="B9" s="173" t="s">
        <v>419</v>
      </c>
      <c r="C9" s="16"/>
      <c r="D9" s="16"/>
      <c r="E9" s="17"/>
      <c r="F9" s="17"/>
      <c r="G9" s="17"/>
      <c r="H9" s="17"/>
      <c r="I9" s="17"/>
      <c r="J9" s="17"/>
      <c r="K9" s="17"/>
      <c r="L9" s="17"/>
      <c r="M9" s="17"/>
      <c r="N9" s="17"/>
      <c r="O9" s="17"/>
      <c r="P9" s="17"/>
      <c r="Q9" s="16"/>
      <c r="R9" s="17"/>
      <c r="S9" s="17"/>
      <c r="T9" s="17"/>
      <c r="U9" s="17"/>
      <c r="V9" s="17"/>
      <c r="W9" s="17"/>
      <c r="X9" s="17"/>
      <c r="Y9" s="17"/>
      <c r="Z9" s="17"/>
      <c r="AA9" s="17"/>
      <c r="AB9" s="17"/>
      <c r="AC9" s="17"/>
      <c r="AD9" s="18" t="s">
        <v>242</v>
      </c>
    </row>
    <row r="10" spans="1:59">
      <c r="A10" s="174" t="s">
        <v>420</v>
      </c>
      <c r="B10" s="66">
        <f>COUNTA(A38:A51)</f>
        <v>14</v>
      </c>
      <c r="C10" s="16"/>
      <c r="D10" s="16"/>
      <c r="E10" s="17"/>
      <c r="F10" s="17"/>
      <c r="G10" s="17"/>
      <c r="H10" s="17"/>
      <c r="I10" s="17"/>
      <c r="J10" s="17"/>
      <c r="K10" s="17"/>
      <c r="L10" s="17"/>
      <c r="M10" s="17"/>
      <c r="N10" s="17"/>
      <c r="O10" s="17"/>
      <c r="P10" s="17"/>
      <c r="Q10" s="16"/>
      <c r="R10" s="17"/>
      <c r="S10" s="17"/>
      <c r="T10" s="17"/>
      <c r="U10" s="17"/>
      <c r="V10" s="17"/>
      <c r="W10" s="17"/>
      <c r="X10" s="17"/>
      <c r="Y10" s="17"/>
      <c r="Z10" s="17"/>
      <c r="AA10" s="17"/>
      <c r="AB10" s="17"/>
      <c r="AC10" s="17"/>
      <c r="AD10" s="18"/>
    </row>
    <row r="11" spans="1:59">
      <c r="A11" s="171" t="s">
        <v>421</v>
      </c>
      <c r="B11" s="238">
        <f>SUM(B38:B51)</f>
        <v>476</v>
      </c>
      <c r="C11" s="16"/>
      <c r="D11" s="16"/>
      <c r="E11" s="17"/>
      <c r="F11" s="17"/>
      <c r="G11" s="17"/>
      <c r="H11" s="17"/>
      <c r="I11" s="17"/>
      <c r="J11" s="17"/>
      <c r="K11" s="17"/>
      <c r="L11" s="17"/>
      <c r="M11" s="17"/>
      <c r="N11" s="17"/>
      <c r="O11" s="17"/>
      <c r="P11" s="17"/>
      <c r="Q11" s="16"/>
      <c r="R11" s="17"/>
      <c r="S11" s="17"/>
      <c r="T11" s="17"/>
      <c r="U11" s="17"/>
      <c r="V11" s="17"/>
      <c r="W11" s="17"/>
      <c r="X11" s="17"/>
      <c r="Y11" s="17"/>
      <c r="Z11" s="17"/>
      <c r="AA11" s="17"/>
      <c r="AB11" s="17"/>
      <c r="AC11" s="17"/>
      <c r="AD11" s="18"/>
    </row>
    <row r="12" spans="1:59">
      <c r="A12" s="239" t="s">
        <v>422</v>
      </c>
      <c r="B12" s="240" t="s">
        <v>317</v>
      </c>
      <c r="C12" s="16"/>
      <c r="D12" s="16"/>
      <c r="E12" s="17"/>
      <c r="F12" s="17"/>
      <c r="G12" s="17"/>
      <c r="H12" s="17"/>
      <c r="I12" s="17"/>
      <c r="J12" s="17"/>
      <c r="K12" s="17"/>
      <c r="L12" s="17"/>
      <c r="M12" s="17"/>
      <c r="N12" s="17"/>
      <c r="O12" s="17"/>
      <c r="P12" s="17"/>
      <c r="Q12" s="16"/>
      <c r="R12" s="17"/>
      <c r="S12" s="17"/>
      <c r="T12" s="17"/>
      <c r="U12" s="17"/>
      <c r="V12" s="17"/>
      <c r="W12" s="17"/>
      <c r="X12" s="17"/>
      <c r="Y12" s="17"/>
      <c r="Z12" s="17"/>
      <c r="AA12" s="17"/>
      <c r="AB12" s="17"/>
      <c r="AC12" s="17"/>
      <c r="AD12" s="18"/>
    </row>
    <row r="13" spans="1:59">
      <c r="A13" s="16"/>
      <c r="B13" s="16"/>
      <c r="C13" s="16"/>
      <c r="D13" s="16"/>
      <c r="E13" s="17"/>
      <c r="F13" s="17"/>
      <c r="G13" s="17"/>
      <c r="H13" s="17"/>
      <c r="I13" s="17"/>
      <c r="J13" s="17"/>
      <c r="K13" s="17"/>
      <c r="L13" s="17"/>
      <c r="M13" s="17"/>
      <c r="N13" s="17"/>
      <c r="O13" s="17"/>
      <c r="P13" s="17"/>
      <c r="Q13" s="16"/>
      <c r="R13" s="17"/>
      <c r="S13" s="17"/>
      <c r="T13" s="17"/>
      <c r="U13" s="17"/>
      <c r="V13" s="17"/>
      <c r="W13" s="17"/>
      <c r="X13" s="17"/>
      <c r="Y13" s="17"/>
      <c r="Z13" s="17"/>
      <c r="AA13" s="17"/>
      <c r="AB13" s="17"/>
      <c r="AC13" s="17"/>
      <c r="AD13" s="17" t="str" cm="1">
        <f t="array" ref="AD13:BF14">Constants!A2:AC3</f>
        <v>SC1</v>
      </c>
      <c r="AE13" s="17" t="str">
        <v>SC1 - Half</v>
      </c>
      <c r="AF13" s="17" t="str">
        <v>SC2</v>
      </c>
      <c r="AG13" s="17" t="str">
        <v>SC2 - Half</v>
      </c>
      <c r="AH13" s="17" t="str">
        <v>SC3</v>
      </c>
      <c r="AI13" s="17" t="str">
        <v>SC4</v>
      </c>
      <c r="AJ13" s="17" t="str">
        <v>SC5</v>
      </c>
      <c r="AK13" s="17" t="str">
        <v>SC6</v>
      </c>
      <c r="AL13" s="17" t="str">
        <v>Dojo</v>
      </c>
      <c r="AM13" s="17" t="str">
        <v>Boulder Wall</v>
      </c>
      <c r="AN13" s="17" t="str">
        <v>Climbing Wall</v>
      </c>
      <c r="AO13" s="17" t="str">
        <v>Artificial Hockey field</v>
      </c>
      <c r="AP13" s="17" t="str">
        <v>Artificial Hockey field - Half</v>
      </c>
      <c r="AQ13" s="17" t="str">
        <v>Artificial Soccer field</v>
      </c>
      <c r="AR13" s="17" t="str">
        <v>Artificial Soccer field - Half</v>
      </c>
      <c r="AS13" s="17" t="str">
        <v>Basketball</v>
      </c>
      <c r="AT13" s="17" t="str">
        <v>Bastille field</v>
      </c>
      <c r="AU13" s="17" t="str">
        <v>Beach fields</v>
      </c>
      <c r="AV13" s="17" t="str">
        <v>Shooting range</v>
      </c>
      <c r="AW13" s="17" t="str">
        <v>Multi/Lacrosse field</v>
      </c>
      <c r="AX13" s="17" t="str">
        <v>Multi/Lacrosse field - Half</v>
      </c>
      <c r="AY13" s="17" t="str">
        <v>Bootcamp field</v>
      </c>
      <c r="AZ13" s="17" t="str">
        <v>Multi/Baseball field</v>
      </c>
      <c r="BA13" s="17" t="str">
        <v>Tennis court</v>
      </c>
      <c r="BB13" s="17" t="str">
        <v>Utrack</v>
      </c>
      <c r="BC13" s="22" t="str">
        <v>Verreveld</v>
      </c>
      <c r="BD13" s="22" t="str">
        <v>Wsc</v>
      </c>
      <c r="BE13" s="22" t="str">
        <v>Indoor pool</v>
      </c>
      <c r="BF13" s="22" t="str">
        <v>Outdoor pool</v>
      </c>
      <c r="BG13" s="22"/>
    </row>
    <row r="14" spans="1:59" ht="15.95" thickBot="1">
      <c r="A14" s="175" t="s">
        <v>423</v>
      </c>
      <c r="B14" s="16"/>
      <c r="C14" s="16"/>
      <c r="D14" s="16"/>
      <c r="E14" s="16"/>
      <c r="F14" s="16"/>
      <c r="G14" s="175" t="s">
        <v>424</v>
      </c>
      <c r="I14" s="17"/>
      <c r="J14" s="17"/>
      <c r="K14" s="176" t="s">
        <v>425</v>
      </c>
      <c r="L14" s="17"/>
      <c r="M14" s="176" t="s">
        <v>426</v>
      </c>
      <c r="N14" s="17"/>
      <c r="O14" s="17"/>
      <c r="P14" s="17"/>
      <c r="Q14" s="17"/>
      <c r="R14" s="17"/>
      <c r="S14" s="16"/>
      <c r="T14" s="17"/>
      <c r="U14" s="17"/>
      <c r="V14" s="17"/>
      <c r="W14" s="17"/>
      <c r="X14" s="17"/>
      <c r="Y14" s="17"/>
      <c r="Z14" s="17"/>
      <c r="AA14" s="17"/>
      <c r="AB14" s="17"/>
      <c r="AC14" s="17"/>
      <c r="AD14" s="19">
        <v>67.5</v>
      </c>
      <c r="AE14" s="19">
        <v>35</v>
      </c>
      <c r="AF14" s="19">
        <v>67.5</v>
      </c>
      <c r="AG14" s="19">
        <v>35</v>
      </c>
      <c r="AH14" s="19">
        <v>40</v>
      </c>
      <c r="AI14" s="19">
        <v>40</v>
      </c>
      <c r="AJ14" s="19">
        <v>35</v>
      </c>
      <c r="AK14" s="19">
        <v>35</v>
      </c>
      <c r="AL14" s="19">
        <v>40</v>
      </c>
      <c r="AM14" s="19">
        <v>27.5</v>
      </c>
      <c r="AN14" s="19">
        <v>45</v>
      </c>
      <c r="AO14" s="19">
        <v>75</v>
      </c>
      <c r="AP14" s="19">
        <v>40</v>
      </c>
      <c r="AQ14" s="19">
        <v>75</v>
      </c>
      <c r="AR14" s="19">
        <v>40</v>
      </c>
      <c r="AS14" s="19">
        <v>30</v>
      </c>
      <c r="AT14" s="19">
        <v>50</v>
      </c>
      <c r="AU14" s="19">
        <v>75</v>
      </c>
      <c r="AV14" s="19">
        <v>40</v>
      </c>
      <c r="AW14" s="19">
        <v>75</v>
      </c>
      <c r="AX14" s="19">
        <v>40</v>
      </c>
      <c r="AY14" s="19">
        <v>50</v>
      </c>
      <c r="AZ14" s="19">
        <v>65</v>
      </c>
      <c r="BA14" s="19">
        <v>35</v>
      </c>
      <c r="BB14" s="19">
        <v>45</v>
      </c>
      <c r="BC14" s="19">
        <v>50</v>
      </c>
      <c r="BD14" s="19">
        <v>0</v>
      </c>
      <c r="BE14" s="19">
        <v>65</v>
      </c>
      <c r="BF14" s="20">
        <v>70</v>
      </c>
      <c r="BG14" s="20"/>
    </row>
    <row r="15" spans="1:59" ht="15.95" thickTop="1">
      <c r="A15" s="67"/>
      <c r="B15" s="68" t="str">
        <f>Constants!H6</f>
        <v>Performance training</v>
      </c>
      <c r="C15" s="68" t="str">
        <f>Constants!H7</f>
        <v>Performance coaching</v>
      </c>
      <c r="D15" s="68" t="str">
        <f>Constants!H8</f>
        <v>Dangerous</v>
      </c>
      <c r="E15" s="69" t="str">
        <f>Constants!H9</f>
        <v>Recreational</v>
      </c>
      <c r="F15" s="69" t="s">
        <v>290</v>
      </c>
      <c r="G15" s="70"/>
      <c r="H15" s="71" t="s">
        <v>427</v>
      </c>
      <c r="I15" s="72" t="s">
        <v>272</v>
      </c>
      <c r="J15" s="70" t="s">
        <v>5</v>
      </c>
      <c r="K15" s="72" t="s">
        <v>428</v>
      </c>
      <c r="L15" s="70" t="s">
        <v>429</v>
      </c>
      <c r="M15" s="73" cm="1">
        <f t="array" ref="M15">(SUM(IF($D$55:$D$62="PT",($F$55:$F$62)/1.5+IF($G$55:$G$62="yes",1)))+SUM(IF($D$55:$D$62="Extern",($F$55:$F$62)/1.5+IF($G$55:$G$62="yes",1)))+SUM(IF($D$55:$D$62="PT-ZZP",($F$55:$F$62)/1.5+IF($G$55:$G$62="yes",1))))*Constants!B10</f>
        <v>7000</v>
      </c>
      <c r="N15" s="17"/>
      <c r="O15" s="17"/>
      <c r="P15" s="17"/>
      <c r="Q15" s="17"/>
      <c r="R15" s="16"/>
      <c r="S15" s="17"/>
      <c r="T15" s="17"/>
      <c r="U15" s="17"/>
      <c r="V15" s="17"/>
      <c r="W15" s="17"/>
      <c r="X15" s="17"/>
      <c r="Y15" s="17"/>
      <c r="Z15" s="17"/>
      <c r="AA15" s="17"/>
      <c r="AB15" s="17"/>
      <c r="AC15" s="17"/>
      <c r="AD15" s="16">
        <f t="shared" ref="AD15:BF15" si="0">SUMIF($B$93:$B$125,AD13,$F$93:$F$125)</f>
        <v>0</v>
      </c>
      <c r="AE15" s="16">
        <f t="shared" si="0"/>
        <v>0</v>
      </c>
      <c r="AF15" s="16">
        <f t="shared" si="0"/>
        <v>0</v>
      </c>
      <c r="AG15" s="16">
        <f t="shared" si="0"/>
        <v>0</v>
      </c>
      <c r="AH15" s="16">
        <f t="shared" si="0"/>
        <v>0</v>
      </c>
      <c r="AI15" s="16">
        <f t="shared" si="0"/>
        <v>0</v>
      </c>
      <c r="AJ15" s="16">
        <f t="shared" si="0"/>
        <v>0</v>
      </c>
      <c r="AK15" s="16">
        <f t="shared" si="0"/>
        <v>0</v>
      </c>
      <c r="AL15" s="16">
        <f t="shared" si="0"/>
        <v>0</v>
      </c>
      <c r="AM15" s="16">
        <f t="shared" si="0"/>
        <v>0</v>
      </c>
      <c r="AN15" s="16">
        <f t="shared" si="0"/>
        <v>0</v>
      </c>
      <c r="AO15" s="16">
        <f t="shared" si="0"/>
        <v>0</v>
      </c>
      <c r="AP15" s="16">
        <f t="shared" si="0"/>
        <v>0</v>
      </c>
      <c r="AQ15" s="16">
        <f t="shared" si="0"/>
        <v>0</v>
      </c>
      <c r="AR15" s="16">
        <f t="shared" si="0"/>
        <v>0</v>
      </c>
      <c r="AS15" s="16">
        <f t="shared" si="0"/>
        <v>0</v>
      </c>
      <c r="AT15" s="16">
        <f t="shared" si="0"/>
        <v>0</v>
      </c>
      <c r="AU15" s="16">
        <f t="shared" si="0"/>
        <v>0</v>
      </c>
      <c r="AV15" s="16">
        <f t="shared" si="0"/>
        <v>0</v>
      </c>
      <c r="AW15" s="16">
        <f t="shared" si="0"/>
        <v>0</v>
      </c>
      <c r="AX15" s="16">
        <f t="shared" si="0"/>
        <v>0</v>
      </c>
      <c r="AY15" s="16">
        <f t="shared" si="0"/>
        <v>0</v>
      </c>
      <c r="AZ15" s="16">
        <f t="shared" si="0"/>
        <v>0</v>
      </c>
      <c r="BA15" s="16">
        <f t="shared" si="0"/>
        <v>2763</v>
      </c>
      <c r="BB15" s="16">
        <f t="shared" si="0"/>
        <v>0</v>
      </c>
      <c r="BC15" s="16">
        <f t="shared" si="0"/>
        <v>0</v>
      </c>
      <c r="BD15" s="16">
        <f t="shared" si="0"/>
        <v>0</v>
      </c>
      <c r="BE15" s="16">
        <f t="shared" si="0"/>
        <v>0</v>
      </c>
      <c r="BF15" s="16">
        <f t="shared" si="0"/>
        <v>0</v>
      </c>
    </row>
    <row r="16" spans="1:59">
      <c r="A16" s="74" t="str">
        <f>Constants!E6</f>
        <v>PT</v>
      </c>
      <c r="B16" s="16">
        <f>SUMIFS(Ludica!$F$67:$F$89,Ludica!$B$67:$B$89, B$15,Ludica!$H$67:$H$89,$A16)*(1+Constants!$B$7)</f>
        <v>273.59999999999997</v>
      </c>
      <c r="C16" s="16">
        <f>SUMIFS(Ludica!$F$67:$F$89,Ludica!$B$67:$B$89, C$15,Ludica!$H$67:$H$89,$A16)</f>
        <v>0</v>
      </c>
      <c r="D16" s="16">
        <f>SUMIFS(Ludica!$F$67:$F$89,Ludica!$B$67:$B$89, D$15,Ludica!$H$67:$H$89,$A16)*(1+Constants!$B$7)</f>
        <v>0</v>
      </c>
      <c r="E16" s="16">
        <f>SUMIFS(Ludica!$F$67:$F$89,Ludica!$B$67:$B$89, E$15,Ludica!$H$67:$H$89,$A16)*(1+Constants!$B$7)</f>
        <v>0</v>
      </c>
      <c r="F16" s="16">
        <f>SUMIFS(Ludica!$F$67:$F$89,Ludica!$B$67:$B$89, F$15,Ludica!$H$67:$H$89,$A16)*(1+Constants!$B$7)</f>
        <v>0</v>
      </c>
      <c r="G16" s="74" t="s">
        <v>430</v>
      </c>
      <c r="H16" s="16">
        <f>SUMIF(Ludica!$B$93:$B$126,"&lt;&gt;External",Ludica!$F$93:$F$126)</f>
        <v>2763</v>
      </c>
      <c r="I16" s="75">
        <f>SUMIF(Ludica!$B$93:$B$126,"External",Ludica!$F$93:$F$126)</f>
        <v>0</v>
      </c>
      <c r="J16" s="234">
        <f>SUM($F$129:$F$142)</f>
        <v>3074</v>
      </c>
      <c r="K16" s="76">
        <f>IF(OR(ISBLANK(B7),ISBLANK(B9)), "ERROR",MAX(MIN(J16,B7*Constants!B15)-Constants!B14*B7,0)*IF(B9="yes",Constants!B16,IF(B9="no",Constants!B17,0)))</f>
        <v>0</v>
      </c>
      <c r="L16" s="77" t="s">
        <v>360</v>
      </c>
      <c r="M16" s="76">
        <f>E16*Constants!B6+E17*Constants!B8+E22+E21</f>
        <v>0</v>
      </c>
      <c r="N16" s="17"/>
      <c r="O16" s="17"/>
      <c r="P16" s="17"/>
      <c r="Q16" s="17"/>
      <c r="R16" s="16"/>
      <c r="S16" s="17"/>
      <c r="T16" s="17"/>
      <c r="U16" s="17"/>
      <c r="V16" s="17"/>
      <c r="W16" s="17"/>
      <c r="X16" s="17"/>
      <c r="Y16" s="17"/>
      <c r="Z16" s="17"/>
      <c r="AA16" s="17"/>
      <c r="AB16" s="17"/>
      <c r="AC16" s="17"/>
      <c r="AD16" s="19">
        <f t="shared" ref="AD16:BF16" si="1">AD14*AD15</f>
        <v>0</v>
      </c>
      <c r="AE16" s="19">
        <f t="shared" si="1"/>
        <v>0</v>
      </c>
      <c r="AF16" s="19">
        <f t="shared" si="1"/>
        <v>0</v>
      </c>
      <c r="AG16" s="19">
        <f t="shared" si="1"/>
        <v>0</v>
      </c>
      <c r="AH16" s="19">
        <f t="shared" si="1"/>
        <v>0</v>
      </c>
      <c r="AI16" s="19">
        <f t="shared" si="1"/>
        <v>0</v>
      </c>
      <c r="AJ16" s="19">
        <f t="shared" si="1"/>
        <v>0</v>
      </c>
      <c r="AK16" s="19">
        <f t="shared" si="1"/>
        <v>0</v>
      </c>
      <c r="AL16" s="19">
        <f t="shared" si="1"/>
        <v>0</v>
      </c>
      <c r="AM16" s="19">
        <f t="shared" si="1"/>
        <v>0</v>
      </c>
      <c r="AN16" s="19">
        <f t="shared" si="1"/>
        <v>0</v>
      </c>
      <c r="AO16" s="19">
        <f t="shared" si="1"/>
        <v>0</v>
      </c>
      <c r="AP16" s="19">
        <f t="shared" si="1"/>
        <v>0</v>
      </c>
      <c r="AQ16" s="19">
        <f t="shared" si="1"/>
        <v>0</v>
      </c>
      <c r="AR16" s="19">
        <f t="shared" si="1"/>
        <v>0</v>
      </c>
      <c r="AS16" s="19">
        <f t="shared" si="1"/>
        <v>0</v>
      </c>
      <c r="AT16" s="19">
        <f t="shared" si="1"/>
        <v>0</v>
      </c>
      <c r="AU16" s="19">
        <f t="shared" si="1"/>
        <v>0</v>
      </c>
      <c r="AV16" s="19">
        <f t="shared" si="1"/>
        <v>0</v>
      </c>
      <c r="AW16" s="19">
        <f t="shared" si="1"/>
        <v>0</v>
      </c>
      <c r="AX16" s="19">
        <f t="shared" si="1"/>
        <v>0</v>
      </c>
      <c r="AY16" s="19">
        <f t="shared" si="1"/>
        <v>0</v>
      </c>
      <c r="AZ16" s="19">
        <f t="shared" si="1"/>
        <v>0</v>
      </c>
      <c r="BA16" s="19">
        <f t="shared" si="1"/>
        <v>96705</v>
      </c>
      <c r="BB16" s="19">
        <f t="shared" si="1"/>
        <v>0</v>
      </c>
      <c r="BC16" s="19">
        <f t="shared" si="1"/>
        <v>0</v>
      </c>
      <c r="BD16" s="19">
        <f t="shared" si="1"/>
        <v>0</v>
      </c>
      <c r="BE16" s="19">
        <f t="shared" si="1"/>
        <v>0</v>
      </c>
      <c r="BF16" s="19">
        <f t="shared" si="1"/>
        <v>0</v>
      </c>
    </row>
    <row r="17" spans="1:36">
      <c r="A17" s="74" t="str">
        <f>Constants!E7</f>
        <v>PT-V</v>
      </c>
      <c r="B17" s="16">
        <f>SUMIFS(Ludica!$F$67:$F$89,Ludica!$B$67:$B$89, B$15,Ludica!$H$67:$H$89,$A17)*(1+Constants!$B$9)</f>
        <v>0</v>
      </c>
      <c r="C17" s="16">
        <f>SUMIFS(Ludica!$F$67:$F$89,Ludica!$B$67:$B$89, C$15,Ludica!$H$67:$H$89,$A17)</f>
        <v>0</v>
      </c>
      <c r="D17" s="16">
        <f>SUMIFS(Ludica!$F$67:$F$89,Ludica!$B$67:$B$89, D$15,Ludica!$H$67:$H$89,$A17)*(1+Constants!$B$9)</f>
        <v>0</v>
      </c>
      <c r="E17" s="16">
        <f>SUMIFS(Ludica!$F$67:$F$89,Ludica!$B$67:$B$89, E$15,Ludica!$H$67:$H$89,$A17)*(1+Constants!$B$9)</f>
        <v>0</v>
      </c>
      <c r="F17" s="16">
        <f>SUMIFS(Ludica!$F$67:$F$89,Ludica!$B$67:$B$89, F$15,Ludica!$H$67:$H$89,$A17)</f>
        <v>0</v>
      </c>
      <c r="G17" s="74" t="s">
        <v>38</v>
      </c>
      <c r="H17" s="78">
        <f>SUM(AD16:BZ16)</f>
        <v>96705</v>
      </c>
      <c r="I17" s="76" cm="1">
        <f t="array" ref="I17">SUM(IF($B$93:$B$124="External",$F$93:$F$124*$H$93:$H$124,0))</f>
        <v>0</v>
      </c>
      <c r="J17" s="79"/>
      <c r="K17" s="80"/>
      <c r="L17" s="77" t="s">
        <v>63</v>
      </c>
      <c r="M17" s="76">
        <f>J16-K16</f>
        <v>3074</v>
      </c>
      <c r="N17" s="17"/>
      <c r="O17" s="17"/>
      <c r="P17" s="17"/>
      <c r="Q17" s="17"/>
      <c r="R17" s="16"/>
      <c r="S17" s="17"/>
      <c r="T17" s="17"/>
      <c r="U17" s="17"/>
      <c r="V17" s="17"/>
      <c r="W17" s="17"/>
      <c r="X17" s="17"/>
      <c r="Y17" s="17"/>
      <c r="Z17" s="17"/>
      <c r="AA17" s="17"/>
      <c r="AB17" s="17"/>
      <c r="AC17" s="17"/>
      <c r="AD17" s="17"/>
      <c r="AE17" s="17"/>
    </row>
    <row r="18" spans="1:36">
      <c r="A18" s="74" t="str">
        <f>Constants!E8</f>
        <v>PT-ZZP</v>
      </c>
      <c r="B18" s="16">
        <f>SUMIFS(Ludica!$F$67:$F$89,Ludica!$B$67:$B$89, B$15,Ludica!$H$67:$H$89,$A18)*(1+Constants!$B$7)</f>
        <v>684</v>
      </c>
      <c r="C18" s="16">
        <f>SUMIFS(Ludica!$F$67:$F$89,Ludica!$B$67:$B$89, C$15,Ludica!$H$67:$H$89,$A18)</f>
        <v>0</v>
      </c>
      <c r="D18" s="16">
        <f>SUMIFS(Ludica!$F$67:$F$89,Ludica!$B$67:$B$89, D$15,Ludica!$H$67:$H$89,$A18)*(1+Constants!$B$7)</f>
        <v>0</v>
      </c>
      <c r="E18" s="16">
        <f>SUMIFS(Ludica!$F$67:$F$89,Ludica!$B$67:$B$89, E$15,Ludica!$H$67:$H$89,$A18)*(1+Constants!$B$7)</f>
        <v>0</v>
      </c>
      <c r="F18" s="16">
        <f>SUMIFS(Ludica!$F$67:$F$89,Ludica!$B$67:$B$89, F$15,Ludica!$H$67:$H$89,$A18)*(1+Constants!$B$7)</f>
        <v>0</v>
      </c>
      <c r="G18" s="74"/>
      <c r="H18" s="78"/>
      <c r="I18" s="76"/>
      <c r="J18" s="79"/>
      <c r="K18" s="80"/>
      <c r="L18" s="77" t="s">
        <v>60</v>
      </c>
      <c r="M18" s="76" t="str">
        <f>IF(I17-Constants!I17*$B$7&gt;0,$I$17-Constants!I17*$B$7,"-")</f>
        <v>-</v>
      </c>
      <c r="N18" s="17"/>
      <c r="O18" s="17"/>
      <c r="P18" s="17"/>
      <c r="Q18" s="17"/>
      <c r="R18" s="16"/>
      <c r="S18" s="17"/>
      <c r="T18" s="17"/>
      <c r="U18" s="17"/>
      <c r="V18" s="17"/>
      <c r="W18" s="17"/>
      <c r="X18" s="17"/>
      <c r="Y18" s="17"/>
      <c r="Z18" s="17"/>
      <c r="AA18" s="17"/>
      <c r="AB18" s="17"/>
      <c r="AC18" s="17"/>
      <c r="AD18" s="17"/>
      <c r="AE18" s="17"/>
    </row>
    <row r="19" spans="1:36">
      <c r="A19" s="74" t="str">
        <f>Constants!E9</f>
        <v>RT</v>
      </c>
      <c r="B19" s="16">
        <f>SUMIFS(Ludica!$F$67:$F$89,Ludica!$B$67:$B$89, B$15,Ludica!$H$67:$H$89,$A19)</f>
        <v>0</v>
      </c>
      <c r="C19" s="16">
        <f>SUMIFS(Ludica!$F$67:$F$89,Ludica!$B$67:$B$89, C$15,Ludica!$H$67:$H$89,$A19)</f>
        <v>0</v>
      </c>
      <c r="D19" s="16">
        <f>SUMIFS(Ludica!$F$67:$F$89,Ludica!$B$67:$B$89, D$15,Ludica!$H$67:$H$89,$A19)</f>
        <v>0</v>
      </c>
      <c r="E19" s="16">
        <f>SUMIFS(Ludica!$F$67:$F$89,Ludica!$B$67:$B$89, E$15,Ludica!$H$67:$H$89,$A19)</f>
        <v>1584</v>
      </c>
      <c r="F19" s="16">
        <f>SUMIFS(Ludica!$F$67:$F$89,Ludica!$B$67:$B$89, F$15,Ludica!$H$67:$H$89,$A19)</f>
        <v>0</v>
      </c>
      <c r="G19" s="74" t="s">
        <v>396</v>
      </c>
      <c r="H19" s="78"/>
      <c r="I19" s="76">
        <f>IF(B7*Constants!I17&lt;I17,B7*Constants!I17,I17)</f>
        <v>0</v>
      </c>
      <c r="J19" s="79"/>
      <c r="K19" s="80"/>
      <c r="L19" s="77" t="s">
        <v>431</v>
      </c>
      <c r="M19" s="255">
        <f ca="1">Constants!C31*B7+Data!L21</f>
        <v>26055.97522340712</v>
      </c>
      <c r="N19" s="17"/>
      <c r="O19" s="17"/>
      <c r="P19" s="17"/>
      <c r="Q19" s="17"/>
      <c r="R19" s="16"/>
      <c r="S19" s="17"/>
      <c r="T19" s="17"/>
      <c r="U19" s="17"/>
      <c r="V19" s="17"/>
      <c r="W19" s="17"/>
      <c r="X19" s="17"/>
      <c r="Y19" s="17"/>
      <c r="Z19" s="17"/>
      <c r="AA19" s="17"/>
      <c r="AB19" s="17"/>
      <c r="AC19" s="17"/>
      <c r="AD19" s="17"/>
      <c r="AE19" s="17"/>
    </row>
    <row r="20" spans="1:36">
      <c r="A20" s="74" t="str">
        <f>Constants!E10</f>
        <v>Extern</v>
      </c>
      <c r="B20" s="16">
        <f>SUMIFS(Ludica!$F$67:$F$89,Ludica!$B$67:$B$89, B$15,Ludica!$H$67:$H$89,$A20)</f>
        <v>0</v>
      </c>
      <c r="C20" s="16">
        <f>SUMIFS(Ludica!$F$67:$F$89,Ludica!$B$67:$B$89, C$15,Ludica!$H$67:$H$89,$A20)</f>
        <v>0</v>
      </c>
      <c r="D20" s="16">
        <f>SUMIFS(Ludica!$F$67:$F$89,Ludica!$B$67:$B$89, D$15,Ludica!$H$67:$H$89,$A20)</f>
        <v>0</v>
      </c>
      <c r="E20" s="16">
        <f>SUMIFS(Ludica!$F$67:$F$89,Ludica!$B$67:$B$89, E$15,Ludica!$H$67:$H$89,$A20)</f>
        <v>0</v>
      </c>
      <c r="F20" s="16">
        <f>SUMIFS(Ludica!$F$67:$F$89,Ludica!$B$67:$B$89, F$15,Ludica!$H$67:$H$89,$A20)</f>
        <v>0</v>
      </c>
      <c r="G20" s="81"/>
      <c r="H20" s="16"/>
      <c r="I20" s="75"/>
      <c r="J20" s="79"/>
      <c r="K20" s="82"/>
      <c r="L20" s="83"/>
      <c r="M20" s="84"/>
      <c r="N20" s="17"/>
      <c r="O20" s="17"/>
      <c r="P20" s="17"/>
      <c r="Q20" s="17"/>
      <c r="R20" s="16"/>
      <c r="S20" s="17"/>
      <c r="T20" s="17"/>
      <c r="U20" s="17"/>
      <c r="V20" s="17"/>
      <c r="W20" s="17"/>
      <c r="X20" s="17"/>
      <c r="Y20" s="17"/>
      <c r="Z20" s="17"/>
      <c r="AA20" s="17"/>
      <c r="AB20" s="17"/>
      <c r="AC20" s="17"/>
      <c r="AD20" s="17"/>
      <c r="AE20" s="17"/>
    </row>
    <row r="21" spans="1:36">
      <c r="A21" s="74" t="str">
        <f>CONCATENATE(A18," Costs")</f>
        <v>PT-ZZP Costs</v>
      </c>
      <c r="B21" s="78">
        <f t="array" ref="B21">SUM(IF(Ludica!$B$67:$B$89=B$15,IF(Ludica!$H$67:$H$89="PT-ZZP",Ludica!$F$67:$F$89*Ludica!$I$67:$I$89*(1+Constants!$B$7),0),0))</f>
        <v>34200</v>
      </c>
      <c r="C21" s="78">
        <f t="array" ref="C21">SUM(IF(Ludica!$B$67:$B$89=C$15,IF(Ludica!$H$67:$H$89="PT-ZZP",Ludica!$F$67:$F$89*Ludica!$I$67:$I$89,0),0))</f>
        <v>0</v>
      </c>
      <c r="D21" s="78">
        <f t="array" ref="D21">SUM(IF(Ludica!$B$67:$B$89=D$15,IF(Ludica!$H$67:$H$89="PT-ZZP",Ludica!$F$67:$F$89*Ludica!$I$67:$I$89*(1+Constants!$B$7),0),0))</f>
        <v>0</v>
      </c>
      <c r="E21" s="78">
        <f t="array" ref="E21">SUM(IF(Ludica!$B$67:$B$89=E$15,IF(Ludica!$H$67:$H$89="PT-ZZP",Ludica!$F$67:$F$89*Ludica!$I$67:$I$89*(1+Constants!$B$7),0),0))</f>
        <v>0</v>
      </c>
      <c r="F21" s="78">
        <f t="array" ref="F21">SUM(IF(Ludica!$B$67:$B$89=F$15,IF(Ludica!$H$67:$H$89="PT-ZZP",Ludica!$F$67:$F$89*Ludica!$I$67:$I$89*(1+Constants!$B$7),0),0))</f>
        <v>0</v>
      </c>
      <c r="G21" s="81"/>
      <c r="H21" s="16"/>
      <c r="I21" s="75"/>
      <c r="J21" s="79"/>
      <c r="K21" s="82"/>
      <c r="L21" s="77" t="s">
        <v>5</v>
      </c>
      <c r="M21" s="76">
        <f ca="1">SUM(M15:M20)</f>
        <v>36129.97522340712</v>
      </c>
      <c r="N21" s="17"/>
      <c r="O21" s="17"/>
      <c r="P21" s="17"/>
      <c r="Q21" s="17"/>
      <c r="R21" s="16"/>
      <c r="S21" s="17"/>
      <c r="T21" s="17"/>
      <c r="U21" s="17"/>
      <c r="V21" s="17"/>
      <c r="W21" s="17"/>
      <c r="X21" s="17"/>
      <c r="Y21" s="17"/>
      <c r="Z21" s="17"/>
      <c r="AA21" s="17"/>
      <c r="AB21" s="17"/>
      <c r="AC21" s="17"/>
      <c r="AD21" s="17"/>
      <c r="AE21" s="17"/>
    </row>
    <row r="22" spans="1:36" ht="15.75" customHeight="1" thickBot="1">
      <c r="A22" s="74" t="str">
        <f>CONCATENATE(A20," Costs")</f>
        <v>Extern Costs</v>
      </c>
      <c r="B22" s="78">
        <f t="array" ref="B22">SUM(IF(Ludica!$B$67:$B$89=B$15,IF(Ludica!$H$67:$H$89="Extern",Ludica!$F$67:$F$89*Ludica!$I$67:$I$89,0),0))</f>
        <v>0</v>
      </c>
      <c r="C22" s="78">
        <f t="array" ref="C22">SUM(IF(Ludica!$B$67:$B$89=C$15,IF(Ludica!$H$67:$H$89="Extern",Ludica!$F$67:$F$89*Ludica!$I$67:$I$89,0),0))</f>
        <v>0</v>
      </c>
      <c r="D22" s="78">
        <f t="array" ref="D22">SUM(IF(Ludica!$B$67:$B$89=D$15,IF(Ludica!$H$67:$H$89="Extern",Ludica!$F$67:$F$89*Ludica!$I$67:$I$89,0),0))</f>
        <v>0</v>
      </c>
      <c r="E22" s="78">
        <f t="array" ref="E22">SUM(IF(Ludica!$B$67:$B$89=E$15,IF(Ludica!$H$67:$H$89="Extern",Ludica!$F$67:$F$89*Ludica!$I$67:$I$89,0),0))</f>
        <v>0</v>
      </c>
      <c r="F22" s="76">
        <f t="array" ref="F22">SUM(IF(Ludica!$B$67:$B$89=F$15,IF(Ludica!$H$67:$H$89="Extern",Ludica!$F$67:$F$89*Ludica!$I$67:$I$89,0),0))</f>
        <v>0</v>
      </c>
      <c r="G22" s="85"/>
      <c r="H22" s="177"/>
      <c r="I22" s="86"/>
      <c r="J22" s="87"/>
      <c r="K22" s="88"/>
      <c r="L22" s="87"/>
      <c r="M22" s="88"/>
      <c r="N22" s="17"/>
      <c r="O22" s="17"/>
      <c r="P22" s="17"/>
      <c r="Q22" s="17"/>
      <c r="R22" s="16"/>
      <c r="S22" s="17"/>
      <c r="T22" s="17"/>
      <c r="U22" s="17"/>
      <c r="V22" s="17"/>
      <c r="W22" s="17"/>
      <c r="X22" s="17"/>
      <c r="Y22" s="17"/>
      <c r="Z22" s="17"/>
      <c r="AA22" s="17"/>
      <c r="AB22" s="17"/>
      <c r="AC22" s="17"/>
      <c r="AD22" s="17"/>
      <c r="AE22" s="17"/>
    </row>
    <row r="23" spans="1:36" ht="15" customHeight="1" thickTop="1">
      <c r="A23" s="74" t="s">
        <v>432</v>
      </c>
      <c r="B23" s="78"/>
      <c r="C23" s="78"/>
      <c r="D23" s="78"/>
      <c r="E23" s="78"/>
      <c r="F23" s="76">
        <f t="array" ref="F23">SUMIFS(Ludica!$F$67:$F$89,Ludica!$B$67:$B$89,"Mentorship",Ludica!$H$67:$H$89,"PT-V")*Constants!B8+SUMIFS(Ludica!$F$67:$F$89,Ludica!$B$67:$B$89,"Mentorship",Ludica!$H$67:$H$89,"PT")*Constants!B6+SUMPRODUCT(IF(Ludica!$B$67:$B$89="Mentorship",IF(Ludica!$H$67:$H$89="PT-ZZP",Ludica!$F$67:$F$89*Ludica!$I$67:$I$89,0)))</f>
        <v>0</v>
      </c>
    </row>
    <row r="24" spans="1:36" ht="15" customHeight="1" thickBot="1">
      <c r="A24" s="89" t="s">
        <v>433</v>
      </c>
      <c r="B24" s="178"/>
      <c r="C24" s="178"/>
      <c r="D24" s="178"/>
      <c r="E24" s="178">
        <f>SUMIF(Ludica!$B$67:$B$89,"External Trainer Course",Ludica!$I$67:$I$89)</f>
        <v>0</v>
      </c>
      <c r="F24" s="90"/>
    </row>
    <row r="25" spans="1:36" ht="15.75" customHeight="1" thickTop="1">
      <c r="A25" s="16"/>
      <c r="B25" s="16"/>
      <c r="C25" s="16"/>
      <c r="D25" s="16"/>
      <c r="E25" s="17"/>
      <c r="F25" s="17"/>
      <c r="G25" s="17"/>
      <c r="H25" s="17"/>
      <c r="I25" s="17"/>
      <c r="J25" s="17"/>
      <c r="K25" s="17"/>
      <c r="L25" s="17"/>
      <c r="M25" s="17"/>
      <c r="N25" s="17"/>
      <c r="O25" s="17"/>
      <c r="P25" s="17"/>
      <c r="Q25" s="16"/>
      <c r="R25" s="17"/>
      <c r="S25" s="17"/>
      <c r="T25" s="17"/>
      <c r="U25" s="17"/>
      <c r="V25" s="17"/>
      <c r="W25" s="17"/>
      <c r="X25" s="17"/>
      <c r="Y25" s="17"/>
      <c r="Z25" s="17"/>
      <c r="AA25" s="17"/>
      <c r="AB25" s="17"/>
      <c r="AC25" s="17"/>
      <c r="AD25" s="17"/>
    </row>
    <row r="26" spans="1:36" ht="15.75" customHeight="1">
      <c r="A26" s="16"/>
      <c r="B26" s="16"/>
      <c r="C26" s="16"/>
      <c r="D26" s="16"/>
      <c r="E26" s="17"/>
      <c r="F26" s="17"/>
      <c r="G26" s="17"/>
      <c r="H26" s="17"/>
      <c r="I26" s="17"/>
      <c r="J26" s="17"/>
      <c r="K26" s="17"/>
      <c r="L26" s="17"/>
      <c r="M26" s="17"/>
      <c r="N26" s="17"/>
      <c r="O26" s="17"/>
      <c r="P26" s="17"/>
      <c r="Q26" s="16"/>
      <c r="R26" s="17"/>
      <c r="S26" s="17"/>
      <c r="T26" s="17"/>
      <c r="U26" s="17"/>
      <c r="V26" s="17"/>
      <c r="W26" s="17"/>
      <c r="X26" s="17"/>
      <c r="Y26" s="17"/>
      <c r="Z26" s="17"/>
      <c r="AA26" s="17"/>
      <c r="AB26" s="17"/>
      <c r="AC26" s="17"/>
      <c r="AD26" s="17"/>
    </row>
    <row r="27" spans="1:36" ht="15.75" customHeight="1" thickBot="1">
      <c r="A27" s="91" t="s">
        <v>434</v>
      </c>
      <c r="B27" s="17"/>
      <c r="C27" s="17"/>
      <c r="D27" s="17"/>
      <c r="E27" s="17"/>
      <c r="F27" s="17"/>
      <c r="G27" s="92"/>
      <c r="H27" s="19"/>
      <c r="I27" s="17"/>
      <c r="J27" s="17"/>
      <c r="K27" s="17"/>
      <c r="L27" s="17"/>
      <c r="M27" s="17"/>
      <c r="N27" s="17"/>
      <c r="O27" s="17"/>
      <c r="P27" s="17"/>
      <c r="Q27" s="16"/>
      <c r="R27" s="17"/>
      <c r="S27" s="17"/>
      <c r="T27" s="17"/>
      <c r="U27" s="17"/>
      <c r="V27" s="17"/>
      <c r="W27" s="17"/>
      <c r="X27" s="17"/>
      <c r="Y27" s="17"/>
      <c r="Z27" s="17"/>
      <c r="AA27" s="17"/>
      <c r="AB27" s="17"/>
      <c r="AC27" s="17"/>
      <c r="AD27" s="17"/>
    </row>
    <row r="28" spans="1:36" ht="15.75" customHeight="1" thickTop="1" thickBot="1">
      <c r="A28" s="706" t="s">
        <v>435</v>
      </c>
      <c r="B28" s="707"/>
      <c r="C28" s="707"/>
      <c r="D28" s="707"/>
      <c r="E28" s="707"/>
      <c r="F28" s="708"/>
      <c r="G28" s="15"/>
      <c r="H28" s="17"/>
      <c r="I28" s="17"/>
      <c r="J28" s="17"/>
      <c r="K28" s="17"/>
      <c r="L28" s="17"/>
      <c r="M28" s="17"/>
      <c r="N28" s="17"/>
      <c r="O28" s="17"/>
      <c r="P28" s="17"/>
      <c r="Q28" s="16"/>
      <c r="R28" s="17"/>
      <c r="S28" s="17"/>
      <c r="T28" s="17"/>
      <c r="U28" s="17"/>
      <c r="V28" s="17"/>
      <c r="W28" s="17"/>
      <c r="X28" s="17"/>
      <c r="Y28" s="17"/>
      <c r="Z28" s="17"/>
      <c r="AA28" s="17"/>
      <c r="AB28" s="17"/>
      <c r="AC28" s="17"/>
      <c r="AD28" s="242" t="s">
        <v>436</v>
      </c>
      <c r="AE28" s="16"/>
      <c r="AF28" s="128"/>
      <c r="AG28" s="51"/>
      <c r="AH28" s="51"/>
      <c r="AI28" s="51"/>
      <c r="AJ28" s="51"/>
    </row>
    <row r="29" spans="1:36" ht="15.75" customHeight="1" thickBot="1">
      <c r="A29" s="709" t="s">
        <v>437</v>
      </c>
      <c r="B29" s="696"/>
      <c r="C29" s="696"/>
      <c r="D29" s="696"/>
      <c r="E29" s="696"/>
      <c r="F29" s="710"/>
      <c r="G29" s="17"/>
      <c r="H29" s="17"/>
      <c r="I29" s="17"/>
      <c r="J29" s="17"/>
      <c r="K29" s="17"/>
      <c r="L29" s="17"/>
      <c r="M29" s="17"/>
      <c r="N29" s="17"/>
      <c r="O29" s="17"/>
      <c r="P29" s="17"/>
      <c r="Q29" s="16"/>
      <c r="R29" s="17"/>
      <c r="S29" s="17"/>
      <c r="T29" s="17"/>
      <c r="U29" s="17"/>
      <c r="V29" s="17"/>
      <c r="W29" s="17"/>
      <c r="X29" s="17"/>
      <c r="Y29" s="17"/>
      <c r="Z29" s="17"/>
      <c r="AA29" s="17"/>
      <c r="AB29" s="17"/>
      <c r="AC29" s="17"/>
      <c r="AD29" s="243" t="s">
        <v>438</v>
      </c>
      <c r="AE29" s="243" t="s">
        <v>439</v>
      </c>
      <c r="AF29" s="243" t="s">
        <v>440</v>
      </c>
      <c r="AG29" s="711" t="s">
        <v>441</v>
      </c>
      <c r="AH29" s="712"/>
      <c r="AI29" s="711" t="s">
        <v>434</v>
      </c>
      <c r="AJ29" s="712"/>
    </row>
    <row r="30" spans="1:36" ht="15.75" customHeight="1" thickBot="1">
      <c r="A30" s="709" t="s">
        <v>442</v>
      </c>
      <c r="B30" s="696"/>
      <c r="C30" s="696"/>
      <c r="D30" s="696"/>
      <c r="E30" s="696"/>
      <c r="F30" s="710"/>
      <c r="G30" s="17"/>
      <c r="H30" s="17"/>
      <c r="I30" s="17"/>
      <c r="J30" s="17"/>
      <c r="K30" s="17"/>
      <c r="L30" s="17"/>
      <c r="M30" s="17"/>
      <c r="N30" s="17"/>
      <c r="O30" s="17"/>
      <c r="P30" s="17"/>
      <c r="Q30" s="16"/>
      <c r="R30" s="17"/>
      <c r="S30" s="17"/>
      <c r="T30" s="17"/>
      <c r="U30" s="17"/>
      <c r="V30" s="17"/>
      <c r="W30" s="17"/>
      <c r="X30" s="17"/>
      <c r="Y30" s="17"/>
      <c r="Z30" s="17"/>
      <c r="AA30" s="17"/>
      <c r="AB30" s="17"/>
      <c r="AC30" s="17"/>
      <c r="AD30" s="244" t="str">
        <f>IF($B$12="individual",Constants!F55,Constants!L55)</f>
        <v>member count</v>
      </c>
      <c r="AE30" s="244">
        <f>B7</f>
        <v>436</v>
      </c>
      <c r="AF30" s="269">
        <f>IF(AE30&gt;=301,5,IF(AE30&gt;=176,4,IF(AE30&gt;=101,3,IF(AE30&gt;=51,2,1))))</f>
        <v>5</v>
      </c>
      <c r="AG30" s="560"/>
      <c r="AH30" s="560"/>
      <c r="AI30" s="560" t="s">
        <v>443</v>
      </c>
      <c r="AJ30" s="560"/>
    </row>
    <row r="31" spans="1:36" ht="15" customHeight="1" thickBot="1">
      <c r="A31" s="709" t="s">
        <v>444</v>
      </c>
      <c r="B31" s="696"/>
      <c r="C31" s="696"/>
      <c r="D31" s="696"/>
      <c r="E31" s="696"/>
      <c r="F31" s="710"/>
      <c r="G31" s="17"/>
      <c r="H31" s="17"/>
      <c r="I31" s="17"/>
      <c r="J31" s="17"/>
      <c r="K31" s="17"/>
      <c r="L31" s="17"/>
      <c r="M31" s="17"/>
      <c r="N31" s="17"/>
      <c r="O31" s="17"/>
      <c r="P31" s="17"/>
      <c r="Q31" s="16"/>
      <c r="R31" s="17"/>
      <c r="S31" s="17"/>
      <c r="T31" s="17"/>
      <c r="U31" s="17"/>
      <c r="V31" s="17"/>
      <c r="W31" s="17"/>
      <c r="X31" s="17"/>
      <c r="Y31" s="17"/>
      <c r="Z31" s="17"/>
      <c r="AA31" s="17"/>
      <c r="AB31" s="17"/>
      <c r="AC31" s="17"/>
      <c r="AD31" s="244" t="str">
        <f>IF($B$12="individual",Constants!F56,Constants!L56)</f>
        <v>number of trainings per week</v>
      </c>
      <c r="AE31" s="244" cm="1">
        <f t="array" ref="AE31">SUMPRODUCT(C67:C89*D67:D89)/42</f>
        <v>50.38095238095238</v>
      </c>
      <c r="AF31" s="270">
        <f>IF(AE31&gt;=4,3,IF(AE31&gt;=3,2,IF(AE31&gt;=2,1,0)))</f>
        <v>3</v>
      </c>
      <c r="AG31" s="560"/>
      <c r="AH31" s="560"/>
      <c r="AI31" s="560"/>
      <c r="AJ31" s="560"/>
    </row>
    <row r="32" spans="1:36" ht="15.75" customHeight="1" thickBot="1">
      <c r="A32" s="709" t="s">
        <v>445</v>
      </c>
      <c r="B32" s="696"/>
      <c r="C32" s="696"/>
      <c r="D32" s="696"/>
      <c r="E32" s="696"/>
      <c r="F32" s="710"/>
      <c r="G32" s="17"/>
      <c r="H32" s="16"/>
      <c r="I32" s="16"/>
      <c r="J32" s="16"/>
      <c r="K32" s="17"/>
      <c r="L32" s="17"/>
      <c r="M32" s="17"/>
      <c r="N32" s="17"/>
      <c r="O32" s="17"/>
      <c r="P32" s="17"/>
      <c r="Q32" s="16"/>
      <c r="R32" s="17"/>
      <c r="S32" s="17"/>
      <c r="T32" s="17"/>
      <c r="U32" s="17"/>
      <c r="V32" s="17"/>
      <c r="W32" s="17"/>
      <c r="X32" s="17"/>
      <c r="Y32" s="17"/>
      <c r="Z32" s="17"/>
      <c r="AA32" s="17"/>
      <c r="AB32" s="17"/>
      <c r="AC32" s="17"/>
      <c r="AD32" s="244" t="str">
        <f>IF($B$12="individual",Constants!F57,Constants!L57)</f>
        <v>number of trainings weeks per year</v>
      </c>
      <c r="AE32" s="252">
        <v>42</v>
      </c>
      <c r="AF32" s="250">
        <f>IF(AE32&gt;=40,3,IF(AE32&gt;=35,2,1))</f>
        <v>3</v>
      </c>
      <c r="AG32" s="560"/>
      <c r="AH32" s="560"/>
      <c r="AI32" s="560"/>
      <c r="AJ32" s="560"/>
    </row>
    <row r="33" spans="1:58" ht="15.75" customHeight="1" thickBot="1">
      <c r="A33" s="93" t="s">
        <v>446</v>
      </c>
      <c r="F33" s="94"/>
      <c r="G33" s="17"/>
      <c r="H33" s="16"/>
      <c r="I33" s="16"/>
      <c r="J33" s="16"/>
      <c r="K33" s="17"/>
      <c r="L33" s="17"/>
      <c r="M33" s="17"/>
      <c r="N33" s="17"/>
      <c r="O33" s="17"/>
      <c r="P33" s="17"/>
      <c r="Q33" s="16"/>
      <c r="R33" s="17"/>
      <c r="S33" s="17"/>
      <c r="T33" s="17"/>
      <c r="U33" s="17"/>
      <c r="V33" s="17"/>
      <c r="W33" s="17"/>
      <c r="X33" s="17"/>
      <c r="Y33" s="17"/>
      <c r="Z33" s="17"/>
      <c r="AA33" s="17"/>
      <c r="AB33" s="17"/>
      <c r="AC33" s="17"/>
      <c r="AD33" s="244" t="str">
        <f>IF($B$12="individual",Constants!F58,Constants!L58)</f>
        <v>number of training hours by RT / PT-V</v>
      </c>
      <c r="AE33" s="251">
        <f>(SUMIF(H67:H89,"RT",F67:F89)+SUMIF(H67:H89,"PT-V",F67:F89))/SUM(F67:F89)</f>
        <v>0.66498740554156166</v>
      </c>
      <c r="AF33" s="270">
        <f>IF(AE33&gt;0.9,3,IF(AE33&gt;0.6,2,IF(AE33&gt;0.3,1,0)))</f>
        <v>2</v>
      </c>
      <c r="AG33" s="560"/>
      <c r="AH33" s="560"/>
      <c r="AI33" s="560"/>
      <c r="AJ33" s="560"/>
    </row>
    <row r="34" spans="1:58" ht="15.75" customHeight="1" thickBot="1">
      <c r="A34" s="713" t="s">
        <v>447</v>
      </c>
      <c r="B34" s="714"/>
      <c r="C34" s="714"/>
      <c r="D34" s="714"/>
      <c r="E34" s="714"/>
      <c r="F34" s="715"/>
      <c r="G34" s="17"/>
      <c r="H34" s="16"/>
      <c r="I34" s="16"/>
      <c r="J34" s="16"/>
      <c r="K34" s="17"/>
      <c r="L34" s="17"/>
      <c r="M34" s="17"/>
      <c r="N34" s="17"/>
      <c r="O34" s="17"/>
      <c r="P34" s="17"/>
      <c r="Q34" s="16"/>
      <c r="R34" s="17"/>
      <c r="S34" s="17"/>
      <c r="T34" s="17"/>
      <c r="U34" s="17"/>
      <c r="V34" s="17"/>
      <c r="W34" s="17"/>
      <c r="X34" s="17"/>
      <c r="Y34" s="17"/>
      <c r="Z34" s="17"/>
      <c r="AA34" s="17"/>
      <c r="AB34" s="17"/>
      <c r="AC34" s="17"/>
      <c r="AD34" s="244" t="str">
        <f>IF($B$12="individual",Constants!F59,Constants!L59)</f>
        <v>number of training groups / teams</v>
      </c>
      <c r="AE34" s="244">
        <f>B10</f>
        <v>14</v>
      </c>
      <c r="AF34" s="271">
        <f>IF(AE34&gt;9,3,IF(AE34&gt;4,2,IF(AE34&gt;2,1,0)))</f>
        <v>3</v>
      </c>
      <c r="AG34" s="560"/>
      <c r="AH34" s="560"/>
      <c r="AI34" s="560"/>
      <c r="AJ34" s="560"/>
    </row>
    <row r="35" spans="1:58" ht="15.75" customHeight="1" thickTop="1" thickBot="1">
      <c r="A35" s="16"/>
      <c r="G35" s="17"/>
      <c r="H35" s="16"/>
      <c r="I35" s="16"/>
      <c r="J35" s="16"/>
      <c r="K35" s="17"/>
      <c r="L35" s="17"/>
      <c r="M35" s="17"/>
      <c r="N35" s="17"/>
      <c r="O35" s="17"/>
      <c r="P35" s="17"/>
      <c r="Q35" s="16"/>
      <c r="R35" s="17"/>
      <c r="S35" s="17"/>
      <c r="T35" s="17"/>
      <c r="U35" s="17"/>
      <c r="V35" s="17"/>
      <c r="W35" s="17"/>
      <c r="X35" s="17"/>
      <c r="Y35" s="17"/>
      <c r="Z35" s="17"/>
      <c r="AA35" s="17"/>
      <c r="AB35" s="17"/>
      <c r="AC35" s="17"/>
      <c r="AD35" s="244" t="str">
        <f>IF($B$12="individual",Constants!F60,Constants!L60)</f>
        <v>number of competitions organised</v>
      </c>
      <c r="AE35" s="295">
        <v>5</v>
      </c>
      <c r="AF35" s="271">
        <f>IF(AE35&gt;=4,5,IF(AE35&gt;=2,3,IF(AE35&gt;=1,1,0)))</f>
        <v>5</v>
      </c>
      <c r="AG35" s="560"/>
      <c r="AH35" s="560"/>
      <c r="AI35" s="560"/>
      <c r="AJ35" s="560"/>
    </row>
    <row r="36" spans="1:58" ht="15.75" customHeight="1" thickBot="1">
      <c r="A36" s="179" t="s">
        <v>448</v>
      </c>
      <c r="B36" s="16"/>
      <c r="C36" s="16"/>
      <c r="D36" s="16"/>
      <c r="E36" s="16"/>
      <c r="F36" s="16"/>
      <c r="G36" s="16"/>
      <c r="H36" s="16"/>
      <c r="I36" s="16"/>
      <c r="J36" s="16"/>
      <c r="K36" s="16"/>
      <c r="L36" s="16"/>
      <c r="M36" s="16"/>
      <c r="N36" s="16"/>
      <c r="O36" s="16"/>
      <c r="P36" s="16"/>
      <c r="Q36" s="16"/>
      <c r="R36" s="16"/>
      <c r="S36" s="16"/>
      <c r="T36" s="16"/>
      <c r="U36" s="16"/>
      <c r="V36" s="16"/>
      <c r="W36" s="16"/>
      <c r="X36" s="16"/>
      <c r="Y36" s="16"/>
      <c r="Z36" s="16"/>
      <c r="AA36" s="16"/>
      <c r="AB36" s="18"/>
      <c r="AC36" s="16"/>
      <c r="AD36" s="244" t="str">
        <f>IF($B$12="individual",Constants!F61,Constants!L61)</f>
        <v>number of social activities</v>
      </c>
      <c r="AE36" s="295">
        <v>25</v>
      </c>
      <c r="AF36" s="271">
        <f>IF(AE36&gt;=20,2,IF(AE36&gt;=10,1,0))</f>
        <v>2</v>
      </c>
      <c r="AG36" s="560"/>
      <c r="AH36" s="560"/>
      <c r="AI36" s="560"/>
      <c r="AJ36" s="560"/>
    </row>
    <row r="37" spans="1:58" ht="15" customHeight="1" thickTop="1" thickBot="1">
      <c r="A37" s="258" t="s">
        <v>449</v>
      </c>
      <c r="B37" s="259" t="s">
        <v>450</v>
      </c>
      <c r="C37" s="258" t="s">
        <v>451</v>
      </c>
      <c r="D37" s="258" t="s">
        <v>452</v>
      </c>
      <c r="E37" s="258" t="s">
        <v>453</v>
      </c>
      <c r="F37" s="258" t="s">
        <v>454</v>
      </c>
      <c r="G37" s="259" t="s">
        <v>455</v>
      </c>
      <c r="H37" s="561" t="s">
        <v>456</v>
      </c>
      <c r="I37" s="716"/>
      <c r="J37" s="717"/>
      <c r="K37" s="98"/>
      <c r="L37" s="98"/>
      <c r="M37" s="98"/>
      <c r="N37" s="98"/>
      <c r="O37" s="98"/>
      <c r="P37" s="98"/>
      <c r="Q37" s="98"/>
      <c r="R37" s="98"/>
      <c r="S37" s="98"/>
      <c r="T37" s="98"/>
      <c r="U37" s="96"/>
      <c r="V37" s="96"/>
      <c r="W37" s="96"/>
      <c r="X37" s="96"/>
      <c r="Y37" s="99"/>
      <c r="Z37" s="96"/>
      <c r="AA37" s="96"/>
      <c r="AB37" s="100"/>
      <c r="AC37" s="100"/>
      <c r="AD37" s="244" t="str">
        <f>IF($B$12="individual",Constants!F62,Constants!L62)</f>
        <v>number of bar days</v>
      </c>
      <c r="AE37" s="295">
        <v>0</v>
      </c>
      <c r="AF37" s="271">
        <f>IF(AE37&gt;=15,2,IF(AE37&gt;=8,1,0))</f>
        <v>0</v>
      </c>
      <c r="AG37" s="560"/>
      <c r="AH37" s="560"/>
      <c r="AI37" s="560"/>
      <c r="AJ37" s="560"/>
      <c r="AK37" s="100"/>
      <c r="AL37" s="100"/>
      <c r="AM37" s="100"/>
      <c r="AN37" s="100"/>
      <c r="AO37" s="100"/>
      <c r="AP37" s="100"/>
      <c r="AQ37" s="100"/>
      <c r="AR37" s="100"/>
      <c r="AS37" s="100"/>
      <c r="AT37" s="100"/>
      <c r="AU37" s="100"/>
      <c r="AV37" s="100"/>
      <c r="AW37" s="100"/>
      <c r="AX37" s="100"/>
      <c r="AY37" s="100"/>
      <c r="AZ37" s="100"/>
      <c r="BA37" s="100"/>
      <c r="BB37" s="100"/>
      <c r="BC37" s="100"/>
      <c r="BD37" s="100"/>
      <c r="BE37" s="100"/>
      <c r="BF37" s="100"/>
    </row>
    <row r="38" spans="1:58" ht="14.25" customHeight="1" thickTop="1" thickBot="1">
      <c r="A38" s="386" t="s">
        <v>1259</v>
      </c>
      <c r="B38" s="323">
        <v>10</v>
      </c>
      <c r="C38" s="386">
        <v>1</v>
      </c>
      <c r="D38" s="386">
        <v>36</v>
      </c>
      <c r="E38" s="386" t="s">
        <v>287</v>
      </c>
      <c r="F38" s="327">
        <v>4</v>
      </c>
      <c r="G38" s="323" t="s">
        <v>1260</v>
      </c>
      <c r="H38" s="654" t="s">
        <v>1261</v>
      </c>
      <c r="I38" s="760"/>
      <c r="J38" s="742"/>
      <c r="K38" s="16"/>
      <c r="L38" s="16"/>
      <c r="M38" s="16"/>
      <c r="N38" s="16"/>
      <c r="O38" s="16"/>
      <c r="P38" s="16"/>
      <c r="Q38" s="16"/>
      <c r="R38" s="16"/>
      <c r="S38" s="16"/>
      <c r="T38" s="16"/>
      <c r="U38" s="16"/>
      <c r="V38" s="16"/>
      <c r="W38" s="16"/>
      <c r="X38" s="16"/>
      <c r="Y38" s="17"/>
      <c r="Z38" s="16"/>
      <c r="AA38" s="16"/>
      <c r="AD38" s="244" t="str">
        <f>IF($B$12="individual",Constants!F63,Constants!L63)</f>
        <v>own bar / extra location</v>
      </c>
      <c r="AE38" s="295">
        <v>15</v>
      </c>
      <c r="AF38" s="271">
        <f>IF(AE38&gt;=15,2,IF(AE38&gt;=8,1,0))</f>
        <v>2</v>
      </c>
      <c r="AG38" s="560"/>
      <c r="AH38" s="560"/>
      <c r="AI38" s="560"/>
      <c r="AJ38" s="560"/>
    </row>
    <row r="39" spans="1:58" ht="14.25" customHeight="1" thickBot="1">
      <c r="A39" s="386" t="s">
        <v>1262</v>
      </c>
      <c r="B39" s="323">
        <v>20</v>
      </c>
      <c r="C39" s="386">
        <v>1</v>
      </c>
      <c r="D39" s="386">
        <v>36</v>
      </c>
      <c r="E39" s="386" t="s">
        <v>287</v>
      </c>
      <c r="F39" s="327">
        <v>5</v>
      </c>
      <c r="G39" s="323" t="s">
        <v>1263</v>
      </c>
      <c r="H39" s="684"/>
      <c r="I39" s="762"/>
      <c r="J39" s="745"/>
      <c r="K39" s="16"/>
      <c r="L39" s="16"/>
      <c r="M39" s="16"/>
      <c r="N39" s="16"/>
      <c r="O39" s="16"/>
      <c r="P39" s="16"/>
      <c r="Q39" s="16"/>
      <c r="R39" s="16"/>
      <c r="S39" s="16"/>
      <c r="T39" s="16"/>
      <c r="U39" s="16"/>
      <c r="V39" s="16"/>
      <c r="W39" s="16"/>
      <c r="X39" s="16"/>
      <c r="Y39" s="17"/>
      <c r="Z39" s="16"/>
      <c r="AA39" s="16"/>
      <c r="AD39" s="244" t="str">
        <f>IF($B$12="individual",Constants!F65,Constants!L64)</f>
        <v>number of competitions attended</v>
      </c>
      <c r="AE39" s="295">
        <v>8</v>
      </c>
      <c r="AF39" s="273">
        <f>IF(B12="individual", IF(AE39&gt;10, 5, IF(AE39&gt;6, 3, IF(AE39&gt;2, 1, 0))), IF(AE39&gt;3, 3, IF(AE39&gt;1, 2, 1)))</f>
        <v>3</v>
      </c>
      <c r="AG39" s="560"/>
      <c r="AH39" s="560"/>
      <c r="AI39" s="560"/>
      <c r="AJ39" s="560"/>
    </row>
    <row r="40" spans="1:58" ht="14.25" customHeight="1" thickBot="1">
      <c r="A40" s="386" t="s">
        <v>1264</v>
      </c>
      <c r="B40" s="323">
        <v>30</v>
      </c>
      <c r="C40" s="386">
        <v>1</v>
      </c>
      <c r="D40" s="386">
        <v>36</v>
      </c>
      <c r="E40" s="386" t="s">
        <v>287</v>
      </c>
      <c r="F40" s="327">
        <v>6</v>
      </c>
      <c r="G40" s="323" t="s">
        <v>1265</v>
      </c>
      <c r="H40" s="684"/>
      <c r="I40" s="762"/>
      <c r="J40" s="745"/>
      <c r="K40" s="16"/>
      <c r="L40" s="16"/>
      <c r="M40" s="16"/>
      <c r="N40" s="16"/>
      <c r="O40" s="16"/>
      <c r="P40" s="16"/>
      <c r="Q40" s="16"/>
      <c r="R40" s="16"/>
      <c r="S40" s="16"/>
      <c r="T40" s="16"/>
      <c r="U40" s="16"/>
      <c r="V40" s="16"/>
      <c r="W40" s="16"/>
      <c r="X40" s="16"/>
      <c r="Y40" s="17"/>
      <c r="Z40" s="16"/>
      <c r="AA40" s="16"/>
      <c r="AD40" s="231" t="str">
        <f>IF($B$12="individual",Constants!F64,Constants!L65)</f>
        <v>n/a</v>
      </c>
      <c r="AE40" s="231" t="str">
        <f>IF(AD40="n/a","",COUNTA(A55:A62)/COUNTA(A38:A51))</f>
        <v/>
      </c>
      <c r="AF40" s="272" t="str">
        <f>IF(B12="group", IF(AE40&gt;0.15, 5, IF(AE40&gt;0.1, 3, IF(AE40&gt;0.05, 1, 0))), " ")</f>
        <v xml:space="preserve"> </v>
      </c>
      <c r="AG40" s="560"/>
      <c r="AH40" s="560"/>
      <c r="AI40" s="560"/>
      <c r="AJ40" s="560"/>
    </row>
    <row r="41" spans="1:58" ht="14.25" customHeight="1" thickBot="1">
      <c r="A41" s="386" t="s">
        <v>1266</v>
      </c>
      <c r="B41" s="323">
        <v>60</v>
      </c>
      <c r="C41" s="386">
        <v>1</v>
      </c>
      <c r="D41" s="386">
        <v>36</v>
      </c>
      <c r="E41" s="386" t="s">
        <v>287</v>
      </c>
      <c r="F41" s="327">
        <v>7</v>
      </c>
      <c r="G41" s="323" t="s">
        <v>1267</v>
      </c>
      <c r="H41" s="684"/>
      <c r="I41" s="762"/>
      <c r="J41" s="745"/>
      <c r="K41" s="16"/>
      <c r="L41" s="16"/>
      <c r="M41" s="16"/>
      <c r="N41" s="16"/>
      <c r="O41" s="16"/>
      <c r="P41" s="16"/>
      <c r="Q41" s="16"/>
      <c r="R41" s="16"/>
      <c r="S41" s="16"/>
      <c r="T41" s="16"/>
      <c r="U41" s="16"/>
      <c r="V41" s="16"/>
      <c r="W41" s="16"/>
      <c r="X41" s="16"/>
      <c r="Y41" s="17"/>
      <c r="Z41" s="16"/>
      <c r="AA41" s="16"/>
      <c r="AD41" s="16"/>
      <c r="AE41" s="275" t="s">
        <v>461</v>
      </c>
      <c r="AF41" s="277">
        <f>SUM(AF30:AF40)</f>
        <v>28</v>
      </c>
      <c r="AG41" s="247"/>
      <c r="AH41" s="245"/>
      <c r="AI41" s="246"/>
      <c r="AJ41" s="247"/>
    </row>
    <row r="42" spans="1:58" ht="14.25" customHeight="1">
      <c r="A42" s="386" t="s">
        <v>1268</v>
      </c>
      <c r="B42" s="323">
        <v>110</v>
      </c>
      <c r="C42" s="386">
        <v>1</v>
      </c>
      <c r="D42" s="386">
        <v>36</v>
      </c>
      <c r="E42" s="386" t="s">
        <v>287</v>
      </c>
      <c r="F42" s="327">
        <v>8</v>
      </c>
      <c r="G42" s="323" t="s">
        <v>1269</v>
      </c>
      <c r="H42" s="684"/>
      <c r="I42" s="762"/>
      <c r="J42" s="745"/>
      <c r="K42" s="16"/>
      <c r="L42" s="16"/>
      <c r="M42" s="16"/>
      <c r="N42" s="16"/>
      <c r="O42" s="16"/>
      <c r="P42" s="16"/>
      <c r="Q42" s="16"/>
      <c r="R42" s="16"/>
      <c r="S42" s="16"/>
      <c r="T42" s="16"/>
      <c r="U42" s="16"/>
      <c r="V42" s="16"/>
      <c r="W42" s="16"/>
      <c r="X42" s="16"/>
      <c r="Y42" s="17"/>
      <c r="Z42" s="16"/>
      <c r="AA42" s="16"/>
    </row>
    <row r="43" spans="1:58" ht="14.25" customHeight="1">
      <c r="A43" s="386" t="s">
        <v>1270</v>
      </c>
      <c r="B43" s="323">
        <v>100</v>
      </c>
      <c r="C43" s="386">
        <v>1</v>
      </c>
      <c r="D43" s="386">
        <v>36</v>
      </c>
      <c r="E43" s="386" t="s">
        <v>287</v>
      </c>
      <c r="F43" s="327">
        <v>9</v>
      </c>
      <c r="G43" s="323" t="s">
        <v>1271</v>
      </c>
      <c r="H43" s="684"/>
      <c r="I43" s="762"/>
      <c r="J43" s="745"/>
      <c r="K43" s="16"/>
      <c r="L43" s="16"/>
      <c r="M43" s="16"/>
      <c r="N43" s="16"/>
      <c r="O43" s="16"/>
      <c r="P43" s="16"/>
      <c r="Q43" s="16"/>
      <c r="R43" s="16"/>
      <c r="S43" s="16"/>
      <c r="T43" s="16"/>
      <c r="U43" s="16"/>
      <c r="V43" s="16"/>
      <c r="W43" s="16"/>
      <c r="X43" s="16"/>
      <c r="Y43" s="17"/>
      <c r="Z43" s="16"/>
      <c r="AA43" s="16"/>
    </row>
    <row r="44" spans="1:58" ht="14.25" customHeight="1">
      <c r="A44" s="386" t="s">
        <v>1272</v>
      </c>
      <c r="B44" s="323">
        <v>90</v>
      </c>
      <c r="C44" s="386">
        <v>1</v>
      </c>
      <c r="D44" s="386">
        <v>36</v>
      </c>
      <c r="E44" s="386" t="s">
        <v>287</v>
      </c>
      <c r="F44" s="327" t="s">
        <v>1273</v>
      </c>
      <c r="G44" s="323" t="s">
        <v>1274</v>
      </c>
      <c r="H44" s="684"/>
      <c r="I44" s="762"/>
      <c r="J44" s="745"/>
      <c r="K44" s="16"/>
      <c r="L44" s="16"/>
      <c r="M44" s="16"/>
      <c r="N44" s="16"/>
      <c r="O44" s="16"/>
      <c r="P44" s="16"/>
      <c r="Q44" s="16"/>
      <c r="R44" s="16"/>
      <c r="S44" s="16"/>
      <c r="T44" s="16"/>
      <c r="U44" s="16"/>
      <c r="V44" s="16"/>
      <c r="W44" s="16"/>
      <c r="X44" s="16"/>
      <c r="Y44" s="17"/>
      <c r="Z44" s="16"/>
      <c r="AA44" s="16"/>
    </row>
    <row r="45" spans="1:58" ht="14.25" customHeight="1">
      <c r="A45" s="386" t="s">
        <v>1275</v>
      </c>
      <c r="B45" s="323">
        <v>8</v>
      </c>
      <c r="C45" s="386">
        <v>2</v>
      </c>
      <c r="D45" s="386">
        <v>38</v>
      </c>
      <c r="E45" s="386" t="s">
        <v>1276</v>
      </c>
      <c r="F45" s="327">
        <v>3</v>
      </c>
      <c r="G45" s="323"/>
      <c r="H45" s="684"/>
      <c r="I45" s="762"/>
      <c r="J45" s="745"/>
      <c r="K45" s="16"/>
      <c r="L45" s="16"/>
      <c r="M45" s="16"/>
      <c r="N45" s="16"/>
      <c r="O45" s="16"/>
      <c r="P45" s="16"/>
      <c r="Q45" s="16"/>
      <c r="R45" s="16"/>
      <c r="S45" s="16"/>
      <c r="T45" s="16"/>
      <c r="U45" s="16"/>
      <c r="V45" s="16"/>
      <c r="W45" s="16"/>
      <c r="X45" s="16"/>
      <c r="Y45" s="17"/>
      <c r="Z45" s="16"/>
      <c r="AA45" s="16"/>
    </row>
    <row r="46" spans="1:58" ht="14.25" customHeight="1">
      <c r="A46" s="386" t="s">
        <v>1277</v>
      </c>
      <c r="B46" s="323">
        <v>8</v>
      </c>
      <c r="C46" s="386">
        <v>2</v>
      </c>
      <c r="D46" s="386">
        <v>38</v>
      </c>
      <c r="E46" s="386" t="s">
        <v>1276</v>
      </c>
      <c r="F46" s="327">
        <v>3</v>
      </c>
      <c r="G46" s="323"/>
      <c r="H46" s="684"/>
      <c r="I46" s="762"/>
      <c r="J46" s="745"/>
      <c r="K46" s="16"/>
      <c r="L46" s="16"/>
      <c r="M46" s="16"/>
      <c r="N46" s="16"/>
      <c r="O46" s="16"/>
      <c r="P46" s="16"/>
      <c r="Q46" s="16"/>
      <c r="R46" s="16"/>
      <c r="S46" s="16"/>
      <c r="T46" s="16"/>
      <c r="U46" s="16"/>
      <c r="V46" s="16"/>
      <c r="W46" s="16"/>
      <c r="X46" s="16"/>
      <c r="Y46" s="17"/>
      <c r="Z46" s="16"/>
      <c r="AA46" s="16"/>
    </row>
    <row r="47" spans="1:58" ht="14.25" customHeight="1">
      <c r="A47" s="386" t="s">
        <v>1278</v>
      </c>
      <c r="B47" s="323">
        <v>8</v>
      </c>
      <c r="C47" s="386">
        <v>2</v>
      </c>
      <c r="D47" s="386">
        <v>38</v>
      </c>
      <c r="E47" s="386" t="s">
        <v>1276</v>
      </c>
      <c r="F47" s="327">
        <v>4</v>
      </c>
      <c r="G47" s="323"/>
      <c r="H47" s="684"/>
      <c r="I47" s="762"/>
      <c r="J47" s="745"/>
      <c r="K47" s="16"/>
      <c r="L47" s="16"/>
      <c r="M47" s="16"/>
      <c r="N47" s="16"/>
      <c r="O47" s="16"/>
      <c r="P47" s="16"/>
      <c r="Q47" s="16"/>
      <c r="R47" s="16"/>
      <c r="S47" s="16"/>
      <c r="T47" s="16"/>
      <c r="U47" s="16"/>
      <c r="V47" s="16"/>
      <c r="W47" s="16"/>
      <c r="X47" s="16"/>
      <c r="Y47" s="17"/>
      <c r="Z47" s="16"/>
      <c r="AA47" s="16"/>
    </row>
    <row r="48" spans="1:58" ht="14.25" customHeight="1">
      <c r="A48" s="386" t="s">
        <v>1279</v>
      </c>
      <c r="B48" s="323">
        <v>8</v>
      </c>
      <c r="C48" s="386">
        <v>2</v>
      </c>
      <c r="D48" s="386">
        <v>38</v>
      </c>
      <c r="E48" s="386" t="s">
        <v>1276</v>
      </c>
      <c r="F48" s="324" t="s">
        <v>1280</v>
      </c>
      <c r="G48" s="323"/>
      <c r="H48" s="761"/>
      <c r="I48" s="762"/>
      <c r="J48" s="745"/>
      <c r="K48" s="16"/>
      <c r="L48" s="16"/>
      <c r="M48" s="16"/>
      <c r="N48" s="16"/>
      <c r="O48" s="16"/>
      <c r="P48" s="16"/>
      <c r="Q48" s="16"/>
      <c r="R48" s="16"/>
      <c r="S48" s="16"/>
      <c r="T48" s="16"/>
      <c r="U48" s="16"/>
      <c r="V48" s="16"/>
      <c r="W48" s="16"/>
      <c r="X48" s="16"/>
      <c r="Y48" s="17"/>
      <c r="Z48" s="16"/>
      <c r="AA48" s="16"/>
    </row>
    <row r="49" spans="1:58" ht="15.75" customHeight="1">
      <c r="A49" s="386" t="s">
        <v>1281</v>
      </c>
      <c r="B49" s="323">
        <v>8</v>
      </c>
      <c r="C49" s="386">
        <v>2</v>
      </c>
      <c r="D49" s="386">
        <v>38</v>
      </c>
      <c r="E49" s="328" t="s">
        <v>1276</v>
      </c>
      <c r="F49" s="327">
        <v>6</v>
      </c>
      <c r="G49" s="323"/>
      <c r="H49" s="761"/>
      <c r="I49" s="762"/>
      <c r="J49" s="745"/>
      <c r="K49" s="16"/>
      <c r="L49" s="16"/>
      <c r="M49" s="16"/>
      <c r="N49" s="16"/>
      <c r="O49" s="16"/>
      <c r="P49" s="16"/>
      <c r="Q49" s="16"/>
      <c r="R49" s="16"/>
      <c r="S49" s="16"/>
      <c r="T49" s="16"/>
      <c r="U49" s="16"/>
      <c r="V49" s="16"/>
      <c r="W49" s="16"/>
      <c r="X49" s="16"/>
      <c r="Y49" s="16"/>
      <c r="Z49" s="16"/>
      <c r="AA49" s="16"/>
    </row>
    <row r="50" spans="1:58" ht="15.75" customHeight="1">
      <c r="A50" s="323" t="s">
        <v>1282</v>
      </c>
      <c r="B50" s="323">
        <v>8</v>
      </c>
      <c r="C50" s="323">
        <v>2</v>
      </c>
      <c r="D50" s="386">
        <v>38</v>
      </c>
      <c r="E50" s="328" t="s">
        <v>1276</v>
      </c>
      <c r="F50" s="327">
        <v>6</v>
      </c>
      <c r="G50" s="323"/>
      <c r="H50" s="761"/>
      <c r="I50" s="762"/>
      <c r="J50" s="745"/>
      <c r="K50" s="16"/>
      <c r="L50" s="16"/>
      <c r="M50" s="16"/>
      <c r="N50" s="16"/>
      <c r="O50" s="16"/>
      <c r="P50" s="16"/>
      <c r="Q50" s="16"/>
      <c r="R50" s="16"/>
      <c r="S50" s="16"/>
      <c r="T50" s="16"/>
      <c r="U50" s="16"/>
      <c r="V50" s="16"/>
      <c r="W50" s="16"/>
      <c r="X50" s="16"/>
      <c r="Y50" s="16"/>
      <c r="Z50" s="16"/>
      <c r="AA50" s="16"/>
    </row>
    <row r="51" spans="1:58" ht="15.75" customHeight="1" thickBot="1">
      <c r="A51" s="323" t="s">
        <v>1283</v>
      </c>
      <c r="B51" s="323">
        <v>8</v>
      </c>
      <c r="C51" s="323">
        <v>2</v>
      </c>
      <c r="D51" s="386">
        <v>38</v>
      </c>
      <c r="E51" s="328" t="s">
        <v>1276</v>
      </c>
      <c r="F51" s="327">
        <v>7</v>
      </c>
      <c r="G51" s="323"/>
      <c r="H51" s="746"/>
      <c r="I51" s="747"/>
      <c r="J51" s="748"/>
      <c r="K51" s="16"/>
      <c r="L51" s="16"/>
      <c r="M51" s="16"/>
      <c r="N51" s="16"/>
      <c r="O51" s="16"/>
      <c r="P51" s="16"/>
      <c r="Q51" s="16"/>
      <c r="R51" s="16"/>
      <c r="S51" s="16"/>
      <c r="T51" s="16"/>
      <c r="U51" s="16"/>
      <c r="V51" s="16"/>
      <c r="W51" s="16"/>
      <c r="X51" s="16"/>
      <c r="Y51" s="16"/>
      <c r="Z51" s="16"/>
      <c r="AA51" s="16"/>
    </row>
    <row r="52" spans="1:58" ht="15.75" customHeight="1" thickTop="1">
      <c r="A52" s="18"/>
      <c r="B52" s="18"/>
      <c r="C52" s="18"/>
      <c r="D52" s="18"/>
      <c r="E52" s="18"/>
      <c r="F52" s="18"/>
      <c r="G52" s="17"/>
      <c r="H52" s="17"/>
      <c r="I52" s="17"/>
      <c r="J52" s="17"/>
      <c r="K52" s="17"/>
      <c r="L52" s="17"/>
      <c r="M52" s="17"/>
      <c r="N52" s="17"/>
      <c r="O52" s="17"/>
      <c r="P52" s="17"/>
      <c r="Q52" s="16"/>
      <c r="R52" s="17"/>
      <c r="S52" s="17"/>
      <c r="T52" s="17"/>
      <c r="U52" s="17"/>
      <c r="V52" s="17"/>
      <c r="W52" s="17"/>
      <c r="X52" s="17"/>
      <c r="Y52" s="17"/>
      <c r="Z52" s="17"/>
      <c r="AA52" s="17"/>
      <c r="AB52" s="17"/>
      <c r="AC52" s="17"/>
      <c r="AD52" s="17"/>
    </row>
    <row r="53" spans="1:58" ht="15.75" customHeight="1" thickBot="1">
      <c r="A53" s="179" t="s">
        <v>462</v>
      </c>
      <c r="B53" s="169"/>
      <c r="C53" s="16"/>
      <c r="D53" s="16"/>
      <c r="E53" s="16"/>
      <c r="F53" s="16"/>
      <c r="G53" s="16"/>
      <c r="H53" s="16"/>
      <c r="I53" s="16"/>
      <c r="J53" s="16"/>
      <c r="K53" s="16"/>
      <c r="L53" s="16"/>
      <c r="M53" s="16"/>
      <c r="N53" s="16"/>
      <c r="O53" s="16"/>
      <c r="P53" s="16"/>
      <c r="Q53" s="16"/>
      <c r="R53" s="16"/>
      <c r="S53" s="16"/>
      <c r="T53" s="16"/>
      <c r="U53" s="16"/>
      <c r="V53" s="16"/>
      <c r="W53" s="16"/>
      <c r="X53" s="16"/>
      <c r="Y53" s="16"/>
      <c r="Z53" s="16"/>
      <c r="AA53" s="16"/>
      <c r="AB53" s="18"/>
      <c r="AC53" s="16"/>
      <c r="AD53" s="16"/>
    </row>
    <row r="54" spans="1:58" ht="15" customHeight="1" thickTop="1" thickBot="1">
      <c r="A54" s="258" t="s">
        <v>449</v>
      </c>
      <c r="B54" s="259" t="s">
        <v>450</v>
      </c>
      <c r="C54" s="258" t="s">
        <v>463</v>
      </c>
      <c r="D54" s="258" t="s">
        <v>464</v>
      </c>
      <c r="E54" s="258" t="s">
        <v>465</v>
      </c>
      <c r="F54" s="258" t="s">
        <v>466</v>
      </c>
      <c r="G54" s="258" t="s">
        <v>467</v>
      </c>
      <c r="H54" s="259" t="s">
        <v>455</v>
      </c>
      <c r="I54" s="561" t="s">
        <v>456</v>
      </c>
      <c r="J54" s="716"/>
      <c r="K54" s="717"/>
      <c r="L54" s="98"/>
      <c r="M54" s="98"/>
      <c r="N54" s="98"/>
      <c r="O54" s="98"/>
      <c r="P54" s="98"/>
      <c r="Q54" s="98"/>
      <c r="R54" s="98"/>
      <c r="S54" s="98"/>
      <c r="T54" s="98"/>
      <c r="U54" s="98"/>
      <c r="V54" s="96"/>
      <c r="W54" s="96"/>
      <c r="X54" s="96"/>
      <c r="Y54" s="96"/>
      <c r="Z54" s="99"/>
      <c r="AA54" s="96"/>
      <c r="AB54" s="96"/>
      <c r="AC54" s="100"/>
      <c r="AD54" s="100"/>
      <c r="AE54" s="100"/>
      <c r="AF54" s="100"/>
      <c r="AG54" s="100"/>
      <c r="AH54" s="100"/>
      <c r="AI54" s="100"/>
      <c r="AJ54" s="100"/>
      <c r="AK54" s="100"/>
      <c r="AL54" s="100"/>
      <c r="AM54" s="100"/>
      <c r="AN54" s="100"/>
      <c r="AO54" s="100"/>
      <c r="AP54" s="100"/>
      <c r="AQ54" s="100"/>
      <c r="AR54" s="100"/>
      <c r="AS54" s="100"/>
      <c r="AT54" s="100"/>
      <c r="AU54" s="100"/>
      <c r="AV54" s="100"/>
      <c r="AW54" s="100"/>
      <c r="AX54" s="100"/>
      <c r="AY54" s="100"/>
      <c r="AZ54" s="100"/>
      <c r="BA54" s="100"/>
      <c r="BB54" s="100"/>
      <c r="BC54" s="100"/>
      <c r="BD54" s="100"/>
      <c r="BE54" s="100"/>
      <c r="BF54" s="100"/>
    </row>
    <row r="55" spans="1:58" ht="14.25" customHeight="1" thickTop="1">
      <c r="A55" s="386" t="s">
        <v>1275</v>
      </c>
      <c r="B55" s="323">
        <v>8</v>
      </c>
      <c r="C55" s="386"/>
      <c r="D55" s="386" t="s">
        <v>57</v>
      </c>
      <c r="E55" s="386">
        <v>2</v>
      </c>
      <c r="F55" s="386">
        <v>3</v>
      </c>
      <c r="G55" s="386" t="s">
        <v>471</v>
      </c>
      <c r="H55" s="231" t="s">
        <v>1284</v>
      </c>
      <c r="I55" s="654" t="s">
        <v>1285</v>
      </c>
      <c r="J55" s="760"/>
      <c r="K55" s="742"/>
      <c r="L55" s="16"/>
      <c r="M55" s="16"/>
      <c r="N55" s="16"/>
      <c r="O55" s="16"/>
      <c r="P55" s="16"/>
      <c r="Q55" s="16"/>
      <c r="R55" s="16"/>
      <c r="S55" s="16"/>
      <c r="T55" s="16"/>
      <c r="U55" s="16"/>
      <c r="V55" s="16"/>
      <c r="W55" s="16"/>
      <c r="X55" s="16"/>
      <c r="Y55" s="16"/>
      <c r="Z55" s="17"/>
      <c r="AA55" s="16"/>
      <c r="AB55" s="16"/>
    </row>
    <row r="56" spans="1:58" ht="14.25" customHeight="1">
      <c r="A56" s="386" t="s">
        <v>1277</v>
      </c>
      <c r="B56" s="323">
        <v>8</v>
      </c>
      <c r="C56" s="386"/>
      <c r="D56" s="386" t="s">
        <v>57</v>
      </c>
      <c r="E56" s="328">
        <v>2</v>
      </c>
      <c r="F56" s="328">
        <v>3</v>
      </c>
      <c r="G56" s="231" t="s">
        <v>471</v>
      </c>
      <c r="H56" s="231" t="s">
        <v>1284</v>
      </c>
      <c r="I56" s="684"/>
      <c r="J56" s="762"/>
      <c r="K56" s="745"/>
      <c r="L56" s="16"/>
      <c r="M56" s="16"/>
      <c r="N56" s="16"/>
      <c r="O56" s="16"/>
      <c r="P56" s="16"/>
      <c r="Q56" s="16"/>
      <c r="R56" s="16"/>
      <c r="S56" s="16"/>
      <c r="T56" s="16"/>
      <c r="U56" s="16"/>
      <c r="V56" s="16"/>
      <c r="W56" s="16"/>
      <c r="X56" s="16"/>
      <c r="Y56" s="16"/>
      <c r="Z56" s="17"/>
      <c r="AA56" s="16"/>
      <c r="AB56" s="16"/>
    </row>
    <row r="57" spans="1:58" ht="14.25" customHeight="1">
      <c r="A57" s="386" t="s">
        <v>1278</v>
      </c>
      <c r="B57" s="323">
        <v>8</v>
      </c>
      <c r="C57" s="386"/>
      <c r="D57" s="386" t="s">
        <v>57</v>
      </c>
      <c r="E57" s="328">
        <v>2</v>
      </c>
      <c r="F57" s="328">
        <v>3</v>
      </c>
      <c r="G57" s="231" t="s">
        <v>471</v>
      </c>
      <c r="H57" s="231" t="s">
        <v>1284</v>
      </c>
      <c r="I57" s="684"/>
      <c r="J57" s="762"/>
      <c r="K57" s="745"/>
      <c r="L57" s="16"/>
      <c r="M57" s="16"/>
      <c r="N57" s="16"/>
      <c r="O57" s="16"/>
      <c r="P57" s="16"/>
      <c r="Q57" s="16"/>
      <c r="R57" s="16"/>
      <c r="S57" s="16"/>
      <c r="T57" s="16"/>
      <c r="U57" s="16"/>
      <c r="V57" s="16"/>
      <c r="W57" s="16"/>
      <c r="X57" s="16"/>
      <c r="Y57" s="16"/>
      <c r="Z57" s="17"/>
      <c r="AA57" s="16"/>
      <c r="AB57" s="16"/>
    </row>
    <row r="58" spans="1:58" ht="14.25" customHeight="1">
      <c r="A58" s="386" t="s">
        <v>1279</v>
      </c>
      <c r="B58" s="323">
        <v>8</v>
      </c>
      <c r="C58" s="386"/>
      <c r="D58" s="386" t="s">
        <v>57</v>
      </c>
      <c r="E58" s="328">
        <v>2</v>
      </c>
      <c r="F58" s="328">
        <v>3</v>
      </c>
      <c r="G58" s="231" t="s">
        <v>471</v>
      </c>
      <c r="H58" s="231" t="s">
        <v>1284</v>
      </c>
      <c r="I58" s="684"/>
      <c r="J58" s="762"/>
      <c r="K58" s="745"/>
      <c r="L58" s="16"/>
      <c r="M58" s="16"/>
      <c r="N58" s="16"/>
      <c r="O58" s="16"/>
      <c r="P58" s="16"/>
      <c r="Q58" s="16"/>
      <c r="R58" s="16"/>
      <c r="S58" s="16"/>
      <c r="T58" s="16"/>
      <c r="U58" s="16"/>
      <c r="V58" s="16"/>
      <c r="W58" s="16"/>
      <c r="X58" s="16"/>
      <c r="Y58" s="16"/>
      <c r="Z58" s="17"/>
      <c r="AA58" s="16"/>
      <c r="AB58" s="16"/>
    </row>
    <row r="59" spans="1:58" ht="14.25" customHeight="1">
      <c r="A59" s="386" t="s">
        <v>1281</v>
      </c>
      <c r="B59" s="323">
        <v>8</v>
      </c>
      <c r="C59" s="386"/>
      <c r="D59" s="386" t="s">
        <v>57</v>
      </c>
      <c r="E59" s="328">
        <v>2</v>
      </c>
      <c r="F59" s="328">
        <v>3</v>
      </c>
      <c r="G59" s="231" t="s">
        <v>471</v>
      </c>
      <c r="H59" s="231" t="s">
        <v>1284</v>
      </c>
      <c r="I59" s="761"/>
      <c r="J59" s="762"/>
      <c r="K59" s="745"/>
      <c r="L59" s="16"/>
      <c r="M59" s="16"/>
      <c r="N59" s="16"/>
      <c r="O59" s="16"/>
      <c r="P59" s="16"/>
      <c r="Q59" s="16"/>
      <c r="R59" s="16"/>
      <c r="S59" s="16"/>
      <c r="T59" s="16"/>
      <c r="U59" s="16"/>
      <c r="V59" s="16"/>
      <c r="W59" s="16"/>
      <c r="X59" s="16"/>
      <c r="Y59" s="16"/>
      <c r="Z59" s="17"/>
      <c r="AA59" s="16"/>
      <c r="AB59" s="16"/>
    </row>
    <row r="60" spans="1:58" ht="15.75" customHeight="1">
      <c r="A60" s="323" t="s">
        <v>1282</v>
      </c>
      <c r="B60" s="323">
        <v>8</v>
      </c>
      <c r="C60" s="323"/>
      <c r="D60" s="386" t="s">
        <v>57</v>
      </c>
      <c r="E60" s="328">
        <v>2</v>
      </c>
      <c r="F60" s="328">
        <v>3</v>
      </c>
      <c r="G60" s="263" t="s">
        <v>471</v>
      </c>
      <c r="H60" s="231" t="s">
        <v>1284</v>
      </c>
      <c r="I60" s="761"/>
      <c r="J60" s="762"/>
      <c r="K60" s="745"/>
      <c r="L60" s="16"/>
      <c r="M60" s="16"/>
      <c r="N60" s="16"/>
      <c r="O60" s="16"/>
      <c r="P60" s="16"/>
      <c r="Q60" s="16"/>
      <c r="R60" s="16"/>
      <c r="S60" s="16"/>
      <c r="T60" s="16"/>
      <c r="U60" s="16"/>
      <c r="V60" s="16"/>
      <c r="W60" s="16"/>
      <c r="X60" s="16"/>
      <c r="Y60" s="16"/>
      <c r="Z60" s="16"/>
      <c r="AA60" s="16"/>
      <c r="AB60" s="16"/>
    </row>
    <row r="61" spans="1:58" ht="15.75" customHeight="1">
      <c r="A61" s="323" t="s">
        <v>1283</v>
      </c>
      <c r="B61" s="323">
        <v>8</v>
      </c>
      <c r="C61" s="323"/>
      <c r="D61" s="386" t="s">
        <v>57</v>
      </c>
      <c r="E61" s="328">
        <v>2</v>
      </c>
      <c r="F61" s="328">
        <v>3</v>
      </c>
      <c r="G61" s="263" t="s">
        <v>471</v>
      </c>
      <c r="H61" s="231"/>
      <c r="I61" s="761"/>
      <c r="J61" s="762"/>
      <c r="K61" s="745"/>
      <c r="L61" s="16"/>
      <c r="M61" s="16"/>
      <c r="N61" s="16"/>
      <c r="O61" s="16"/>
      <c r="P61" s="16"/>
      <c r="Q61" s="16"/>
      <c r="R61" s="16"/>
      <c r="S61" s="16"/>
      <c r="T61" s="16"/>
      <c r="U61" s="16"/>
      <c r="V61" s="16"/>
      <c r="W61" s="16"/>
      <c r="X61" s="16"/>
      <c r="Y61" s="16"/>
      <c r="Z61" s="16"/>
      <c r="AA61" s="16"/>
      <c r="AB61" s="16"/>
    </row>
    <row r="62" spans="1:58" ht="15.75" customHeight="1" thickBot="1">
      <c r="A62" s="231"/>
      <c r="B62" s="326"/>
      <c r="C62" s="245"/>
      <c r="D62" s="245"/>
      <c r="E62" s="261"/>
      <c r="F62" s="261"/>
      <c r="G62" s="263"/>
      <c r="H62" s="231"/>
      <c r="I62" s="746"/>
      <c r="J62" s="747"/>
      <c r="K62" s="748"/>
      <c r="L62" s="16"/>
      <c r="M62" s="16"/>
      <c r="N62" s="16"/>
      <c r="O62" s="16"/>
      <c r="P62" s="16"/>
      <c r="Q62" s="16"/>
      <c r="R62" s="16"/>
      <c r="S62" s="16"/>
      <c r="T62" s="16"/>
      <c r="U62" s="16"/>
      <c r="V62" s="16"/>
      <c r="W62" s="16"/>
      <c r="X62" s="16"/>
      <c r="Y62" s="16"/>
      <c r="Z62" s="16"/>
      <c r="AA62" s="16"/>
      <c r="AB62" s="16"/>
    </row>
    <row r="63" spans="1:58" ht="15.75" customHeight="1" thickTop="1">
      <c r="A63" s="15"/>
      <c r="B63" s="16"/>
      <c r="C63" s="16"/>
      <c r="D63" s="16"/>
      <c r="E63" s="16"/>
      <c r="F63" s="16"/>
      <c r="G63" s="16"/>
      <c r="H63" s="16"/>
      <c r="I63" s="16"/>
      <c r="J63" s="16"/>
      <c r="K63" s="16"/>
      <c r="L63" s="16"/>
      <c r="M63" s="16"/>
      <c r="N63" s="16"/>
      <c r="O63" s="16"/>
      <c r="P63" s="16"/>
      <c r="Q63" s="16"/>
      <c r="R63" s="16"/>
      <c r="S63" s="16"/>
      <c r="T63" s="16"/>
      <c r="U63" s="16"/>
      <c r="V63" s="16"/>
      <c r="W63" s="16"/>
      <c r="X63" s="16"/>
      <c r="Y63" s="16"/>
      <c r="Z63" s="16"/>
      <c r="AA63" s="16"/>
      <c r="AB63" s="16"/>
      <c r="AC63" s="16"/>
      <c r="AD63" s="16"/>
    </row>
    <row r="64" spans="1:58" ht="15.75" customHeight="1">
      <c r="A64" s="15"/>
      <c r="B64" s="16"/>
      <c r="C64" s="16"/>
      <c r="D64" s="16"/>
      <c r="E64" s="16"/>
      <c r="F64" s="16"/>
      <c r="G64" s="16"/>
      <c r="H64" s="16"/>
      <c r="I64" s="16"/>
      <c r="J64" s="16"/>
      <c r="K64" s="16"/>
      <c r="L64" s="16"/>
      <c r="M64" s="16"/>
      <c r="N64" s="16"/>
      <c r="O64" s="16"/>
      <c r="P64" s="16"/>
      <c r="Q64" s="16"/>
      <c r="W64" s="16"/>
      <c r="X64" s="16"/>
      <c r="Y64" s="16"/>
      <c r="Z64" s="16"/>
      <c r="AA64" s="16"/>
      <c r="AB64" s="16"/>
      <c r="AC64" s="16"/>
      <c r="AD64" s="16"/>
    </row>
    <row r="65" spans="1:30" ht="15.75" customHeight="1" thickBot="1">
      <c r="A65" s="186" t="s">
        <v>475</v>
      </c>
      <c r="B65" s="231"/>
      <c r="C65" s="231"/>
      <c r="D65" s="231"/>
      <c r="E65" s="231"/>
      <c r="F65" s="231"/>
      <c r="G65" s="231"/>
      <c r="H65" s="231"/>
      <c r="I65" s="231"/>
      <c r="J65" s="231"/>
      <c r="K65" s="16"/>
      <c r="L65" s="16"/>
      <c r="M65" s="16"/>
      <c r="N65" s="16"/>
      <c r="O65" s="16"/>
      <c r="P65" s="16"/>
      <c r="Q65" s="16"/>
      <c r="W65" s="16"/>
      <c r="X65" s="16"/>
      <c r="Y65" s="16"/>
      <c r="Z65" s="16"/>
      <c r="AA65" s="16"/>
      <c r="AB65" s="16"/>
      <c r="AC65" s="16"/>
      <c r="AD65" s="16"/>
    </row>
    <row r="66" spans="1:30" ht="15.75" customHeight="1" thickTop="1" thickBot="1">
      <c r="A66" s="230" t="s">
        <v>476</v>
      </c>
      <c r="B66" s="230" t="s">
        <v>477</v>
      </c>
      <c r="C66" s="230" t="s">
        <v>478</v>
      </c>
      <c r="D66" s="230" t="s">
        <v>479</v>
      </c>
      <c r="E66" s="230" t="s">
        <v>480</v>
      </c>
      <c r="F66" s="230" t="s">
        <v>481</v>
      </c>
      <c r="G66" s="230" t="s">
        <v>482</v>
      </c>
      <c r="H66" s="230" t="s">
        <v>453</v>
      </c>
      <c r="I66" s="230" t="s">
        <v>483</v>
      </c>
      <c r="J66" s="230" t="s">
        <v>484</v>
      </c>
      <c r="K66" s="721" t="s">
        <v>485</v>
      </c>
      <c r="L66" s="716"/>
      <c r="M66" s="722"/>
      <c r="N66" s="15"/>
      <c r="O66" s="16"/>
      <c r="P66" s="16"/>
      <c r="Q66" s="16"/>
      <c r="W66" s="16"/>
      <c r="X66" s="16"/>
      <c r="Y66" s="16"/>
      <c r="Z66" s="16"/>
      <c r="AA66" s="16"/>
      <c r="AB66" s="16"/>
    </row>
    <row r="67" spans="1:30" ht="15" customHeight="1" thickTop="1">
      <c r="A67" s="323" t="s">
        <v>1286</v>
      </c>
      <c r="B67" s="323" t="s">
        <v>278</v>
      </c>
      <c r="C67" s="427">
        <v>38</v>
      </c>
      <c r="D67" s="323">
        <v>1</v>
      </c>
      <c r="E67" s="327">
        <v>1.5</v>
      </c>
      <c r="F67" s="231">
        <f>Table_4168290[[#This Row],['# Weeks]]*Table_4168290[[#This Row],[Total hours/week]]</f>
        <v>57</v>
      </c>
      <c r="G67" s="323" t="s">
        <v>1287</v>
      </c>
      <c r="H67" s="323" t="s">
        <v>145</v>
      </c>
      <c r="I67" s="400">
        <f>Constants!$B$6</f>
        <v>50</v>
      </c>
      <c r="J67" s="386"/>
      <c r="K67" s="564" t="s">
        <v>1288</v>
      </c>
      <c r="L67" s="741"/>
      <c r="M67" s="742"/>
      <c r="N67" s="16"/>
      <c r="O67" s="16"/>
      <c r="P67" s="16"/>
      <c r="Q67" s="16"/>
      <c r="W67" s="16"/>
      <c r="X67" s="16"/>
      <c r="Y67" s="16"/>
      <c r="Z67" s="16"/>
      <c r="AA67" s="16"/>
      <c r="AB67" s="16"/>
    </row>
    <row r="68" spans="1:30" ht="15" customHeight="1">
      <c r="A68" s="323" t="s">
        <v>1286</v>
      </c>
      <c r="B68" s="323" t="s">
        <v>278</v>
      </c>
      <c r="C68" s="428">
        <v>38</v>
      </c>
      <c r="D68" s="323">
        <v>1</v>
      </c>
      <c r="E68" s="327">
        <v>1.5</v>
      </c>
      <c r="F68" s="231">
        <f>Table_4168290[[#This Row],['# Weeks]]*Table_4168290[[#This Row],[Total hours/week]]</f>
        <v>57</v>
      </c>
      <c r="G68" s="323" t="s">
        <v>1287</v>
      </c>
      <c r="H68" s="323" t="s">
        <v>145</v>
      </c>
      <c r="I68" s="400">
        <f>Constants!$B$6</f>
        <v>50</v>
      </c>
      <c r="J68" s="323"/>
      <c r="K68" s="566"/>
      <c r="L68" s="744"/>
      <c r="M68" s="745"/>
      <c r="N68" s="16"/>
      <c r="O68" s="16"/>
      <c r="P68" s="16"/>
      <c r="Q68" s="16"/>
      <c r="W68" s="16"/>
      <c r="X68" s="16"/>
      <c r="Y68" s="16"/>
      <c r="Z68" s="16"/>
      <c r="AA68" s="16"/>
      <c r="AB68" s="16"/>
    </row>
    <row r="69" spans="1:30" ht="15" customHeight="1">
      <c r="A69" s="323" t="s">
        <v>1278</v>
      </c>
      <c r="B69" s="323" t="s">
        <v>278</v>
      </c>
      <c r="C69" s="427">
        <v>38</v>
      </c>
      <c r="D69" s="323">
        <v>1</v>
      </c>
      <c r="E69" s="327">
        <v>1.5</v>
      </c>
      <c r="F69" s="231">
        <f>Table_4168290[[#This Row],['# Weeks]]*Table_4168290[[#This Row],[Total hours/week]]</f>
        <v>57</v>
      </c>
      <c r="G69" s="323" t="s">
        <v>1287</v>
      </c>
      <c r="H69" s="323" t="s">
        <v>145</v>
      </c>
      <c r="I69" s="400">
        <f>Constants!$B$6</f>
        <v>50</v>
      </c>
      <c r="J69" s="323"/>
      <c r="K69" s="566"/>
      <c r="L69" s="744"/>
      <c r="M69" s="745"/>
      <c r="N69" s="16"/>
      <c r="O69" s="16"/>
      <c r="P69" s="16"/>
      <c r="Q69" s="16"/>
      <c r="W69" s="16"/>
      <c r="X69" s="16"/>
      <c r="Y69" s="16"/>
      <c r="Z69" s="16"/>
      <c r="AA69" s="16"/>
      <c r="AB69" s="16"/>
    </row>
    <row r="70" spans="1:30" ht="15" customHeight="1">
      <c r="A70" s="323" t="s">
        <v>1279</v>
      </c>
      <c r="B70" s="323" t="s">
        <v>278</v>
      </c>
      <c r="C70" s="428">
        <v>38</v>
      </c>
      <c r="D70" s="323">
        <v>1</v>
      </c>
      <c r="E70" s="327">
        <v>1.5</v>
      </c>
      <c r="F70" s="231">
        <f>Table_4168290[[#This Row],['# Weeks]]*Table_4168290[[#This Row],[Total hours/week]]</f>
        <v>57</v>
      </c>
      <c r="G70" s="323" t="s">
        <v>1287</v>
      </c>
      <c r="H70" s="323" t="s">
        <v>145</v>
      </c>
      <c r="I70" s="400">
        <f>Constants!$B$6</f>
        <v>50</v>
      </c>
      <c r="J70" s="323"/>
      <c r="K70" s="566"/>
      <c r="L70" s="744"/>
      <c r="M70" s="745"/>
      <c r="N70" s="16"/>
      <c r="O70" s="16"/>
      <c r="P70" s="16"/>
      <c r="Q70" s="16"/>
      <c r="W70" s="16"/>
      <c r="X70" s="16"/>
      <c r="Y70" s="16"/>
      <c r="Z70" s="16"/>
      <c r="AA70" s="16"/>
      <c r="AB70" s="16"/>
    </row>
    <row r="71" spans="1:30" ht="15" customHeight="1">
      <c r="A71" s="323" t="s">
        <v>1281</v>
      </c>
      <c r="B71" s="323" t="s">
        <v>278</v>
      </c>
      <c r="C71" s="427">
        <v>38</v>
      </c>
      <c r="D71" s="323">
        <v>1</v>
      </c>
      <c r="E71" s="327">
        <v>1.5</v>
      </c>
      <c r="F71" s="231">
        <f>Table_4168290[[#This Row],['# Weeks]]*Table_4168290[[#This Row],[Total hours/week]]</f>
        <v>57</v>
      </c>
      <c r="G71" s="323" t="s">
        <v>1287</v>
      </c>
      <c r="H71" s="323" t="s">
        <v>145</v>
      </c>
      <c r="I71" s="400">
        <f>Constants!$B$6</f>
        <v>50</v>
      </c>
      <c r="J71" s="323"/>
      <c r="K71" s="566"/>
      <c r="L71" s="744"/>
      <c r="M71" s="745"/>
      <c r="N71" s="16"/>
      <c r="O71" s="16"/>
      <c r="P71" s="16"/>
      <c r="Q71" s="16"/>
      <c r="W71" s="16"/>
      <c r="X71" s="16"/>
      <c r="Y71" s="16"/>
      <c r="Z71" s="16"/>
      <c r="AA71" s="16"/>
      <c r="AB71" s="16"/>
    </row>
    <row r="72" spans="1:30" ht="15" customHeight="1">
      <c r="A72" s="323" t="s">
        <v>1282</v>
      </c>
      <c r="B72" s="323" t="s">
        <v>278</v>
      </c>
      <c r="C72" s="428">
        <v>38</v>
      </c>
      <c r="D72" s="323">
        <v>1</v>
      </c>
      <c r="E72" s="327">
        <v>1.5</v>
      </c>
      <c r="F72" s="231">
        <f>Table_4168290[[#This Row],['# Weeks]]*Table_4168290[[#This Row],[Total hours/week]]</f>
        <v>57</v>
      </c>
      <c r="G72" s="323" t="s">
        <v>1287</v>
      </c>
      <c r="H72" s="323" t="s">
        <v>145</v>
      </c>
      <c r="I72" s="400">
        <f>Constants!$B$6</f>
        <v>50</v>
      </c>
      <c r="J72" s="323"/>
      <c r="K72" s="566"/>
      <c r="L72" s="744"/>
      <c r="M72" s="745"/>
      <c r="N72" s="16"/>
      <c r="O72" s="16"/>
      <c r="P72" s="16"/>
      <c r="Q72" s="16"/>
      <c r="W72" s="16"/>
      <c r="X72" s="16"/>
      <c r="Y72" s="16"/>
      <c r="Z72" s="16"/>
      <c r="AA72" s="16"/>
      <c r="AB72" s="16"/>
    </row>
    <row r="73" spans="1:30" ht="15" customHeight="1">
      <c r="A73" s="323" t="s">
        <v>1283</v>
      </c>
      <c r="B73" s="323" t="s">
        <v>278</v>
      </c>
      <c r="C73" s="427">
        <v>38</v>
      </c>
      <c r="D73" s="323">
        <v>1</v>
      </c>
      <c r="E73" s="327">
        <v>1.5</v>
      </c>
      <c r="F73" s="231">
        <f>Table_4168290[[#This Row],['# Weeks]]*Table_4168290[[#This Row],[Total hours/week]]</f>
        <v>57</v>
      </c>
      <c r="G73" s="323" t="s">
        <v>1287</v>
      </c>
      <c r="H73" s="323" t="s">
        <v>145</v>
      </c>
      <c r="I73" s="400">
        <f>Constants!$B$6</f>
        <v>50</v>
      </c>
      <c r="J73" s="323"/>
      <c r="K73" s="566"/>
      <c r="L73" s="744"/>
      <c r="M73" s="745"/>
      <c r="N73" s="16"/>
      <c r="O73" s="16"/>
      <c r="P73" s="16"/>
      <c r="Q73" s="16"/>
      <c r="W73" s="16"/>
      <c r="X73" s="16"/>
      <c r="Y73" s="16"/>
      <c r="Z73" s="16"/>
      <c r="AA73" s="16"/>
      <c r="AB73" s="16"/>
    </row>
    <row r="74" spans="1:30" ht="15" customHeight="1">
      <c r="A74" s="327" t="s">
        <v>1286</v>
      </c>
      <c r="B74" s="327" t="s">
        <v>278</v>
      </c>
      <c r="C74" s="428">
        <v>38</v>
      </c>
      <c r="D74" s="328">
        <v>1</v>
      </c>
      <c r="E74" s="327">
        <v>1.5</v>
      </c>
      <c r="F74" s="231">
        <f>Table_4168290[[#This Row],['# Weeks]]*Table_4168290[[#This Row],[Total hours/week]]</f>
        <v>57</v>
      </c>
      <c r="G74" s="409" t="s">
        <v>1287</v>
      </c>
      <c r="H74" s="327" t="s">
        <v>145</v>
      </c>
      <c r="I74" s="400">
        <f>Constants!$B$6</f>
        <v>50</v>
      </c>
      <c r="J74" s="323">
        <v>8</v>
      </c>
      <c r="K74" s="566"/>
      <c r="L74" s="744"/>
      <c r="M74" s="745"/>
      <c r="N74" s="16"/>
      <c r="O74" s="16"/>
      <c r="P74" s="16"/>
      <c r="Q74" s="16"/>
      <c r="W74" s="16"/>
      <c r="X74" s="16"/>
      <c r="Y74" s="16"/>
      <c r="Z74" s="16"/>
      <c r="AA74" s="16"/>
      <c r="AB74" s="16"/>
    </row>
    <row r="75" spans="1:30" ht="15" customHeight="1">
      <c r="A75" s="323" t="s">
        <v>1286</v>
      </c>
      <c r="B75" s="327" t="s">
        <v>278</v>
      </c>
      <c r="C75" s="427">
        <v>38</v>
      </c>
      <c r="D75" s="328">
        <v>1</v>
      </c>
      <c r="E75" s="327">
        <v>1.5</v>
      </c>
      <c r="F75" s="231">
        <f>Table_4168290[[#This Row],['# Weeks]]*Table_4168290[[#This Row],[Total hours/week]]</f>
        <v>57</v>
      </c>
      <c r="G75" s="409" t="s">
        <v>1287</v>
      </c>
      <c r="H75" s="327" t="s">
        <v>145</v>
      </c>
      <c r="I75" s="400">
        <f>Constants!$B$6</f>
        <v>50</v>
      </c>
      <c r="J75" s="323">
        <v>8</v>
      </c>
      <c r="K75" s="566"/>
      <c r="L75" s="744"/>
      <c r="M75" s="745"/>
      <c r="N75" s="16"/>
      <c r="O75" s="16"/>
      <c r="P75" s="16"/>
      <c r="Q75" s="16"/>
      <c r="W75" s="16"/>
      <c r="X75" s="16"/>
      <c r="Y75" s="16"/>
      <c r="Z75" s="16"/>
      <c r="AA75" s="16"/>
      <c r="AB75" s="16"/>
    </row>
    <row r="76" spans="1:30" ht="15" customHeight="1">
      <c r="A76" s="327" t="s">
        <v>1278</v>
      </c>
      <c r="B76" s="327" t="s">
        <v>278</v>
      </c>
      <c r="C76" s="428">
        <v>38</v>
      </c>
      <c r="D76" s="328">
        <v>1</v>
      </c>
      <c r="E76" s="327">
        <v>1.5</v>
      </c>
      <c r="F76" s="231">
        <f>Table_4168290[[#This Row],['# Weeks]]*Table_4168290[[#This Row],[Total hours/week]]</f>
        <v>57</v>
      </c>
      <c r="G76" s="327" t="s">
        <v>1287</v>
      </c>
      <c r="H76" s="327" t="s">
        <v>145</v>
      </c>
      <c r="I76" s="400">
        <f>Constants!$B$6</f>
        <v>50</v>
      </c>
      <c r="J76" s="323">
        <v>8</v>
      </c>
      <c r="K76" s="566"/>
      <c r="L76" s="744"/>
      <c r="M76" s="745"/>
      <c r="N76" s="16"/>
      <c r="O76" s="16"/>
      <c r="P76" s="16"/>
      <c r="Q76" s="16"/>
      <c r="W76" s="16"/>
      <c r="X76" s="16"/>
      <c r="Y76" s="16"/>
      <c r="Z76" s="16"/>
      <c r="AA76" s="16"/>
      <c r="AB76" s="16"/>
    </row>
    <row r="77" spans="1:30" ht="15" customHeight="1">
      <c r="A77" s="327" t="s">
        <v>1279</v>
      </c>
      <c r="B77" s="327" t="s">
        <v>278</v>
      </c>
      <c r="C77" s="427">
        <v>38</v>
      </c>
      <c r="D77" s="328">
        <v>1</v>
      </c>
      <c r="E77" s="327">
        <v>1.5</v>
      </c>
      <c r="F77" s="231">
        <f>Table_4168290[[#This Row],['# Weeks]]*Table_4168290[[#This Row],[Total hours/week]]</f>
        <v>57</v>
      </c>
      <c r="G77" s="327" t="s">
        <v>1289</v>
      </c>
      <c r="H77" s="327" t="s">
        <v>57</v>
      </c>
      <c r="I77" s="400">
        <f>Constants!$B$6</f>
        <v>50</v>
      </c>
      <c r="J77" s="323">
        <v>8</v>
      </c>
      <c r="K77" s="566"/>
      <c r="L77" s="744"/>
      <c r="M77" s="745"/>
      <c r="N77" s="16"/>
      <c r="O77" s="16"/>
      <c r="P77" s="16"/>
      <c r="Q77" s="16"/>
      <c r="W77" s="16"/>
      <c r="X77" s="16"/>
      <c r="Y77" s="16"/>
      <c r="Z77" s="16"/>
      <c r="AA77" s="16"/>
      <c r="AB77" s="16"/>
    </row>
    <row r="78" spans="1:30" ht="15.75" customHeight="1">
      <c r="A78" s="327" t="s">
        <v>1281</v>
      </c>
      <c r="B78" s="327" t="s">
        <v>278</v>
      </c>
      <c r="C78" s="428">
        <v>38</v>
      </c>
      <c r="D78" s="328">
        <v>1</v>
      </c>
      <c r="E78" s="327">
        <v>1.5</v>
      </c>
      <c r="F78" s="231">
        <f>Table_4168290[[#This Row],['# Weeks]]*Table_4168290[[#This Row],[Total hours/week]]</f>
        <v>57</v>
      </c>
      <c r="G78" s="327" t="s">
        <v>1289</v>
      </c>
      <c r="H78" s="327" t="s">
        <v>57</v>
      </c>
      <c r="I78" s="400">
        <f>Constants!$B$6</f>
        <v>50</v>
      </c>
      <c r="J78" s="323">
        <v>8</v>
      </c>
      <c r="K78" s="749"/>
      <c r="L78" s="744"/>
      <c r="M78" s="745"/>
      <c r="N78" s="16"/>
      <c r="O78" s="16"/>
      <c r="P78" s="16"/>
      <c r="Q78" s="16"/>
      <c r="W78" s="16"/>
      <c r="X78" s="16"/>
      <c r="Y78" s="16"/>
      <c r="Z78" s="16"/>
      <c r="AA78" s="16"/>
      <c r="AB78" s="16"/>
    </row>
    <row r="79" spans="1:30" ht="14.25" customHeight="1">
      <c r="A79" s="327" t="s">
        <v>1282</v>
      </c>
      <c r="B79" s="327" t="s">
        <v>278</v>
      </c>
      <c r="C79" s="427">
        <v>38</v>
      </c>
      <c r="D79" s="328">
        <v>1</v>
      </c>
      <c r="E79" s="327">
        <v>1.5</v>
      </c>
      <c r="F79" s="231">
        <f>Table_4168290[[#This Row],['# Weeks]]*Table_4168290[[#This Row],[Total hours/week]]</f>
        <v>57</v>
      </c>
      <c r="G79" s="327" t="s">
        <v>1289</v>
      </c>
      <c r="H79" s="327" t="s">
        <v>57</v>
      </c>
      <c r="I79" s="400">
        <f>Constants!$B$6</f>
        <v>50</v>
      </c>
      <c r="J79" s="323">
        <v>8</v>
      </c>
      <c r="K79" s="749"/>
      <c r="L79" s="744"/>
      <c r="M79" s="745"/>
      <c r="N79" s="16"/>
      <c r="O79" s="16"/>
      <c r="P79" s="16"/>
      <c r="Q79" s="16"/>
      <c r="W79" s="16"/>
      <c r="X79" s="16"/>
      <c r="Y79" s="16"/>
      <c r="Z79" s="16"/>
      <c r="AA79" s="16"/>
      <c r="AB79" s="16"/>
    </row>
    <row r="80" spans="1:30" ht="15.75" customHeight="1">
      <c r="A80" s="327" t="s">
        <v>1283</v>
      </c>
      <c r="B80" s="327" t="s">
        <v>278</v>
      </c>
      <c r="C80" s="428">
        <v>38</v>
      </c>
      <c r="D80" s="328">
        <v>1</v>
      </c>
      <c r="E80" s="327">
        <v>1.5</v>
      </c>
      <c r="F80" s="231">
        <f>Table_4168290[[#This Row],['# Weeks]]*Table_4168290[[#This Row],[Total hours/week]]</f>
        <v>57</v>
      </c>
      <c r="G80" s="327" t="s">
        <v>1289</v>
      </c>
      <c r="H80" s="327" t="s">
        <v>57</v>
      </c>
      <c r="I80" s="400">
        <f>Constants!$B$6</f>
        <v>50</v>
      </c>
      <c r="J80" s="323">
        <v>8</v>
      </c>
      <c r="K80" s="749"/>
      <c r="L80" s="744"/>
      <c r="M80" s="745"/>
      <c r="N80" s="16"/>
      <c r="O80" s="16"/>
      <c r="P80" s="16"/>
      <c r="Q80" s="16"/>
      <c r="W80" s="16"/>
      <c r="X80" s="16"/>
      <c r="Y80" s="16"/>
      <c r="Z80" s="16"/>
      <c r="AA80" s="16"/>
      <c r="AB80" s="16"/>
    </row>
    <row r="81" spans="1:30" ht="15.75" customHeight="1">
      <c r="A81" s="327" t="s">
        <v>1259</v>
      </c>
      <c r="B81" s="327" t="s">
        <v>287</v>
      </c>
      <c r="C81" s="427">
        <v>36</v>
      </c>
      <c r="D81" s="328">
        <v>1</v>
      </c>
      <c r="E81" s="327">
        <v>1</v>
      </c>
      <c r="F81" s="231">
        <f>Table_4168290[[#This Row],['# Weeks]]*Table_4168290[[#This Row],[Total hours/week]]</f>
        <v>36</v>
      </c>
      <c r="G81" s="327" t="s">
        <v>1290</v>
      </c>
      <c r="H81" s="327" t="s">
        <v>55</v>
      </c>
      <c r="I81" s="429" t="s">
        <v>328</v>
      </c>
      <c r="J81" s="323">
        <v>10</v>
      </c>
      <c r="K81" s="749"/>
      <c r="L81" s="744"/>
      <c r="M81" s="745"/>
      <c r="N81" s="16"/>
      <c r="O81" s="16"/>
      <c r="P81" s="16"/>
      <c r="Q81" s="16"/>
      <c r="W81" s="16"/>
      <c r="X81" s="16"/>
      <c r="Y81" s="16"/>
      <c r="Z81" s="16"/>
      <c r="AA81" s="16"/>
      <c r="AB81" s="16"/>
    </row>
    <row r="82" spans="1:30" ht="15.75" customHeight="1">
      <c r="A82" s="327" t="s">
        <v>1262</v>
      </c>
      <c r="B82" s="327" t="s">
        <v>287</v>
      </c>
      <c r="C82" s="428">
        <v>36</v>
      </c>
      <c r="D82" s="328">
        <v>2</v>
      </c>
      <c r="E82" s="327">
        <v>2</v>
      </c>
      <c r="F82" s="231">
        <f>Table_4168290[[#This Row],['# Weeks]]*Table_4168290[[#This Row],[Total hours/week]]</f>
        <v>72</v>
      </c>
      <c r="G82" s="327" t="s">
        <v>1290</v>
      </c>
      <c r="H82" s="327" t="s">
        <v>55</v>
      </c>
      <c r="I82" s="429" t="s">
        <v>328</v>
      </c>
      <c r="J82" s="323">
        <v>20</v>
      </c>
      <c r="K82" s="749"/>
      <c r="L82" s="744"/>
      <c r="M82" s="745"/>
      <c r="N82" s="16"/>
      <c r="O82" s="16"/>
      <c r="P82" s="16"/>
      <c r="Q82" s="16"/>
      <c r="W82" s="16"/>
      <c r="X82" s="16"/>
      <c r="Y82" s="16"/>
      <c r="Z82" s="16"/>
      <c r="AA82" s="16"/>
      <c r="AB82" s="16"/>
    </row>
    <row r="83" spans="1:30" ht="15.75" customHeight="1">
      <c r="A83" s="327" t="s">
        <v>1264</v>
      </c>
      <c r="B83" s="327" t="s">
        <v>287</v>
      </c>
      <c r="C83" s="427">
        <v>36</v>
      </c>
      <c r="D83" s="328">
        <v>3</v>
      </c>
      <c r="E83" s="327">
        <v>3</v>
      </c>
      <c r="F83" s="231">
        <f>Table_4168290[[#This Row],['# Weeks]]*Table_4168290[[#This Row],[Total hours/week]]</f>
        <v>108</v>
      </c>
      <c r="G83" s="327" t="s">
        <v>1290</v>
      </c>
      <c r="H83" s="327" t="s">
        <v>55</v>
      </c>
      <c r="I83" s="429" t="s">
        <v>328</v>
      </c>
      <c r="J83" s="323">
        <v>30</v>
      </c>
      <c r="K83" s="749"/>
      <c r="L83" s="744"/>
      <c r="M83" s="745"/>
      <c r="N83" s="16"/>
      <c r="O83" s="16"/>
      <c r="P83" s="16"/>
      <c r="Q83" s="16"/>
      <c r="W83" s="16"/>
      <c r="X83" s="16"/>
      <c r="Y83" s="16"/>
      <c r="Z83" s="16"/>
      <c r="AA83" s="16"/>
      <c r="AB83" s="16"/>
    </row>
    <row r="84" spans="1:30" ht="15.75" customHeight="1">
      <c r="A84" s="323" t="s">
        <v>1266</v>
      </c>
      <c r="B84" s="327" t="s">
        <v>287</v>
      </c>
      <c r="C84" s="428">
        <v>36</v>
      </c>
      <c r="D84" s="328">
        <v>6</v>
      </c>
      <c r="E84" s="327">
        <v>6</v>
      </c>
      <c r="F84" s="262">
        <f>Table_4168290[[#This Row],['# Weeks]]*Table_4168290[[#This Row],[Total hours/week]]</f>
        <v>216</v>
      </c>
      <c r="G84" s="327" t="s">
        <v>1290</v>
      </c>
      <c r="H84" s="327" t="s">
        <v>55</v>
      </c>
      <c r="I84" s="429" t="s">
        <v>328</v>
      </c>
      <c r="J84" s="323">
        <v>60</v>
      </c>
      <c r="K84" s="749"/>
      <c r="L84" s="744"/>
      <c r="M84" s="745"/>
      <c r="N84" s="16"/>
      <c r="O84" s="16"/>
      <c r="P84" s="16"/>
      <c r="Q84" s="16"/>
      <c r="W84" s="16"/>
      <c r="X84" s="16"/>
      <c r="Y84" s="16"/>
      <c r="Z84" s="16"/>
      <c r="AA84" s="16"/>
      <c r="AB84" s="16"/>
    </row>
    <row r="85" spans="1:30" ht="15.75" customHeight="1">
      <c r="A85" s="327" t="s">
        <v>1268</v>
      </c>
      <c r="B85" s="327" t="s">
        <v>287</v>
      </c>
      <c r="C85" s="427">
        <v>36</v>
      </c>
      <c r="D85" s="328">
        <v>11</v>
      </c>
      <c r="E85" s="327">
        <v>11</v>
      </c>
      <c r="F85" s="262">
        <f>Table_4168290[[#This Row],['# Weeks]]*Table_4168290[[#This Row],[Total hours/week]]</f>
        <v>396</v>
      </c>
      <c r="G85" s="327" t="s">
        <v>1290</v>
      </c>
      <c r="H85" s="327" t="s">
        <v>55</v>
      </c>
      <c r="I85" s="429" t="s">
        <v>328</v>
      </c>
      <c r="J85" s="323">
        <v>110</v>
      </c>
      <c r="K85" s="749"/>
      <c r="L85" s="744"/>
      <c r="M85" s="745"/>
      <c r="N85" s="16"/>
      <c r="O85" s="16"/>
      <c r="P85" s="16"/>
      <c r="Q85" s="16"/>
      <c r="W85" s="16"/>
      <c r="X85" s="16"/>
      <c r="Y85" s="16"/>
      <c r="Z85" s="16"/>
      <c r="AA85" s="16"/>
      <c r="AB85" s="16"/>
    </row>
    <row r="86" spans="1:30" ht="15.75" customHeight="1">
      <c r="A86" s="327" t="s">
        <v>1270</v>
      </c>
      <c r="B86" s="327" t="s">
        <v>287</v>
      </c>
      <c r="C86" s="428">
        <v>36</v>
      </c>
      <c r="D86" s="328">
        <v>10</v>
      </c>
      <c r="E86" s="327">
        <v>10</v>
      </c>
      <c r="F86" s="262">
        <f>Table_4168290[[#This Row],['# Weeks]]*Table_4168290[[#This Row],[Total hours/week]]</f>
        <v>360</v>
      </c>
      <c r="G86" s="327" t="s">
        <v>1290</v>
      </c>
      <c r="H86" s="327" t="s">
        <v>55</v>
      </c>
      <c r="I86" s="429" t="s">
        <v>328</v>
      </c>
      <c r="J86" s="323">
        <v>100</v>
      </c>
      <c r="K86" s="749"/>
      <c r="L86" s="744"/>
      <c r="M86" s="745"/>
      <c r="N86" s="16"/>
      <c r="O86" s="16"/>
      <c r="P86" s="16"/>
      <c r="Q86" s="16"/>
      <c r="W86" s="16"/>
      <c r="X86" s="16"/>
      <c r="Y86" s="16"/>
      <c r="Z86" s="16"/>
      <c r="AA86" s="16"/>
      <c r="AB86" s="16"/>
    </row>
    <row r="87" spans="1:30" ht="15.75" customHeight="1">
      <c r="A87" s="327" t="s">
        <v>1272</v>
      </c>
      <c r="B87" s="327" t="s">
        <v>287</v>
      </c>
      <c r="C87" s="427">
        <v>36</v>
      </c>
      <c r="D87" s="328">
        <v>9</v>
      </c>
      <c r="E87" s="327">
        <v>9</v>
      </c>
      <c r="F87" s="262">
        <f>Table_4168290[[#This Row],['# Weeks]]*Table_4168290[[#This Row],[Total hours/week]]</f>
        <v>324</v>
      </c>
      <c r="G87" s="327" t="s">
        <v>1290</v>
      </c>
      <c r="H87" s="327" t="s">
        <v>55</v>
      </c>
      <c r="I87" s="429" t="s">
        <v>328</v>
      </c>
      <c r="J87" s="323">
        <v>90</v>
      </c>
      <c r="K87" s="749"/>
      <c r="L87" s="744"/>
      <c r="M87" s="745"/>
      <c r="N87" s="16"/>
      <c r="O87" s="16"/>
      <c r="P87" s="16"/>
      <c r="Q87" s="16"/>
      <c r="W87" s="16"/>
      <c r="X87" s="16"/>
      <c r="Y87" s="16"/>
      <c r="Z87" s="16"/>
      <c r="AA87" s="16"/>
      <c r="AB87" s="16"/>
    </row>
    <row r="88" spans="1:30" ht="15.75" customHeight="1">
      <c r="A88" s="323" t="s">
        <v>1291</v>
      </c>
      <c r="B88" s="327" t="s">
        <v>287</v>
      </c>
      <c r="C88" s="428">
        <v>36</v>
      </c>
      <c r="D88" s="323">
        <v>2</v>
      </c>
      <c r="E88" s="327">
        <v>2</v>
      </c>
      <c r="F88" s="262">
        <f>Table_4168290[[#This Row],['# Weeks]]*Table_4168290[[#This Row],[Total hours/week]]</f>
        <v>72</v>
      </c>
      <c r="G88" s="323" t="s">
        <v>1290</v>
      </c>
      <c r="H88" s="327" t="s">
        <v>55</v>
      </c>
      <c r="I88" s="429" t="s">
        <v>328</v>
      </c>
      <c r="J88" s="323">
        <v>50</v>
      </c>
      <c r="K88" s="749"/>
      <c r="L88" s="744"/>
      <c r="M88" s="745"/>
      <c r="N88" s="16"/>
      <c r="O88" s="16"/>
      <c r="P88" s="16"/>
      <c r="Q88" s="16"/>
      <c r="W88" s="16"/>
      <c r="X88" s="16"/>
      <c r="Y88" s="16"/>
      <c r="Z88" s="16"/>
      <c r="AA88" s="16"/>
      <c r="AB88" s="16"/>
    </row>
    <row r="89" spans="1:30" ht="15.75" customHeight="1" thickBot="1">
      <c r="A89" s="231"/>
      <c r="B89" s="319"/>
      <c r="C89" s="245"/>
      <c r="D89" s="232"/>
      <c r="E89" s="261"/>
      <c r="F89" s="262">
        <f>Table_4168290[[#This Row],['# Weeks]]*Table_4168290[[#This Row],[Total hours/week]]</f>
        <v>0</v>
      </c>
      <c r="G89" s="263"/>
      <c r="H89" s="263"/>
      <c r="I89" s="264"/>
      <c r="J89" s="231"/>
      <c r="K89" s="746"/>
      <c r="L89" s="747"/>
      <c r="M89" s="748"/>
      <c r="N89" s="16"/>
      <c r="O89" s="16"/>
      <c r="P89" s="16"/>
      <c r="Q89" s="16"/>
      <c r="W89" s="16"/>
      <c r="X89" s="16"/>
      <c r="Y89" s="16"/>
      <c r="Z89" s="16"/>
      <c r="AA89" s="16"/>
      <c r="AB89" s="16"/>
    </row>
    <row r="90" spans="1:30" ht="15.75" customHeight="1" thickTop="1">
      <c r="A90" s="16"/>
      <c r="B90" s="16"/>
      <c r="C90" s="16"/>
      <c r="D90" s="16"/>
      <c r="E90" s="16"/>
      <c r="F90" s="16"/>
      <c r="G90" s="16"/>
      <c r="H90" s="16"/>
      <c r="I90" s="16"/>
      <c r="J90" s="16"/>
      <c r="K90" s="16"/>
      <c r="L90" s="16"/>
      <c r="M90" s="16"/>
      <c r="N90" s="16"/>
      <c r="O90" s="16"/>
      <c r="P90" s="16"/>
      <c r="Q90" s="16"/>
      <c r="W90" s="16"/>
      <c r="X90" s="16"/>
      <c r="Y90" s="16"/>
      <c r="Z90" s="16"/>
      <c r="AA90" s="16"/>
      <c r="AB90" s="16"/>
      <c r="AC90" s="16"/>
      <c r="AD90" s="16"/>
    </row>
    <row r="91" spans="1:30" ht="15.75" customHeight="1" thickBot="1">
      <c r="A91" s="186" t="s">
        <v>499</v>
      </c>
      <c r="B91" s="231"/>
      <c r="C91" s="231"/>
      <c r="D91" s="231"/>
      <c r="E91" s="231"/>
      <c r="F91" s="231"/>
      <c r="G91" s="231"/>
      <c r="H91" s="231"/>
      <c r="I91" s="231"/>
      <c r="J91" s="231"/>
      <c r="K91" s="123"/>
      <c r="L91" s="123"/>
      <c r="M91" s="16"/>
      <c r="N91" s="16"/>
      <c r="O91" s="16"/>
      <c r="P91" s="16"/>
      <c r="Q91" s="16"/>
      <c r="W91" s="16"/>
      <c r="X91" s="16"/>
      <c r="Y91" s="16"/>
      <c r="Z91" s="16"/>
      <c r="AA91" s="16"/>
      <c r="AB91" s="16"/>
      <c r="AC91" s="16"/>
      <c r="AD91" s="16"/>
    </row>
    <row r="92" spans="1:30" ht="15.75" customHeight="1" thickTop="1" thickBot="1">
      <c r="A92" s="230" t="s">
        <v>476</v>
      </c>
      <c r="B92" s="230" t="s">
        <v>500</v>
      </c>
      <c r="C92" s="230" t="s">
        <v>501</v>
      </c>
      <c r="D92" s="230" t="s">
        <v>502</v>
      </c>
      <c r="E92" s="230" t="s">
        <v>503</v>
      </c>
      <c r="F92" s="230" t="s">
        <v>504</v>
      </c>
      <c r="G92" s="230" t="s">
        <v>505</v>
      </c>
      <c r="H92" s="230" t="s">
        <v>506</v>
      </c>
      <c r="I92" s="230" t="s">
        <v>507</v>
      </c>
      <c r="J92" s="230" t="s">
        <v>508</v>
      </c>
      <c r="K92" s="561" t="s">
        <v>441</v>
      </c>
      <c r="L92" s="561"/>
      <c r="M92" s="561"/>
      <c r="N92" s="561"/>
      <c r="O92" s="570"/>
      <c r="P92" s="726" t="s">
        <v>434</v>
      </c>
      <c r="Q92" s="727"/>
      <c r="R92" s="16"/>
      <c r="S92" s="16"/>
      <c r="V92" s="16"/>
      <c r="W92" s="16"/>
      <c r="X92" s="16"/>
      <c r="Y92" s="16"/>
      <c r="Z92" s="16"/>
      <c r="AA92" s="16"/>
    </row>
    <row r="93" spans="1:30" ht="15.75" customHeight="1" thickTop="1">
      <c r="A93" s="327" t="s">
        <v>1292</v>
      </c>
      <c r="B93" s="323" t="s">
        <v>266</v>
      </c>
      <c r="C93" s="323" t="s">
        <v>575</v>
      </c>
      <c r="D93" s="327">
        <v>4.5</v>
      </c>
      <c r="E93" s="328">
        <v>19</v>
      </c>
      <c r="F93" s="326">
        <f>Ludica!$D93*Ludica!$E93</f>
        <v>85.5</v>
      </c>
      <c r="G93" s="328">
        <v>1</v>
      </c>
      <c r="H93" s="332">
        <f>IF($B93= "","-",IF($B93= "External","Specify location tariff", INDEX(Constants!$3:$3,MATCH($B93,Constants!$2:$2,0))))</f>
        <v>35</v>
      </c>
      <c r="I93" s="333">
        <f t="shared" ref="I93:I124" si="2">IF($H93="-","-",IF($H93="Specify location tariff","-",$H93*$F93))</f>
        <v>2992.5</v>
      </c>
      <c r="J93" s="247"/>
      <c r="K93" s="675" t="s">
        <v>1293</v>
      </c>
      <c r="L93" s="676"/>
      <c r="M93" s="676"/>
      <c r="N93" s="676"/>
      <c r="O93" s="677"/>
      <c r="P93" s="564" t="s">
        <v>511</v>
      </c>
      <c r="Q93" s="565"/>
      <c r="R93" s="16"/>
      <c r="S93" s="16"/>
      <c r="V93" s="16"/>
      <c r="W93" s="16"/>
      <c r="X93" s="16"/>
      <c r="Y93" s="16"/>
      <c r="Z93" s="16"/>
      <c r="AA93" s="16"/>
    </row>
    <row r="94" spans="1:30" ht="15.75" customHeight="1">
      <c r="A94" s="323" t="s">
        <v>1294</v>
      </c>
      <c r="B94" s="323" t="s">
        <v>266</v>
      </c>
      <c r="C94" s="323" t="s">
        <v>576</v>
      </c>
      <c r="D94" s="327">
        <v>4.5</v>
      </c>
      <c r="E94" s="328">
        <v>19</v>
      </c>
      <c r="F94" s="326">
        <f>Ludica!$D94*Ludica!$E94</f>
        <v>85.5</v>
      </c>
      <c r="G94" s="328">
        <v>2</v>
      </c>
      <c r="H94" s="332">
        <f>IF($B94= "","-",IF($B94= "External","Specify location tariff", INDEX(Constants!$3:$3,MATCH($B94,Constants!$2:$2,0))))</f>
        <v>35</v>
      </c>
      <c r="I94" s="333">
        <f t="shared" si="2"/>
        <v>2992.5</v>
      </c>
      <c r="J94" s="247"/>
      <c r="K94" s="678"/>
      <c r="L94" s="679"/>
      <c r="M94" s="679"/>
      <c r="N94" s="679"/>
      <c r="O94" s="680"/>
      <c r="P94" s="566"/>
      <c r="Q94" s="567"/>
      <c r="R94" s="16"/>
      <c r="S94" s="16"/>
      <c r="V94" s="16"/>
      <c r="W94" s="16"/>
      <c r="X94" s="16"/>
      <c r="Y94" s="16"/>
      <c r="Z94" s="16"/>
      <c r="AA94" s="16"/>
    </row>
    <row r="95" spans="1:30" ht="15.75" customHeight="1">
      <c r="A95" s="323" t="s">
        <v>1295</v>
      </c>
      <c r="B95" s="323" t="s">
        <v>266</v>
      </c>
      <c r="C95" s="323" t="s">
        <v>574</v>
      </c>
      <c r="D95" s="327">
        <v>4.5</v>
      </c>
      <c r="E95" s="328">
        <v>19</v>
      </c>
      <c r="F95" s="326">
        <f>Ludica!$D95*Ludica!$E95</f>
        <v>85.5</v>
      </c>
      <c r="G95" s="328">
        <v>2</v>
      </c>
      <c r="H95" s="332">
        <f>IF($B95= "","-",IF($B95= "External","Specify location tariff", INDEX(Constants!$3:$3,MATCH($B95,Constants!$2:$2,0))))</f>
        <v>35</v>
      </c>
      <c r="I95" s="333">
        <f t="shared" ref="I95:I103" si="3">IF($H95="-","-",IF($H95="Specify location tariff","-",$H95*$F95))</f>
        <v>2992.5</v>
      </c>
      <c r="J95" s="247"/>
      <c r="K95" s="678"/>
      <c r="L95" s="679"/>
      <c r="M95" s="679"/>
      <c r="N95" s="679"/>
      <c r="O95" s="680"/>
      <c r="P95" s="566"/>
      <c r="Q95" s="567"/>
      <c r="R95" s="16"/>
      <c r="S95" s="16"/>
      <c r="V95" s="16"/>
      <c r="W95" s="16"/>
      <c r="X95" s="16"/>
      <c r="Y95" s="16"/>
      <c r="Z95" s="16"/>
      <c r="AA95" s="16"/>
    </row>
    <row r="96" spans="1:30" ht="15.75" customHeight="1">
      <c r="A96" s="327" t="s">
        <v>1296</v>
      </c>
      <c r="B96" s="323" t="s">
        <v>266</v>
      </c>
      <c r="C96" s="323" t="s">
        <v>1297</v>
      </c>
      <c r="D96" s="327">
        <v>4.5</v>
      </c>
      <c r="E96" s="328">
        <v>19</v>
      </c>
      <c r="F96" s="326">
        <f>Ludica!$D96*Ludica!$E96</f>
        <v>85.5</v>
      </c>
      <c r="G96" s="328">
        <v>2</v>
      </c>
      <c r="H96" s="332">
        <f>IF($B96= "","-",IF($B96= "External","Specify location tariff", INDEX(Constants!$3:$3,MATCH($B96,Constants!$2:$2,0))))</f>
        <v>35</v>
      </c>
      <c r="I96" s="333">
        <f t="shared" si="3"/>
        <v>2992.5</v>
      </c>
      <c r="J96" s="247"/>
      <c r="K96" s="678"/>
      <c r="L96" s="679"/>
      <c r="M96" s="679"/>
      <c r="N96" s="679"/>
      <c r="O96" s="680"/>
      <c r="P96" s="566"/>
      <c r="Q96" s="567"/>
      <c r="R96" s="16"/>
      <c r="S96" s="16"/>
      <c r="V96" s="16"/>
      <c r="W96" s="16"/>
      <c r="X96" s="16"/>
      <c r="Y96" s="16"/>
      <c r="Z96" s="16"/>
      <c r="AA96" s="16"/>
    </row>
    <row r="97" spans="1:27" ht="15.75" customHeight="1">
      <c r="A97" s="323" t="s">
        <v>1298</v>
      </c>
      <c r="B97" s="323" t="s">
        <v>266</v>
      </c>
      <c r="C97" s="323" t="s">
        <v>1299</v>
      </c>
      <c r="D97" s="327">
        <v>3</v>
      </c>
      <c r="E97" s="328">
        <v>19</v>
      </c>
      <c r="F97" s="326">
        <f>Ludica!$D97*Ludica!$E97</f>
        <v>57</v>
      </c>
      <c r="G97" s="328">
        <v>2</v>
      </c>
      <c r="H97" s="332">
        <f>IF($B97= "","-",IF($B97= "External","Specify location tariff", INDEX(Constants!$3:$3,MATCH($B97,Constants!$2:$2,0))))</f>
        <v>35</v>
      </c>
      <c r="I97" s="333">
        <f t="shared" si="3"/>
        <v>1995</v>
      </c>
      <c r="J97" s="247"/>
      <c r="K97" s="678"/>
      <c r="L97" s="679"/>
      <c r="M97" s="679"/>
      <c r="N97" s="679"/>
      <c r="O97" s="680"/>
      <c r="P97" s="566"/>
      <c r="Q97" s="567"/>
      <c r="R97" s="16"/>
      <c r="S97" s="16"/>
      <c r="V97" s="16"/>
      <c r="W97" s="16"/>
      <c r="X97" s="16"/>
      <c r="Y97" s="16"/>
      <c r="Z97" s="16"/>
      <c r="AA97" s="16"/>
    </row>
    <row r="98" spans="1:27" ht="15.75" customHeight="1">
      <c r="A98" s="323"/>
      <c r="B98" s="323"/>
      <c r="C98" s="323"/>
      <c r="D98" s="327"/>
      <c r="E98" s="328"/>
      <c r="F98" s="326">
        <f>Ludica!$D98*Ludica!$E98</f>
        <v>0</v>
      </c>
      <c r="G98" s="328"/>
      <c r="H98" s="332" t="str">
        <f>IF($B98= "","-",IF($B98= "External","Specify location tariff", INDEX(Constants!$3:$3,MATCH($B98,Constants!$2:$2,0))))</f>
        <v>-</v>
      </c>
      <c r="I98" s="333" t="str">
        <f t="shared" si="3"/>
        <v>-</v>
      </c>
      <c r="J98" s="247"/>
      <c r="K98" s="678"/>
      <c r="L98" s="679"/>
      <c r="M98" s="679"/>
      <c r="N98" s="679"/>
      <c r="O98" s="680"/>
      <c r="P98" s="566"/>
      <c r="Q98" s="567"/>
      <c r="R98" s="16"/>
      <c r="S98" s="16"/>
      <c r="V98" s="16"/>
      <c r="W98" s="16"/>
      <c r="X98" s="16"/>
      <c r="Y98" s="16"/>
      <c r="Z98" s="16"/>
      <c r="AA98" s="16"/>
    </row>
    <row r="99" spans="1:27" ht="15.75" customHeight="1">
      <c r="A99" s="323" t="s">
        <v>1300</v>
      </c>
      <c r="B99" s="323" t="s">
        <v>266</v>
      </c>
      <c r="C99" s="323" t="s">
        <v>575</v>
      </c>
      <c r="D99" s="327">
        <v>7</v>
      </c>
      <c r="E99" s="328">
        <v>36</v>
      </c>
      <c r="F99" s="326">
        <f>Ludica!$D99*Ludica!$E99</f>
        <v>252</v>
      </c>
      <c r="G99" s="328">
        <v>3</v>
      </c>
      <c r="H99" s="332">
        <f>IF($B99= "","-",IF($B99= "External","Specify location tariff", INDEX(Constants!$3:$3,MATCH($B99,Constants!$2:$2,0))))</f>
        <v>35</v>
      </c>
      <c r="I99" s="333">
        <f t="shared" si="3"/>
        <v>8820</v>
      </c>
      <c r="J99" s="247"/>
      <c r="K99" s="678"/>
      <c r="L99" s="679"/>
      <c r="M99" s="679"/>
      <c r="N99" s="679"/>
      <c r="O99" s="680"/>
      <c r="P99" s="566"/>
      <c r="Q99" s="567"/>
      <c r="R99" s="16"/>
      <c r="S99" s="16"/>
      <c r="V99" s="16"/>
      <c r="W99" s="16"/>
      <c r="X99" s="16"/>
      <c r="Y99" s="16"/>
      <c r="Z99" s="16"/>
      <c r="AA99" s="16"/>
    </row>
    <row r="100" spans="1:27" ht="15.75" customHeight="1">
      <c r="A100" s="323" t="s">
        <v>1301</v>
      </c>
      <c r="B100" s="323" t="s">
        <v>266</v>
      </c>
      <c r="C100" s="323" t="s">
        <v>573</v>
      </c>
      <c r="D100" s="327">
        <v>6</v>
      </c>
      <c r="E100" s="328">
        <v>36</v>
      </c>
      <c r="F100" s="326">
        <f>Ludica!$D100*Ludica!$E100</f>
        <v>216</v>
      </c>
      <c r="G100" s="328">
        <v>3</v>
      </c>
      <c r="H100" s="332">
        <f>IF($B100= "","-",IF($B100= "External","Specify location tariff", INDEX(Constants!$3:$3,MATCH($B100,Constants!$2:$2,0))))</f>
        <v>35</v>
      </c>
      <c r="I100" s="333">
        <f t="shared" si="3"/>
        <v>7560</v>
      </c>
      <c r="J100" s="247"/>
      <c r="K100" s="678"/>
      <c r="L100" s="679"/>
      <c r="M100" s="679"/>
      <c r="N100" s="679"/>
      <c r="O100" s="680"/>
      <c r="P100" s="566"/>
      <c r="Q100" s="567"/>
      <c r="R100" s="16"/>
      <c r="S100" s="16"/>
      <c r="V100" s="16"/>
      <c r="W100" s="16"/>
      <c r="X100" s="16"/>
      <c r="Y100" s="16"/>
      <c r="Z100" s="16"/>
      <c r="AA100" s="16"/>
    </row>
    <row r="101" spans="1:27" ht="15.75" customHeight="1">
      <c r="A101" s="323" t="s">
        <v>1302</v>
      </c>
      <c r="B101" s="323" t="s">
        <v>266</v>
      </c>
      <c r="C101" s="323" t="s">
        <v>576</v>
      </c>
      <c r="D101" s="327">
        <v>9</v>
      </c>
      <c r="E101" s="328">
        <v>36</v>
      </c>
      <c r="F101" s="326">
        <f>Ludica!$D101*Ludica!$E101</f>
        <v>324</v>
      </c>
      <c r="G101" s="328">
        <v>3</v>
      </c>
      <c r="H101" s="332">
        <f>IF($B101= "","-",IF($B101= "External","Specify location tariff", INDEX(Constants!$3:$3,MATCH($B101,Constants!$2:$2,0))))</f>
        <v>35</v>
      </c>
      <c r="I101" s="333">
        <f t="shared" si="3"/>
        <v>11340</v>
      </c>
      <c r="J101" s="247"/>
      <c r="K101" s="678"/>
      <c r="L101" s="679"/>
      <c r="M101" s="679"/>
      <c r="N101" s="679"/>
      <c r="O101" s="680"/>
      <c r="P101" s="566"/>
      <c r="Q101" s="567"/>
      <c r="R101" s="16"/>
      <c r="S101" s="16"/>
      <c r="V101" s="16"/>
      <c r="W101" s="16"/>
      <c r="X101" s="16"/>
      <c r="Y101" s="16"/>
      <c r="Z101" s="16"/>
      <c r="AA101" s="16"/>
    </row>
    <row r="102" spans="1:27" ht="15.75" customHeight="1">
      <c r="A102" s="323" t="s">
        <v>1303</v>
      </c>
      <c r="B102" s="323" t="s">
        <v>266</v>
      </c>
      <c r="C102" s="323" t="s">
        <v>574</v>
      </c>
      <c r="D102" s="327">
        <v>9</v>
      </c>
      <c r="E102" s="328">
        <v>36</v>
      </c>
      <c r="F102" s="326">
        <f>Ludica!$D102*Ludica!$E102</f>
        <v>324</v>
      </c>
      <c r="G102" s="328">
        <v>3</v>
      </c>
      <c r="H102" s="332">
        <f>IF($B102= "","-",IF($B102= "External","Specify location tariff", INDEX(Constants!$3:$3,MATCH($B102,Constants!$2:$2,0))))</f>
        <v>35</v>
      </c>
      <c r="I102" s="333">
        <f t="shared" si="3"/>
        <v>11340</v>
      </c>
      <c r="J102" s="247"/>
      <c r="K102" s="678"/>
      <c r="L102" s="679"/>
      <c r="M102" s="679"/>
      <c r="N102" s="679"/>
      <c r="O102" s="680"/>
      <c r="P102" s="566"/>
      <c r="Q102" s="567"/>
      <c r="R102" s="16"/>
      <c r="S102" s="16"/>
      <c r="V102" s="16"/>
      <c r="W102" s="16"/>
      <c r="X102" s="16"/>
      <c r="Y102" s="16"/>
      <c r="Z102" s="16"/>
      <c r="AA102" s="16"/>
    </row>
    <row r="103" spans="1:27" ht="15.75" customHeight="1">
      <c r="A103" s="323" t="s">
        <v>1304</v>
      </c>
      <c r="B103" s="323" t="s">
        <v>266</v>
      </c>
      <c r="C103" s="323" t="s">
        <v>1297</v>
      </c>
      <c r="D103" s="327">
        <v>8</v>
      </c>
      <c r="E103" s="328">
        <v>36</v>
      </c>
      <c r="F103" s="326">
        <f>Ludica!$D103*Ludica!$E103</f>
        <v>288</v>
      </c>
      <c r="G103" s="328">
        <v>3</v>
      </c>
      <c r="H103" s="332">
        <f>IF($B103= "","-",IF($B103= "External","Specify location tariff", INDEX(Constants!$3:$3,MATCH($B103,Constants!$2:$2,0))))</f>
        <v>35</v>
      </c>
      <c r="I103" s="333">
        <f t="shared" si="3"/>
        <v>10080</v>
      </c>
      <c r="J103" s="247"/>
      <c r="K103" s="678"/>
      <c r="L103" s="679"/>
      <c r="M103" s="679"/>
      <c r="N103" s="679"/>
      <c r="O103" s="680"/>
      <c r="P103" s="566"/>
      <c r="Q103" s="567"/>
      <c r="R103" s="16"/>
      <c r="S103" s="16"/>
      <c r="V103" s="16"/>
      <c r="W103" s="16"/>
      <c r="X103" s="16"/>
      <c r="Y103" s="16"/>
      <c r="Z103" s="16"/>
      <c r="AA103" s="16"/>
    </row>
    <row r="104" spans="1:27" ht="15.75" customHeight="1">
      <c r="A104" s="323" t="s">
        <v>1305</v>
      </c>
      <c r="B104" s="323" t="s">
        <v>266</v>
      </c>
      <c r="C104" s="323" t="s">
        <v>576</v>
      </c>
      <c r="D104" s="327">
        <v>3</v>
      </c>
      <c r="E104" s="328">
        <v>36</v>
      </c>
      <c r="F104" s="326">
        <f>Ludica!$D104*Ludica!$E104</f>
        <v>108</v>
      </c>
      <c r="G104" s="328">
        <v>4</v>
      </c>
      <c r="H104" s="332">
        <f>IF($B104= "","-",IF($B104= "External","Specify location tariff", INDEX(Constants!$3:$3,MATCH($B104,Constants!$2:$2,0))))</f>
        <v>35</v>
      </c>
      <c r="I104" s="333">
        <f t="shared" si="2"/>
        <v>3780</v>
      </c>
      <c r="J104" s="247"/>
      <c r="K104" s="678"/>
      <c r="L104" s="679"/>
      <c r="M104" s="679"/>
      <c r="N104" s="679"/>
      <c r="O104" s="680"/>
      <c r="P104" s="566"/>
      <c r="Q104" s="567"/>
      <c r="R104" s="16"/>
      <c r="S104" s="16"/>
      <c r="V104" s="16"/>
      <c r="W104" s="16"/>
      <c r="X104" s="16"/>
      <c r="Y104" s="16"/>
      <c r="Z104" s="16"/>
      <c r="AA104" s="16"/>
    </row>
    <row r="105" spans="1:27" ht="15.75" customHeight="1">
      <c r="A105" s="323" t="s">
        <v>1306</v>
      </c>
      <c r="B105" s="323" t="s">
        <v>266</v>
      </c>
      <c r="C105" s="323" t="s">
        <v>578</v>
      </c>
      <c r="D105" s="327">
        <v>9</v>
      </c>
      <c r="E105" s="328">
        <v>9</v>
      </c>
      <c r="F105" s="326">
        <f>Ludica!$D105*Ludica!$E105</f>
        <v>81</v>
      </c>
      <c r="G105" s="328">
        <v>0</v>
      </c>
      <c r="H105" s="332">
        <f>IF($B105= "","-",IF($B105= "External","Specify location tariff", INDEX(Constants!$3:$3,MATCH($B105,Constants!$2:$2,0))))</f>
        <v>35</v>
      </c>
      <c r="I105" s="333">
        <f t="shared" si="2"/>
        <v>2835</v>
      </c>
      <c r="J105" s="247"/>
      <c r="K105" s="678"/>
      <c r="L105" s="679"/>
      <c r="M105" s="679"/>
      <c r="N105" s="679"/>
      <c r="O105" s="680"/>
      <c r="P105" s="566"/>
      <c r="Q105" s="567"/>
      <c r="R105" s="16"/>
      <c r="S105" s="16"/>
      <c r="V105" s="16"/>
      <c r="W105" s="16"/>
      <c r="X105" s="16"/>
      <c r="Y105" s="16"/>
      <c r="Z105" s="16"/>
      <c r="AA105" s="16"/>
    </row>
    <row r="106" spans="1:27" ht="15.75" customHeight="1">
      <c r="A106" s="323" t="s">
        <v>1307</v>
      </c>
      <c r="B106" s="323" t="s">
        <v>266</v>
      </c>
      <c r="C106" s="323" t="s">
        <v>1308</v>
      </c>
      <c r="D106" s="327">
        <v>9</v>
      </c>
      <c r="E106" s="328">
        <v>9</v>
      </c>
      <c r="F106" s="326">
        <f>Ludica!$D106*Ludica!$E106</f>
        <v>81</v>
      </c>
      <c r="G106" s="328">
        <v>0</v>
      </c>
      <c r="H106" s="332">
        <f>IF($B106= "","-",IF($B106= "External","Specify location tariff", INDEX(Constants!$3:$3,MATCH($B106,Constants!$2:$2,0))))</f>
        <v>35</v>
      </c>
      <c r="I106" s="333">
        <f t="shared" si="2"/>
        <v>2835</v>
      </c>
      <c r="J106" s="247"/>
      <c r="K106" s="678"/>
      <c r="L106" s="679"/>
      <c r="M106" s="679"/>
      <c r="N106" s="679"/>
      <c r="O106" s="680"/>
      <c r="P106" s="566"/>
      <c r="Q106" s="567"/>
      <c r="R106" s="16"/>
      <c r="S106" s="16"/>
      <c r="V106" s="16"/>
      <c r="W106" s="16"/>
      <c r="X106" s="16"/>
      <c r="Y106" s="16"/>
      <c r="Z106" s="16"/>
      <c r="AA106" s="16"/>
    </row>
    <row r="107" spans="1:27" ht="15.75" customHeight="1">
      <c r="A107" s="323" t="s">
        <v>1309</v>
      </c>
      <c r="B107" s="323" t="s">
        <v>266</v>
      </c>
      <c r="C107" s="323" t="s">
        <v>578</v>
      </c>
      <c r="D107" s="327">
        <v>9</v>
      </c>
      <c r="E107" s="328">
        <v>7</v>
      </c>
      <c r="F107" s="326">
        <f>Ludica!$D107*Ludica!$E107</f>
        <v>63</v>
      </c>
      <c r="G107" s="328">
        <v>0</v>
      </c>
      <c r="H107" s="332">
        <f>IF($B107= "","-",IF($B107= "External","Specify location tariff", INDEX(Constants!$3:$3,MATCH($B107,Constants!$2:$2,0))))</f>
        <v>35</v>
      </c>
      <c r="I107" s="333">
        <f t="shared" si="2"/>
        <v>2205</v>
      </c>
      <c r="J107" s="247"/>
      <c r="K107" s="678"/>
      <c r="L107" s="679"/>
      <c r="M107" s="679"/>
      <c r="N107" s="679"/>
      <c r="O107" s="680"/>
      <c r="P107" s="566"/>
      <c r="Q107" s="567"/>
      <c r="R107" s="16"/>
      <c r="S107" s="16"/>
      <c r="V107" s="16"/>
      <c r="W107" s="16"/>
      <c r="X107" s="16"/>
      <c r="Y107" s="16"/>
      <c r="Z107" s="16"/>
      <c r="AA107" s="16"/>
    </row>
    <row r="108" spans="1:27" ht="15.75" customHeight="1">
      <c r="A108" s="323" t="s">
        <v>1310</v>
      </c>
      <c r="B108" s="323" t="s">
        <v>266</v>
      </c>
      <c r="C108" s="323" t="s">
        <v>1308</v>
      </c>
      <c r="D108" s="327">
        <v>9</v>
      </c>
      <c r="E108" s="328">
        <v>7</v>
      </c>
      <c r="F108" s="326">
        <f>Ludica!$D108*Ludica!$E108</f>
        <v>63</v>
      </c>
      <c r="G108" s="328">
        <v>0</v>
      </c>
      <c r="H108" s="332">
        <f>IF($B108= "","-",IF($B108= "External","Specify location tariff", INDEX(Constants!$3:$3,MATCH($B108,Constants!$2:$2,0))))</f>
        <v>35</v>
      </c>
      <c r="I108" s="333">
        <f t="shared" si="2"/>
        <v>2205</v>
      </c>
      <c r="J108" s="247"/>
      <c r="K108" s="678"/>
      <c r="L108" s="679"/>
      <c r="M108" s="679"/>
      <c r="N108" s="679"/>
      <c r="O108" s="680"/>
      <c r="P108" s="566"/>
      <c r="Q108" s="567"/>
      <c r="R108" s="16"/>
      <c r="S108" s="16"/>
      <c r="V108" s="16"/>
      <c r="W108" s="16"/>
      <c r="X108" s="16"/>
      <c r="Y108" s="16"/>
      <c r="Z108" s="16"/>
      <c r="AA108" s="16"/>
    </row>
    <row r="109" spans="1:27" ht="15.75" customHeight="1">
      <c r="A109" s="323" t="s">
        <v>1311</v>
      </c>
      <c r="B109" s="323" t="s">
        <v>266</v>
      </c>
      <c r="C109" s="323" t="s">
        <v>575</v>
      </c>
      <c r="D109" s="327">
        <v>4.5</v>
      </c>
      <c r="E109" s="328">
        <v>19</v>
      </c>
      <c r="F109" s="326">
        <f>Ludica!$D109*Ludica!$E109</f>
        <v>85.5</v>
      </c>
      <c r="G109" s="328">
        <v>1</v>
      </c>
      <c r="H109" s="332">
        <f>IF($B109= "","-",IF($B109= "External","Specify location tariff", INDEX(Constants!$3:$3,MATCH($B109,Constants!$2:$2,0))))</f>
        <v>35</v>
      </c>
      <c r="I109" s="333">
        <f t="shared" si="2"/>
        <v>2992.5</v>
      </c>
      <c r="J109" s="247"/>
      <c r="K109" s="678"/>
      <c r="L109" s="679"/>
      <c r="M109" s="679"/>
      <c r="N109" s="679"/>
      <c r="O109" s="680"/>
      <c r="P109" s="566"/>
      <c r="Q109" s="567"/>
      <c r="R109" s="16"/>
      <c r="S109" s="16"/>
      <c r="V109" s="16"/>
      <c r="W109" s="16"/>
      <c r="X109" s="16"/>
      <c r="Y109" s="16"/>
      <c r="Z109" s="16"/>
      <c r="AA109" s="16"/>
    </row>
    <row r="110" spans="1:27" ht="15.75" customHeight="1">
      <c r="A110" s="323" t="s">
        <v>1311</v>
      </c>
      <c r="B110" s="323" t="s">
        <v>266</v>
      </c>
      <c r="C110" s="323" t="s">
        <v>576</v>
      </c>
      <c r="D110" s="327">
        <v>4.5</v>
      </c>
      <c r="E110" s="328">
        <v>19</v>
      </c>
      <c r="F110" s="326">
        <f>Ludica!$D110*Ludica!$E110</f>
        <v>85.5</v>
      </c>
      <c r="G110" s="328">
        <v>1</v>
      </c>
      <c r="H110" s="332">
        <f>IF($B110= "","-",IF($B110= "External","Specify location tariff", INDEX(Constants!$3:$3,MATCH($B110,Constants!$2:$2,0))))</f>
        <v>35</v>
      </c>
      <c r="I110" s="333">
        <f t="shared" si="2"/>
        <v>2992.5</v>
      </c>
      <c r="J110" s="247"/>
      <c r="K110" s="678"/>
      <c r="L110" s="679"/>
      <c r="M110" s="679"/>
      <c r="N110" s="679"/>
      <c r="O110" s="680"/>
      <c r="P110" s="566"/>
      <c r="Q110" s="567"/>
      <c r="R110" s="16"/>
      <c r="S110" s="16"/>
      <c r="V110" s="16"/>
      <c r="W110" s="16"/>
      <c r="X110" s="16"/>
      <c r="Y110" s="16"/>
      <c r="Z110" s="16"/>
      <c r="AA110" s="16"/>
    </row>
    <row r="111" spans="1:27" ht="15.75" customHeight="1">
      <c r="A111" s="323" t="s">
        <v>1311</v>
      </c>
      <c r="B111" s="323" t="s">
        <v>266</v>
      </c>
      <c r="C111" s="323" t="s">
        <v>574</v>
      </c>
      <c r="D111" s="327">
        <v>4.5</v>
      </c>
      <c r="E111" s="328">
        <v>19</v>
      </c>
      <c r="F111" s="326">
        <f>Ludica!$D111*Ludica!$E111</f>
        <v>85.5</v>
      </c>
      <c r="G111" s="328">
        <v>1</v>
      </c>
      <c r="H111" s="332">
        <f>IF($B111= "","-",IF($B111= "External","Specify location tariff", INDEX(Constants!$3:$3,MATCH($B111,Constants!$2:$2,0))))</f>
        <v>35</v>
      </c>
      <c r="I111" s="333">
        <f t="shared" si="2"/>
        <v>2992.5</v>
      </c>
      <c r="J111" s="247"/>
      <c r="K111" s="678"/>
      <c r="L111" s="679"/>
      <c r="M111" s="679"/>
      <c r="N111" s="679"/>
      <c r="O111" s="680"/>
      <c r="P111" s="566"/>
      <c r="Q111" s="567"/>
      <c r="R111" s="16"/>
      <c r="S111" s="16"/>
      <c r="V111" s="16"/>
      <c r="W111" s="16"/>
      <c r="X111" s="16"/>
      <c r="Y111" s="16"/>
      <c r="Z111" s="16"/>
      <c r="AA111" s="16"/>
    </row>
    <row r="112" spans="1:27" ht="15.75" customHeight="1">
      <c r="A112" s="327" t="s">
        <v>1311</v>
      </c>
      <c r="B112" s="323" t="s">
        <v>266</v>
      </c>
      <c r="C112" s="323" t="s">
        <v>1297</v>
      </c>
      <c r="D112" s="327">
        <v>4.5</v>
      </c>
      <c r="E112" s="328">
        <v>19</v>
      </c>
      <c r="F112" s="326">
        <f>Ludica!$D112*Ludica!$E112</f>
        <v>85.5</v>
      </c>
      <c r="G112" s="328">
        <v>1</v>
      </c>
      <c r="H112" s="332">
        <f>IF($B112= "","-",IF($B112= "External","Specify location tariff", INDEX(Constants!$3:$3,MATCH($B112,Constants!$2:$2,0))))</f>
        <v>35</v>
      </c>
      <c r="I112" s="333">
        <f t="shared" si="2"/>
        <v>2992.5</v>
      </c>
      <c r="J112" s="247"/>
      <c r="K112" s="678"/>
      <c r="L112" s="679"/>
      <c r="M112" s="679"/>
      <c r="N112" s="679"/>
      <c r="O112" s="680"/>
      <c r="P112" s="566"/>
      <c r="Q112" s="567"/>
      <c r="R112" s="16"/>
      <c r="S112" s="16"/>
      <c r="V112" s="16"/>
      <c r="W112" s="16"/>
      <c r="X112" s="16"/>
      <c r="Y112" s="16"/>
      <c r="Z112" s="16"/>
      <c r="AA112" s="16"/>
    </row>
    <row r="113" spans="1:30" ht="15.75" customHeight="1">
      <c r="A113" s="327"/>
      <c r="B113" s="323"/>
      <c r="C113" s="323"/>
      <c r="D113" s="327"/>
      <c r="E113" s="328"/>
      <c r="F113" s="326">
        <f>Ludica!$D113*Ludica!$E113</f>
        <v>0</v>
      </c>
      <c r="G113" s="328"/>
      <c r="H113" s="332" t="str">
        <f>IF($B113= "","-",IF($B113= "External","Specify location tariff", INDEX(Constants!$3:$3,MATCH($B113,Constants!$2:$2,0))))</f>
        <v>-</v>
      </c>
      <c r="I113" s="333" t="str">
        <f>IF($H113="-","-",IF($H113="Specify location tariff","-",$H113*$F113))</f>
        <v>-</v>
      </c>
      <c r="J113" s="247"/>
      <c r="K113" s="678"/>
      <c r="L113" s="679"/>
      <c r="M113" s="679"/>
      <c r="N113" s="679"/>
      <c r="O113" s="680"/>
      <c r="P113" s="566"/>
      <c r="Q113" s="567"/>
      <c r="R113" s="16"/>
      <c r="S113" s="16"/>
      <c r="V113" s="16"/>
      <c r="W113" s="16"/>
      <c r="X113" s="16"/>
      <c r="Y113" s="16"/>
      <c r="Z113" s="16"/>
      <c r="AA113" s="16"/>
    </row>
    <row r="114" spans="1:30" ht="15.75" customHeight="1">
      <c r="A114" s="327" t="s">
        <v>1312</v>
      </c>
      <c r="B114" s="323" t="s">
        <v>266</v>
      </c>
      <c r="C114" s="323" t="s">
        <v>575</v>
      </c>
      <c r="D114" s="327">
        <v>4.5</v>
      </c>
      <c r="E114" s="328">
        <v>4</v>
      </c>
      <c r="F114" s="326">
        <f>Ludica!$D114*Ludica!$E114</f>
        <v>18</v>
      </c>
      <c r="G114" s="328">
        <v>3</v>
      </c>
      <c r="H114" s="332">
        <f>IF($B114= "","-",IF($B114= "External","Specify location tariff", INDEX(Constants!$3:$3,MATCH($B114,Constants!$2:$2,0))))</f>
        <v>35</v>
      </c>
      <c r="I114" s="333">
        <f t="shared" ref="I114:I115" si="4">IF($H114="-","-",IF($H114="Specify location tariff","-",$H114*$F114))</f>
        <v>630</v>
      </c>
      <c r="J114" s="247" t="s">
        <v>1313</v>
      </c>
      <c r="K114" s="678"/>
      <c r="L114" s="679"/>
      <c r="M114" s="679"/>
      <c r="N114" s="679"/>
      <c r="O114" s="680"/>
      <c r="P114" s="566"/>
      <c r="Q114" s="567"/>
      <c r="R114" s="16"/>
      <c r="S114" s="16"/>
      <c r="V114" s="16"/>
      <c r="W114" s="16"/>
      <c r="X114" s="16"/>
      <c r="Y114" s="16"/>
      <c r="Z114" s="16"/>
      <c r="AA114" s="16"/>
    </row>
    <row r="115" spans="1:30" ht="15.75" customHeight="1">
      <c r="A115" s="327" t="s">
        <v>1312</v>
      </c>
      <c r="B115" s="323" t="s">
        <v>266</v>
      </c>
      <c r="C115" s="323" t="s">
        <v>573</v>
      </c>
      <c r="D115" s="327">
        <v>4.5</v>
      </c>
      <c r="E115" s="328">
        <v>4</v>
      </c>
      <c r="F115" s="326">
        <f>Ludica!$D115*Ludica!$E115</f>
        <v>18</v>
      </c>
      <c r="G115" s="328">
        <v>3</v>
      </c>
      <c r="H115" s="332">
        <f>IF($B115= "","-",IF($B115= "External","Specify location tariff", INDEX(Constants!$3:$3,MATCH($B115,Constants!$2:$2,0))))</f>
        <v>35</v>
      </c>
      <c r="I115" s="333">
        <f t="shared" si="4"/>
        <v>630</v>
      </c>
      <c r="J115" s="247"/>
      <c r="K115" s="678"/>
      <c r="L115" s="679"/>
      <c r="M115" s="679"/>
      <c r="N115" s="679"/>
      <c r="O115" s="680"/>
      <c r="P115" s="566"/>
      <c r="Q115" s="567"/>
      <c r="R115" s="16"/>
      <c r="S115" s="16"/>
      <c r="V115" s="16"/>
      <c r="W115" s="16"/>
      <c r="X115" s="16"/>
      <c r="Y115" s="16"/>
      <c r="Z115" s="16"/>
      <c r="AA115" s="16"/>
    </row>
    <row r="116" spans="1:30" ht="15.75" customHeight="1">
      <c r="A116" s="327" t="s">
        <v>1312</v>
      </c>
      <c r="B116" s="323" t="s">
        <v>266</v>
      </c>
      <c r="C116" s="323" t="s">
        <v>576</v>
      </c>
      <c r="D116" s="327">
        <v>4.5</v>
      </c>
      <c r="E116" s="328">
        <v>4</v>
      </c>
      <c r="F116" s="326">
        <f>Ludica!$D116*Ludica!$E116</f>
        <v>18</v>
      </c>
      <c r="G116" s="328">
        <v>3</v>
      </c>
      <c r="H116" s="332">
        <f>IF($B116= "","-",IF($B116= "External","Specify location tariff", INDEX(Constants!$3:$3,MATCH($B116,Constants!$2:$2,0))))</f>
        <v>35</v>
      </c>
      <c r="I116" s="333">
        <f>IF($H116="-","-",IF($H116="Specify location tariff","-",$H116*$F116))</f>
        <v>630</v>
      </c>
      <c r="J116" s="247"/>
      <c r="K116" s="678"/>
      <c r="L116" s="679"/>
      <c r="M116" s="679"/>
      <c r="N116" s="679"/>
      <c r="O116" s="680"/>
      <c r="P116" s="566"/>
      <c r="Q116" s="567"/>
      <c r="R116" s="16"/>
      <c r="S116" s="16"/>
      <c r="V116" s="16"/>
      <c r="W116" s="16"/>
      <c r="X116" s="16"/>
      <c r="Y116" s="16"/>
      <c r="Z116" s="16"/>
      <c r="AA116" s="16"/>
    </row>
    <row r="117" spans="1:30" ht="15.75" customHeight="1">
      <c r="A117" s="327" t="s">
        <v>1312</v>
      </c>
      <c r="B117" s="323" t="s">
        <v>266</v>
      </c>
      <c r="C117" s="323" t="s">
        <v>574</v>
      </c>
      <c r="D117" s="327">
        <v>4.5</v>
      </c>
      <c r="E117" s="328">
        <v>4</v>
      </c>
      <c r="F117" s="326">
        <f>Ludica!$D117*Ludica!$E117</f>
        <v>18</v>
      </c>
      <c r="G117" s="328">
        <v>3</v>
      </c>
      <c r="H117" s="332">
        <f>IF($B117= "","-",IF($B117= "External","Specify location tariff", INDEX(Constants!$3:$3,MATCH($B117,Constants!$2:$2,0))))</f>
        <v>35</v>
      </c>
      <c r="I117" s="333">
        <f>IF($H117="-","-",IF($H117="Specify location tariff","-",$H117*$F117))</f>
        <v>630</v>
      </c>
      <c r="J117" s="247"/>
      <c r="K117" s="678"/>
      <c r="L117" s="679"/>
      <c r="M117" s="679"/>
      <c r="N117" s="679"/>
      <c r="O117" s="680"/>
      <c r="P117" s="566"/>
      <c r="Q117" s="567"/>
      <c r="R117" s="16"/>
      <c r="S117" s="16"/>
      <c r="V117" s="16"/>
      <c r="W117" s="16"/>
      <c r="X117" s="16"/>
      <c r="Y117" s="16"/>
      <c r="Z117" s="16"/>
      <c r="AA117" s="16"/>
    </row>
    <row r="118" spans="1:30" ht="15.75" customHeight="1">
      <c r="A118" s="327" t="s">
        <v>1312</v>
      </c>
      <c r="B118" s="323" t="s">
        <v>266</v>
      </c>
      <c r="C118" s="323" t="s">
        <v>1297</v>
      </c>
      <c r="D118" s="327">
        <v>4.5</v>
      </c>
      <c r="E118" s="328">
        <v>4</v>
      </c>
      <c r="F118" s="326">
        <f>Ludica!$D118*Ludica!$E118</f>
        <v>18</v>
      </c>
      <c r="G118" s="328">
        <v>3</v>
      </c>
      <c r="H118" s="332">
        <f>IF($B118= "","-",IF($B118= "External","Specify location tariff", INDEX(Constants!$3:$3,MATCH($B118,Constants!$2:$2,0))))</f>
        <v>35</v>
      </c>
      <c r="I118" s="333">
        <f>IF($H118="-","-",IF($H118="Specify location tariff","-",$H118*$F118))</f>
        <v>630</v>
      </c>
      <c r="J118" s="247"/>
      <c r="K118" s="678"/>
      <c r="L118" s="679"/>
      <c r="M118" s="679"/>
      <c r="N118" s="679"/>
      <c r="O118" s="680"/>
      <c r="P118" s="566"/>
      <c r="Q118" s="567"/>
      <c r="R118" s="16"/>
      <c r="S118" s="16"/>
      <c r="V118" s="16"/>
      <c r="W118" s="16"/>
      <c r="X118" s="16"/>
      <c r="Y118" s="16"/>
      <c r="Z118" s="16"/>
      <c r="AA118" s="16"/>
    </row>
    <row r="119" spans="1:30" ht="15.75" customHeight="1">
      <c r="A119" s="327"/>
      <c r="B119" s="323"/>
      <c r="C119" s="323"/>
      <c r="D119" s="327"/>
      <c r="E119" s="328"/>
      <c r="F119" s="326">
        <f>Ludica!$D119*Ludica!$E119</f>
        <v>0</v>
      </c>
      <c r="G119" s="328"/>
      <c r="H119" s="332" t="str">
        <f>IF($B119= "","-",IF($B119= "External","Specify location tariff", INDEX(Constants!$3:$3,MATCH($B119,Constants!$2:$2,0))))</f>
        <v>-</v>
      </c>
      <c r="I119" s="333" t="str">
        <f t="shared" si="2"/>
        <v>-</v>
      </c>
      <c r="J119" s="247"/>
      <c r="K119" s="678"/>
      <c r="L119" s="679"/>
      <c r="M119" s="679"/>
      <c r="N119" s="679"/>
      <c r="O119" s="680"/>
      <c r="P119" s="566"/>
      <c r="Q119" s="567"/>
      <c r="R119" s="16"/>
      <c r="S119" s="16"/>
      <c r="V119" s="16"/>
      <c r="W119" s="16"/>
      <c r="X119" s="16"/>
      <c r="Y119" s="16"/>
      <c r="Z119" s="16"/>
      <c r="AA119" s="16"/>
    </row>
    <row r="120" spans="1:30" ht="15.75" customHeight="1">
      <c r="A120" s="323" t="s">
        <v>1314</v>
      </c>
      <c r="B120" s="323" t="s">
        <v>266</v>
      </c>
      <c r="C120" s="323" t="s">
        <v>1315</v>
      </c>
      <c r="D120" s="327">
        <v>12</v>
      </c>
      <c r="E120" s="328">
        <v>2</v>
      </c>
      <c r="F120" s="326">
        <f>Ludica!$D120*Ludica!$E120</f>
        <v>24</v>
      </c>
      <c r="G120" s="328">
        <v>5</v>
      </c>
      <c r="H120" s="332">
        <f>IF($B120= "","-",IF($B120= "External","Specify location tariff", INDEX(Constants!$3:$3,MATCH($B120,Constants!$2:$2,0))))</f>
        <v>35</v>
      </c>
      <c r="I120" s="333">
        <f t="shared" si="2"/>
        <v>840</v>
      </c>
      <c r="J120" s="247"/>
      <c r="K120" s="678"/>
      <c r="L120" s="679"/>
      <c r="M120" s="679"/>
      <c r="N120" s="679"/>
      <c r="O120" s="680"/>
      <c r="P120" s="566"/>
      <c r="Q120" s="567"/>
      <c r="R120" s="16"/>
      <c r="S120" s="16"/>
      <c r="V120" s="16"/>
      <c r="W120" s="16"/>
      <c r="X120" s="16"/>
      <c r="Y120" s="16"/>
      <c r="Z120" s="16"/>
      <c r="AA120" s="16"/>
    </row>
    <row r="121" spans="1:30" ht="15.75" customHeight="1">
      <c r="A121" s="323" t="s">
        <v>1316</v>
      </c>
      <c r="B121" s="323" t="s">
        <v>266</v>
      </c>
      <c r="C121" s="323" t="s">
        <v>1317</v>
      </c>
      <c r="D121" s="327">
        <v>72</v>
      </c>
      <c r="E121" s="328">
        <v>1</v>
      </c>
      <c r="F121" s="326">
        <f>Ludica!$D121*Ludica!$E121</f>
        <v>72</v>
      </c>
      <c r="G121" s="328">
        <v>5</v>
      </c>
      <c r="H121" s="332">
        <f>IF($B121= "","-",IF($B121= "External","Specify location tariff", INDEX(Constants!$3:$3,MATCH($B121,Constants!$2:$2,0))))</f>
        <v>35</v>
      </c>
      <c r="I121" s="333">
        <f t="shared" si="2"/>
        <v>2520</v>
      </c>
      <c r="J121" s="247"/>
      <c r="K121" s="678"/>
      <c r="L121" s="679"/>
      <c r="M121" s="679"/>
      <c r="N121" s="679"/>
      <c r="O121" s="680"/>
      <c r="P121" s="566"/>
      <c r="Q121" s="567"/>
      <c r="R121" s="16"/>
      <c r="S121" s="16"/>
      <c r="V121" s="16"/>
      <c r="W121" s="16"/>
      <c r="X121" s="16"/>
      <c r="Y121" s="16"/>
      <c r="Z121" s="16"/>
      <c r="AA121" s="16"/>
    </row>
    <row r="122" spans="1:30" ht="15.75" customHeight="1">
      <c r="A122" s="323" t="s">
        <v>1318</v>
      </c>
      <c r="B122" s="323" t="s">
        <v>266</v>
      </c>
      <c r="C122" s="323" t="s">
        <v>1319</v>
      </c>
      <c r="D122" s="327">
        <v>4</v>
      </c>
      <c r="E122" s="328">
        <v>7</v>
      </c>
      <c r="F122" s="326">
        <f>Ludica!$D122*Ludica!$E122</f>
        <v>28</v>
      </c>
      <c r="G122" s="328">
        <v>5</v>
      </c>
      <c r="H122" s="332">
        <f>IF($B122= "","-",IF($B122= "External","Specify location tariff", INDEX(Constants!$3:$3,MATCH($B122,Constants!$2:$2,0))))</f>
        <v>35</v>
      </c>
      <c r="I122" s="333">
        <f t="shared" si="2"/>
        <v>980</v>
      </c>
      <c r="J122" s="247"/>
      <c r="K122" s="678"/>
      <c r="L122" s="679"/>
      <c r="M122" s="679"/>
      <c r="N122" s="679"/>
      <c r="O122" s="680"/>
      <c r="P122" s="566"/>
      <c r="Q122" s="567"/>
      <c r="R122" s="16"/>
      <c r="S122" s="16"/>
      <c r="V122" s="16"/>
      <c r="W122" s="16"/>
      <c r="X122" s="16"/>
      <c r="Y122" s="16"/>
      <c r="Z122" s="16"/>
      <c r="AA122" s="16"/>
    </row>
    <row r="123" spans="1:30" ht="15.75" customHeight="1">
      <c r="A123" s="323" t="s">
        <v>1320</v>
      </c>
      <c r="B123" s="323" t="s">
        <v>266</v>
      </c>
      <c r="C123" s="323" t="s">
        <v>1319</v>
      </c>
      <c r="D123" s="327">
        <v>4</v>
      </c>
      <c r="E123" s="328">
        <v>1</v>
      </c>
      <c r="F123" s="326">
        <f>Ludica!$D123*Ludica!$E123</f>
        <v>4</v>
      </c>
      <c r="G123" s="328">
        <v>5</v>
      </c>
      <c r="H123" s="332">
        <f>IF($B123= "","-",IF($B123= "External","Specify location tariff", INDEX(Constants!$3:$3,MATCH($B123,Constants!$2:$2,0))))</f>
        <v>35</v>
      </c>
      <c r="I123" s="333">
        <f t="shared" si="2"/>
        <v>140</v>
      </c>
      <c r="J123" s="247"/>
      <c r="K123" s="678"/>
      <c r="L123" s="679"/>
      <c r="M123" s="679"/>
      <c r="N123" s="679"/>
      <c r="O123" s="680"/>
      <c r="P123" s="566"/>
      <c r="Q123" s="567"/>
      <c r="R123" s="16"/>
      <c r="S123" s="16"/>
      <c r="V123" s="16"/>
      <c r="W123" s="16"/>
      <c r="X123" s="16"/>
      <c r="Y123" s="16"/>
      <c r="Z123" s="16"/>
      <c r="AA123" s="16"/>
    </row>
    <row r="124" spans="1:30" ht="15.75" customHeight="1" thickBot="1">
      <c r="A124" s="323" t="s">
        <v>1321</v>
      </c>
      <c r="B124" s="323" t="s">
        <v>266</v>
      </c>
      <c r="C124" s="323" t="s">
        <v>1097</v>
      </c>
      <c r="D124" s="327">
        <v>4</v>
      </c>
      <c r="E124" s="328">
        <v>1</v>
      </c>
      <c r="F124" s="326">
        <f>Ludica!$D124*Ludica!$E124</f>
        <v>4</v>
      </c>
      <c r="G124" s="328">
        <v>5</v>
      </c>
      <c r="H124" s="332">
        <f>IF($B124= "","-",IF($B124= "External","Specify location tariff", INDEX(Constants!$3:$3,MATCH($B124,Constants!$2:$2,0))))</f>
        <v>35</v>
      </c>
      <c r="I124" s="333">
        <f t="shared" si="2"/>
        <v>140</v>
      </c>
      <c r="J124" s="247"/>
      <c r="K124" s="681"/>
      <c r="L124" s="682"/>
      <c r="M124" s="682"/>
      <c r="N124" s="682"/>
      <c r="O124" s="683"/>
      <c r="P124" s="568"/>
      <c r="Q124" s="569"/>
      <c r="R124" s="16"/>
      <c r="S124" s="16"/>
      <c r="V124" s="16"/>
      <c r="W124" s="16"/>
      <c r="X124" s="16"/>
      <c r="Y124" s="16"/>
      <c r="Z124" s="16"/>
      <c r="AA124" s="16"/>
    </row>
    <row r="125" spans="1:30" ht="15.75" customHeight="1" thickTop="1">
      <c r="A125" s="15"/>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6"/>
      <c r="AA125" s="16"/>
      <c r="AB125" s="16"/>
      <c r="AC125" s="16"/>
      <c r="AD125" s="16"/>
    </row>
    <row r="126" spans="1:30" ht="15.75" customHeight="1">
      <c r="A126" s="15"/>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c r="AA126" s="16"/>
      <c r="AB126" s="16"/>
      <c r="AC126" s="16"/>
      <c r="AD126" s="16"/>
    </row>
    <row r="127" spans="1:30" ht="15.75" customHeight="1" thickBot="1">
      <c r="A127" s="186" t="s">
        <v>519</v>
      </c>
      <c r="B127" s="16"/>
      <c r="C127" s="128"/>
      <c r="D127" s="51"/>
      <c r="E127" s="51"/>
      <c r="F127" s="51"/>
      <c r="G127" s="51"/>
      <c r="H127" s="51"/>
      <c r="I127" s="51"/>
      <c r="J127" s="51"/>
      <c r="K127" s="51"/>
      <c r="L127" s="232"/>
      <c r="M127" s="231"/>
      <c r="N127" s="16"/>
      <c r="O127" s="16"/>
      <c r="P127" s="16"/>
      <c r="Q127" s="16"/>
      <c r="R127" s="16"/>
      <c r="S127" s="16"/>
      <c r="T127" s="16"/>
      <c r="U127" s="16"/>
      <c r="V127" s="16"/>
      <c r="W127" s="16"/>
      <c r="X127" s="16"/>
      <c r="Y127" s="16"/>
      <c r="Z127" s="16"/>
      <c r="AA127" s="16"/>
      <c r="AB127" s="16"/>
      <c r="AC127" s="16"/>
      <c r="AD127" s="16"/>
    </row>
    <row r="128" spans="1:30" ht="15" customHeight="1" thickTop="1" thickBot="1">
      <c r="A128" s="230" t="s">
        <v>438</v>
      </c>
      <c r="B128" s="230" t="s">
        <v>439</v>
      </c>
      <c r="C128" s="230" t="s">
        <v>520</v>
      </c>
      <c r="D128" s="230" t="s">
        <v>521</v>
      </c>
      <c r="E128" s="230" t="s">
        <v>522</v>
      </c>
      <c r="F128" s="230" t="s">
        <v>523</v>
      </c>
      <c r="G128" s="230" t="s">
        <v>508</v>
      </c>
      <c r="H128" s="721" t="s">
        <v>441</v>
      </c>
      <c r="I128" s="728"/>
      <c r="J128" s="729" t="s">
        <v>434</v>
      </c>
      <c r="K128" s="730"/>
      <c r="L128" s="16"/>
      <c r="M128" s="16"/>
      <c r="N128" s="16"/>
      <c r="O128" s="16"/>
      <c r="P128" s="117"/>
      <c r="Q128" s="15"/>
      <c r="R128" s="16"/>
      <c r="S128" s="130"/>
      <c r="T128" s="16"/>
      <c r="U128" s="16"/>
      <c r="V128" s="16"/>
      <c r="W128" s="241"/>
      <c r="X128" s="16"/>
      <c r="Y128" s="16"/>
      <c r="Z128" s="16"/>
      <c r="AA128" s="16"/>
      <c r="AB128" s="16"/>
    </row>
    <row r="129" spans="1:30" ht="14.25" customHeight="1" thickTop="1">
      <c r="A129" s="244" t="s">
        <v>1322</v>
      </c>
      <c r="B129" s="244" t="s">
        <v>1323</v>
      </c>
      <c r="C129" s="339">
        <v>936</v>
      </c>
      <c r="D129" s="408" t="s">
        <v>1324</v>
      </c>
      <c r="E129" s="338">
        <v>144</v>
      </c>
      <c r="F129" s="339">
        <v>2808</v>
      </c>
      <c r="G129" s="247"/>
      <c r="H129" s="653" t="s">
        <v>1325</v>
      </c>
      <c r="I129" s="750"/>
      <c r="J129" s="628" t="s">
        <v>526</v>
      </c>
      <c r="K129" s="730"/>
      <c r="L129" s="16"/>
      <c r="M129" s="16"/>
      <c r="N129" s="16"/>
      <c r="O129" s="16"/>
      <c r="P129" s="16"/>
      <c r="Q129" s="133"/>
      <c r="R129" s="16"/>
      <c r="S129" s="16"/>
      <c r="T129" s="16"/>
      <c r="U129" s="16"/>
      <c r="V129" s="16"/>
      <c r="W129" s="16"/>
      <c r="X129" s="16"/>
      <c r="Y129" s="16"/>
      <c r="Z129" s="16"/>
      <c r="AA129" s="16"/>
      <c r="AB129" s="16"/>
    </row>
    <row r="130" spans="1:30" ht="15.75" customHeight="1">
      <c r="A130" s="244" t="s">
        <v>1326</v>
      </c>
      <c r="B130" s="244" t="s">
        <v>1323</v>
      </c>
      <c r="C130" s="339">
        <v>800</v>
      </c>
      <c r="D130" s="408" t="s">
        <v>1327</v>
      </c>
      <c r="E130" s="338">
        <v>40</v>
      </c>
      <c r="F130" s="339">
        <v>266</v>
      </c>
      <c r="G130" s="247"/>
      <c r="H130" s="744"/>
      <c r="I130" s="751"/>
      <c r="J130" s="702"/>
      <c r="K130" s="732"/>
      <c r="L130" s="16"/>
      <c r="M130" s="16"/>
      <c r="N130" s="16"/>
      <c r="O130" s="16"/>
      <c r="P130" s="16"/>
      <c r="Q130" s="16"/>
      <c r="R130" s="16"/>
      <c r="S130" s="16"/>
      <c r="T130" s="16"/>
      <c r="U130" s="16"/>
      <c r="V130" s="16"/>
      <c r="W130" s="16"/>
      <c r="X130" s="16"/>
      <c r="Y130" s="16"/>
      <c r="Z130" s="16"/>
      <c r="AA130" s="16"/>
      <c r="AB130" s="16"/>
    </row>
    <row r="131" spans="1:30" ht="15.75" customHeight="1">
      <c r="A131" s="231"/>
      <c r="B131" s="248"/>
      <c r="C131" s="246">
        <v>0</v>
      </c>
      <c r="D131" s="247"/>
      <c r="E131" s="245"/>
      <c r="F131" s="246">
        <f>IF(Table_6170292[[#This Row],[Item]]="",0,Table_6170292[[#This Row],[Amount]]*Table_6170292[[#This Row],[Purchase / Running costs]]/Table_6170292[[#This Row],[Depreciation period]])</f>
        <v>0</v>
      </c>
      <c r="G131" s="247"/>
      <c r="H131" s="744"/>
      <c r="I131" s="751"/>
      <c r="J131" s="702"/>
      <c r="K131" s="732"/>
      <c r="L131" s="16"/>
      <c r="M131" s="16"/>
      <c r="N131" s="16"/>
      <c r="O131" s="16"/>
      <c r="P131" s="16"/>
      <c r="Q131" s="16"/>
      <c r="R131" s="16"/>
      <c r="S131" s="16"/>
      <c r="T131" s="16"/>
      <c r="U131" s="16"/>
      <c r="V131" s="16"/>
      <c r="W131" s="16"/>
      <c r="X131" s="16"/>
      <c r="Y131" s="16"/>
      <c r="Z131" s="16"/>
      <c r="AA131" s="16"/>
      <c r="AB131" s="16"/>
    </row>
    <row r="132" spans="1:30" ht="15.75" customHeight="1">
      <c r="A132" s="231"/>
      <c r="B132" s="248"/>
      <c r="C132" s="246">
        <v>0</v>
      </c>
      <c r="D132" s="247"/>
      <c r="E132" s="245"/>
      <c r="F132" s="246">
        <f>IF(Table_6170292[[#This Row],[Item]]="",0,Table_6170292[[#This Row],[Amount]]*Table_6170292[[#This Row],[Purchase / Running costs]]/Table_6170292[[#This Row],[Depreciation period]])</f>
        <v>0</v>
      </c>
      <c r="G132" s="247"/>
      <c r="H132" s="744"/>
      <c r="I132" s="751"/>
      <c r="J132" s="702"/>
      <c r="K132" s="732"/>
      <c r="L132" s="16"/>
      <c r="M132" s="16"/>
      <c r="N132" s="16"/>
      <c r="O132" s="16"/>
      <c r="P132" s="16"/>
      <c r="Q132" s="16"/>
      <c r="R132" s="16"/>
      <c r="S132" s="16"/>
      <c r="T132" s="16"/>
      <c r="U132" s="16"/>
      <c r="V132" s="16"/>
      <c r="W132" s="16"/>
      <c r="X132" s="16"/>
      <c r="Y132" s="16"/>
      <c r="Z132" s="16"/>
      <c r="AA132" s="16"/>
      <c r="AB132" s="16"/>
    </row>
    <row r="133" spans="1:30" ht="15.75" customHeight="1">
      <c r="A133" s="231"/>
      <c r="B133" s="248"/>
      <c r="C133" s="246">
        <v>0</v>
      </c>
      <c r="D133" s="247"/>
      <c r="E133" s="245"/>
      <c r="F133" s="246">
        <f>IF(Table_6170292[[#This Row],[Item]]="",0,Table_6170292[[#This Row],[Amount]]*Table_6170292[[#This Row],[Purchase / Running costs]]/Table_6170292[[#This Row],[Depreciation period]])</f>
        <v>0</v>
      </c>
      <c r="G133" s="247"/>
      <c r="H133" s="744"/>
      <c r="I133" s="751"/>
      <c r="J133" s="702"/>
      <c r="K133" s="732"/>
      <c r="L133" s="16"/>
      <c r="M133" s="16"/>
      <c r="N133" s="16"/>
      <c r="O133" s="16"/>
      <c r="P133" s="16"/>
      <c r="Q133" s="16"/>
      <c r="R133" s="16"/>
      <c r="S133" s="16"/>
      <c r="T133" s="16"/>
      <c r="U133" s="16"/>
      <c r="V133" s="16"/>
      <c r="W133" s="16"/>
      <c r="X133" s="16"/>
      <c r="Y133" s="16"/>
      <c r="Z133" s="16"/>
      <c r="AA133" s="16"/>
      <c r="AB133" s="16"/>
    </row>
    <row r="134" spans="1:30" ht="15.75" customHeight="1">
      <c r="A134" s="231"/>
      <c r="B134" s="248"/>
      <c r="C134" s="246">
        <v>0</v>
      </c>
      <c r="D134" s="247"/>
      <c r="E134" s="245"/>
      <c r="F134" s="246">
        <f>IF(Table_6170292[[#This Row],[Item]]="",0,Table_6170292[[#This Row],[Amount]]*Table_6170292[[#This Row],[Purchase / Running costs]]/Table_6170292[[#This Row],[Depreciation period]])</f>
        <v>0</v>
      </c>
      <c r="G134" s="247"/>
      <c r="H134" s="744"/>
      <c r="I134" s="751"/>
      <c r="J134" s="702"/>
      <c r="K134" s="732"/>
      <c r="L134" s="16"/>
      <c r="M134" s="16"/>
      <c r="N134" s="16"/>
      <c r="O134" s="16"/>
      <c r="P134" s="16"/>
      <c r="Q134" s="16"/>
      <c r="R134" s="16"/>
      <c r="S134" s="16"/>
      <c r="T134" s="16"/>
      <c r="U134" s="16"/>
      <c r="V134" s="16"/>
      <c r="W134" s="16"/>
      <c r="X134" s="16"/>
      <c r="Y134" s="16"/>
      <c r="Z134" s="16"/>
      <c r="AA134" s="16"/>
      <c r="AB134" s="16"/>
    </row>
    <row r="135" spans="1:30" ht="15.75" customHeight="1">
      <c r="A135" s="231"/>
      <c r="B135" s="244"/>
      <c r="C135" s="246">
        <v>0</v>
      </c>
      <c r="D135" s="247"/>
      <c r="E135" s="245"/>
      <c r="F135" s="246">
        <f>IF(Table_6170292[[#This Row],[Item]]="",0,Table_6170292[[#This Row],[Amount]]*Table_6170292[[#This Row],[Purchase / Running costs]]/Table_6170292[[#This Row],[Depreciation period]])</f>
        <v>0</v>
      </c>
      <c r="G135" s="247"/>
      <c r="H135" s="744"/>
      <c r="I135" s="751"/>
      <c r="J135" s="702"/>
      <c r="K135" s="732"/>
      <c r="L135" s="16"/>
      <c r="M135" s="16"/>
      <c r="N135" s="16"/>
      <c r="O135" s="16"/>
      <c r="P135" s="16"/>
      <c r="Q135" s="16"/>
      <c r="R135" s="16"/>
      <c r="S135" s="16"/>
      <c r="T135" s="16"/>
      <c r="U135" s="16"/>
      <c r="V135" s="16"/>
      <c r="W135" s="16"/>
      <c r="X135" s="16"/>
      <c r="Y135" s="16"/>
      <c r="Z135" s="16"/>
      <c r="AA135" s="16"/>
      <c r="AB135" s="16"/>
    </row>
    <row r="136" spans="1:30" ht="15.75" customHeight="1">
      <c r="A136" s="231"/>
      <c r="B136" s="244"/>
      <c r="C136" s="246">
        <v>0</v>
      </c>
      <c r="D136" s="247"/>
      <c r="E136" s="245"/>
      <c r="F136" s="246">
        <f>IF(Table_6170292[[#This Row],[Item]]="",0,Table_6170292[[#This Row],[Amount]]*Table_6170292[[#This Row],[Purchase / Running costs]]/Table_6170292[[#This Row],[Depreciation period]])</f>
        <v>0</v>
      </c>
      <c r="G136" s="247"/>
      <c r="H136" s="744"/>
      <c r="I136" s="751"/>
      <c r="J136" s="702"/>
      <c r="K136" s="732"/>
      <c r="L136" s="16"/>
      <c r="M136" s="16"/>
      <c r="N136" s="16"/>
      <c r="O136" s="16"/>
      <c r="P136" s="16"/>
      <c r="Q136" s="16"/>
      <c r="R136" s="16"/>
      <c r="S136" s="16"/>
      <c r="T136" s="16"/>
      <c r="U136" s="16"/>
      <c r="V136" s="16"/>
      <c r="W136" s="16"/>
      <c r="X136" s="16"/>
      <c r="Y136" s="16"/>
      <c r="Z136" s="16"/>
      <c r="AA136" s="16"/>
      <c r="AB136" s="16"/>
    </row>
    <row r="137" spans="1:30" ht="15.75" customHeight="1">
      <c r="A137" s="231"/>
      <c r="B137" s="244"/>
      <c r="C137" s="246">
        <v>0</v>
      </c>
      <c r="D137" s="247"/>
      <c r="E137" s="245"/>
      <c r="F137" s="246">
        <f>IF(Table_6170292[[#This Row],[Item]]="",0,Table_6170292[[#This Row],[Amount]]*Table_6170292[[#This Row],[Purchase / Running costs]]/Table_6170292[[#This Row],[Depreciation period]])</f>
        <v>0</v>
      </c>
      <c r="G137" s="247"/>
      <c r="H137" s="744"/>
      <c r="I137" s="751"/>
      <c r="J137" s="702"/>
      <c r="K137" s="732"/>
      <c r="L137" s="16"/>
      <c r="M137" s="16"/>
      <c r="N137" s="16"/>
      <c r="O137" s="16"/>
      <c r="P137" s="16"/>
      <c r="Q137" s="16"/>
      <c r="R137" s="16"/>
      <c r="S137" s="16"/>
      <c r="T137" s="16"/>
      <c r="U137" s="16"/>
      <c r="V137" s="16"/>
      <c r="W137" s="16"/>
      <c r="X137" s="16"/>
      <c r="Y137" s="16"/>
      <c r="Z137" s="16"/>
      <c r="AA137" s="16"/>
      <c r="AB137" s="16"/>
    </row>
    <row r="138" spans="1:30" ht="15.75" customHeight="1">
      <c r="A138" s="231"/>
      <c r="B138" s="244"/>
      <c r="C138" s="246">
        <v>0</v>
      </c>
      <c r="D138" s="247"/>
      <c r="E138" s="245"/>
      <c r="F138" s="246">
        <f>IF(Table_6170292[[#This Row],[Item]]="",0,Table_6170292[[#This Row],[Amount]]*Table_6170292[[#This Row],[Purchase / Running costs]]/Table_6170292[[#This Row],[Depreciation period]])</f>
        <v>0</v>
      </c>
      <c r="G138" s="247"/>
      <c r="H138" s="744"/>
      <c r="I138" s="751"/>
      <c r="J138" s="702"/>
      <c r="K138" s="732"/>
      <c r="L138" s="16"/>
      <c r="M138" s="16"/>
      <c r="N138" s="16"/>
      <c r="O138" s="16"/>
      <c r="P138" s="16"/>
      <c r="Q138" s="16"/>
      <c r="R138" s="16"/>
      <c r="S138" s="16"/>
      <c r="T138" s="16"/>
      <c r="U138" s="16"/>
      <c r="V138" s="16"/>
      <c r="W138" s="16"/>
      <c r="X138" s="16"/>
      <c r="Y138" s="16"/>
      <c r="Z138" s="16"/>
      <c r="AA138" s="16"/>
      <c r="AB138" s="16"/>
    </row>
    <row r="139" spans="1:30" ht="15.75" customHeight="1">
      <c r="A139" s="231"/>
      <c r="B139" s="244"/>
      <c r="C139" s="246">
        <v>0</v>
      </c>
      <c r="D139" s="247"/>
      <c r="E139" s="245"/>
      <c r="F139" s="246">
        <f>IF(Table_6170292[[#This Row],[Item]]="",0,Table_6170292[[#This Row],[Amount]]*Table_6170292[[#This Row],[Purchase / Running costs]]/Table_6170292[[#This Row],[Depreciation period]])</f>
        <v>0</v>
      </c>
      <c r="G139" s="247"/>
      <c r="H139" s="744"/>
      <c r="I139" s="751"/>
      <c r="J139" s="702"/>
      <c r="K139" s="732"/>
      <c r="L139" s="16"/>
      <c r="M139" s="16"/>
      <c r="N139" s="16"/>
      <c r="O139" s="16"/>
      <c r="P139" s="16"/>
      <c r="Q139" s="16"/>
      <c r="R139" s="16"/>
      <c r="S139" s="16"/>
      <c r="T139" s="16"/>
      <c r="U139" s="16"/>
      <c r="V139" s="16"/>
      <c r="W139" s="16"/>
      <c r="X139" s="16"/>
      <c r="Y139" s="16"/>
      <c r="Z139" s="16"/>
      <c r="AA139" s="16"/>
      <c r="AB139" s="16"/>
    </row>
    <row r="140" spans="1:30" ht="15.75" customHeight="1">
      <c r="A140" s="231"/>
      <c r="B140" s="244"/>
      <c r="C140" s="246">
        <v>0</v>
      </c>
      <c r="D140" s="247"/>
      <c r="E140" s="245"/>
      <c r="F140" s="246">
        <f>IF(Table_6170292[[#This Row],[Item]]="",0,Table_6170292[[#This Row],[Amount]]*Table_6170292[[#This Row],[Purchase / Running costs]]/Table_6170292[[#This Row],[Depreciation period]])</f>
        <v>0</v>
      </c>
      <c r="G140" s="247"/>
      <c r="H140" s="744"/>
      <c r="I140" s="751"/>
      <c r="J140" s="702"/>
      <c r="K140" s="732"/>
      <c r="L140" s="16"/>
      <c r="M140" s="16"/>
      <c r="N140" s="16"/>
      <c r="O140" s="16"/>
      <c r="P140" s="16"/>
      <c r="Q140" s="16"/>
      <c r="R140" s="16"/>
      <c r="S140" s="16"/>
      <c r="T140" s="16"/>
      <c r="U140" s="16"/>
      <c r="V140" s="16"/>
      <c r="W140" s="16"/>
      <c r="X140" s="16"/>
      <c r="Y140" s="16"/>
      <c r="Z140" s="16"/>
      <c r="AA140" s="16"/>
      <c r="AB140" s="16"/>
    </row>
    <row r="141" spans="1:30" ht="15.75" customHeight="1">
      <c r="A141" s="231"/>
      <c r="B141" s="244"/>
      <c r="C141" s="246">
        <v>0</v>
      </c>
      <c r="D141" s="247"/>
      <c r="E141" s="245"/>
      <c r="F141" s="246">
        <f>IF(Table_6170292[[#This Row],[Item]]="",0,Table_6170292[[#This Row],[Amount]]*Table_6170292[[#This Row],[Purchase / Running costs]]/Table_6170292[[#This Row],[Depreciation period]])</f>
        <v>0</v>
      </c>
      <c r="G141" s="247"/>
      <c r="H141" s="744"/>
      <c r="I141" s="751"/>
      <c r="J141" s="702"/>
      <c r="K141" s="732"/>
      <c r="L141" s="16"/>
      <c r="M141" s="16"/>
      <c r="N141" s="16"/>
      <c r="O141" s="16"/>
      <c r="P141" s="16"/>
      <c r="Q141" s="16"/>
      <c r="R141" s="16"/>
      <c r="S141" s="16"/>
      <c r="T141" s="16"/>
      <c r="U141" s="16"/>
      <c r="V141" s="16"/>
      <c r="W141" s="16"/>
      <c r="X141" s="16"/>
      <c r="Y141" s="16"/>
      <c r="Z141" s="16"/>
      <c r="AA141" s="16"/>
      <c r="AB141" s="16"/>
    </row>
    <row r="142" spans="1:30" ht="15.75" customHeight="1" thickBot="1">
      <c r="A142" s="231"/>
      <c r="B142" s="244"/>
      <c r="C142" s="246">
        <v>0</v>
      </c>
      <c r="D142" s="247"/>
      <c r="E142" s="245"/>
      <c r="F142" s="246">
        <f>IF(Table_6170292[[#This Row],[Item]]="",0,Table_6170292[[#This Row],[Amount]]*Table_6170292[[#This Row],[Purchase / Running costs]]/Table_6170292[[#This Row],[Depreciation period]])</f>
        <v>0</v>
      </c>
      <c r="G142" s="247"/>
      <c r="H142" s="747"/>
      <c r="I142" s="748"/>
      <c r="J142" s="752"/>
      <c r="K142" s="734"/>
      <c r="L142" s="16"/>
      <c r="M142" s="16"/>
      <c r="N142" s="16"/>
      <c r="O142" s="16"/>
      <c r="P142" s="16"/>
      <c r="Q142" s="16"/>
      <c r="R142" s="16"/>
      <c r="S142" s="16"/>
      <c r="T142" s="16"/>
      <c r="U142" s="16"/>
      <c r="V142" s="16"/>
      <c r="W142" s="16"/>
      <c r="X142" s="16"/>
      <c r="Y142" s="16"/>
      <c r="Z142" s="16"/>
      <c r="AA142" s="16"/>
      <c r="AB142" s="16"/>
    </row>
    <row r="143" spans="1:30" ht="15.75" customHeight="1" thickTop="1">
      <c r="A143" s="15"/>
      <c r="B143" s="131"/>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c r="AA143" s="16"/>
      <c r="AB143" s="16"/>
      <c r="AC143" s="16"/>
      <c r="AD143" s="16"/>
    </row>
    <row r="144" spans="1:30" ht="15.75" customHeight="1">
      <c r="A144" s="15"/>
      <c r="B144" s="131"/>
      <c r="C144" s="16"/>
      <c r="D144" s="16"/>
      <c r="E144" s="16"/>
      <c r="F144" s="16"/>
      <c r="G144" s="16"/>
      <c r="I144" s="16"/>
      <c r="J144" s="16"/>
      <c r="K144" s="16"/>
      <c r="L144" s="16"/>
      <c r="M144" s="16"/>
      <c r="N144" s="16"/>
      <c r="O144" s="16"/>
      <c r="P144" s="16"/>
      <c r="Q144" s="16"/>
      <c r="R144" s="16"/>
      <c r="S144" s="16"/>
      <c r="T144" s="16"/>
      <c r="U144" s="16"/>
      <c r="V144" s="16"/>
      <c r="W144" s="16"/>
      <c r="X144" s="16"/>
      <c r="Y144" s="16"/>
      <c r="Z144" s="16"/>
      <c r="AA144" s="16"/>
      <c r="AB144" s="16"/>
      <c r="AC144" s="16"/>
      <c r="AD144" s="16"/>
    </row>
    <row r="145" spans="1:30" ht="15.75" customHeight="1">
      <c r="H145" s="51"/>
      <c r="I145" s="51"/>
      <c r="J145" s="51"/>
      <c r="K145" s="51"/>
      <c r="L145" s="16"/>
      <c r="M145" s="16"/>
      <c r="N145" s="16"/>
      <c r="O145" s="16"/>
      <c r="P145" s="16"/>
      <c r="Q145" s="16"/>
      <c r="R145" s="16"/>
      <c r="S145" s="16"/>
      <c r="T145" s="16"/>
      <c r="U145" s="16"/>
      <c r="V145" s="16"/>
      <c r="W145" s="16"/>
      <c r="X145" s="16"/>
      <c r="Y145" s="16"/>
      <c r="Z145" s="16"/>
      <c r="AA145" s="16"/>
      <c r="AB145" s="16"/>
      <c r="AC145" s="16"/>
      <c r="AD145" s="16"/>
    </row>
    <row r="146" spans="1:30" ht="15.75" customHeight="1">
      <c r="L146" s="16"/>
      <c r="M146" s="16"/>
      <c r="N146" s="16"/>
      <c r="O146" s="16"/>
      <c r="P146" s="16"/>
      <c r="Q146" s="16"/>
      <c r="R146" s="16"/>
      <c r="S146" s="16"/>
      <c r="T146" s="16"/>
      <c r="U146" s="16"/>
      <c r="V146" s="16"/>
      <c r="W146" s="16"/>
      <c r="X146" s="16"/>
      <c r="Y146" s="16"/>
      <c r="Z146" s="16"/>
      <c r="AA146" s="16"/>
      <c r="AB146" s="16"/>
      <c r="AC146" s="16"/>
      <c r="AD146" s="16"/>
    </row>
    <row r="147" spans="1:30" ht="15.75" customHeight="1">
      <c r="L147" s="16"/>
      <c r="M147" s="16"/>
      <c r="N147" s="16"/>
      <c r="O147" s="16"/>
      <c r="P147" s="16"/>
      <c r="Q147" s="16"/>
      <c r="R147" s="16"/>
      <c r="S147" s="16"/>
      <c r="T147" s="16"/>
      <c r="U147" s="16"/>
      <c r="V147" s="16"/>
      <c r="W147" s="16"/>
      <c r="X147" s="16"/>
      <c r="Y147" s="16"/>
      <c r="Z147" s="16"/>
      <c r="AA147" s="16"/>
      <c r="AB147" s="16"/>
      <c r="AC147" s="16"/>
      <c r="AD147" s="16"/>
    </row>
    <row r="148" spans="1:30" ht="15.75" customHeight="1">
      <c r="L148" s="16"/>
      <c r="M148" s="16"/>
      <c r="N148" s="16"/>
      <c r="O148" s="16"/>
      <c r="P148" s="16"/>
      <c r="Q148" s="16"/>
      <c r="R148" s="16"/>
      <c r="S148" s="16"/>
      <c r="T148" s="16"/>
      <c r="U148" s="16"/>
      <c r="V148" s="16"/>
      <c r="W148" s="16"/>
      <c r="X148" s="16"/>
      <c r="Y148" s="16"/>
      <c r="Z148" s="16"/>
      <c r="AA148" s="16"/>
      <c r="AB148" s="16"/>
      <c r="AC148" s="16"/>
      <c r="AD148" s="16"/>
    </row>
    <row r="149" spans="1:30" ht="15.75" customHeight="1">
      <c r="L149" s="16"/>
      <c r="M149" s="16"/>
      <c r="N149" s="16"/>
      <c r="O149" s="16"/>
      <c r="P149" s="16"/>
      <c r="Q149" s="16"/>
      <c r="R149" s="16"/>
      <c r="S149" s="16"/>
      <c r="T149" s="16"/>
      <c r="U149" s="16"/>
      <c r="V149" s="16"/>
      <c r="W149" s="16"/>
      <c r="X149" s="16"/>
      <c r="Y149" s="16"/>
      <c r="Z149" s="16"/>
      <c r="AA149" s="16"/>
      <c r="AB149" s="16"/>
      <c r="AC149" s="16"/>
      <c r="AD149" s="16"/>
    </row>
    <row r="150" spans="1:30" ht="15.75" customHeight="1">
      <c r="L150" s="16"/>
      <c r="M150" s="16"/>
      <c r="N150" s="16"/>
      <c r="O150" s="16"/>
      <c r="P150" s="16"/>
      <c r="Q150" s="16"/>
      <c r="R150" s="16"/>
      <c r="S150" s="16"/>
      <c r="T150" s="16"/>
      <c r="U150" s="16"/>
      <c r="V150" s="16"/>
      <c r="W150" s="16"/>
      <c r="X150" s="16"/>
      <c r="Y150" s="16"/>
      <c r="Z150" s="16"/>
      <c r="AA150" s="16"/>
      <c r="AB150" s="16"/>
      <c r="AC150" s="16"/>
      <c r="AD150" s="16"/>
    </row>
    <row r="151" spans="1:30" ht="15.75" customHeight="1">
      <c r="L151" s="16"/>
      <c r="M151" s="16"/>
      <c r="N151" s="16"/>
      <c r="O151" s="16"/>
      <c r="P151" s="16"/>
      <c r="Q151" s="16"/>
      <c r="R151" s="16"/>
      <c r="S151" s="16"/>
      <c r="T151" s="16"/>
      <c r="U151" s="16"/>
      <c r="V151" s="16"/>
      <c r="W151" s="16"/>
      <c r="X151" s="16"/>
      <c r="Y151" s="16"/>
      <c r="Z151" s="16"/>
      <c r="AA151" s="16"/>
      <c r="AB151" s="16"/>
      <c r="AC151" s="16"/>
      <c r="AD151" s="16"/>
    </row>
    <row r="152" spans="1:30" ht="15.75" customHeight="1">
      <c r="L152" s="16"/>
      <c r="M152" s="16"/>
      <c r="N152" s="16"/>
      <c r="O152" s="16"/>
      <c r="P152" s="735"/>
      <c r="Q152" s="696"/>
      <c r="R152" s="696"/>
      <c r="S152" s="16"/>
      <c r="T152" s="16"/>
      <c r="U152" s="16"/>
      <c r="V152" s="16"/>
      <c r="W152" s="16"/>
      <c r="X152" s="16"/>
      <c r="Y152" s="16"/>
      <c r="Z152" s="16"/>
      <c r="AA152" s="16"/>
      <c r="AB152" s="16"/>
      <c r="AC152" s="16"/>
      <c r="AD152" s="16"/>
    </row>
    <row r="153" spans="1:30" ht="15.75" customHeight="1">
      <c r="L153" s="16"/>
      <c r="M153" s="16"/>
      <c r="N153" s="16"/>
      <c r="O153" s="16"/>
      <c r="P153" s="735"/>
      <c r="Q153" s="696"/>
      <c r="R153" s="696"/>
      <c r="S153" s="16"/>
      <c r="T153" s="16"/>
      <c r="U153" s="16"/>
      <c r="V153" s="16"/>
      <c r="W153" s="16"/>
      <c r="X153" s="16"/>
      <c r="Y153" s="16"/>
      <c r="Z153" s="16"/>
      <c r="AA153" s="16"/>
      <c r="AB153" s="16"/>
      <c r="AC153" s="16"/>
      <c r="AD153" s="16"/>
    </row>
    <row r="154" spans="1:30" ht="15.75" customHeight="1">
      <c r="L154" s="16"/>
      <c r="M154" s="16"/>
      <c r="N154" s="16"/>
      <c r="O154" s="16"/>
      <c r="P154" s="735"/>
      <c r="Q154" s="696"/>
      <c r="R154" s="696"/>
      <c r="S154" s="16"/>
      <c r="T154" s="16"/>
      <c r="U154" s="16"/>
      <c r="V154" s="16"/>
      <c r="W154" s="16"/>
      <c r="X154" s="16"/>
      <c r="Y154" s="16"/>
      <c r="Z154" s="16"/>
      <c r="AA154" s="16"/>
      <c r="AB154" s="16"/>
      <c r="AC154" s="16"/>
      <c r="AD154" s="16"/>
    </row>
    <row r="155" spans="1:30" ht="15.75" customHeight="1">
      <c r="L155" s="16"/>
      <c r="M155" s="16"/>
      <c r="N155" s="16"/>
      <c r="O155" s="16"/>
      <c r="P155" s="735"/>
      <c r="Q155" s="696"/>
      <c r="R155" s="696"/>
      <c r="S155" s="16"/>
      <c r="T155" s="16"/>
      <c r="U155" s="16"/>
      <c r="V155" s="16"/>
      <c r="W155" s="16"/>
      <c r="X155" s="16"/>
      <c r="Y155" s="16"/>
      <c r="Z155" s="16"/>
      <c r="AA155" s="16"/>
      <c r="AB155" s="16"/>
      <c r="AC155" s="16"/>
      <c r="AD155" s="16"/>
    </row>
    <row r="156" spans="1:30" ht="15.75" customHeight="1">
      <c r="L156" s="16"/>
      <c r="M156" s="16"/>
      <c r="N156" s="16"/>
      <c r="O156" s="16"/>
      <c r="P156" s="735"/>
      <c r="Q156" s="696"/>
      <c r="R156" s="696"/>
      <c r="S156" s="16"/>
      <c r="T156" s="16"/>
      <c r="U156" s="16"/>
      <c r="V156" s="16"/>
      <c r="W156" s="16"/>
      <c r="X156" s="16"/>
      <c r="Y156" s="16"/>
      <c r="Z156" s="16"/>
      <c r="AA156" s="16"/>
      <c r="AB156" s="16"/>
      <c r="AC156" s="16"/>
      <c r="AD156" s="16"/>
    </row>
    <row r="157" spans="1:30" ht="15.75" customHeight="1">
      <c r="L157" s="16"/>
      <c r="M157" s="16"/>
      <c r="N157" s="16"/>
      <c r="O157" s="16"/>
      <c r="P157" s="735"/>
      <c r="Q157" s="696"/>
      <c r="R157" s="696"/>
      <c r="S157" s="16"/>
      <c r="T157" s="16"/>
      <c r="U157" s="16"/>
      <c r="V157" s="16"/>
      <c r="W157" s="16"/>
      <c r="X157" s="16"/>
      <c r="Y157" s="16"/>
      <c r="Z157" s="16"/>
      <c r="AA157" s="16"/>
      <c r="AB157" s="16"/>
      <c r="AC157" s="16"/>
      <c r="AD157" s="16"/>
    </row>
    <row r="158" spans="1:30" ht="15.75" customHeight="1">
      <c r="H158" s="248"/>
      <c r="I158" s="248"/>
      <c r="J158" s="228"/>
      <c r="K158" s="228"/>
      <c r="L158" s="16"/>
      <c r="M158" s="16"/>
      <c r="N158" s="16"/>
      <c r="O158" s="16"/>
      <c r="P158" s="735"/>
      <c r="Q158" s="696"/>
      <c r="R158" s="696"/>
      <c r="S158" s="16"/>
      <c r="T158" s="16"/>
      <c r="U158" s="16"/>
      <c r="V158" s="16"/>
      <c r="W158" s="16"/>
      <c r="X158" s="16"/>
      <c r="Y158" s="16"/>
      <c r="Z158" s="16"/>
      <c r="AA158" s="16"/>
      <c r="AB158" s="16"/>
      <c r="AC158" s="16"/>
      <c r="AD158" s="16"/>
    </row>
    <row r="159" spans="1:30" ht="15.75" customHeight="1">
      <c r="A159" s="231"/>
      <c r="B159" s="231"/>
      <c r="C159" s="246"/>
      <c r="D159" s="247"/>
      <c r="E159" s="245"/>
      <c r="F159" s="246"/>
      <c r="G159" s="247"/>
      <c r="H159" s="248"/>
      <c r="I159" s="248"/>
      <c r="J159" s="228"/>
      <c r="K159" s="228"/>
      <c r="L159" s="16"/>
      <c r="M159" s="16"/>
      <c r="N159" s="16"/>
      <c r="O159" s="16"/>
      <c r="P159" s="16"/>
      <c r="Q159" s="16"/>
      <c r="R159" s="16"/>
      <c r="S159" s="16"/>
      <c r="T159" s="16"/>
      <c r="U159" s="16"/>
      <c r="V159" s="16"/>
      <c r="W159" s="16"/>
      <c r="X159" s="16"/>
      <c r="Y159" s="16"/>
      <c r="Z159" s="16"/>
      <c r="AA159" s="16"/>
      <c r="AB159" s="16"/>
      <c r="AC159" s="16"/>
      <c r="AD159" s="16"/>
    </row>
    <row r="160" spans="1:30" ht="15.75" customHeight="1">
      <c r="A160" s="231"/>
      <c r="B160" s="16"/>
      <c r="C160" s="246"/>
      <c r="D160" s="247"/>
      <c r="E160" s="245"/>
      <c r="F160" s="246"/>
      <c r="G160" s="247"/>
      <c r="H160" s="228"/>
      <c r="I160" s="228"/>
      <c r="J160" s="228"/>
      <c r="K160" s="228"/>
      <c r="L160" s="16"/>
      <c r="M160" s="735"/>
      <c r="N160" s="696"/>
      <c r="O160" s="696"/>
      <c r="P160" s="735"/>
      <c r="Q160" s="696"/>
      <c r="R160" s="696"/>
      <c r="S160" s="696"/>
      <c r="T160" s="696"/>
      <c r="U160" s="16"/>
      <c r="V160" s="16"/>
      <c r="W160" s="16"/>
      <c r="X160" s="16"/>
      <c r="Y160" s="16"/>
      <c r="Z160" s="16"/>
      <c r="AA160" s="16"/>
      <c r="AB160" s="16"/>
      <c r="AC160" s="16"/>
      <c r="AD160" s="16"/>
    </row>
    <row r="161" spans="1:30" ht="15.75" customHeight="1">
      <c r="A161" s="16"/>
      <c r="B161" s="16"/>
      <c r="C161" s="16"/>
      <c r="D161" s="16"/>
      <c r="E161" s="16"/>
      <c r="F161" s="16"/>
      <c r="G161" s="16"/>
      <c r="H161" s="16"/>
      <c r="I161" s="16"/>
      <c r="J161" s="16"/>
      <c r="K161" s="16"/>
      <c r="L161" s="16"/>
      <c r="M161" s="735"/>
      <c r="N161" s="696"/>
      <c r="O161" s="696"/>
      <c r="P161" s="735"/>
      <c r="Q161" s="696"/>
      <c r="R161" s="696"/>
      <c r="S161" s="696"/>
      <c r="T161" s="696"/>
      <c r="U161" s="16"/>
      <c r="V161" s="16"/>
      <c r="W161" s="16"/>
      <c r="X161" s="16"/>
      <c r="Y161" s="16"/>
      <c r="Z161" s="16"/>
      <c r="AA161" s="16"/>
      <c r="AB161" s="16"/>
      <c r="AC161" s="16"/>
      <c r="AD161" s="16"/>
    </row>
    <row r="162" spans="1:30" ht="15.75" customHeight="1">
      <c r="A162" s="16"/>
      <c r="B162" s="16"/>
      <c r="C162" s="16"/>
      <c r="D162" s="16"/>
      <c r="E162" s="16"/>
      <c r="F162" s="16"/>
      <c r="G162" s="16"/>
      <c r="H162" s="16"/>
      <c r="I162" s="16"/>
      <c r="J162" s="16"/>
      <c r="K162" s="16"/>
      <c r="L162" s="16"/>
      <c r="M162" s="735"/>
      <c r="N162" s="696"/>
      <c r="O162" s="696"/>
      <c r="P162" s="696"/>
      <c r="Q162" s="696"/>
      <c r="R162" s="696"/>
      <c r="S162" s="696"/>
      <c r="T162" s="696"/>
      <c r="U162" s="16"/>
      <c r="V162" s="16"/>
      <c r="W162" s="16"/>
      <c r="X162" s="16"/>
      <c r="Y162" s="16"/>
      <c r="Z162" s="16"/>
      <c r="AA162" s="16"/>
      <c r="AB162" s="16"/>
      <c r="AC162" s="16"/>
      <c r="AD162" s="16"/>
    </row>
    <row r="163" spans="1:30" ht="15.75" customHeight="1">
      <c r="A163" s="16"/>
      <c r="B163" s="16"/>
      <c r="C163" s="16"/>
      <c r="D163" s="16"/>
      <c r="E163" s="16"/>
      <c r="F163" s="16"/>
      <c r="G163" s="16"/>
      <c r="H163" s="16"/>
      <c r="I163" s="16"/>
      <c r="J163" s="16"/>
      <c r="K163" s="16"/>
      <c r="L163" s="16"/>
      <c r="M163" s="735"/>
      <c r="N163" s="696"/>
      <c r="O163" s="696"/>
      <c r="P163" s="696"/>
      <c r="Q163" s="696"/>
      <c r="R163" s="696"/>
      <c r="S163" s="696"/>
      <c r="T163" s="696"/>
      <c r="U163" s="16"/>
      <c r="V163" s="16"/>
      <c r="W163" s="16"/>
      <c r="X163" s="16"/>
      <c r="Y163" s="16"/>
      <c r="Z163" s="16"/>
      <c r="AA163" s="16"/>
      <c r="AB163" s="16"/>
      <c r="AC163" s="16"/>
      <c r="AD163" s="16"/>
    </row>
    <row r="164" spans="1:30" ht="15.75" customHeight="1">
      <c r="A164" s="16"/>
      <c r="B164" s="16"/>
      <c r="C164" s="16"/>
      <c r="D164" s="16"/>
      <c r="E164" s="16"/>
      <c r="F164" s="16"/>
      <c r="G164" s="16"/>
      <c r="H164" s="16"/>
      <c r="I164" s="16"/>
      <c r="J164" s="16"/>
      <c r="K164" s="16"/>
      <c r="L164" s="16"/>
      <c r="M164" s="735"/>
      <c r="N164" s="696"/>
      <c r="O164" s="696"/>
      <c r="P164" s="696"/>
      <c r="Q164" s="696"/>
      <c r="R164" s="696"/>
      <c r="S164" s="696"/>
      <c r="T164" s="696"/>
      <c r="U164" s="16"/>
      <c r="V164" s="16"/>
      <c r="W164" s="16"/>
      <c r="X164" s="16"/>
      <c r="Y164" s="16"/>
      <c r="Z164" s="16"/>
      <c r="AA164" s="16"/>
      <c r="AB164" s="16"/>
      <c r="AC164" s="16"/>
      <c r="AD164" s="16"/>
    </row>
    <row r="165" spans="1:30" ht="15.75" customHeight="1">
      <c r="A165" s="16"/>
      <c r="B165" s="16"/>
      <c r="C165" s="16"/>
      <c r="D165" s="16"/>
      <c r="E165" s="16"/>
      <c r="F165" s="16"/>
      <c r="G165" s="16"/>
      <c r="H165" s="16"/>
      <c r="I165" s="16"/>
      <c r="J165" s="16"/>
      <c r="K165" s="16"/>
      <c r="L165" s="16"/>
      <c r="M165" s="735"/>
      <c r="N165" s="696"/>
      <c r="O165" s="696"/>
      <c r="P165" s="696"/>
      <c r="Q165" s="696"/>
      <c r="R165" s="696"/>
      <c r="S165" s="696"/>
      <c r="T165" s="696"/>
      <c r="U165" s="16"/>
      <c r="V165" s="16"/>
      <c r="W165" s="16"/>
      <c r="X165" s="16"/>
      <c r="Y165" s="16"/>
      <c r="Z165" s="16"/>
      <c r="AA165" s="16"/>
      <c r="AB165" s="16"/>
      <c r="AC165" s="16"/>
      <c r="AD165" s="16"/>
    </row>
    <row r="166" spans="1:30" ht="15.75" customHeight="1">
      <c r="A166" s="16"/>
      <c r="B166" s="16"/>
      <c r="C166" s="16"/>
      <c r="D166" s="16"/>
      <c r="E166" s="16"/>
      <c r="F166" s="16"/>
      <c r="G166" s="16"/>
      <c r="H166" s="16"/>
      <c r="I166" s="16"/>
      <c r="J166" s="16"/>
      <c r="K166" s="16"/>
      <c r="L166" s="16"/>
      <c r="M166" s="735"/>
      <c r="N166" s="696"/>
      <c r="O166" s="696"/>
      <c r="P166" s="696"/>
      <c r="Q166" s="696"/>
      <c r="R166" s="696"/>
      <c r="S166" s="696"/>
      <c r="T166" s="696"/>
      <c r="U166" s="16"/>
      <c r="V166" s="16"/>
      <c r="W166" s="16"/>
      <c r="X166" s="16"/>
      <c r="Y166" s="16"/>
      <c r="Z166" s="16"/>
      <c r="AA166" s="16"/>
      <c r="AB166" s="16"/>
      <c r="AC166" s="16"/>
      <c r="AD166" s="16"/>
    </row>
    <row r="167" spans="1:30" ht="15.75" customHeight="1">
      <c r="A167" s="16"/>
      <c r="B167" s="16"/>
      <c r="C167" s="16"/>
      <c r="D167" s="16"/>
      <c r="E167" s="16"/>
      <c r="F167" s="16"/>
      <c r="G167" s="16"/>
      <c r="H167" s="16"/>
      <c r="I167" s="16"/>
      <c r="J167" s="16"/>
      <c r="K167" s="16"/>
      <c r="L167" s="16"/>
      <c r="M167" s="735"/>
      <c r="N167" s="696"/>
      <c r="O167" s="696"/>
      <c r="P167" s="696"/>
      <c r="Q167" s="696"/>
      <c r="R167" s="696"/>
      <c r="S167" s="696"/>
      <c r="T167" s="696"/>
      <c r="U167" s="16"/>
      <c r="V167" s="16"/>
      <c r="W167" s="16"/>
      <c r="X167" s="16"/>
      <c r="Y167" s="16"/>
      <c r="Z167" s="16"/>
      <c r="AA167" s="16"/>
      <c r="AB167" s="16"/>
      <c r="AC167" s="16"/>
      <c r="AD167" s="16"/>
    </row>
    <row r="168" spans="1:30" ht="15.75" customHeight="1">
      <c r="A168" s="16"/>
      <c r="B168" s="16"/>
      <c r="C168" s="16"/>
      <c r="D168" s="16"/>
      <c r="E168" s="16"/>
      <c r="F168" s="16"/>
      <c r="G168" s="16"/>
      <c r="H168" s="16"/>
      <c r="I168" s="16"/>
      <c r="J168" s="16"/>
      <c r="K168" s="16"/>
      <c r="L168" s="16"/>
      <c r="M168" s="735"/>
      <c r="N168" s="696"/>
      <c r="O168" s="696"/>
      <c r="P168" s="696"/>
      <c r="Q168" s="696"/>
      <c r="R168" s="696"/>
      <c r="S168" s="696"/>
      <c r="T168" s="696"/>
      <c r="U168" s="16"/>
      <c r="V168" s="16"/>
      <c r="W168" s="16"/>
      <c r="X168" s="16"/>
      <c r="Y168" s="16"/>
      <c r="Z168" s="16"/>
      <c r="AA168" s="16"/>
      <c r="AB168" s="16"/>
      <c r="AC168" s="16"/>
      <c r="AD168" s="16"/>
    </row>
    <row r="169" spans="1:30" ht="15.75" customHeight="1">
      <c r="A169" s="16"/>
      <c r="B169" s="16"/>
      <c r="C169" s="16"/>
      <c r="D169" s="16"/>
      <c r="E169" s="16"/>
      <c r="F169" s="16"/>
      <c r="G169" s="16"/>
      <c r="H169" s="16"/>
      <c r="I169" s="16"/>
      <c r="J169" s="16"/>
      <c r="K169" s="16"/>
      <c r="L169" s="16"/>
      <c r="M169" s="735"/>
      <c r="N169" s="696"/>
      <c r="O169" s="696"/>
      <c r="P169" s="696"/>
      <c r="Q169" s="696"/>
      <c r="R169" s="696"/>
      <c r="S169" s="696"/>
      <c r="T169" s="696"/>
      <c r="U169" s="16"/>
      <c r="V169" s="16"/>
      <c r="W169" s="16"/>
      <c r="X169" s="16"/>
      <c r="Y169" s="16"/>
      <c r="Z169" s="16"/>
      <c r="AA169" s="16"/>
      <c r="AB169" s="16"/>
      <c r="AC169" s="16"/>
      <c r="AD169" s="16"/>
    </row>
    <row r="170" spans="1:30" ht="15.75" customHeight="1">
      <c r="A170" s="16"/>
      <c r="B170" s="16"/>
      <c r="C170" s="16"/>
      <c r="D170" s="16"/>
      <c r="E170" s="16"/>
      <c r="F170" s="16"/>
      <c r="G170" s="16"/>
      <c r="H170" s="16"/>
      <c r="I170" s="16"/>
      <c r="J170" s="16"/>
      <c r="K170" s="16"/>
      <c r="L170" s="16"/>
      <c r="M170" s="735"/>
      <c r="N170" s="696"/>
      <c r="O170" s="696"/>
      <c r="P170" s="696"/>
      <c r="Q170" s="696"/>
      <c r="R170" s="696"/>
      <c r="S170" s="696"/>
      <c r="T170" s="696"/>
      <c r="U170" s="16"/>
      <c r="V170" s="16"/>
      <c r="W170" s="16"/>
      <c r="X170" s="16"/>
      <c r="Y170" s="16"/>
      <c r="Z170" s="16"/>
      <c r="AA170" s="16"/>
      <c r="AB170" s="16"/>
      <c r="AC170" s="16"/>
      <c r="AD170" s="16"/>
    </row>
    <row r="171" spans="1:30" ht="15.75" customHeight="1">
      <c r="A171" s="16"/>
      <c r="B171" s="16"/>
      <c r="C171" s="16"/>
      <c r="D171" s="16"/>
      <c r="E171" s="16"/>
      <c r="F171" s="16"/>
      <c r="G171" s="16"/>
      <c r="H171" s="16"/>
      <c r="I171" s="16"/>
      <c r="J171" s="16"/>
      <c r="K171" s="16"/>
      <c r="L171" s="16"/>
      <c r="M171" s="735"/>
      <c r="N171" s="696"/>
      <c r="O171" s="696"/>
      <c r="P171" s="696"/>
      <c r="Q171" s="696"/>
      <c r="R171" s="696"/>
      <c r="S171" s="696"/>
      <c r="T171" s="696"/>
      <c r="U171" s="16"/>
      <c r="V171" s="16"/>
      <c r="W171" s="16"/>
      <c r="X171" s="16"/>
      <c r="Y171" s="16"/>
      <c r="Z171" s="16"/>
      <c r="AA171" s="16"/>
      <c r="AB171" s="16"/>
      <c r="AC171" s="16"/>
      <c r="AD171" s="16"/>
    </row>
    <row r="172" spans="1:30" ht="15.75" customHeight="1">
      <c r="A172" s="16"/>
      <c r="B172" s="16"/>
      <c r="C172" s="16"/>
      <c r="D172" s="16"/>
      <c r="E172" s="16"/>
      <c r="F172" s="16"/>
      <c r="G172" s="16"/>
      <c r="H172" s="16"/>
      <c r="I172" s="16"/>
      <c r="J172" s="16"/>
      <c r="K172" s="16"/>
      <c r="L172" s="16"/>
      <c r="M172" s="735"/>
      <c r="N172" s="696"/>
      <c r="O172" s="696"/>
      <c r="P172" s="696"/>
      <c r="Q172" s="696"/>
      <c r="R172" s="696"/>
      <c r="S172" s="696"/>
      <c r="T172" s="696"/>
      <c r="U172" s="16"/>
      <c r="V172" s="16"/>
      <c r="W172" s="16"/>
      <c r="X172" s="16"/>
      <c r="Y172" s="16"/>
      <c r="Z172" s="16"/>
      <c r="AA172" s="16"/>
      <c r="AB172" s="16"/>
      <c r="AC172" s="16"/>
      <c r="AD172" s="16"/>
    </row>
    <row r="173" spans="1:30" ht="15.75" customHeight="1">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c r="AC173" s="16"/>
      <c r="AD173" s="16"/>
    </row>
    <row r="174" spans="1:30" ht="15.75" customHeight="1">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c r="AC174" s="16"/>
      <c r="AD174" s="16"/>
    </row>
    <row r="175" spans="1:30" ht="15.75" customHeight="1">
      <c r="A175" s="16"/>
      <c r="B175" s="16"/>
      <c r="C175" s="16"/>
      <c r="D175" s="16"/>
      <c r="E175" s="16"/>
      <c r="F175" s="16"/>
      <c r="G175" s="16"/>
      <c r="H175" s="16"/>
      <c r="I175" s="16"/>
      <c r="J175" s="16"/>
      <c r="K175" s="16"/>
      <c r="L175" s="16"/>
      <c r="M175" s="735"/>
      <c r="N175" s="696"/>
      <c r="O175" s="696"/>
      <c r="P175" s="735"/>
      <c r="Q175" s="696"/>
      <c r="R175" s="696"/>
      <c r="S175" s="696"/>
      <c r="T175" s="696"/>
      <c r="U175" s="16"/>
      <c r="V175" s="16"/>
      <c r="W175" s="16"/>
      <c r="X175" s="16"/>
      <c r="Y175" s="16"/>
      <c r="Z175" s="16"/>
      <c r="AA175" s="16"/>
      <c r="AB175" s="16"/>
      <c r="AC175" s="16"/>
      <c r="AD175" s="16"/>
    </row>
    <row r="176" spans="1:30" ht="15.75" customHeight="1">
      <c r="A176" s="16"/>
      <c r="B176" s="16"/>
      <c r="C176" s="16"/>
      <c r="D176" s="16"/>
      <c r="E176" s="16"/>
      <c r="F176" s="16"/>
      <c r="G176" s="16"/>
      <c r="H176" s="16"/>
      <c r="I176" s="16"/>
      <c r="J176" s="16"/>
      <c r="K176" s="16"/>
      <c r="L176" s="16"/>
      <c r="M176" s="735"/>
      <c r="N176" s="696"/>
      <c r="O176" s="696"/>
      <c r="P176" s="735"/>
      <c r="Q176" s="696"/>
      <c r="R176" s="696"/>
      <c r="S176" s="696"/>
      <c r="T176" s="696"/>
      <c r="U176" s="16"/>
      <c r="V176" s="16"/>
      <c r="W176" s="16"/>
      <c r="X176" s="16"/>
      <c r="Y176" s="16"/>
      <c r="Z176" s="16"/>
      <c r="AA176" s="16"/>
      <c r="AB176" s="16"/>
      <c r="AC176" s="16"/>
      <c r="AD176" s="16"/>
    </row>
    <row r="177" spans="1:30" ht="15.75" customHeight="1">
      <c r="A177" s="16"/>
      <c r="B177" s="16"/>
      <c r="C177" s="16"/>
      <c r="D177" s="16"/>
      <c r="E177" s="16"/>
      <c r="F177" s="16"/>
      <c r="G177" s="16"/>
      <c r="H177" s="16"/>
      <c r="I177" s="16"/>
      <c r="J177" s="16"/>
      <c r="K177" s="16"/>
      <c r="L177" s="16"/>
      <c r="M177" s="735"/>
      <c r="N177" s="696"/>
      <c r="O177" s="696"/>
      <c r="P177" s="696"/>
      <c r="Q177" s="696"/>
      <c r="R177" s="696"/>
      <c r="S177" s="696"/>
      <c r="T177" s="696"/>
      <c r="U177" s="16"/>
      <c r="V177" s="16"/>
      <c r="W177" s="16"/>
      <c r="X177" s="16"/>
      <c r="Y177" s="16"/>
      <c r="Z177" s="16"/>
      <c r="AA177" s="16"/>
      <c r="AB177" s="16"/>
      <c r="AC177" s="16"/>
      <c r="AD177" s="16"/>
    </row>
    <row r="178" spans="1:30" ht="15.75" customHeight="1">
      <c r="A178" s="16"/>
      <c r="B178" s="16"/>
      <c r="C178" s="16"/>
      <c r="D178" s="16"/>
      <c r="E178" s="16"/>
      <c r="F178" s="16"/>
      <c r="G178" s="16"/>
      <c r="H178" s="16"/>
      <c r="I178" s="16"/>
      <c r="J178" s="16"/>
      <c r="K178" s="16"/>
      <c r="L178" s="16"/>
      <c r="M178" s="735"/>
      <c r="N178" s="696"/>
      <c r="O178" s="696"/>
      <c r="P178" s="696"/>
      <c r="Q178" s="696"/>
      <c r="R178" s="696"/>
      <c r="S178" s="696"/>
      <c r="T178" s="696"/>
      <c r="U178" s="16"/>
      <c r="V178" s="16"/>
      <c r="W178" s="16"/>
      <c r="X178" s="16"/>
      <c r="Y178" s="16"/>
      <c r="Z178" s="16"/>
      <c r="AA178" s="16"/>
      <c r="AB178" s="16"/>
      <c r="AC178" s="16"/>
      <c r="AD178" s="16"/>
    </row>
    <row r="179" spans="1:30" ht="15.75" customHeight="1">
      <c r="A179" s="16"/>
      <c r="B179" s="16"/>
      <c r="C179" s="16"/>
      <c r="D179" s="16"/>
      <c r="E179" s="16"/>
      <c r="F179" s="16"/>
      <c r="G179" s="16"/>
      <c r="H179" s="16"/>
      <c r="I179" s="16"/>
      <c r="J179" s="16"/>
      <c r="K179" s="16"/>
      <c r="L179" s="16"/>
      <c r="M179" s="735"/>
      <c r="N179" s="696"/>
      <c r="O179" s="696"/>
      <c r="P179" s="696"/>
      <c r="Q179" s="696"/>
      <c r="R179" s="696"/>
      <c r="S179" s="696"/>
      <c r="T179" s="696"/>
      <c r="U179" s="16"/>
      <c r="V179" s="16"/>
      <c r="W179" s="16"/>
      <c r="X179" s="16"/>
      <c r="Y179" s="16"/>
      <c r="Z179" s="16"/>
      <c r="AA179" s="16"/>
      <c r="AB179" s="16"/>
      <c r="AC179" s="16"/>
      <c r="AD179" s="16"/>
    </row>
    <row r="180" spans="1:30" ht="15.75" customHeight="1">
      <c r="A180" s="16"/>
      <c r="B180" s="16"/>
      <c r="C180" s="16"/>
      <c r="D180" s="16"/>
      <c r="E180" s="16"/>
      <c r="F180" s="16"/>
      <c r="G180" s="16"/>
      <c r="H180" s="16"/>
      <c r="I180" s="16"/>
      <c r="J180" s="16"/>
      <c r="K180" s="16"/>
      <c r="L180" s="16"/>
      <c r="M180" s="735"/>
      <c r="N180" s="696"/>
      <c r="O180" s="696"/>
      <c r="P180" s="696"/>
      <c r="Q180" s="696"/>
      <c r="R180" s="696"/>
      <c r="S180" s="696"/>
      <c r="T180" s="696"/>
      <c r="U180" s="16"/>
      <c r="V180" s="16"/>
      <c r="W180" s="16"/>
      <c r="X180" s="16"/>
      <c r="Y180" s="16"/>
      <c r="Z180" s="16"/>
      <c r="AA180" s="16"/>
      <c r="AB180" s="16"/>
      <c r="AC180" s="16"/>
      <c r="AD180" s="16"/>
    </row>
    <row r="181" spans="1:30" ht="15.75" customHeight="1">
      <c r="A181" s="16"/>
      <c r="B181" s="16"/>
      <c r="C181" s="16"/>
      <c r="D181" s="16"/>
      <c r="E181" s="16"/>
      <c r="F181" s="16"/>
      <c r="G181" s="16"/>
      <c r="H181" s="16"/>
      <c r="I181" s="16"/>
      <c r="J181" s="16"/>
      <c r="K181" s="16"/>
      <c r="L181" s="16"/>
      <c r="M181" s="735"/>
      <c r="N181" s="696"/>
      <c r="O181" s="696"/>
      <c r="P181" s="696"/>
      <c r="Q181" s="696"/>
      <c r="R181" s="696"/>
      <c r="S181" s="696"/>
      <c r="T181" s="696"/>
      <c r="U181" s="16"/>
      <c r="V181" s="16"/>
      <c r="W181" s="16"/>
      <c r="X181" s="16"/>
      <c r="Y181" s="16"/>
      <c r="Z181" s="16"/>
      <c r="AA181" s="16"/>
      <c r="AB181" s="16"/>
      <c r="AC181" s="16"/>
      <c r="AD181" s="16"/>
    </row>
    <row r="182" spans="1:30" ht="15.75" customHeight="1">
      <c r="A182" s="16"/>
      <c r="B182" s="16"/>
      <c r="C182" s="16"/>
      <c r="D182" s="16"/>
      <c r="E182" s="16"/>
      <c r="F182" s="16"/>
      <c r="G182" s="16"/>
      <c r="H182" s="16"/>
      <c r="I182" s="16"/>
      <c r="J182" s="16"/>
      <c r="K182" s="16"/>
      <c r="L182" s="16"/>
      <c r="M182" s="735"/>
      <c r="N182" s="696"/>
      <c r="O182" s="696"/>
      <c r="P182" s="696"/>
      <c r="Q182" s="696"/>
      <c r="R182" s="696"/>
      <c r="S182" s="696"/>
      <c r="T182" s="696"/>
      <c r="U182" s="16"/>
      <c r="V182" s="16"/>
      <c r="W182" s="16"/>
      <c r="X182" s="16"/>
      <c r="Y182" s="16"/>
      <c r="Z182" s="16"/>
      <c r="AA182" s="16"/>
      <c r="AB182" s="16"/>
      <c r="AC182" s="16"/>
      <c r="AD182" s="16"/>
    </row>
    <row r="183" spans="1:30" ht="15.75" customHeight="1">
      <c r="A183" s="16"/>
      <c r="B183" s="16"/>
      <c r="C183" s="16"/>
      <c r="D183" s="16"/>
      <c r="E183" s="16"/>
      <c r="F183" s="16"/>
      <c r="G183" s="16"/>
      <c r="H183" s="16"/>
      <c r="I183" s="16"/>
      <c r="J183" s="16"/>
      <c r="K183" s="16"/>
      <c r="L183" s="16"/>
      <c r="M183" s="735"/>
      <c r="N183" s="696"/>
      <c r="O183" s="696"/>
      <c r="P183" s="696"/>
      <c r="Q183" s="696"/>
      <c r="R183" s="696"/>
      <c r="S183" s="696"/>
      <c r="T183" s="696"/>
      <c r="U183" s="16"/>
      <c r="V183" s="16"/>
      <c r="W183" s="16"/>
      <c r="X183" s="16"/>
      <c r="Y183" s="16"/>
      <c r="Z183" s="16"/>
      <c r="AA183" s="16"/>
      <c r="AB183" s="16"/>
      <c r="AC183" s="16"/>
      <c r="AD183" s="16"/>
    </row>
    <row r="184" spans="1:30" ht="15.75" customHeight="1">
      <c r="A184" s="16"/>
      <c r="B184" s="16"/>
      <c r="C184" s="16"/>
      <c r="D184" s="16"/>
      <c r="E184" s="16"/>
      <c r="F184" s="16"/>
      <c r="G184" s="16"/>
      <c r="H184" s="16"/>
      <c r="I184" s="16"/>
      <c r="J184" s="16"/>
      <c r="K184" s="16"/>
      <c r="L184" s="16"/>
      <c r="M184" s="735"/>
      <c r="N184" s="696"/>
      <c r="O184" s="696"/>
      <c r="P184" s="696"/>
      <c r="Q184" s="696"/>
      <c r="R184" s="696"/>
      <c r="S184" s="696"/>
      <c r="T184" s="696"/>
      <c r="U184" s="16"/>
      <c r="V184" s="16"/>
      <c r="W184" s="16"/>
      <c r="X184" s="16"/>
      <c r="Y184" s="16"/>
      <c r="Z184" s="16"/>
      <c r="AA184" s="16"/>
      <c r="AB184" s="16"/>
      <c r="AC184" s="16"/>
      <c r="AD184" s="16"/>
    </row>
    <row r="185" spans="1:30" ht="15.75" customHeight="1">
      <c r="A185" s="16"/>
      <c r="B185" s="16"/>
      <c r="C185" s="16"/>
      <c r="D185" s="16"/>
      <c r="E185" s="16"/>
      <c r="F185" s="16"/>
      <c r="G185" s="16"/>
      <c r="H185" s="16"/>
      <c r="I185" s="16"/>
      <c r="J185" s="16"/>
      <c r="K185" s="16"/>
      <c r="L185" s="16"/>
      <c r="M185" s="735"/>
      <c r="N185" s="696"/>
      <c r="O185" s="696"/>
      <c r="P185" s="696"/>
      <c r="Q185" s="696"/>
      <c r="R185" s="696"/>
      <c r="S185" s="696"/>
      <c r="T185" s="696"/>
      <c r="U185" s="16"/>
      <c r="V185" s="16"/>
      <c r="W185" s="16"/>
      <c r="X185" s="16"/>
      <c r="Y185" s="16"/>
      <c r="Z185" s="16"/>
      <c r="AA185" s="16"/>
      <c r="AB185" s="16"/>
      <c r="AC185" s="16"/>
      <c r="AD185" s="16"/>
    </row>
    <row r="186" spans="1:30" ht="15.75" customHeight="1">
      <c r="A186" s="16"/>
      <c r="B186" s="16"/>
      <c r="C186" s="16"/>
      <c r="D186" s="16"/>
      <c r="E186" s="16"/>
      <c r="F186" s="16"/>
      <c r="G186" s="16"/>
      <c r="H186" s="16"/>
      <c r="I186" s="16"/>
      <c r="J186" s="16"/>
      <c r="K186" s="16"/>
      <c r="L186" s="16"/>
      <c r="M186" s="735"/>
      <c r="N186" s="696"/>
      <c r="O186" s="696"/>
      <c r="P186" s="696"/>
      <c r="Q186" s="696"/>
      <c r="R186" s="696"/>
      <c r="S186" s="696"/>
      <c r="T186" s="696"/>
      <c r="U186" s="16"/>
      <c r="V186" s="16"/>
      <c r="W186" s="16"/>
      <c r="X186" s="16"/>
      <c r="Y186" s="16"/>
      <c r="Z186" s="16"/>
      <c r="AA186" s="16"/>
      <c r="AB186" s="16"/>
      <c r="AC186" s="16"/>
      <c r="AD186" s="16"/>
    </row>
    <row r="187" spans="1:30" ht="15.75" customHeight="1">
      <c r="A187" s="16"/>
      <c r="B187" s="16"/>
      <c r="C187" s="16"/>
      <c r="D187" s="16"/>
      <c r="E187" s="16"/>
      <c r="F187" s="16"/>
      <c r="G187" s="16"/>
      <c r="H187" s="16"/>
      <c r="I187" s="16"/>
      <c r="J187" s="16"/>
      <c r="K187" s="16"/>
      <c r="L187" s="16"/>
      <c r="M187" s="735"/>
      <c r="N187" s="696"/>
      <c r="O187" s="696"/>
      <c r="P187" s="696"/>
      <c r="Q187" s="696"/>
      <c r="R187" s="696"/>
      <c r="S187" s="696"/>
      <c r="T187" s="696"/>
      <c r="U187" s="16"/>
      <c r="V187" s="16"/>
      <c r="W187" s="16"/>
      <c r="X187" s="16"/>
      <c r="Y187" s="16"/>
      <c r="Z187" s="16"/>
      <c r="AA187" s="16"/>
      <c r="AB187" s="16"/>
      <c r="AC187" s="16"/>
      <c r="AD187" s="16"/>
    </row>
    <row r="188" spans="1:30" ht="15.75" customHeight="1">
      <c r="A188" s="16"/>
      <c r="B188" s="16"/>
      <c r="C188" s="16"/>
      <c r="D188" s="16"/>
      <c r="E188" s="16"/>
      <c r="F188" s="16"/>
      <c r="G188" s="16"/>
      <c r="H188" s="16"/>
      <c r="I188" s="16"/>
      <c r="J188" s="16"/>
      <c r="K188" s="16"/>
      <c r="L188" s="16"/>
      <c r="M188" s="735"/>
      <c r="N188" s="696"/>
      <c r="O188" s="696"/>
      <c r="P188" s="696"/>
      <c r="Q188" s="696"/>
      <c r="R188" s="696"/>
      <c r="S188" s="696"/>
      <c r="T188" s="696"/>
      <c r="U188" s="16"/>
      <c r="V188" s="16"/>
      <c r="W188" s="16"/>
      <c r="X188" s="16"/>
      <c r="Y188" s="16"/>
      <c r="Z188" s="16"/>
      <c r="AA188" s="16"/>
      <c r="AB188" s="16"/>
      <c r="AC188" s="16"/>
      <c r="AD188" s="16"/>
    </row>
    <row r="189" spans="1:30" ht="15.75" customHeight="1">
      <c r="A189" s="16"/>
      <c r="B189" s="16"/>
      <c r="C189" s="16"/>
      <c r="D189" s="16"/>
      <c r="E189" s="16"/>
      <c r="F189" s="16"/>
      <c r="G189" s="16"/>
      <c r="H189" s="16"/>
      <c r="I189" s="16"/>
      <c r="J189" s="16"/>
      <c r="K189" s="16"/>
      <c r="L189" s="16"/>
      <c r="M189" s="735"/>
      <c r="N189" s="696"/>
      <c r="O189" s="696"/>
      <c r="P189" s="696"/>
      <c r="Q189" s="696"/>
      <c r="R189" s="696"/>
      <c r="S189" s="696"/>
      <c r="T189" s="696"/>
      <c r="U189" s="16"/>
      <c r="V189" s="16"/>
      <c r="W189" s="16"/>
      <c r="X189" s="16"/>
      <c r="Y189" s="16"/>
      <c r="Z189" s="16"/>
      <c r="AA189" s="16"/>
      <c r="AB189" s="16"/>
      <c r="AC189" s="16"/>
      <c r="AD189" s="16"/>
    </row>
    <row r="190" spans="1:30" ht="15.75" customHeight="1">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c r="AD190" s="16"/>
    </row>
    <row r="191" spans="1:30" ht="15.75" customHeight="1">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c r="AD191" s="16"/>
    </row>
    <row r="192" spans="1:30" ht="15.75" customHeight="1">
      <c r="A192" s="16"/>
      <c r="B192" s="735"/>
      <c r="C192" s="696"/>
      <c r="D192" s="16"/>
      <c r="E192" s="16"/>
      <c r="F192" s="16"/>
      <c r="G192" s="16"/>
      <c r="H192" s="16"/>
      <c r="I192" s="16"/>
      <c r="J192" s="16"/>
      <c r="K192" s="16"/>
      <c r="L192" s="16"/>
      <c r="M192" s="735"/>
      <c r="N192" s="696"/>
      <c r="O192" s="696"/>
      <c r="P192" s="735"/>
      <c r="Q192" s="696"/>
      <c r="R192" s="696"/>
      <c r="S192" s="696"/>
      <c r="T192" s="696"/>
      <c r="U192" s="16"/>
      <c r="V192" s="16"/>
      <c r="W192" s="16"/>
      <c r="X192" s="16"/>
      <c r="Y192" s="16"/>
      <c r="Z192" s="16"/>
      <c r="AA192" s="16"/>
      <c r="AB192" s="16"/>
      <c r="AC192" s="16"/>
      <c r="AD192" s="16"/>
    </row>
    <row r="193" spans="1:30" ht="15.75" customHeight="1">
      <c r="A193" s="16"/>
      <c r="B193" s="735"/>
      <c r="C193" s="696"/>
      <c r="D193" s="16"/>
      <c r="E193" s="16"/>
      <c r="F193" s="16"/>
      <c r="G193" s="16"/>
      <c r="H193" s="16"/>
      <c r="I193" s="16"/>
      <c r="J193" s="16"/>
      <c r="K193" s="16"/>
      <c r="L193" s="16"/>
      <c r="M193" s="735"/>
      <c r="N193" s="696"/>
      <c r="O193" s="696"/>
      <c r="P193" s="735"/>
      <c r="Q193" s="696"/>
      <c r="R193" s="696"/>
      <c r="S193" s="696"/>
      <c r="T193" s="696"/>
      <c r="U193" s="16"/>
      <c r="V193" s="16"/>
      <c r="W193" s="16"/>
      <c r="X193" s="16"/>
      <c r="Y193" s="16"/>
      <c r="Z193" s="16"/>
      <c r="AA193" s="16"/>
      <c r="AB193" s="16"/>
      <c r="AC193" s="16"/>
      <c r="AD193" s="16"/>
    </row>
    <row r="194" spans="1:30" ht="15.75" customHeight="1">
      <c r="A194" s="16"/>
      <c r="B194" s="735"/>
      <c r="C194" s="696"/>
      <c r="D194" s="16"/>
      <c r="E194" s="16"/>
      <c r="F194" s="16"/>
      <c r="G194" s="16"/>
      <c r="H194" s="16"/>
      <c r="I194" s="16"/>
      <c r="J194" s="16"/>
      <c r="K194" s="16"/>
      <c r="L194" s="16"/>
      <c r="M194" s="735"/>
      <c r="N194" s="696"/>
      <c r="O194" s="696"/>
      <c r="P194" s="696"/>
      <c r="Q194" s="696"/>
      <c r="R194" s="696"/>
      <c r="S194" s="696"/>
      <c r="T194" s="696"/>
      <c r="U194" s="16"/>
      <c r="V194" s="16"/>
      <c r="W194" s="16"/>
      <c r="X194" s="16"/>
      <c r="Y194" s="16"/>
      <c r="Z194" s="16"/>
      <c r="AA194" s="16"/>
      <c r="AB194" s="16"/>
      <c r="AC194" s="16"/>
      <c r="AD194" s="16"/>
    </row>
    <row r="195" spans="1:30" ht="15.75" customHeight="1">
      <c r="A195" s="16"/>
      <c r="B195" s="735"/>
      <c r="C195" s="696"/>
      <c r="D195" s="16"/>
      <c r="E195" s="16"/>
      <c r="F195" s="16"/>
      <c r="G195" s="16"/>
      <c r="H195" s="16"/>
      <c r="I195" s="16"/>
      <c r="J195" s="16"/>
      <c r="K195" s="16"/>
      <c r="L195" s="16"/>
      <c r="M195" s="735"/>
      <c r="N195" s="696"/>
      <c r="O195" s="696"/>
      <c r="P195" s="696"/>
      <c r="Q195" s="696"/>
      <c r="R195" s="696"/>
      <c r="S195" s="696"/>
      <c r="T195" s="696"/>
      <c r="U195" s="16"/>
      <c r="V195" s="16"/>
      <c r="W195" s="16"/>
      <c r="X195" s="16"/>
      <c r="Y195" s="16"/>
      <c r="Z195" s="16"/>
      <c r="AA195" s="16"/>
      <c r="AB195" s="16"/>
      <c r="AC195" s="16"/>
      <c r="AD195" s="16"/>
    </row>
    <row r="196" spans="1:30" ht="15.75" customHeight="1">
      <c r="A196" s="16"/>
      <c r="B196" s="735"/>
      <c r="C196" s="696"/>
      <c r="D196" s="16"/>
      <c r="E196" s="16"/>
      <c r="F196" s="16"/>
      <c r="G196" s="16"/>
      <c r="H196" s="16"/>
      <c r="I196" s="16"/>
      <c r="J196" s="16"/>
      <c r="K196" s="16"/>
      <c r="L196" s="16"/>
      <c r="M196" s="735"/>
      <c r="N196" s="696"/>
      <c r="O196" s="696"/>
      <c r="P196" s="696"/>
      <c r="Q196" s="696"/>
      <c r="R196" s="696"/>
      <c r="S196" s="696"/>
      <c r="T196" s="696"/>
      <c r="U196" s="16"/>
      <c r="V196" s="16"/>
      <c r="W196" s="16"/>
      <c r="X196" s="16"/>
      <c r="Y196" s="16"/>
      <c r="Z196" s="16"/>
      <c r="AA196" s="16"/>
      <c r="AB196" s="16"/>
      <c r="AC196" s="16"/>
      <c r="AD196" s="16"/>
    </row>
    <row r="197" spans="1:30" ht="15.75" customHeight="1">
      <c r="A197" s="16"/>
      <c r="B197" s="735"/>
      <c r="C197" s="696"/>
      <c r="D197" s="16"/>
      <c r="E197" s="16"/>
      <c r="F197" s="16"/>
      <c r="G197" s="16"/>
      <c r="H197" s="16"/>
      <c r="I197" s="16"/>
      <c r="J197" s="16"/>
      <c r="K197" s="16"/>
      <c r="L197" s="16"/>
      <c r="M197" s="735"/>
      <c r="N197" s="696"/>
      <c r="O197" s="696"/>
      <c r="P197" s="696"/>
      <c r="Q197" s="696"/>
      <c r="R197" s="696"/>
      <c r="S197" s="696"/>
      <c r="T197" s="696"/>
      <c r="U197" s="16"/>
      <c r="V197" s="16"/>
      <c r="W197" s="16"/>
      <c r="X197" s="16"/>
      <c r="Y197" s="16"/>
      <c r="Z197" s="16"/>
      <c r="AA197" s="16"/>
      <c r="AB197" s="16"/>
      <c r="AC197" s="16"/>
      <c r="AD197" s="16"/>
    </row>
    <row r="198" spans="1:30" ht="15.75" customHeight="1">
      <c r="A198" s="16"/>
      <c r="B198" s="735"/>
      <c r="C198" s="696"/>
      <c r="D198" s="16"/>
      <c r="E198" s="16"/>
      <c r="F198" s="16"/>
      <c r="G198" s="16"/>
      <c r="H198" s="16"/>
      <c r="I198" s="16"/>
      <c r="J198" s="16"/>
      <c r="K198" s="16"/>
      <c r="L198" s="16"/>
      <c r="M198" s="735"/>
      <c r="N198" s="696"/>
      <c r="O198" s="696"/>
      <c r="P198" s="696"/>
      <c r="Q198" s="696"/>
      <c r="R198" s="696"/>
      <c r="S198" s="696"/>
      <c r="T198" s="696"/>
      <c r="U198" s="16"/>
      <c r="V198" s="16"/>
      <c r="W198" s="16"/>
      <c r="X198" s="16"/>
      <c r="Y198" s="16"/>
      <c r="Z198" s="16"/>
      <c r="AA198" s="16"/>
      <c r="AB198" s="16"/>
      <c r="AC198" s="16"/>
      <c r="AD198" s="16"/>
    </row>
    <row r="199" spans="1:30" ht="15.75" customHeight="1">
      <c r="A199" s="16"/>
      <c r="B199" s="735"/>
      <c r="C199" s="696"/>
      <c r="D199" s="16"/>
      <c r="E199" s="16"/>
      <c r="F199" s="16"/>
      <c r="G199" s="16"/>
      <c r="H199" s="16"/>
      <c r="I199" s="16"/>
      <c r="J199" s="16"/>
      <c r="K199" s="16"/>
      <c r="L199" s="16"/>
      <c r="M199" s="735"/>
      <c r="N199" s="696"/>
      <c r="O199" s="696"/>
      <c r="P199" s="696"/>
      <c r="Q199" s="696"/>
      <c r="R199" s="696"/>
      <c r="S199" s="696"/>
      <c r="T199" s="696"/>
      <c r="U199" s="16"/>
      <c r="V199" s="16"/>
      <c r="W199" s="16"/>
      <c r="X199" s="16"/>
      <c r="Y199" s="16"/>
      <c r="Z199" s="16"/>
      <c r="AA199" s="16"/>
      <c r="AB199" s="16"/>
      <c r="AC199" s="16"/>
      <c r="AD199" s="16"/>
    </row>
    <row r="200" spans="1:30" ht="15.75" customHeight="1">
      <c r="A200" s="16"/>
      <c r="B200" s="735"/>
      <c r="C200" s="696"/>
      <c r="D200" s="16"/>
      <c r="E200" s="16"/>
      <c r="F200" s="16"/>
      <c r="G200" s="16"/>
      <c r="H200" s="16"/>
      <c r="I200" s="16"/>
      <c r="J200" s="16"/>
      <c r="K200" s="16"/>
      <c r="L200" s="16"/>
      <c r="M200" s="735"/>
      <c r="N200" s="696"/>
      <c r="O200" s="696"/>
      <c r="P200" s="696"/>
      <c r="Q200" s="696"/>
      <c r="R200" s="696"/>
      <c r="S200" s="696"/>
      <c r="T200" s="696"/>
      <c r="U200" s="16"/>
      <c r="V200" s="16"/>
      <c r="W200" s="16"/>
      <c r="X200" s="16"/>
      <c r="Y200" s="16"/>
      <c r="Z200" s="16"/>
      <c r="AA200" s="16"/>
      <c r="AB200" s="16"/>
      <c r="AC200" s="16"/>
      <c r="AD200" s="16"/>
    </row>
    <row r="201" spans="1:30" ht="15.75" customHeight="1">
      <c r="A201" s="16"/>
      <c r="B201" s="735"/>
      <c r="C201" s="696"/>
      <c r="D201" s="16"/>
      <c r="E201" s="16"/>
      <c r="F201" s="16"/>
      <c r="G201" s="16"/>
      <c r="H201" s="16"/>
      <c r="I201" s="16"/>
      <c r="J201" s="16"/>
      <c r="K201" s="16"/>
      <c r="L201" s="16"/>
      <c r="M201" s="735"/>
      <c r="N201" s="696"/>
      <c r="O201" s="696"/>
      <c r="P201" s="696"/>
      <c r="Q201" s="696"/>
      <c r="R201" s="696"/>
      <c r="S201" s="696"/>
      <c r="T201" s="696"/>
      <c r="U201" s="16"/>
      <c r="V201" s="16"/>
      <c r="W201" s="16"/>
      <c r="X201" s="16"/>
      <c r="Y201" s="16"/>
      <c r="Z201" s="16"/>
      <c r="AA201" s="16"/>
      <c r="AB201" s="16"/>
      <c r="AC201" s="16"/>
      <c r="AD201" s="16"/>
    </row>
    <row r="202" spans="1:30" ht="15.75" customHeight="1">
      <c r="A202" s="16"/>
      <c r="B202" s="735"/>
      <c r="C202" s="696"/>
      <c r="D202" s="16"/>
      <c r="E202" s="16"/>
      <c r="F202" s="16"/>
      <c r="G202" s="16"/>
      <c r="H202" s="16"/>
      <c r="I202" s="16"/>
      <c r="J202" s="16"/>
      <c r="K202" s="16"/>
      <c r="L202" s="16"/>
      <c r="M202" s="735"/>
      <c r="N202" s="696"/>
      <c r="O202" s="696"/>
      <c r="P202" s="696"/>
      <c r="Q202" s="696"/>
      <c r="R202" s="696"/>
      <c r="S202" s="696"/>
      <c r="T202" s="696"/>
      <c r="U202" s="16"/>
      <c r="V202" s="16"/>
      <c r="W202" s="16"/>
      <c r="X202" s="16"/>
      <c r="Y202" s="16"/>
      <c r="Z202" s="16"/>
      <c r="AA202" s="16"/>
      <c r="AB202" s="16"/>
      <c r="AC202" s="16"/>
      <c r="AD202" s="16"/>
    </row>
    <row r="203" spans="1:30" ht="15.75" customHeight="1">
      <c r="A203" s="16"/>
      <c r="B203" s="735"/>
      <c r="C203" s="696"/>
      <c r="D203" s="16"/>
      <c r="E203" s="16"/>
      <c r="F203" s="16"/>
      <c r="G203" s="16"/>
      <c r="H203" s="16"/>
      <c r="I203" s="16"/>
      <c r="J203" s="16"/>
      <c r="K203" s="16"/>
      <c r="L203" s="16"/>
      <c r="M203" s="735"/>
      <c r="N203" s="696"/>
      <c r="O203" s="696"/>
      <c r="P203" s="696"/>
      <c r="Q203" s="696"/>
      <c r="R203" s="696"/>
      <c r="S203" s="696"/>
      <c r="T203" s="696"/>
      <c r="U203" s="16"/>
      <c r="V203" s="16"/>
      <c r="W203" s="16"/>
      <c r="X203" s="16"/>
      <c r="Y203" s="16"/>
      <c r="Z203" s="16"/>
      <c r="AA203" s="16"/>
      <c r="AB203" s="16"/>
      <c r="AC203" s="16"/>
      <c r="AD203" s="16"/>
    </row>
    <row r="204" spans="1:30" ht="15.75" customHeight="1">
      <c r="A204" s="16"/>
      <c r="B204" s="735"/>
      <c r="C204" s="696"/>
      <c r="D204" s="16"/>
      <c r="E204" s="16"/>
      <c r="F204" s="16"/>
      <c r="G204" s="16"/>
      <c r="H204" s="16"/>
      <c r="I204" s="16"/>
      <c r="J204" s="16"/>
      <c r="K204" s="16"/>
      <c r="L204" s="16"/>
      <c r="M204" s="735"/>
      <c r="N204" s="696"/>
      <c r="O204" s="696"/>
      <c r="P204" s="696"/>
      <c r="Q204" s="696"/>
      <c r="R204" s="696"/>
      <c r="S204" s="696"/>
      <c r="T204" s="696"/>
      <c r="U204" s="16"/>
      <c r="V204" s="16"/>
      <c r="W204" s="16"/>
      <c r="X204" s="16"/>
      <c r="Y204" s="16"/>
      <c r="Z204" s="16"/>
      <c r="AA204" s="16"/>
      <c r="AB204" s="16"/>
      <c r="AC204" s="16"/>
      <c r="AD204" s="16"/>
    </row>
    <row r="205" spans="1:30" ht="15.75" customHeight="1">
      <c r="A205" s="16"/>
      <c r="B205" s="735"/>
      <c r="C205" s="696"/>
      <c r="D205" s="16"/>
      <c r="E205" s="16"/>
      <c r="F205" s="16"/>
      <c r="G205" s="16"/>
      <c r="H205" s="16"/>
      <c r="I205" s="16"/>
      <c r="J205" s="16"/>
      <c r="K205" s="16"/>
      <c r="L205" s="16"/>
      <c r="M205" s="735"/>
      <c r="N205" s="696"/>
      <c r="O205" s="696"/>
      <c r="P205" s="696"/>
      <c r="Q205" s="696"/>
      <c r="R205" s="696"/>
      <c r="S205" s="696"/>
      <c r="T205" s="696"/>
      <c r="U205" s="16"/>
      <c r="V205" s="16"/>
      <c r="W205" s="16"/>
      <c r="X205" s="16"/>
      <c r="Y205" s="16"/>
      <c r="Z205" s="16"/>
      <c r="AA205" s="16"/>
      <c r="AB205" s="16"/>
      <c r="AC205" s="16"/>
      <c r="AD205" s="16"/>
    </row>
    <row r="206" spans="1:30" ht="15.75" customHeight="1">
      <c r="A206" s="16"/>
      <c r="B206" s="735"/>
      <c r="C206" s="696"/>
      <c r="D206" s="16"/>
      <c r="E206" s="16"/>
      <c r="F206" s="16"/>
      <c r="G206" s="16"/>
      <c r="H206" s="16"/>
      <c r="I206" s="16"/>
      <c r="J206" s="16"/>
      <c r="K206" s="16"/>
      <c r="L206" s="16"/>
      <c r="M206" s="735"/>
      <c r="N206" s="696"/>
      <c r="O206" s="696"/>
      <c r="P206" s="696"/>
      <c r="Q206" s="696"/>
      <c r="R206" s="696"/>
      <c r="S206" s="696"/>
      <c r="T206" s="696"/>
      <c r="U206" s="16"/>
      <c r="V206" s="16"/>
      <c r="W206" s="16"/>
      <c r="X206" s="16"/>
      <c r="Y206" s="16"/>
      <c r="Z206" s="16"/>
      <c r="AA206" s="16"/>
      <c r="AB206" s="16"/>
      <c r="AC206" s="16"/>
      <c r="AD206" s="16"/>
    </row>
    <row r="207" spans="1:30" ht="15.75" customHeight="1">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c r="AD207" s="16"/>
    </row>
    <row r="208" spans="1:30" ht="15.75" customHeight="1">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c r="AD208" s="16"/>
    </row>
    <row r="209" spans="1:30" ht="15.75" customHeight="1">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c r="AD209" s="16"/>
    </row>
    <row r="210" spans="1:30" ht="15.75" customHeight="1">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c r="AD210" s="16"/>
    </row>
    <row r="211" spans="1:30" ht="15.75" customHeight="1">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row>
    <row r="212" spans="1:30" ht="15.75" customHeight="1">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c r="AD212" s="16"/>
    </row>
    <row r="213" spans="1:30" ht="15.75" customHeight="1">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c r="AD213" s="16"/>
    </row>
    <row r="214" spans="1:30" ht="15.75" customHeight="1">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row>
    <row r="215" spans="1:30" ht="15.75" customHeight="1">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c r="AD215" s="16"/>
    </row>
    <row r="216" spans="1:30" ht="15.75" customHeight="1">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c r="AD216" s="16"/>
    </row>
    <row r="217" spans="1:30" ht="15.75" customHeight="1">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c r="AD217" s="16"/>
    </row>
    <row r="218" spans="1:30" ht="15.75" customHeight="1">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c r="AD218" s="16"/>
    </row>
    <row r="219" spans="1:30" ht="15.75" customHeight="1">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c r="AD219" s="16"/>
    </row>
    <row r="220" spans="1:30" ht="15.75" customHeight="1">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c r="AD220" s="16"/>
    </row>
    <row r="221" spans="1:30" ht="15.75" customHeight="1">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row>
    <row r="222" spans="1:30" ht="15.75" customHeight="1">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row>
    <row r="223" spans="1:30" ht="15.75" customHeight="1">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c r="AD223" s="16"/>
    </row>
    <row r="224" spans="1:30" ht="15.75" customHeight="1">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c r="AD224" s="16"/>
    </row>
    <row r="225" spans="1:30" ht="15.75" customHeight="1">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16"/>
    </row>
    <row r="226" spans="1:30" ht="15.75" customHeight="1">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row>
    <row r="227" spans="1:30" ht="15.75" customHeight="1">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16"/>
    </row>
    <row r="228" spans="1:30" ht="15.75" customHeight="1">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c r="AD228" s="16"/>
    </row>
    <row r="229" spans="1:30" ht="15.75" customHeight="1">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c r="AD229" s="16"/>
    </row>
    <row r="230" spans="1:30" ht="15.75" customHeight="1">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row>
    <row r="231" spans="1:30" ht="15.75" customHeight="1">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c r="AD231" s="16"/>
    </row>
    <row r="232" spans="1:30" ht="15.75" customHeight="1">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c r="AD232" s="16"/>
    </row>
    <row r="233" spans="1:30" ht="15.75" customHeight="1">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c r="AD233" s="16"/>
    </row>
    <row r="234" spans="1:30" ht="15.75" customHeight="1">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c r="AD234" s="16"/>
    </row>
    <row r="235" spans="1:30" ht="15.75" customHeight="1">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row>
    <row r="236" spans="1:30" ht="15.75" customHeight="1">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c r="AD236" s="16"/>
    </row>
    <row r="237" spans="1:30" ht="15.75" customHeight="1">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c r="AD237" s="16"/>
    </row>
    <row r="238" spans="1:30" ht="15.75" customHeight="1">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c r="AD238" s="16"/>
    </row>
    <row r="239" spans="1:30" ht="15.75" customHeight="1">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c r="AD239" s="16"/>
    </row>
    <row r="240" spans="1:30" ht="15.75" customHeight="1">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c r="AD240" s="16"/>
    </row>
    <row r="241" spans="1:30" ht="15.75" customHeight="1">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c r="AD241" s="16"/>
    </row>
    <row r="242" spans="1:30" ht="15.75" customHeight="1">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c r="AD242" s="16"/>
    </row>
    <row r="243" spans="1:30" ht="15.75" customHeight="1">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c r="AD243" s="16"/>
    </row>
    <row r="244" spans="1:30" ht="15.75" customHeight="1">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16"/>
    </row>
    <row r="245" spans="1:30" ht="15.75" customHeight="1">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c r="AD245" s="16"/>
    </row>
    <row r="246" spans="1:30" ht="15.75" customHeight="1">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row>
    <row r="247" spans="1:30" ht="15.75" customHeight="1">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c r="AD247" s="16"/>
    </row>
    <row r="248" spans="1:30" ht="15.75" customHeight="1">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row>
    <row r="249" spans="1:30" ht="15.75" customHeight="1">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row>
    <row r="250" spans="1:30" ht="15.75" customHeight="1">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c r="AD250" s="16"/>
    </row>
    <row r="251" spans="1:30" ht="15.75" customHeight="1">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row>
    <row r="252" spans="1:30" ht="15.75" customHeight="1">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16"/>
    </row>
    <row r="253" spans="1:30" ht="15.75" customHeight="1">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c r="AD253" s="16"/>
    </row>
    <row r="254" spans="1:30" ht="15.75" customHeight="1">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row>
    <row r="255" spans="1:30" ht="15.75" customHeight="1">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c r="AD255" s="16"/>
    </row>
    <row r="256" spans="1:30" ht="15.75" customHeight="1">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row>
    <row r="257" spans="1:30" ht="15.75" customHeight="1">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c r="AD257" s="16"/>
    </row>
    <row r="258" spans="1:30" ht="15.75" customHeight="1">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c r="AD258" s="16"/>
    </row>
    <row r="259" spans="1:30" ht="15.75" customHeight="1">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row>
    <row r="260" spans="1:30" ht="15.75" customHeight="1">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row>
    <row r="261" spans="1:30" ht="15.75" customHeight="1">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c r="AD261" s="16"/>
    </row>
    <row r="262" spans="1:30" ht="15.75" customHeight="1">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row>
    <row r="263" spans="1:30" ht="15.75" customHeight="1">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row>
    <row r="264" spans="1:30" ht="15.75" customHeight="1">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c r="AD264" s="16"/>
    </row>
    <row r="265" spans="1:30" ht="15.75" customHeight="1">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row>
    <row r="266" spans="1:30" ht="15.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row>
    <row r="267" spans="1:30" ht="15.75" customHeight="1">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row>
    <row r="268" spans="1:30" ht="15.75" customHeight="1">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c r="AD268" s="16"/>
    </row>
    <row r="269" spans="1:30" ht="15.75" customHeight="1">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row>
    <row r="270" spans="1:30" ht="15.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row>
    <row r="271" spans="1:30" ht="15.75" customHeight="1">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c r="AD271" s="16"/>
    </row>
    <row r="272" spans="1:30" ht="15.75" customHeight="1">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c r="AD272" s="16"/>
    </row>
    <row r="273" spans="1:30" ht="15.75" customHeight="1">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c r="AD273" s="16"/>
    </row>
    <row r="274" spans="1:30" ht="15.75" customHeight="1">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c r="AD274" s="16"/>
    </row>
    <row r="275" spans="1:30" ht="15.75" customHeight="1">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c r="AD275" s="16"/>
    </row>
    <row r="276" spans="1:30" ht="15.75" customHeight="1">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row>
    <row r="277" spans="1:30" ht="15.75" customHeight="1">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16"/>
    </row>
    <row r="278" spans="1:30" ht="15.75" customHeight="1">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row>
    <row r="279" spans="1:30" ht="15.75" customHeight="1">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16"/>
    </row>
    <row r="280" spans="1:30" ht="15.75" customHeight="1">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c r="AD280" s="16"/>
    </row>
    <row r="281" spans="1:30" ht="15.75" customHeight="1">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c r="AD281" s="16"/>
    </row>
    <row r="282" spans="1:30" ht="15.75" customHeight="1">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c r="AD282" s="16"/>
    </row>
    <row r="283" spans="1:30" ht="15.75" customHeight="1">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c r="AD283" s="16"/>
    </row>
    <row r="284" spans="1:30" ht="15.75" customHeight="1">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c r="AD284" s="16"/>
    </row>
    <row r="285" spans="1:30" ht="15.75" customHeight="1">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c r="AD285" s="16"/>
    </row>
    <row r="286" spans="1:30" ht="15.75" customHeight="1">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row>
    <row r="287" spans="1:30" ht="15.75" customHeight="1">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row>
    <row r="288" spans="1:30" ht="15.75" customHeight="1">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row>
    <row r="289" spans="1:30" ht="15.75" customHeight="1">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row>
    <row r="290" spans="1:30" ht="15.75" customHeight="1">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row>
    <row r="291" spans="1:30" ht="15.75" customHeight="1">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c r="AD291" s="16"/>
    </row>
    <row r="292" spans="1:30" ht="15.75" customHeight="1">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row>
    <row r="293" spans="1:30" ht="15.75" customHeight="1">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row>
    <row r="294" spans="1:30" ht="15.75" customHeight="1">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row>
    <row r="295" spans="1:30" ht="15.75" customHeight="1">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row>
    <row r="296" spans="1:30" ht="15.75" customHeight="1">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row>
    <row r="297" spans="1:30" ht="15.75" customHeight="1">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row>
    <row r="298" spans="1:30" ht="15.75" customHeight="1">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row>
    <row r="299" spans="1:30" ht="15.75" customHeight="1">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row>
    <row r="300" spans="1:30" ht="15.75" customHeight="1">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row>
    <row r="301" spans="1:30" ht="15.75" customHeight="1">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c r="AD301" s="16"/>
    </row>
    <row r="302" spans="1:30" ht="15.75" customHeight="1">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c r="AD302" s="16"/>
    </row>
    <row r="303" spans="1:30" ht="15.75" customHeight="1">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row>
    <row r="304" spans="1:30" ht="15.75" customHeight="1">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c r="AD304" s="16"/>
    </row>
    <row r="305" spans="1:30" ht="15.75" customHeight="1">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c r="AD305" s="16"/>
    </row>
    <row r="306" spans="1:30" ht="15.75" customHeight="1">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c r="AA306" s="16"/>
      <c r="AB306" s="16"/>
      <c r="AC306" s="16"/>
      <c r="AD306" s="16"/>
    </row>
    <row r="307" spans="1:30" ht="15.75" customHeight="1">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c r="AA307" s="16"/>
      <c r="AB307" s="16"/>
      <c r="AC307" s="16"/>
      <c r="AD307" s="16"/>
    </row>
    <row r="308" spans="1:30" ht="15.75" customHeight="1">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c r="AA308" s="16"/>
      <c r="AB308" s="16"/>
      <c r="AC308" s="16"/>
      <c r="AD308" s="16"/>
    </row>
    <row r="309" spans="1:30" ht="15.75" customHeight="1">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c r="AA309" s="16"/>
      <c r="AB309" s="16"/>
      <c r="AC309" s="16"/>
      <c r="AD309" s="16"/>
    </row>
    <row r="310" spans="1:30" ht="15.75" customHeight="1">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c r="AA310" s="16"/>
      <c r="AB310" s="16"/>
      <c r="AC310" s="16"/>
      <c r="AD310" s="16"/>
    </row>
    <row r="311" spans="1:30" ht="15.75" customHeight="1">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c r="AA311" s="16"/>
      <c r="AB311" s="16"/>
      <c r="AC311" s="16"/>
      <c r="AD311" s="16"/>
    </row>
    <row r="312" spans="1:30" ht="15.75" customHeight="1">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c r="AA312" s="16"/>
      <c r="AB312" s="16"/>
      <c r="AC312" s="16"/>
      <c r="AD312" s="16"/>
    </row>
    <row r="313" spans="1:30" ht="15.75" customHeight="1">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c r="AA313" s="16"/>
      <c r="AB313" s="16"/>
      <c r="AC313" s="16"/>
      <c r="AD313" s="16"/>
    </row>
    <row r="314" spans="1:30" ht="15.75" customHeight="1">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c r="AA314" s="16"/>
      <c r="AB314" s="16"/>
      <c r="AC314" s="16"/>
      <c r="AD314" s="16"/>
    </row>
    <row r="315" spans="1:30" ht="15.75" customHeight="1">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c r="AA315" s="16"/>
      <c r="AB315" s="16"/>
      <c r="AC315" s="16"/>
      <c r="AD315" s="16"/>
    </row>
    <row r="316" spans="1:30" ht="15.75" customHeight="1">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c r="AA316" s="16"/>
      <c r="AB316" s="16"/>
      <c r="AC316" s="16"/>
      <c r="AD316" s="16"/>
    </row>
    <row r="317" spans="1:30" ht="15.75" customHeight="1">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c r="AA317" s="16"/>
      <c r="AB317" s="16"/>
      <c r="AC317" s="16"/>
      <c r="AD317" s="16"/>
    </row>
    <row r="318" spans="1:30" ht="15.75" customHeight="1">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c r="AA318" s="16"/>
      <c r="AB318" s="16"/>
      <c r="AC318" s="16"/>
      <c r="AD318" s="16"/>
    </row>
    <row r="319" spans="1:30" ht="15.75" customHeight="1">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c r="AA319" s="16"/>
      <c r="AB319" s="16"/>
      <c r="AC319" s="16"/>
      <c r="AD319" s="16"/>
    </row>
    <row r="320" spans="1:30" ht="15.75" customHeight="1">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c r="AA320" s="16"/>
      <c r="AB320" s="16"/>
      <c r="AC320" s="16"/>
      <c r="AD320" s="16"/>
    </row>
    <row r="321" spans="1:30" ht="15.75" customHeight="1">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c r="AA321" s="16"/>
      <c r="AB321" s="16"/>
      <c r="AC321" s="16"/>
      <c r="AD321" s="16"/>
    </row>
    <row r="322" spans="1:30" ht="15.75" customHeight="1">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c r="AA322" s="16"/>
      <c r="AB322" s="16"/>
      <c r="AC322" s="16"/>
      <c r="AD322" s="16"/>
    </row>
    <row r="323" spans="1:30" ht="15.75" customHeight="1">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c r="AA323" s="16"/>
      <c r="AB323" s="16"/>
      <c r="AC323" s="16"/>
      <c r="AD323" s="16"/>
    </row>
    <row r="324" spans="1:30" ht="15.75" customHeight="1">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c r="AA324" s="16"/>
      <c r="AB324" s="16"/>
      <c r="AC324" s="16"/>
      <c r="AD324" s="16"/>
    </row>
    <row r="325" spans="1:30" ht="15.75" customHeight="1">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c r="AA325" s="16"/>
      <c r="AB325" s="16"/>
      <c r="AC325" s="16"/>
      <c r="AD325" s="16"/>
    </row>
    <row r="326" spans="1:30" ht="15.75" customHeight="1">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c r="AA326" s="16"/>
      <c r="AB326" s="16"/>
      <c r="AC326" s="16"/>
      <c r="AD326" s="16"/>
    </row>
    <row r="327" spans="1:30" ht="15.75" customHeight="1">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c r="AA327" s="16"/>
      <c r="AB327" s="16"/>
      <c r="AC327" s="16"/>
      <c r="AD327" s="16"/>
    </row>
    <row r="328" spans="1:30" ht="15.75" customHeight="1">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c r="AA328" s="16"/>
      <c r="AB328" s="16"/>
      <c r="AC328" s="16"/>
      <c r="AD328" s="16"/>
    </row>
    <row r="329" spans="1:30" ht="15.75" customHeight="1">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c r="AA329" s="16"/>
      <c r="AB329" s="16"/>
      <c r="AC329" s="16"/>
      <c r="AD329" s="16"/>
    </row>
    <row r="330" spans="1:30" ht="15.75" customHeight="1">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c r="AA330" s="16"/>
      <c r="AB330" s="16"/>
      <c r="AC330" s="16"/>
      <c r="AD330" s="16"/>
    </row>
    <row r="331" spans="1:30" ht="15.75" customHeight="1">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c r="AA331" s="16"/>
      <c r="AB331" s="16"/>
      <c r="AC331" s="16"/>
      <c r="AD331" s="16"/>
    </row>
    <row r="332" spans="1:30" ht="15.75" customHeight="1">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c r="AA332" s="16"/>
      <c r="AB332" s="16"/>
      <c r="AC332" s="16"/>
      <c r="AD332" s="16"/>
    </row>
    <row r="333" spans="1:30" ht="15.75" customHeight="1">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c r="AA333" s="16"/>
      <c r="AB333" s="16"/>
      <c r="AC333" s="16"/>
      <c r="AD333" s="16"/>
    </row>
    <row r="334" spans="1:30" ht="15.75" customHeight="1">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c r="AA334" s="16"/>
      <c r="AB334" s="16"/>
      <c r="AC334" s="16"/>
      <c r="AD334" s="16"/>
    </row>
    <row r="335" spans="1:30" ht="15.75" customHeight="1">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c r="AA335" s="16"/>
      <c r="AB335" s="16"/>
      <c r="AC335" s="16"/>
      <c r="AD335" s="16"/>
    </row>
    <row r="336" spans="1:30" ht="15.75" customHeight="1">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c r="AA336" s="16"/>
      <c r="AB336" s="16"/>
      <c r="AC336" s="16"/>
      <c r="AD336" s="16"/>
    </row>
    <row r="337" spans="1:30" ht="15.75" customHeight="1">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c r="AA337" s="16"/>
      <c r="AB337" s="16"/>
      <c r="AC337" s="16"/>
      <c r="AD337" s="16"/>
    </row>
    <row r="338" spans="1:30" ht="15.75" customHeight="1">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c r="AA338" s="16"/>
      <c r="AB338" s="16"/>
      <c r="AC338" s="16"/>
      <c r="AD338" s="16"/>
    </row>
    <row r="339" spans="1:30" ht="15.75" customHeight="1">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c r="AA339" s="16"/>
      <c r="AB339" s="16"/>
      <c r="AC339" s="16"/>
      <c r="AD339" s="16"/>
    </row>
    <row r="340" spans="1:30" ht="15.75" customHeight="1">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c r="AA340" s="16"/>
      <c r="AB340" s="16"/>
      <c r="AC340" s="16"/>
      <c r="AD340" s="16"/>
    </row>
    <row r="341" spans="1:30" ht="15.75" customHeight="1">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c r="AA341" s="16"/>
      <c r="AB341" s="16"/>
      <c r="AC341" s="16"/>
      <c r="AD341" s="16"/>
    </row>
    <row r="342" spans="1:30" ht="15.75" customHeight="1">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c r="AA342" s="16"/>
      <c r="AB342" s="16"/>
      <c r="AC342" s="16"/>
      <c r="AD342" s="16"/>
    </row>
    <row r="343" spans="1:30" ht="15.75" customHeight="1"/>
    <row r="344" spans="1:30" ht="15.75" customHeight="1"/>
    <row r="345" spans="1:30" ht="15.75" customHeight="1"/>
    <row r="346" spans="1:30" ht="15.75" customHeight="1"/>
    <row r="347" spans="1:30" ht="15.75" customHeight="1"/>
    <row r="348" spans="1:30" ht="15.75" customHeight="1"/>
    <row r="349" spans="1:30" ht="15.75" customHeight="1"/>
    <row r="350" spans="1:30" ht="15.75" customHeight="1"/>
    <row r="351" spans="1:30" ht="15.75" customHeight="1"/>
    <row r="352" spans="1:30"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sheetData>
  <mergeCells count="99">
    <mergeCell ref="K67:M89"/>
    <mergeCell ref="A30:F30"/>
    <mergeCell ref="A31:F31"/>
    <mergeCell ref="A32:F32"/>
    <mergeCell ref="A34:F34"/>
    <mergeCell ref="A29:F29"/>
    <mergeCell ref="A1:C1"/>
    <mergeCell ref="E1:H1"/>
    <mergeCell ref="D7:I7"/>
    <mergeCell ref="D8:I8"/>
    <mergeCell ref="A28:F28"/>
    <mergeCell ref="H129:I142"/>
    <mergeCell ref="J129:K142"/>
    <mergeCell ref="AG29:AH29"/>
    <mergeCell ref="AI29:AJ29"/>
    <mergeCell ref="AG30:AH40"/>
    <mergeCell ref="AI30:AJ40"/>
    <mergeCell ref="H37:J37"/>
    <mergeCell ref="K93:O124"/>
    <mergeCell ref="P93:Q124"/>
    <mergeCell ref="H128:I128"/>
    <mergeCell ref="J128:K128"/>
    <mergeCell ref="K92:O92"/>
    <mergeCell ref="H38:J51"/>
    <mergeCell ref="I54:K54"/>
    <mergeCell ref="I55:K62"/>
    <mergeCell ref="K66:M66"/>
    <mergeCell ref="P152:R152"/>
    <mergeCell ref="P92:Q92"/>
    <mergeCell ref="P153:R153"/>
    <mergeCell ref="P154:R154"/>
    <mergeCell ref="P155:R155"/>
    <mergeCell ref="P156:R156"/>
    <mergeCell ref="P157:R157"/>
    <mergeCell ref="M172:O172"/>
    <mergeCell ref="P158:R158"/>
    <mergeCell ref="M160:O160"/>
    <mergeCell ref="P160:T160"/>
    <mergeCell ref="M161:O161"/>
    <mergeCell ref="P161:T172"/>
    <mergeCell ref="M162:O162"/>
    <mergeCell ref="M163:O163"/>
    <mergeCell ref="M164:O164"/>
    <mergeCell ref="M165:O165"/>
    <mergeCell ref="M166:O166"/>
    <mergeCell ref="M167:O167"/>
    <mergeCell ref="M168:O168"/>
    <mergeCell ref="M169:O169"/>
    <mergeCell ref="M170:O170"/>
    <mergeCell ref="M171:O171"/>
    <mergeCell ref="M188:O188"/>
    <mergeCell ref="M175:O175"/>
    <mergeCell ref="P175:T175"/>
    <mergeCell ref="M176:O176"/>
    <mergeCell ref="P176:T189"/>
    <mergeCell ref="M177:O177"/>
    <mergeCell ref="M178:O178"/>
    <mergeCell ref="M179:O179"/>
    <mergeCell ref="M180:O180"/>
    <mergeCell ref="M181:O181"/>
    <mergeCell ref="M182:O182"/>
    <mergeCell ref="M183:O183"/>
    <mergeCell ref="M184:O184"/>
    <mergeCell ref="M185:O185"/>
    <mergeCell ref="M186:O186"/>
    <mergeCell ref="M187:O187"/>
    <mergeCell ref="P192:T192"/>
    <mergeCell ref="B193:C193"/>
    <mergeCell ref="M193:O193"/>
    <mergeCell ref="P193:T206"/>
    <mergeCell ref="B194:C194"/>
    <mergeCell ref="M194:O194"/>
    <mergeCell ref="B195:C195"/>
    <mergeCell ref="B198:C198"/>
    <mergeCell ref="M198:O198"/>
    <mergeCell ref="B197:C197"/>
    <mergeCell ref="M197:O197"/>
    <mergeCell ref="B199:C199"/>
    <mergeCell ref="M199:O199"/>
    <mergeCell ref="B200:C200"/>
    <mergeCell ref="M200:O200"/>
    <mergeCell ref="B201:C201"/>
    <mergeCell ref="M189:O189"/>
    <mergeCell ref="B192:C192"/>
    <mergeCell ref="M192:O192"/>
    <mergeCell ref="M195:O195"/>
    <mergeCell ref="B196:C196"/>
    <mergeCell ref="M196:O196"/>
    <mergeCell ref="M201:O201"/>
    <mergeCell ref="B205:C205"/>
    <mergeCell ref="M205:O205"/>
    <mergeCell ref="B206:C206"/>
    <mergeCell ref="M206:O206"/>
    <mergeCell ref="B202:C202"/>
    <mergeCell ref="M202:O202"/>
    <mergeCell ref="B203:C203"/>
    <mergeCell ref="M203:O203"/>
    <mergeCell ref="B204:C204"/>
    <mergeCell ref="M204:O204"/>
  </mergeCells>
  <conditionalFormatting sqref="I81:I88">
    <cfRule type="containsText" dxfId="425" priority="1" operator="containsText" text="5">
      <formula>NOT(ISERROR(SEARCH(("5"),(I81))))</formula>
    </cfRule>
    <cfRule type="containsText" dxfId="424" priority="2" operator="containsText" text="42">
      <formula>NOT(ISERROR(SEARCH(("42"),(I81))))</formula>
    </cfRule>
    <cfRule type="containsText" dxfId="423" priority="3" operator="containsText" text="Please fill in">
      <formula>NOT(ISERROR(SEARCH(("Please fill in"),(I81))))</formula>
    </cfRule>
  </conditionalFormatting>
  <dataValidations count="5">
    <dataValidation type="list" allowBlank="1" showErrorMessage="1" sqref="D62 H89" xr:uid="{53935B30-CFFF-D440-8208-6DD7CE676A2F}">
      <formula1>Ludica!TypesOfTrainers</formula1>
    </dataValidation>
    <dataValidation type="list" allowBlank="1" showErrorMessage="1" sqref="B9" xr:uid="{8DBD2B22-8105-9F4D-A1AB-430819BBD1E3}">
      <formula1>"yes,no,partial"</formula1>
    </dataValidation>
    <dataValidation type="list" allowBlank="1" sqref="G55:G62" xr:uid="{6C6C0765-94E9-C645-867E-ABF56B34CD03}">
      <formula1>"yes,no"</formula1>
    </dataValidation>
    <dataValidation type="list" allowBlank="1" showErrorMessage="1" sqref="D55:D61 H67:H88" xr:uid="{92BDB963-235C-7941-8EFE-8919DF691A60}">
      <formula1>'https://universiteittwente.sharepoint.com/sites/SportsCoordinatorsSUT/Gedeelde documenten/General/(WIP) FAM Sheets - Regulations 2025-28 - Version April 2025.xlsx'!TypesOfTrainers</formula1>
    </dataValidation>
    <dataValidation type="list" allowBlank="1" showErrorMessage="1" sqref="B93:B124" xr:uid="{D8A487ED-D126-7B4A-A161-9C1DD0E7849E}">
      <formula1>'https://universiteittwente.sharepoint.com/sites/SportsCoordinatorsSUT/Gedeelde documenten/General/(WIP) FAM Sheets - Regulations 2025-28 - Version April 2025.xlsx'!LocationNames</formula1>
    </dataValidation>
  </dataValidations>
  <pageMargins left="0.7" right="0.7" top="0.75" bottom="0.75" header="0" footer="0"/>
  <pageSetup paperSize="9" orientation="portrait"/>
  <drawing r:id="rId1"/>
  <legacyDrawing r:id="rId2"/>
  <tableParts count="6">
    <tablePart r:id="rId3"/>
    <tablePart r:id="rId4"/>
    <tablePart r:id="rId5"/>
    <tablePart r:id="rId6"/>
    <tablePart r:id="rId7"/>
    <tablePart r:id="rId8"/>
  </tableParts>
  <extLst>
    <ext xmlns:x14="http://schemas.microsoft.com/office/spreadsheetml/2009/9/main" uri="{CCE6A557-97BC-4b89-ADB6-D9C93CAAB3DF}">
      <x14:dataValidations xmlns:xm="http://schemas.microsoft.com/office/excel/2006/main" count="3">
        <x14:dataValidation type="list" allowBlank="1" showInputMessage="1" showErrorMessage="1" xr:uid="{89E72F70-0FEF-9342-BE3C-FFDB9F5E2645}">
          <x14:formula1>
            <xm:f>Constants!$M$6:$M$7</xm:f>
          </x14:formula1>
          <xm:sqref>B131:B144</xm:sqref>
        </x14:dataValidation>
        <x14:dataValidation type="list" allowBlank="1" showInputMessage="1" showErrorMessage="1" xr:uid="{2C628A3F-103B-114D-96F1-AFE77EF8CBD5}">
          <x14:formula1>
            <xm:f>Constants!$C$55:$C$56</xm:f>
          </x14:formula1>
          <xm:sqref>B12</xm:sqref>
        </x14:dataValidation>
        <x14:dataValidation type="list" allowBlank="1" showErrorMessage="1" xr:uid="{BF07DDCA-3209-F64B-A45E-565D207B015F}">
          <x14:formula1>
            <xm:f>Constants!$H$6:$H$13</xm:f>
          </x14:formula1>
          <xm:sqref>B67:B89</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83CE94-4DCC-4DC9-903D-F3F337535EEF}">
  <dimension ref="A1:BG1005"/>
  <sheetViews>
    <sheetView topLeftCell="X21" workbookViewId="0">
      <selection activeCell="AF30" sqref="AF30"/>
    </sheetView>
  </sheetViews>
  <sheetFormatPr defaultColWidth="12.625" defaultRowHeight="15" customHeight="1"/>
  <cols>
    <col min="1" max="1" width="36.625" customWidth="1"/>
    <col min="2" max="2" width="28.125" customWidth="1"/>
    <col min="3" max="3" width="21" customWidth="1"/>
    <col min="4" max="4" width="17.5" customWidth="1"/>
    <col min="5" max="5" width="16.125" customWidth="1"/>
    <col min="6" max="6" width="21.5" customWidth="1"/>
    <col min="7" max="7" width="22.625" customWidth="1"/>
    <col min="8" max="8" width="18.625" customWidth="1"/>
    <col min="9" max="9" width="19.625" customWidth="1"/>
    <col min="10" max="10" width="18.875" customWidth="1"/>
    <col min="11" max="11" width="21.625" customWidth="1"/>
    <col min="12" max="12" width="17.375" customWidth="1"/>
    <col min="13" max="13" width="15.125" customWidth="1"/>
    <col min="14" max="14" width="15.625" customWidth="1"/>
    <col min="15" max="15" width="28.5" customWidth="1"/>
    <col min="16" max="16" width="13.125" customWidth="1"/>
    <col min="17" max="17" width="21.875" customWidth="1"/>
    <col min="18" max="18" width="27" customWidth="1"/>
    <col min="19" max="19" width="20.5" customWidth="1"/>
    <col min="20" max="22" width="7.625" customWidth="1"/>
    <col min="23" max="23" width="31.875" customWidth="1"/>
    <col min="24" max="24" width="7.625" customWidth="1"/>
    <col min="25" max="25" width="8.375" customWidth="1"/>
    <col min="26" max="26" width="21.625" customWidth="1"/>
    <col min="27" max="27" width="12" customWidth="1"/>
    <col min="28" max="28" width="16.5" customWidth="1"/>
    <col min="29" max="29" width="6" customWidth="1"/>
    <col min="30" max="30" width="13.625" customWidth="1"/>
  </cols>
  <sheetData>
    <row r="1" spans="1:59" ht="171" customHeight="1">
      <c r="A1" s="703"/>
      <c r="B1" s="704"/>
      <c r="C1" s="705"/>
      <c r="D1" s="16"/>
      <c r="E1" s="572" t="s">
        <v>351</v>
      </c>
      <c r="F1" s="704"/>
      <c r="G1" s="704"/>
      <c r="H1" s="705"/>
      <c r="I1" s="16"/>
      <c r="J1" s="16"/>
      <c r="K1" s="16"/>
      <c r="L1" s="16"/>
      <c r="M1" s="16"/>
      <c r="N1" s="16"/>
      <c r="O1" s="16"/>
      <c r="P1" s="16"/>
      <c r="Q1" s="16"/>
      <c r="R1" s="16"/>
      <c r="S1" s="16"/>
      <c r="T1" s="16"/>
      <c r="U1" s="16"/>
      <c r="V1" s="16"/>
      <c r="W1" s="16"/>
      <c r="X1" s="16"/>
      <c r="Y1" s="16"/>
      <c r="Z1" s="16"/>
      <c r="AA1" s="16"/>
      <c r="AB1" s="16"/>
      <c r="AC1" s="16"/>
      <c r="AD1" s="16"/>
    </row>
    <row r="2" spans="1:59">
      <c r="A2" s="58" t="s">
        <v>404</v>
      </c>
      <c r="B2" s="152" t="s">
        <v>221</v>
      </c>
      <c r="C2" s="59"/>
      <c r="D2" s="16"/>
      <c r="E2" s="60" t="s">
        <v>406</v>
      </c>
      <c r="F2" s="153"/>
      <c r="G2" s="154"/>
      <c r="H2" s="61"/>
      <c r="I2" s="16"/>
      <c r="J2" s="16"/>
      <c r="K2" s="16"/>
      <c r="L2" s="16"/>
      <c r="M2" s="16"/>
      <c r="N2" s="16"/>
      <c r="O2" s="16"/>
      <c r="P2" s="16"/>
      <c r="Q2" s="16"/>
      <c r="R2" s="16"/>
      <c r="S2" s="16"/>
      <c r="T2" s="16"/>
      <c r="U2" s="16"/>
      <c r="V2" s="16"/>
      <c r="W2" s="16"/>
      <c r="X2" s="16"/>
      <c r="Y2" s="16"/>
      <c r="Z2" s="15"/>
      <c r="AA2" s="15"/>
      <c r="AB2" s="15"/>
      <c r="AC2" s="15"/>
      <c r="AD2" s="16"/>
      <c r="AE2" s="16"/>
      <c r="AF2" s="16"/>
      <c r="AG2" s="16"/>
      <c r="AH2" s="16"/>
      <c r="AI2" s="17"/>
      <c r="AJ2" s="17"/>
      <c r="AK2" s="17"/>
      <c r="AL2" s="17"/>
      <c r="AM2" s="17"/>
      <c r="AN2" s="17"/>
      <c r="AO2" s="17"/>
      <c r="AP2" s="17"/>
      <c r="AQ2" s="17"/>
      <c r="AR2" s="18"/>
      <c r="AS2" s="17"/>
      <c r="AT2" s="17"/>
      <c r="AU2" s="16"/>
      <c r="AV2" s="16"/>
      <c r="AW2" s="16"/>
      <c r="AX2" s="16"/>
      <c r="AY2" s="16"/>
      <c r="AZ2" s="16"/>
      <c r="BA2" s="16"/>
    </row>
    <row r="3" spans="1:59">
      <c r="A3" s="62" t="s">
        <v>1328</v>
      </c>
      <c r="B3" s="155">
        <v>2</v>
      </c>
      <c r="C3" s="156"/>
      <c r="D3" s="16"/>
      <c r="E3" s="63" t="s">
        <v>409</v>
      </c>
      <c r="F3" s="157"/>
      <c r="G3" s="158"/>
      <c r="H3" s="159"/>
      <c r="I3" s="16"/>
      <c r="J3" s="16"/>
      <c r="K3" s="16"/>
      <c r="L3" s="16"/>
      <c r="M3" s="16"/>
      <c r="N3" s="16"/>
      <c r="O3" s="16"/>
      <c r="P3" s="16"/>
      <c r="Q3" s="16"/>
      <c r="R3" s="16"/>
      <c r="S3" s="16"/>
      <c r="T3" s="16"/>
      <c r="U3" s="16"/>
      <c r="V3" s="16"/>
      <c r="W3" s="16"/>
      <c r="X3" s="16"/>
      <c r="Y3" s="16"/>
      <c r="Z3" s="16"/>
      <c r="AA3" s="16"/>
      <c r="AB3" s="16"/>
      <c r="AC3" s="16"/>
      <c r="AD3" s="16"/>
    </row>
    <row r="4" spans="1:59">
      <c r="A4" s="160" t="s">
        <v>410</v>
      </c>
      <c r="B4" s="161">
        <v>45812</v>
      </c>
      <c r="C4" s="162"/>
      <c r="D4" s="16"/>
      <c r="E4" s="163"/>
      <c r="F4" s="164"/>
      <c r="G4" s="165"/>
      <c r="H4" s="166"/>
      <c r="I4" s="16"/>
      <c r="J4" s="16"/>
      <c r="K4" s="16"/>
      <c r="L4" s="16"/>
      <c r="M4" s="16"/>
      <c r="N4" s="16"/>
      <c r="O4" s="16"/>
      <c r="P4" s="16"/>
      <c r="Q4" s="16"/>
      <c r="R4" s="16"/>
      <c r="S4" s="16"/>
      <c r="T4" s="16"/>
      <c r="U4" s="16"/>
      <c r="V4" s="16"/>
      <c r="W4" s="16"/>
      <c r="X4" s="16"/>
      <c r="Y4" s="16"/>
      <c r="Z4" s="16"/>
      <c r="AA4" s="16"/>
      <c r="AB4" s="16"/>
      <c r="AC4" s="16"/>
      <c r="AD4" s="16"/>
    </row>
    <row r="5" spans="1:59">
      <c r="A5" s="167" t="s">
        <v>411</v>
      </c>
      <c r="B5" s="168"/>
      <c r="C5" s="167"/>
      <c r="D5" s="16"/>
      <c r="E5" s="169" t="s">
        <v>412</v>
      </c>
      <c r="F5" s="169"/>
      <c r="G5" s="158"/>
      <c r="H5" s="169"/>
      <c r="I5" s="16"/>
      <c r="J5" s="16"/>
      <c r="K5" s="16"/>
      <c r="L5" s="16"/>
      <c r="M5" s="16"/>
      <c r="N5" s="16"/>
      <c r="O5" s="16"/>
      <c r="P5" s="16"/>
      <c r="Q5" s="16"/>
      <c r="R5" s="16"/>
      <c r="S5" s="16"/>
      <c r="T5" s="16"/>
      <c r="U5" s="16"/>
      <c r="V5" s="16"/>
      <c r="W5" s="16"/>
      <c r="X5" s="16"/>
      <c r="Y5" s="16"/>
      <c r="Z5" s="16"/>
      <c r="AA5" s="16"/>
      <c r="AB5" s="16"/>
      <c r="AC5" s="16"/>
      <c r="AD5" s="16"/>
    </row>
    <row r="6" spans="1:59">
      <c r="A6" s="15"/>
      <c r="B6" s="64"/>
      <c r="C6" s="16"/>
      <c r="D6" s="16"/>
      <c r="E6" s="16"/>
      <c r="F6" s="16"/>
      <c r="G6" s="16"/>
      <c r="H6" s="16"/>
      <c r="I6" s="16"/>
      <c r="J6" s="64"/>
      <c r="K6" s="16"/>
      <c r="L6" s="16"/>
      <c r="M6" s="16"/>
      <c r="N6" s="16"/>
      <c r="O6" s="16"/>
      <c r="P6" s="16"/>
      <c r="Q6" s="16"/>
      <c r="R6" s="16"/>
      <c r="S6" s="16"/>
      <c r="T6" s="16"/>
      <c r="U6" s="16"/>
      <c r="V6" s="16"/>
      <c r="W6" s="16"/>
      <c r="X6" s="16"/>
      <c r="Y6" s="16"/>
      <c r="Z6" s="16"/>
      <c r="AA6" s="16"/>
      <c r="AB6" s="16"/>
      <c r="AC6" s="16"/>
      <c r="AD6" s="16"/>
    </row>
    <row r="7" spans="1:59">
      <c r="A7" s="170" t="s">
        <v>413</v>
      </c>
      <c r="B7" s="59">
        <v>35</v>
      </c>
      <c r="C7" s="16"/>
      <c r="D7" s="573" t="s">
        <v>414</v>
      </c>
      <c r="E7" s="701"/>
      <c r="F7" s="701"/>
      <c r="G7" s="701"/>
      <c r="H7" s="701"/>
      <c r="I7" s="701"/>
      <c r="J7" s="16"/>
      <c r="K7" s="16"/>
      <c r="L7" s="16"/>
      <c r="M7" s="16"/>
      <c r="N7" s="16"/>
      <c r="O7" s="16"/>
      <c r="P7" s="16"/>
      <c r="Q7" s="16"/>
      <c r="R7" s="16"/>
      <c r="S7" s="16"/>
      <c r="T7" s="16"/>
      <c r="U7" s="16"/>
      <c r="V7" s="16"/>
      <c r="W7" s="16"/>
      <c r="X7" s="16"/>
      <c r="Y7" s="16"/>
      <c r="Z7" s="16"/>
      <c r="AA7" s="16"/>
      <c r="AB7" s="16"/>
      <c r="AC7" s="16"/>
      <c r="AD7" s="16"/>
    </row>
    <row r="8" spans="1:59" ht="14.25" customHeight="1">
      <c r="A8" s="171" t="s">
        <v>415</v>
      </c>
      <c r="B8" s="172">
        <f>M21-M17</f>
        <v>0</v>
      </c>
      <c r="C8" s="16" t="s">
        <v>416</v>
      </c>
      <c r="D8" s="574" t="s">
        <v>417</v>
      </c>
      <c r="E8" s="704"/>
      <c r="F8" s="704"/>
      <c r="G8" s="704"/>
      <c r="H8" s="704"/>
      <c r="I8" s="704"/>
      <c r="J8" s="16"/>
      <c r="K8" s="16"/>
      <c r="L8" s="16"/>
      <c r="M8" s="16"/>
      <c r="N8" s="16"/>
      <c r="O8" s="16"/>
      <c r="P8" s="16"/>
      <c r="Q8" s="16"/>
      <c r="R8" s="16"/>
      <c r="S8" s="16"/>
      <c r="T8" s="16"/>
      <c r="U8" s="16"/>
      <c r="V8" s="16"/>
      <c r="W8" s="16"/>
      <c r="X8" s="16"/>
      <c r="Y8" s="16"/>
      <c r="Z8" s="16"/>
      <c r="AA8" s="16"/>
      <c r="AB8" s="16"/>
      <c r="AC8" s="16"/>
    </row>
    <row r="9" spans="1:59">
      <c r="A9" s="65" t="s">
        <v>418</v>
      </c>
      <c r="B9" s="173" t="s">
        <v>419</v>
      </c>
      <c r="C9" s="16"/>
      <c r="D9" s="16"/>
      <c r="E9" s="17"/>
      <c r="F9" s="17"/>
      <c r="G9" s="17"/>
      <c r="H9" s="17"/>
      <c r="I9" s="17"/>
      <c r="J9" s="17"/>
      <c r="K9" s="17"/>
      <c r="L9" s="17"/>
      <c r="M9" s="17"/>
      <c r="N9" s="17"/>
      <c r="O9" s="17"/>
      <c r="P9" s="17"/>
      <c r="Q9" s="16"/>
      <c r="R9" s="17"/>
      <c r="S9" s="17"/>
      <c r="T9" s="17"/>
      <c r="U9" s="17"/>
      <c r="V9" s="17"/>
      <c r="W9" s="17"/>
      <c r="X9" s="17"/>
      <c r="Y9" s="17"/>
      <c r="Z9" s="17"/>
      <c r="AA9" s="17"/>
      <c r="AB9" s="17"/>
      <c r="AC9" s="17"/>
      <c r="AD9" s="18" t="s">
        <v>242</v>
      </c>
    </row>
    <row r="10" spans="1:59">
      <c r="A10" s="174" t="s">
        <v>420</v>
      </c>
      <c r="B10" s="66">
        <f>COUNTA(A38:A44)</f>
        <v>5</v>
      </c>
      <c r="C10" s="16"/>
      <c r="D10" s="16"/>
      <c r="E10" s="17"/>
      <c r="F10" s="17"/>
      <c r="G10" s="17"/>
      <c r="H10" s="17"/>
      <c r="I10" s="17"/>
      <c r="J10" s="17"/>
      <c r="K10" s="17"/>
      <c r="L10" s="17"/>
      <c r="M10" s="17"/>
      <c r="N10" s="17"/>
      <c r="O10" s="17"/>
      <c r="P10" s="17"/>
      <c r="Q10" s="16"/>
      <c r="R10" s="17"/>
      <c r="S10" s="17"/>
      <c r="T10" s="17"/>
      <c r="U10" s="17"/>
      <c r="V10" s="17"/>
      <c r="W10" s="17"/>
      <c r="X10" s="17"/>
      <c r="Y10" s="17"/>
      <c r="Z10" s="17"/>
      <c r="AA10" s="17"/>
      <c r="AB10" s="17"/>
      <c r="AC10" s="17"/>
      <c r="AD10" s="18"/>
    </row>
    <row r="11" spans="1:59">
      <c r="A11" s="171" t="s">
        <v>421</v>
      </c>
      <c r="B11" s="238">
        <f>SUM(B38:B44)</f>
        <v>41</v>
      </c>
      <c r="C11" s="16"/>
      <c r="D11" s="16"/>
      <c r="E11" s="17"/>
      <c r="F11" s="17"/>
      <c r="G11" s="17"/>
      <c r="H11" s="17"/>
      <c r="I11" s="17"/>
      <c r="J11" s="17"/>
      <c r="K11" s="17"/>
      <c r="L11" s="17"/>
      <c r="M11" s="17"/>
      <c r="N11" s="17"/>
      <c r="O11" s="17"/>
      <c r="P11" s="17"/>
      <c r="Q11" s="16"/>
      <c r="R11" s="17"/>
      <c r="S11" s="17"/>
      <c r="T11" s="17"/>
      <c r="U11" s="17"/>
      <c r="V11" s="17"/>
      <c r="W11" s="17"/>
      <c r="X11" s="17"/>
      <c r="Y11" s="17"/>
      <c r="Z11" s="17"/>
      <c r="AA11" s="17"/>
      <c r="AB11" s="17"/>
      <c r="AC11" s="17"/>
      <c r="AD11" s="18"/>
    </row>
    <row r="12" spans="1:59">
      <c r="A12" s="239" t="s">
        <v>422</v>
      </c>
      <c r="B12" s="240" t="s">
        <v>319</v>
      </c>
      <c r="C12" s="16"/>
      <c r="D12" s="16"/>
      <c r="E12" s="17"/>
      <c r="F12" s="17"/>
      <c r="G12" s="17"/>
      <c r="H12" s="17"/>
      <c r="I12" s="17"/>
      <c r="J12" s="17"/>
      <c r="K12" s="17"/>
      <c r="L12" s="17"/>
      <c r="M12" s="17"/>
      <c r="N12" s="17"/>
      <c r="O12" s="17"/>
      <c r="P12" s="17"/>
      <c r="Q12" s="16"/>
      <c r="R12" s="17"/>
      <c r="S12" s="17"/>
      <c r="T12" s="17"/>
      <c r="U12" s="17"/>
      <c r="V12" s="17"/>
      <c r="W12" s="17"/>
      <c r="X12" s="17"/>
      <c r="Y12" s="17"/>
      <c r="Z12" s="17"/>
      <c r="AA12" s="17"/>
      <c r="AB12" s="17"/>
      <c r="AC12" s="17"/>
      <c r="AD12" s="18"/>
    </row>
    <row r="13" spans="1:59">
      <c r="A13" s="16"/>
      <c r="B13" s="16"/>
      <c r="C13" s="16"/>
      <c r="D13" s="16"/>
      <c r="E13" s="17"/>
      <c r="F13" s="17"/>
      <c r="G13" s="17"/>
      <c r="H13" s="17"/>
      <c r="I13" s="17"/>
      <c r="J13" s="17"/>
      <c r="K13" s="17"/>
      <c r="L13" s="17"/>
      <c r="M13" s="17"/>
      <c r="N13" s="17"/>
      <c r="O13" s="17"/>
      <c r="P13" s="17"/>
      <c r="Q13" s="16"/>
      <c r="R13" s="17"/>
      <c r="S13" s="17"/>
      <c r="T13" s="17"/>
      <c r="U13" s="17"/>
      <c r="V13" s="17"/>
      <c r="W13" s="17"/>
      <c r="X13" s="17"/>
      <c r="Y13" s="17"/>
      <c r="Z13" s="17"/>
      <c r="AA13" s="17"/>
      <c r="AB13" s="17"/>
      <c r="AC13" s="17"/>
      <c r="AD13" s="17" t="str" cm="1">
        <f t="array" ref="AD13:BF14">Constants!A2:AC3</f>
        <v>SC1</v>
      </c>
      <c r="AE13" s="17" t="str">
        <v>SC1 - Half</v>
      </c>
      <c r="AF13" s="17" t="str">
        <v>SC2</v>
      </c>
      <c r="AG13" s="17" t="str">
        <v>SC2 - Half</v>
      </c>
      <c r="AH13" s="17" t="str">
        <v>SC3</v>
      </c>
      <c r="AI13" s="17" t="str">
        <v>SC4</v>
      </c>
      <c r="AJ13" s="17" t="str">
        <v>SC5</v>
      </c>
      <c r="AK13" s="17" t="str">
        <v>SC6</v>
      </c>
      <c r="AL13" s="17" t="str">
        <v>Dojo</v>
      </c>
      <c r="AM13" s="17" t="str">
        <v>Boulder Wall</v>
      </c>
      <c r="AN13" s="17" t="str">
        <v>Climbing Wall</v>
      </c>
      <c r="AO13" s="17" t="str">
        <v>Artificial Hockey field</v>
      </c>
      <c r="AP13" s="17" t="str">
        <v>Artificial Hockey field - Half</v>
      </c>
      <c r="AQ13" s="17" t="str">
        <v>Artificial Soccer field</v>
      </c>
      <c r="AR13" s="17" t="str">
        <v>Artificial Soccer field - Half</v>
      </c>
      <c r="AS13" s="17" t="str">
        <v>Basketball</v>
      </c>
      <c r="AT13" s="17" t="str">
        <v>Bastille field</v>
      </c>
      <c r="AU13" s="17" t="str">
        <v>Beach fields</v>
      </c>
      <c r="AV13" s="17" t="str">
        <v>Shooting range</v>
      </c>
      <c r="AW13" s="17" t="str">
        <v>Multi/Lacrosse field</v>
      </c>
      <c r="AX13" s="17" t="str">
        <v>Multi/Lacrosse field - Half</v>
      </c>
      <c r="AY13" s="17" t="str">
        <v>Bootcamp field</v>
      </c>
      <c r="AZ13" s="17" t="str">
        <v>Multi/Baseball field</v>
      </c>
      <c r="BA13" s="17" t="str">
        <v>Tennis court</v>
      </c>
      <c r="BB13" s="17" t="str">
        <v>Utrack</v>
      </c>
      <c r="BC13" s="22" t="str">
        <v>Verreveld</v>
      </c>
      <c r="BD13" s="22" t="str">
        <v>Wsc</v>
      </c>
      <c r="BE13" s="22" t="str">
        <v>Indoor pool</v>
      </c>
      <c r="BF13" s="22" t="str">
        <v>Outdoor pool</v>
      </c>
      <c r="BG13" s="22"/>
    </row>
    <row r="14" spans="1:59">
      <c r="A14" s="175" t="s">
        <v>423</v>
      </c>
      <c r="B14" s="16"/>
      <c r="C14" s="16"/>
      <c r="D14" s="16"/>
      <c r="E14" s="16"/>
      <c r="F14" s="16"/>
      <c r="G14" s="175" t="s">
        <v>424</v>
      </c>
      <c r="I14" s="17"/>
      <c r="J14" s="17"/>
      <c r="K14" s="176" t="s">
        <v>425</v>
      </c>
      <c r="L14" s="17"/>
      <c r="M14" s="176" t="s">
        <v>426</v>
      </c>
      <c r="N14" s="17"/>
      <c r="O14" s="17"/>
      <c r="P14" s="17"/>
      <c r="Q14" s="17"/>
      <c r="R14" s="17"/>
      <c r="S14" s="16"/>
      <c r="T14" s="17"/>
      <c r="U14" s="17"/>
      <c r="V14" s="17"/>
      <c r="W14" s="17"/>
      <c r="X14" s="17"/>
      <c r="Y14" s="17"/>
      <c r="Z14" s="17"/>
      <c r="AA14" s="17"/>
      <c r="AB14" s="17"/>
      <c r="AC14" s="17"/>
      <c r="AD14" s="19">
        <v>67.5</v>
      </c>
      <c r="AE14" s="19">
        <v>35</v>
      </c>
      <c r="AF14" s="19">
        <v>67.5</v>
      </c>
      <c r="AG14" s="19">
        <v>35</v>
      </c>
      <c r="AH14" s="19">
        <v>40</v>
      </c>
      <c r="AI14" s="19">
        <v>40</v>
      </c>
      <c r="AJ14" s="19">
        <v>35</v>
      </c>
      <c r="AK14" s="19">
        <v>35</v>
      </c>
      <c r="AL14" s="19">
        <v>40</v>
      </c>
      <c r="AM14" s="19">
        <v>27.5</v>
      </c>
      <c r="AN14" s="19">
        <v>45</v>
      </c>
      <c r="AO14" s="19">
        <v>75</v>
      </c>
      <c r="AP14" s="19">
        <v>40</v>
      </c>
      <c r="AQ14" s="19">
        <v>75</v>
      </c>
      <c r="AR14" s="19">
        <v>40</v>
      </c>
      <c r="AS14" s="19">
        <v>30</v>
      </c>
      <c r="AT14" s="19">
        <v>50</v>
      </c>
      <c r="AU14" s="19">
        <v>75</v>
      </c>
      <c r="AV14" s="19">
        <v>40</v>
      </c>
      <c r="AW14" s="19">
        <v>75</v>
      </c>
      <c r="AX14" s="19">
        <v>40</v>
      </c>
      <c r="AY14" s="19">
        <v>50</v>
      </c>
      <c r="AZ14" s="19">
        <v>65</v>
      </c>
      <c r="BA14" s="19">
        <v>35</v>
      </c>
      <c r="BB14" s="19">
        <v>45</v>
      </c>
      <c r="BC14" s="19">
        <v>50</v>
      </c>
      <c r="BD14" s="19">
        <v>0</v>
      </c>
      <c r="BE14" s="19">
        <v>65</v>
      </c>
      <c r="BF14" s="20">
        <v>70</v>
      </c>
      <c r="BG14" s="20"/>
    </row>
    <row r="15" spans="1:59">
      <c r="A15" s="67"/>
      <c r="B15" s="68" t="str">
        <f>Constants!H6</f>
        <v>Performance training</v>
      </c>
      <c r="C15" s="68" t="str">
        <f>Constants!H7</f>
        <v>Performance coaching</v>
      </c>
      <c r="D15" s="68" t="str">
        <f>Constants!H8</f>
        <v>Dangerous</v>
      </c>
      <c r="E15" s="69" t="str">
        <f>Constants!H9</f>
        <v>Recreational</v>
      </c>
      <c r="F15" s="69" t="s">
        <v>290</v>
      </c>
      <c r="G15" s="70"/>
      <c r="H15" s="71" t="s">
        <v>427</v>
      </c>
      <c r="I15" s="72" t="s">
        <v>272</v>
      </c>
      <c r="J15" s="70" t="s">
        <v>5</v>
      </c>
      <c r="K15" s="72" t="s">
        <v>428</v>
      </c>
      <c r="L15" s="70" t="s">
        <v>429</v>
      </c>
      <c r="M15" s="73" cm="1">
        <f t="array" ref="M15">(SUM(IF($D$48:$D$52="PT",($F$48:$F$52)/1.5+IF($G$48:$G$52="yes",1)))+SUM(IF($D$48:$D$52="Extern",($F$48:$F$52)/1.5+IF($G$48:$G$52="yes",1)))+SUM(IF($D$48:$D$52="PT-ZZP",($F$48:$F$52)/1.5+IF($G$48:$G$52="yes",1))))*Constants!B10</f>
        <v>0</v>
      </c>
      <c r="N15" s="17"/>
      <c r="O15" s="17"/>
      <c r="P15" s="17"/>
      <c r="Q15" s="17"/>
      <c r="R15" s="16"/>
      <c r="S15" s="17"/>
      <c r="T15" s="17"/>
      <c r="U15" s="17"/>
      <c r="V15" s="17"/>
      <c r="W15" s="17"/>
      <c r="X15" s="17"/>
      <c r="Y15" s="17"/>
      <c r="Z15" s="17"/>
      <c r="AA15" s="17"/>
      <c r="AB15" s="17"/>
      <c r="AC15" s="17"/>
      <c r="AD15" s="16">
        <f t="shared" ref="AD15:BF15" si="0">SUMIF($B$73:$B$90,AD13,$F$73:$F$90)</f>
        <v>126</v>
      </c>
      <c r="AE15" s="16">
        <f t="shared" si="0"/>
        <v>0</v>
      </c>
      <c r="AF15" s="16">
        <f t="shared" si="0"/>
        <v>42</v>
      </c>
      <c r="AG15" s="16">
        <f t="shared" si="0"/>
        <v>0</v>
      </c>
      <c r="AH15" s="16">
        <f t="shared" si="0"/>
        <v>63</v>
      </c>
      <c r="AI15" s="16">
        <f t="shared" si="0"/>
        <v>0</v>
      </c>
      <c r="AJ15" s="16">
        <f t="shared" si="0"/>
        <v>0</v>
      </c>
      <c r="AK15" s="16">
        <f t="shared" si="0"/>
        <v>0</v>
      </c>
      <c r="AL15" s="16">
        <f t="shared" si="0"/>
        <v>0</v>
      </c>
      <c r="AM15" s="16">
        <f t="shared" si="0"/>
        <v>0</v>
      </c>
      <c r="AN15" s="16">
        <f t="shared" si="0"/>
        <v>0</v>
      </c>
      <c r="AO15" s="16">
        <f t="shared" si="0"/>
        <v>0</v>
      </c>
      <c r="AP15" s="16">
        <f t="shared" si="0"/>
        <v>0</v>
      </c>
      <c r="AQ15" s="16">
        <f t="shared" si="0"/>
        <v>0</v>
      </c>
      <c r="AR15" s="16">
        <f t="shared" si="0"/>
        <v>0</v>
      </c>
      <c r="AS15" s="16">
        <f t="shared" si="0"/>
        <v>0</v>
      </c>
      <c r="AT15" s="16">
        <f t="shared" si="0"/>
        <v>0</v>
      </c>
      <c r="AU15" s="16">
        <f t="shared" si="0"/>
        <v>0</v>
      </c>
      <c r="AV15" s="16">
        <f t="shared" si="0"/>
        <v>0</v>
      </c>
      <c r="AW15" s="16">
        <f t="shared" si="0"/>
        <v>0</v>
      </c>
      <c r="AX15" s="16">
        <f t="shared" si="0"/>
        <v>0</v>
      </c>
      <c r="AY15" s="16">
        <f t="shared" si="0"/>
        <v>0</v>
      </c>
      <c r="AZ15" s="16">
        <f t="shared" si="0"/>
        <v>0</v>
      </c>
      <c r="BA15" s="16">
        <f t="shared" si="0"/>
        <v>0</v>
      </c>
      <c r="BB15" s="16">
        <f t="shared" si="0"/>
        <v>0</v>
      </c>
      <c r="BC15" s="16">
        <f t="shared" si="0"/>
        <v>0</v>
      </c>
      <c r="BD15" s="16">
        <f t="shared" si="0"/>
        <v>0</v>
      </c>
      <c r="BE15" s="16">
        <f t="shared" si="0"/>
        <v>0</v>
      </c>
      <c r="BF15" s="16">
        <f t="shared" si="0"/>
        <v>0</v>
      </c>
    </row>
    <row r="16" spans="1:59">
      <c r="A16" s="74" t="str">
        <f>Constants!E6</f>
        <v>PT</v>
      </c>
      <c r="B16" s="16">
        <f>SUMIFS('Messed Up'!$F$57:$F$69,'Messed Up'!$B$57:$B$69, B$15,'Messed Up'!$H$57:$H$69,$A16)*(1+Constants!$B$7)</f>
        <v>0</v>
      </c>
      <c r="C16" s="16">
        <f>SUMIFS('Messed Up'!$F$57:$F$69,'Messed Up'!$B$57:$B$69, C$15,'Messed Up'!$H$57:$H$69,$A16)</f>
        <v>0</v>
      </c>
      <c r="D16" s="16">
        <f>SUMIFS('Messed Up'!$F$57:$F$69,'Messed Up'!$B$57:$B$69, D$15,'Messed Up'!$H$57:$H$69,$A16)*(1+Constants!$B$7)</f>
        <v>0</v>
      </c>
      <c r="E16" s="16">
        <f>SUMIFS('Messed Up'!$F$57:$F$69,'Messed Up'!$B$57:$B$69, E$15,'Messed Up'!$H$57:$H$69,$A16)*(1+Constants!$B$7)</f>
        <v>0</v>
      </c>
      <c r="F16" s="16">
        <f>SUMIFS('Messed Up'!$F$57:$F$69,'Messed Up'!$B$57:$B$69, F$15,'Messed Up'!$H$57:$H$69,$A16)*(1+Constants!$B$7)</f>
        <v>0</v>
      </c>
      <c r="G16" s="74" t="s">
        <v>430</v>
      </c>
      <c r="H16" s="16">
        <f>SUMIF('Messed Up'!$B$73:$B$91,"&lt;&gt;External",'Messed Up'!$F$73:$F$91)</f>
        <v>231</v>
      </c>
      <c r="I16" s="75">
        <f>SUMIF('Messed Up'!$B$73:$B$91,"External",'Messed Up'!$F$73:$F$91)</f>
        <v>0</v>
      </c>
      <c r="J16" s="234">
        <f>SUM($F$94:$F$107)</f>
        <v>802.81</v>
      </c>
      <c r="K16" s="76">
        <f>IF(OR(ISBLANK(B7),ISBLANK(B9)), "ERROR",MAX(MIN(J16,B7*Constants!B15)-Constants!B14*B7,0)*IF(B9="yes",Constants!B16,IF(B9="no",Constants!B17,0)))</f>
        <v>362.24799999999999</v>
      </c>
      <c r="L16" s="77" t="s">
        <v>360</v>
      </c>
      <c r="M16" s="76">
        <f>E16*Constants!B6+E17*Constants!B8+E22+E21</f>
        <v>0</v>
      </c>
      <c r="N16" s="17"/>
      <c r="O16" s="17"/>
      <c r="P16" s="17"/>
      <c r="Q16" s="17"/>
      <c r="R16" s="16"/>
      <c r="S16" s="17"/>
      <c r="T16" s="17"/>
      <c r="U16" s="17"/>
      <c r="V16" s="17"/>
      <c r="W16" s="17"/>
      <c r="X16" s="17"/>
      <c r="Y16" s="17"/>
      <c r="Z16" s="17"/>
      <c r="AA16" s="17"/>
      <c r="AB16" s="17"/>
      <c r="AC16" s="17"/>
      <c r="AD16" s="19">
        <f t="shared" ref="AD16:BF16" si="1">AD14*AD15</f>
        <v>8505</v>
      </c>
      <c r="AE16" s="19">
        <f t="shared" si="1"/>
        <v>0</v>
      </c>
      <c r="AF16" s="19">
        <f t="shared" si="1"/>
        <v>2835</v>
      </c>
      <c r="AG16" s="19">
        <f t="shared" si="1"/>
        <v>0</v>
      </c>
      <c r="AH16" s="19">
        <f t="shared" si="1"/>
        <v>2520</v>
      </c>
      <c r="AI16" s="19">
        <f t="shared" si="1"/>
        <v>0</v>
      </c>
      <c r="AJ16" s="19">
        <f t="shared" si="1"/>
        <v>0</v>
      </c>
      <c r="AK16" s="19">
        <f t="shared" si="1"/>
        <v>0</v>
      </c>
      <c r="AL16" s="19">
        <f t="shared" si="1"/>
        <v>0</v>
      </c>
      <c r="AM16" s="19">
        <f t="shared" si="1"/>
        <v>0</v>
      </c>
      <c r="AN16" s="19">
        <f t="shared" si="1"/>
        <v>0</v>
      </c>
      <c r="AO16" s="19">
        <f t="shared" si="1"/>
        <v>0</v>
      </c>
      <c r="AP16" s="19">
        <f t="shared" si="1"/>
        <v>0</v>
      </c>
      <c r="AQ16" s="19">
        <f t="shared" si="1"/>
        <v>0</v>
      </c>
      <c r="AR16" s="19">
        <f t="shared" si="1"/>
        <v>0</v>
      </c>
      <c r="AS16" s="19">
        <f t="shared" si="1"/>
        <v>0</v>
      </c>
      <c r="AT16" s="19">
        <f t="shared" si="1"/>
        <v>0</v>
      </c>
      <c r="AU16" s="19">
        <f t="shared" si="1"/>
        <v>0</v>
      </c>
      <c r="AV16" s="19">
        <f t="shared" si="1"/>
        <v>0</v>
      </c>
      <c r="AW16" s="19">
        <f t="shared" si="1"/>
        <v>0</v>
      </c>
      <c r="AX16" s="19">
        <f t="shared" si="1"/>
        <v>0</v>
      </c>
      <c r="AY16" s="19">
        <f t="shared" si="1"/>
        <v>0</v>
      </c>
      <c r="AZ16" s="19">
        <f t="shared" si="1"/>
        <v>0</v>
      </c>
      <c r="BA16" s="19">
        <f t="shared" si="1"/>
        <v>0</v>
      </c>
      <c r="BB16" s="19">
        <f t="shared" si="1"/>
        <v>0</v>
      </c>
      <c r="BC16" s="19">
        <f t="shared" si="1"/>
        <v>0</v>
      </c>
      <c r="BD16" s="19">
        <f t="shared" si="1"/>
        <v>0</v>
      </c>
      <c r="BE16" s="19">
        <f t="shared" si="1"/>
        <v>0</v>
      </c>
      <c r="BF16" s="19">
        <f t="shared" si="1"/>
        <v>0</v>
      </c>
    </row>
    <row r="17" spans="1:36">
      <c r="A17" s="74" t="str">
        <f>Constants!E7</f>
        <v>PT-V</v>
      </c>
      <c r="B17" s="16">
        <f>SUMIFS('Messed Up'!$F$57:$F$69,'Messed Up'!$B$57:$B$69, B$15,'Messed Up'!$H$57:$H$69,$A17)*(1+Constants!$B$9)</f>
        <v>0</v>
      </c>
      <c r="C17" s="16">
        <f>SUMIFS('Messed Up'!$F$57:$F$69,'Messed Up'!$B$57:$B$69, C$15,'Messed Up'!$H$57:$H$69,$A17)</f>
        <v>0</v>
      </c>
      <c r="D17" s="16">
        <f>SUMIFS('Messed Up'!$F$57:$F$69,'Messed Up'!$B$57:$B$69, D$15,'Messed Up'!$H$57:$H$69,$A17)*(1+Constants!$B$9)</f>
        <v>0</v>
      </c>
      <c r="E17" s="16">
        <f>SUMIFS('Messed Up'!$F$57:$F$69,'Messed Up'!$B$57:$B$69, E$15,'Messed Up'!$H$57:$H$69,$A17)*(1+Constants!$B$9)</f>
        <v>0</v>
      </c>
      <c r="F17" s="16">
        <f>SUMIFS('Messed Up'!$F$57:$F$69,'Messed Up'!$B$57:$B$69, F$15,'Messed Up'!$H$57:$H$69,$A17)</f>
        <v>0</v>
      </c>
      <c r="G17" s="74" t="s">
        <v>38</v>
      </c>
      <c r="H17" s="78">
        <f>SUM(AD16:BZ16)</f>
        <v>13860</v>
      </c>
      <c r="I17" s="76" cm="1">
        <f t="array" ref="I17">SUM(IF($B$73:$B$89="External",$F$73:$F$89*$H$73:$H$89,0))</f>
        <v>0</v>
      </c>
      <c r="J17" s="79"/>
      <c r="K17" s="80"/>
      <c r="L17" s="77" t="s">
        <v>63</v>
      </c>
      <c r="M17" s="76">
        <f>J16-K16</f>
        <v>440.56199999999995</v>
      </c>
      <c r="N17" s="17"/>
      <c r="O17" s="17"/>
      <c r="P17" s="17"/>
      <c r="Q17" s="17"/>
      <c r="R17" s="16"/>
      <c r="S17" s="17"/>
      <c r="T17" s="17"/>
      <c r="U17" s="17"/>
      <c r="V17" s="17"/>
      <c r="W17" s="17"/>
      <c r="X17" s="17"/>
      <c r="Y17" s="17"/>
      <c r="Z17" s="17"/>
      <c r="AA17" s="17"/>
      <c r="AB17" s="17"/>
      <c r="AC17" s="17"/>
      <c r="AD17" s="17"/>
      <c r="AE17" s="17"/>
    </row>
    <row r="18" spans="1:36">
      <c r="A18" s="74" t="str">
        <f>Constants!E8</f>
        <v>PT-ZZP</v>
      </c>
      <c r="B18" s="16">
        <f>SUMIFS('Messed Up'!$F$57:$F$69,'Messed Up'!$B$57:$B$69, B$15,'Messed Up'!$H$57:$H$69,$A18)*(1+Constants!$B$7)</f>
        <v>0</v>
      </c>
      <c r="C18" s="16">
        <f>SUMIFS('Messed Up'!$F$57:$F$69,'Messed Up'!$B$57:$B$69, C$15,'Messed Up'!$H$57:$H$69,$A18)</f>
        <v>0</v>
      </c>
      <c r="D18" s="16">
        <f>SUMIFS('Messed Up'!$F$57:$F$69,'Messed Up'!$B$57:$B$69, D$15,'Messed Up'!$H$57:$H$69,$A18)*(1+Constants!$B$7)</f>
        <v>0</v>
      </c>
      <c r="E18" s="16">
        <f>SUMIFS('Messed Up'!$F$57:$F$69,'Messed Up'!$B$57:$B$69, E$15,'Messed Up'!$H$57:$H$69,$A18)*(1+Constants!$B$7)</f>
        <v>0</v>
      </c>
      <c r="F18" s="16">
        <f>SUMIFS('Messed Up'!$F$57:$F$69,'Messed Up'!$B$57:$B$69, F$15,'Messed Up'!$H$57:$H$69,$A18)*(1+Constants!$B$7)</f>
        <v>0</v>
      </c>
      <c r="G18" s="74"/>
      <c r="H18" s="78"/>
      <c r="I18" s="76"/>
      <c r="J18" s="79"/>
      <c r="K18" s="80"/>
      <c r="L18" s="77" t="s">
        <v>60</v>
      </c>
      <c r="M18" s="76" t="str">
        <f>IF(I17-Constants!I17*$B$7&gt;0,$I$17-Constants!I17*$B$7,"-")</f>
        <v>-</v>
      </c>
      <c r="N18" s="17"/>
      <c r="O18" s="17"/>
      <c r="P18" s="17"/>
      <c r="Q18" s="17"/>
      <c r="R18" s="16"/>
      <c r="S18" s="17"/>
      <c r="T18" s="17"/>
      <c r="U18" s="17"/>
      <c r="V18" s="17"/>
      <c r="W18" s="17"/>
      <c r="X18" s="17"/>
      <c r="Y18" s="17"/>
      <c r="Z18" s="17"/>
      <c r="AA18" s="17"/>
      <c r="AB18" s="17"/>
      <c r="AC18" s="17"/>
      <c r="AD18" s="17"/>
      <c r="AE18" s="17"/>
    </row>
    <row r="19" spans="1:36">
      <c r="A19" s="74" t="str">
        <f>Constants!E9</f>
        <v>RT</v>
      </c>
      <c r="B19" s="16">
        <f>SUMIFS('Messed Up'!$F$57:$F$69,'Messed Up'!$B$57:$B$69, B$15,'Messed Up'!$H$57:$H$69,$A19)</f>
        <v>0</v>
      </c>
      <c r="C19" s="16">
        <f>SUMIFS('Messed Up'!$F$57:$F$69,'Messed Up'!$B$57:$B$69, C$15,'Messed Up'!$H$57:$H$69,$A19)</f>
        <v>0</v>
      </c>
      <c r="D19" s="16">
        <f>SUMIFS('Messed Up'!$F$57:$F$69,'Messed Up'!$B$57:$B$69, D$15,'Messed Up'!$H$57:$H$69,$A19)</f>
        <v>0</v>
      </c>
      <c r="E19" s="16">
        <f>SUMIFS('Messed Up'!$F$57:$F$69,'Messed Up'!$B$57:$B$69, E$15,'Messed Up'!$H$57:$H$69,$A19)</f>
        <v>189</v>
      </c>
      <c r="F19" s="16">
        <f>SUMIFS('Messed Up'!$F$57:$F$69,'Messed Up'!$B$57:$B$69, F$15,'Messed Up'!$H$57:$H$69,$A19)</f>
        <v>0</v>
      </c>
      <c r="G19" s="74" t="s">
        <v>396</v>
      </c>
      <c r="H19" s="78"/>
      <c r="I19" s="76">
        <f>IF(B7*Constants!I17&lt;I17,B7*Constants!I17,I17)</f>
        <v>0</v>
      </c>
      <c r="J19" s="79"/>
      <c r="K19" s="80"/>
      <c r="L19" s="77" t="s">
        <v>431</v>
      </c>
      <c r="M19" s="255"/>
      <c r="N19" s="17"/>
      <c r="O19" s="17"/>
      <c r="P19" s="17"/>
      <c r="Q19" s="17"/>
      <c r="R19" s="16"/>
      <c r="S19" s="17"/>
      <c r="T19" s="17"/>
      <c r="U19" s="17"/>
      <c r="V19" s="17"/>
      <c r="W19" s="17"/>
      <c r="X19" s="17"/>
      <c r="Y19" s="17"/>
      <c r="Z19" s="17"/>
      <c r="AA19" s="17"/>
      <c r="AB19" s="17"/>
      <c r="AC19" s="17"/>
      <c r="AD19" s="17"/>
      <c r="AE19" s="17"/>
    </row>
    <row r="20" spans="1:36">
      <c r="A20" s="74" t="str">
        <f>Constants!E10</f>
        <v>Extern</v>
      </c>
      <c r="B20" s="16">
        <f>SUMIFS('Messed Up'!$F$57:$F$69,'Messed Up'!$B$57:$B$69, B$15,'Messed Up'!$H$57:$H$69,$A20)</f>
        <v>0</v>
      </c>
      <c r="C20" s="16">
        <f>SUMIFS('Messed Up'!$F$57:$F$69,'Messed Up'!$B$57:$B$69, C$15,'Messed Up'!$H$57:$H$69,$A20)</f>
        <v>0</v>
      </c>
      <c r="D20" s="16">
        <f>SUMIFS('Messed Up'!$F$57:$F$69,'Messed Up'!$B$57:$B$69, D$15,'Messed Up'!$H$57:$H$69,$A20)</f>
        <v>0</v>
      </c>
      <c r="E20" s="16">
        <f>SUMIFS('Messed Up'!$F$57:$F$69,'Messed Up'!$B$57:$B$69, E$15,'Messed Up'!$H$57:$H$69,$A20)</f>
        <v>0</v>
      </c>
      <c r="F20" s="16">
        <f>SUMIFS('Messed Up'!$F$57:$F$69,'Messed Up'!$B$57:$B$69, F$15,'Messed Up'!$H$57:$H$69,$A20)</f>
        <v>0</v>
      </c>
      <c r="G20" s="81"/>
      <c r="H20" s="16"/>
      <c r="I20" s="75"/>
      <c r="J20" s="79"/>
      <c r="K20" s="82"/>
      <c r="L20" s="83"/>
      <c r="M20" s="84"/>
      <c r="N20" s="17"/>
      <c r="O20" s="17"/>
      <c r="P20" s="17"/>
      <c r="Q20" s="17"/>
      <c r="R20" s="16"/>
      <c r="S20" s="17"/>
      <c r="T20" s="17"/>
      <c r="U20" s="17"/>
      <c r="V20" s="17"/>
      <c r="W20" s="17"/>
      <c r="X20" s="17"/>
      <c r="Y20" s="17"/>
      <c r="Z20" s="17"/>
      <c r="AA20" s="17"/>
      <c r="AB20" s="17"/>
      <c r="AC20" s="17"/>
      <c r="AD20" s="17"/>
      <c r="AE20" s="17"/>
    </row>
    <row r="21" spans="1:36">
      <c r="A21" s="74" t="str">
        <f>CONCATENATE(A18," Costs")</f>
        <v>PT-ZZP Costs</v>
      </c>
      <c r="B21" s="78">
        <f t="array" ref="B21">SUM(IF('Messed Up'!$B$57:$B$69=B$15,IF('Messed Up'!$H$57:$H$69="PT-ZZP",'Messed Up'!$F$57:$F$69*'Messed Up'!$I$57:$I$69*(1+Constants!$B$7),0),0))</f>
        <v>0</v>
      </c>
      <c r="C21" s="78">
        <f t="array" ref="C21">SUM(IF('Messed Up'!$B$57:$B$69=C$15,IF('Messed Up'!$H$57:$H$69="PT-ZZP",'Messed Up'!$F$57:$F$69*'Messed Up'!$I$57:$I$69,0),0))</f>
        <v>0</v>
      </c>
      <c r="D21" s="78">
        <f t="array" ref="D21">SUM(IF('Messed Up'!$B$57:$B$69=D$15,IF('Messed Up'!$H$57:$H$69="PT-ZZP",'Messed Up'!$F$57:$F$69*'Messed Up'!$I$57:$I$69*(1+Constants!$B$7),0),0))</f>
        <v>0</v>
      </c>
      <c r="E21" s="78">
        <f t="array" ref="E21">SUM(IF('Messed Up'!$B$57:$B$69=E$15,IF('Messed Up'!$H$57:$H$69="PT-ZZP",'Messed Up'!$F$57:$F$69*'Messed Up'!$I$57:$I$69*(1+Constants!$B$7),0),0))</f>
        <v>0</v>
      </c>
      <c r="F21" s="78">
        <f t="array" ref="F21">SUM(IF('Messed Up'!$B$57:$B$69=F$15,IF('Messed Up'!$H$57:$H$69="PT-ZZP",'Messed Up'!$F$57:$F$69*'Messed Up'!$I$57:$I$69*(1+Constants!$B$7),0),0))</f>
        <v>0</v>
      </c>
      <c r="G21" s="81"/>
      <c r="H21" s="16"/>
      <c r="I21" s="75"/>
      <c r="J21" s="79"/>
      <c r="K21" s="82"/>
      <c r="L21" s="77" t="s">
        <v>5</v>
      </c>
      <c r="M21" s="76">
        <f>SUM(M15:M20)</f>
        <v>440.56199999999995</v>
      </c>
      <c r="N21" s="17"/>
      <c r="O21" s="17"/>
      <c r="P21" s="17"/>
      <c r="Q21" s="17"/>
      <c r="R21" s="16"/>
      <c r="S21" s="17"/>
      <c r="T21" s="17"/>
      <c r="U21" s="17"/>
      <c r="V21" s="17"/>
      <c r="W21" s="17"/>
      <c r="X21" s="17"/>
      <c r="Y21" s="17"/>
      <c r="Z21" s="17"/>
      <c r="AA21" s="17"/>
      <c r="AB21" s="17"/>
      <c r="AC21" s="17"/>
      <c r="AD21" s="17"/>
      <c r="AE21" s="17"/>
    </row>
    <row r="22" spans="1:36" ht="15.75" customHeight="1">
      <c r="A22" s="74" t="str">
        <f>CONCATENATE(A20," Costs")</f>
        <v>Extern Costs</v>
      </c>
      <c r="B22" s="78">
        <f t="array" ref="B22">SUM(IF('Messed Up'!$B$57:$B$69=B$15,IF('Messed Up'!$H$57:$H$69="Extern",'Messed Up'!$F$57:$F$69*'Messed Up'!$I$57:$I$69,0),0))</f>
        <v>0</v>
      </c>
      <c r="C22" s="78">
        <f t="array" ref="C22">SUM(IF('Messed Up'!$B$57:$B$69=C$15,IF('Messed Up'!$H$57:$H$69="Extern",'Messed Up'!$F$57:$F$69*'Messed Up'!$I$57:$I$69,0),0))</f>
        <v>0</v>
      </c>
      <c r="D22" s="78">
        <f t="array" ref="D22">SUM(IF('Messed Up'!$B$57:$B$69=D$15,IF('Messed Up'!$H$57:$H$69="Extern",'Messed Up'!$F$57:$F$69*'Messed Up'!$I$57:$I$69,0),0))</f>
        <v>0</v>
      </c>
      <c r="E22" s="78">
        <f t="array" ref="E22">SUM(IF('Messed Up'!$B$57:$B$69=E$15,IF('Messed Up'!$H$57:$H$69="Extern",'Messed Up'!$F$57:$F$69*'Messed Up'!$I$57:$I$69,0),0))</f>
        <v>0</v>
      </c>
      <c r="F22" s="76">
        <f t="array" ref="F22">SUM(IF('Messed Up'!$B$57:$B$69=F$15,IF('Messed Up'!$H$57:$H$69="Extern",'Messed Up'!$F$57:$F$69*'Messed Up'!$I$57:$I$69,0),0))</f>
        <v>0</v>
      </c>
      <c r="G22" s="85"/>
      <c r="H22" s="177"/>
      <c r="I22" s="86"/>
      <c r="J22" s="87"/>
      <c r="K22" s="88"/>
      <c r="L22" s="87"/>
      <c r="M22" s="88"/>
      <c r="N22" s="17"/>
      <c r="O22" s="17"/>
      <c r="P22" s="17"/>
      <c r="Q22" s="17"/>
      <c r="R22" s="16"/>
      <c r="S22" s="17"/>
      <c r="T22" s="17"/>
      <c r="U22" s="17"/>
      <c r="V22" s="17"/>
      <c r="W22" s="17"/>
      <c r="X22" s="17"/>
      <c r="Y22" s="17"/>
      <c r="Z22" s="17"/>
      <c r="AA22" s="17"/>
      <c r="AB22" s="17"/>
      <c r="AC22" s="17"/>
      <c r="AD22" s="17"/>
      <c r="AE22" s="17"/>
    </row>
    <row r="23" spans="1:36" ht="15" customHeight="1">
      <c r="A23" s="74" t="s">
        <v>432</v>
      </c>
      <c r="B23" s="78"/>
      <c r="C23" s="78"/>
      <c r="D23" s="78"/>
      <c r="E23" s="78"/>
      <c r="F23" s="76">
        <f t="array" ref="F23">SUMIFS('Messed Up'!$F$57:$F$69,'Messed Up'!$B$57:$B$69,"Mentorship",'Messed Up'!$H$57:$H$69,"PT-V")*Constants!B8+SUMIFS('Messed Up'!$F$57:$F$69,'Messed Up'!$B$57:$B$69,"Mentorship",'Messed Up'!$H$57:$H$69,"PT")*Constants!B6+SUMPRODUCT(IF('Messed Up'!$B$57:$B$69="Mentorship",IF('Messed Up'!$H$57:$H$69="PT-ZZP",'Messed Up'!$F$57:$F$69*'Messed Up'!$I$57:$I$69,0)))</f>
        <v>0</v>
      </c>
    </row>
    <row r="24" spans="1:36" ht="15" customHeight="1">
      <c r="A24" s="89" t="s">
        <v>433</v>
      </c>
      <c r="B24" s="178"/>
      <c r="C24" s="178"/>
      <c r="D24" s="178"/>
      <c r="E24" s="178">
        <f>SUMIF('Messed Up'!$B$57:$B$69,"External Trainer Course",'Messed Up'!$I$57:$I$69)</f>
        <v>0</v>
      </c>
      <c r="F24" s="90"/>
    </row>
    <row r="25" spans="1:36" ht="15.75" customHeight="1">
      <c r="A25" s="16"/>
      <c r="B25" s="16"/>
      <c r="C25" s="16"/>
      <c r="D25" s="16"/>
      <c r="E25" s="17"/>
      <c r="F25" s="17"/>
      <c r="G25" s="17"/>
      <c r="H25" s="17"/>
      <c r="I25" s="17"/>
      <c r="J25" s="17"/>
      <c r="K25" s="17"/>
      <c r="L25" s="17"/>
      <c r="M25" s="17"/>
      <c r="N25" s="17"/>
      <c r="O25" s="17"/>
      <c r="P25" s="17"/>
      <c r="Q25" s="16"/>
      <c r="R25" s="17"/>
      <c r="S25" s="17"/>
      <c r="T25" s="17"/>
      <c r="U25" s="17"/>
      <c r="V25" s="17"/>
      <c r="W25" s="17"/>
      <c r="X25" s="17"/>
      <c r="Y25" s="17"/>
      <c r="Z25" s="17"/>
      <c r="AA25" s="17"/>
      <c r="AB25" s="17"/>
      <c r="AC25" s="17"/>
      <c r="AD25" s="17"/>
    </row>
    <row r="26" spans="1:36" ht="15.75" customHeight="1">
      <c r="A26" s="16"/>
      <c r="B26" s="16"/>
      <c r="C26" s="16"/>
      <c r="D26" s="16"/>
      <c r="E26" s="17"/>
      <c r="F26" s="17"/>
      <c r="G26" s="17"/>
      <c r="H26" s="17"/>
      <c r="I26" s="17"/>
      <c r="J26" s="17"/>
      <c r="K26" s="17"/>
      <c r="L26" s="17"/>
      <c r="M26" s="17"/>
      <c r="N26" s="17"/>
      <c r="O26" s="17"/>
      <c r="P26" s="17"/>
      <c r="Q26" s="16"/>
      <c r="R26" s="17"/>
      <c r="S26" s="17"/>
      <c r="T26" s="17"/>
      <c r="U26" s="17"/>
      <c r="V26" s="17"/>
      <c r="W26" s="17"/>
      <c r="X26" s="17"/>
      <c r="Y26" s="17"/>
      <c r="Z26" s="17"/>
      <c r="AA26" s="17"/>
      <c r="AB26" s="17"/>
      <c r="AC26" s="17"/>
      <c r="AD26" s="17"/>
    </row>
    <row r="27" spans="1:36" ht="15.75" customHeight="1" thickBot="1">
      <c r="A27" s="91" t="s">
        <v>434</v>
      </c>
      <c r="B27" s="17"/>
      <c r="C27" s="17"/>
      <c r="D27" s="17"/>
      <c r="E27" s="17"/>
      <c r="F27" s="17"/>
      <c r="G27" s="92"/>
      <c r="H27" s="19"/>
      <c r="I27" s="17"/>
      <c r="J27" s="17"/>
      <c r="K27" s="17"/>
      <c r="L27" s="17"/>
      <c r="M27" s="17"/>
      <c r="N27" s="17"/>
      <c r="O27" s="17"/>
      <c r="P27" s="17"/>
      <c r="Q27" s="16"/>
      <c r="R27" s="17"/>
      <c r="S27" s="17"/>
      <c r="T27" s="17"/>
      <c r="U27" s="17"/>
      <c r="V27" s="17"/>
      <c r="W27" s="17"/>
      <c r="X27" s="17"/>
      <c r="Y27" s="17"/>
      <c r="Z27" s="17"/>
      <c r="AA27" s="17"/>
      <c r="AB27" s="17"/>
      <c r="AC27" s="17"/>
      <c r="AD27" s="17"/>
    </row>
    <row r="28" spans="1:36" ht="15.75" customHeight="1" thickTop="1" thickBot="1">
      <c r="A28" s="706" t="s">
        <v>435</v>
      </c>
      <c r="B28" s="707"/>
      <c r="C28" s="707"/>
      <c r="D28" s="707"/>
      <c r="E28" s="707"/>
      <c r="F28" s="708"/>
      <c r="G28" s="15"/>
      <c r="H28" s="17"/>
      <c r="I28" s="17"/>
      <c r="J28" s="17"/>
      <c r="K28" s="17"/>
      <c r="L28" s="17"/>
      <c r="M28" s="17"/>
      <c r="N28" s="17"/>
      <c r="O28" s="17"/>
      <c r="P28" s="17"/>
      <c r="Q28" s="16"/>
      <c r="R28" s="17"/>
      <c r="S28" s="17"/>
      <c r="T28" s="17"/>
      <c r="U28" s="17"/>
      <c r="V28" s="17"/>
      <c r="W28" s="17"/>
      <c r="X28" s="17"/>
      <c r="Y28" s="17"/>
      <c r="Z28" s="17"/>
      <c r="AA28" s="17"/>
      <c r="AB28" s="17"/>
      <c r="AC28" s="17"/>
      <c r="AD28" s="242" t="s">
        <v>436</v>
      </c>
      <c r="AE28" s="16"/>
      <c r="AF28" s="128"/>
      <c r="AG28" s="51"/>
      <c r="AH28" s="51"/>
      <c r="AI28" s="51"/>
      <c r="AJ28" s="51"/>
    </row>
    <row r="29" spans="1:36" ht="15.75" customHeight="1" thickBot="1">
      <c r="A29" s="709" t="s">
        <v>437</v>
      </c>
      <c r="B29" s="696"/>
      <c r="C29" s="696"/>
      <c r="D29" s="696"/>
      <c r="E29" s="696"/>
      <c r="F29" s="710"/>
      <c r="G29" s="17"/>
      <c r="H29" s="17"/>
      <c r="I29" s="17"/>
      <c r="J29" s="17"/>
      <c r="K29" s="17"/>
      <c r="L29" s="17"/>
      <c r="M29" s="17"/>
      <c r="N29" s="17"/>
      <c r="O29" s="17"/>
      <c r="P29" s="17"/>
      <c r="Q29" s="16"/>
      <c r="R29" s="17"/>
      <c r="S29" s="17"/>
      <c r="T29" s="17"/>
      <c r="U29" s="17"/>
      <c r="V29" s="17"/>
      <c r="W29" s="17"/>
      <c r="X29" s="17"/>
      <c r="Y29" s="17"/>
      <c r="Z29" s="17"/>
      <c r="AA29" s="17"/>
      <c r="AB29" s="17"/>
      <c r="AC29" s="17"/>
      <c r="AD29" s="243" t="s">
        <v>438</v>
      </c>
      <c r="AE29" s="243" t="s">
        <v>439</v>
      </c>
      <c r="AF29" s="243" t="s">
        <v>440</v>
      </c>
      <c r="AG29" s="711" t="s">
        <v>441</v>
      </c>
      <c r="AH29" s="712"/>
      <c r="AI29" s="711" t="s">
        <v>434</v>
      </c>
      <c r="AJ29" s="712"/>
    </row>
    <row r="30" spans="1:36" ht="15.75" customHeight="1" thickBot="1">
      <c r="A30" s="709" t="s">
        <v>442</v>
      </c>
      <c r="B30" s="696"/>
      <c r="C30" s="696"/>
      <c r="D30" s="696"/>
      <c r="E30" s="696"/>
      <c r="F30" s="710"/>
      <c r="G30" s="17"/>
      <c r="H30" s="17"/>
      <c r="I30" s="17"/>
      <c r="J30" s="17"/>
      <c r="K30" s="17"/>
      <c r="L30" s="17"/>
      <c r="M30" s="17"/>
      <c r="N30" s="17"/>
      <c r="O30" s="17"/>
      <c r="P30" s="17"/>
      <c r="Q30" s="16"/>
      <c r="R30" s="17"/>
      <c r="S30" s="17"/>
      <c r="T30" s="17"/>
      <c r="U30" s="17"/>
      <c r="V30" s="17"/>
      <c r="W30" s="17"/>
      <c r="X30" s="17"/>
      <c r="Y30" s="17"/>
      <c r="Z30" s="17"/>
      <c r="AA30" s="17"/>
      <c r="AB30" s="17"/>
      <c r="AC30" s="17"/>
      <c r="AD30" s="244" t="str">
        <f>IF($B$12="individual",Constants!F55,Constants!L55)</f>
        <v>member count</v>
      </c>
      <c r="AE30" s="244">
        <f>B7</f>
        <v>35</v>
      </c>
      <c r="AF30" s="269">
        <f>IF(AE30&gt;=301,5,IF(AE30&gt;=176,4,IF(AE30&gt;=101,3,IF(AE30&gt;=51,2,1))))</f>
        <v>1</v>
      </c>
      <c r="AG30" s="560"/>
      <c r="AH30" s="560"/>
      <c r="AI30" s="560" t="s">
        <v>443</v>
      </c>
      <c r="AJ30" s="560"/>
    </row>
    <row r="31" spans="1:36" ht="15" customHeight="1" thickBot="1">
      <c r="A31" s="709" t="s">
        <v>444</v>
      </c>
      <c r="B31" s="696"/>
      <c r="C31" s="696"/>
      <c r="D31" s="696"/>
      <c r="E31" s="696"/>
      <c r="F31" s="710"/>
      <c r="G31" s="17"/>
      <c r="H31" s="17"/>
      <c r="I31" s="17"/>
      <c r="J31" s="17"/>
      <c r="K31" s="17"/>
      <c r="L31" s="17"/>
      <c r="M31" s="17"/>
      <c r="N31" s="17"/>
      <c r="O31" s="17"/>
      <c r="P31" s="17"/>
      <c r="Q31" s="16"/>
      <c r="R31" s="17"/>
      <c r="S31" s="17"/>
      <c r="T31" s="17"/>
      <c r="U31" s="17"/>
      <c r="V31" s="17"/>
      <c r="W31" s="17"/>
      <c r="X31" s="17"/>
      <c r="Y31" s="17"/>
      <c r="Z31" s="17"/>
      <c r="AA31" s="17"/>
      <c r="AB31" s="17"/>
      <c r="AC31" s="17"/>
      <c r="AD31" s="244" t="str">
        <f>IF($B$12="individual",Constants!F56,Constants!L56)</f>
        <v>number of trainings per week</v>
      </c>
      <c r="AE31" s="244" cm="1">
        <f t="array" ref="AE31">SUMPRODUCT(C57:C69*D57:D69)/42</f>
        <v>3</v>
      </c>
      <c r="AF31" s="270">
        <f>IF(AE31&gt;=4,3,IF(AE31&gt;=3,2,IF(AE31&gt;=2,1,0)))</f>
        <v>2</v>
      </c>
      <c r="AG31" s="560"/>
      <c r="AH31" s="560"/>
      <c r="AI31" s="560"/>
      <c r="AJ31" s="560"/>
    </row>
    <row r="32" spans="1:36" ht="15.75" customHeight="1" thickBot="1">
      <c r="A32" s="709" t="s">
        <v>445</v>
      </c>
      <c r="B32" s="696"/>
      <c r="C32" s="696"/>
      <c r="D32" s="696"/>
      <c r="E32" s="696"/>
      <c r="F32" s="710"/>
      <c r="G32" s="17"/>
      <c r="H32" s="16"/>
      <c r="I32" s="16"/>
      <c r="J32" s="16"/>
      <c r="K32" s="17"/>
      <c r="L32" s="17"/>
      <c r="M32" s="17"/>
      <c r="N32" s="17"/>
      <c r="O32" s="17"/>
      <c r="P32" s="17"/>
      <c r="Q32" s="16"/>
      <c r="R32" s="17"/>
      <c r="S32" s="17"/>
      <c r="T32" s="17"/>
      <c r="U32" s="17"/>
      <c r="V32" s="17"/>
      <c r="W32" s="17"/>
      <c r="X32" s="17"/>
      <c r="Y32" s="17"/>
      <c r="Z32" s="17"/>
      <c r="AA32" s="17"/>
      <c r="AB32" s="17"/>
      <c r="AC32" s="17"/>
      <c r="AD32" s="244" t="str">
        <f>IF($B$12="individual",Constants!F57,Constants!L57)</f>
        <v>number of trainings weeks per year</v>
      </c>
      <c r="AE32" s="252">
        <f>MAX(C57:C69)</f>
        <v>42</v>
      </c>
      <c r="AF32" s="250">
        <f>IF(AE32&gt;=40,3,IF(AE32&gt;=35,2,1))</f>
        <v>3</v>
      </c>
      <c r="AG32" s="560"/>
      <c r="AH32" s="560"/>
      <c r="AI32" s="560"/>
      <c r="AJ32" s="560"/>
    </row>
    <row r="33" spans="1:58" ht="15.75" customHeight="1" thickBot="1">
      <c r="A33" s="93" t="s">
        <v>446</v>
      </c>
      <c r="F33" s="94"/>
      <c r="G33" s="17"/>
      <c r="H33" s="16"/>
      <c r="I33" s="16"/>
      <c r="J33" s="16"/>
      <c r="K33" s="17"/>
      <c r="L33" s="17"/>
      <c r="M33" s="17"/>
      <c r="N33" s="17"/>
      <c r="O33" s="17"/>
      <c r="P33" s="17"/>
      <c r="Q33" s="16"/>
      <c r="R33" s="17"/>
      <c r="S33" s="17"/>
      <c r="T33" s="17"/>
      <c r="U33" s="17"/>
      <c r="V33" s="17"/>
      <c r="W33" s="17"/>
      <c r="X33" s="17"/>
      <c r="Y33" s="17"/>
      <c r="Z33" s="17"/>
      <c r="AA33" s="17"/>
      <c r="AB33" s="17"/>
      <c r="AC33" s="17"/>
      <c r="AD33" s="244" t="str">
        <f>IF($B$12="individual",Constants!F58,Constants!L58)</f>
        <v>number of training hours by RT / PT-V</v>
      </c>
      <c r="AE33" s="251">
        <f>(SUMIF(H57:H69,"RT",F57:F69)+SUMIF(H57:H69,"PT-V",F57:F69))/SUM(F57:F69)</f>
        <v>1</v>
      </c>
      <c r="AF33" s="270">
        <f>IF(AE33&gt;0.9,3,IF(AE33&gt;0.6,2,IF(AE33&gt;0.3,1,0)))</f>
        <v>3</v>
      </c>
      <c r="AG33" s="560"/>
      <c r="AH33" s="560"/>
      <c r="AI33" s="560"/>
      <c r="AJ33" s="560"/>
    </row>
    <row r="34" spans="1:58" ht="15.75" customHeight="1" thickBot="1">
      <c r="A34" s="713" t="s">
        <v>447</v>
      </c>
      <c r="B34" s="714"/>
      <c r="C34" s="714"/>
      <c r="D34" s="714"/>
      <c r="E34" s="714"/>
      <c r="F34" s="715"/>
      <c r="G34" s="17"/>
      <c r="H34" s="16"/>
      <c r="I34" s="16"/>
      <c r="J34" s="16"/>
      <c r="K34" s="17"/>
      <c r="L34" s="17"/>
      <c r="M34" s="17"/>
      <c r="N34" s="17"/>
      <c r="O34" s="17"/>
      <c r="P34" s="17"/>
      <c r="Q34" s="16"/>
      <c r="R34" s="17"/>
      <c r="S34" s="17"/>
      <c r="T34" s="17"/>
      <c r="U34" s="17"/>
      <c r="V34" s="17"/>
      <c r="W34" s="17"/>
      <c r="X34" s="17"/>
      <c r="Y34" s="17"/>
      <c r="Z34" s="17"/>
      <c r="AA34" s="17"/>
      <c r="AB34" s="17"/>
      <c r="AC34" s="17"/>
      <c r="AD34" s="244" t="str">
        <f>IF($B$12="individual",Constants!F59,Constants!L59)</f>
        <v>number of training groups / teams</v>
      </c>
      <c r="AE34" s="244">
        <f>B10</f>
        <v>5</v>
      </c>
      <c r="AF34" s="271">
        <f>IF(AE34&gt;9,3,IF(AE34&gt;4,2,IF(AE34&gt;2,1,0)))</f>
        <v>2</v>
      </c>
      <c r="AG34" s="560"/>
      <c r="AH34" s="560"/>
      <c r="AI34" s="560"/>
      <c r="AJ34" s="560"/>
    </row>
    <row r="35" spans="1:58" ht="15.75" customHeight="1" thickTop="1" thickBot="1">
      <c r="A35" s="16"/>
      <c r="G35" s="17"/>
      <c r="H35" s="16"/>
      <c r="I35" s="16"/>
      <c r="J35" s="16"/>
      <c r="K35" s="17"/>
      <c r="L35" s="17"/>
      <c r="M35" s="17"/>
      <c r="N35" s="17"/>
      <c r="O35" s="17"/>
      <c r="P35" s="17"/>
      <c r="Q35" s="16"/>
      <c r="R35" s="17"/>
      <c r="S35" s="17"/>
      <c r="T35" s="17"/>
      <c r="U35" s="17"/>
      <c r="V35" s="17"/>
      <c r="W35" s="17"/>
      <c r="X35" s="17"/>
      <c r="Y35" s="17"/>
      <c r="Z35" s="17"/>
      <c r="AA35" s="17"/>
      <c r="AB35" s="17"/>
      <c r="AC35" s="17"/>
      <c r="AD35" s="244" t="str">
        <f>IF($B$12="individual",Constants!F60,Constants!L60)</f>
        <v>number of competitions organised</v>
      </c>
      <c r="AE35" s="249">
        <v>2</v>
      </c>
      <c r="AF35" s="271">
        <f>IF(AE35&gt;=4,5,IF(AE35&gt;=2,3,IF(AE35&gt;=1,1,0)))</f>
        <v>3</v>
      </c>
      <c r="AG35" s="560"/>
      <c r="AH35" s="560"/>
      <c r="AI35" s="560"/>
      <c r="AJ35" s="560"/>
    </row>
    <row r="36" spans="1:58" ht="15.75" customHeight="1" thickBot="1">
      <c r="A36" s="179" t="s">
        <v>448</v>
      </c>
      <c r="B36" s="16"/>
      <c r="C36" s="16"/>
      <c r="D36" s="16"/>
      <c r="E36" s="16"/>
      <c r="F36" s="16"/>
      <c r="G36" s="16"/>
      <c r="H36" s="16"/>
      <c r="I36" s="16"/>
      <c r="J36" s="16"/>
      <c r="K36" s="16"/>
      <c r="L36" s="16"/>
      <c r="M36" s="16"/>
      <c r="N36" s="16"/>
      <c r="O36" s="16"/>
      <c r="P36" s="16"/>
      <c r="Q36" s="16"/>
      <c r="R36" s="16"/>
      <c r="S36" s="16"/>
      <c r="T36" s="16"/>
      <c r="U36" s="16"/>
      <c r="V36" s="16"/>
      <c r="W36" s="16"/>
      <c r="X36" s="16"/>
      <c r="Y36" s="16"/>
      <c r="Z36" s="16"/>
      <c r="AA36" s="16"/>
      <c r="AB36" s="18"/>
      <c r="AC36" s="16"/>
      <c r="AD36" s="244" t="str">
        <f>IF($B$12="individual",Constants!F61,Constants!L61)</f>
        <v>number of social activities</v>
      </c>
      <c r="AE36" s="249">
        <v>10</v>
      </c>
      <c r="AF36" s="271">
        <f>IF(AE36&gt;=20,2,IF(AE36&gt;=10,1,0))</f>
        <v>1</v>
      </c>
      <c r="AG36" s="560"/>
      <c r="AH36" s="560"/>
      <c r="AI36" s="560"/>
      <c r="AJ36" s="560"/>
    </row>
    <row r="37" spans="1:58" ht="15" customHeight="1" thickTop="1" thickBot="1">
      <c r="A37" s="258" t="s">
        <v>449</v>
      </c>
      <c r="B37" s="259" t="s">
        <v>450</v>
      </c>
      <c r="C37" s="258" t="s">
        <v>451</v>
      </c>
      <c r="D37" s="258" t="s">
        <v>452</v>
      </c>
      <c r="E37" s="258" t="s">
        <v>453</v>
      </c>
      <c r="F37" s="258" t="s">
        <v>454</v>
      </c>
      <c r="G37" s="259" t="s">
        <v>455</v>
      </c>
      <c r="H37" s="561" t="s">
        <v>456</v>
      </c>
      <c r="I37" s="716"/>
      <c r="J37" s="717"/>
      <c r="K37" s="98"/>
      <c r="L37" s="98"/>
      <c r="M37" s="98"/>
      <c r="N37" s="98"/>
      <c r="O37" s="98"/>
      <c r="P37" s="98"/>
      <c r="Q37" s="98"/>
      <c r="R37" s="98"/>
      <c r="S37" s="98"/>
      <c r="T37" s="98"/>
      <c r="U37" s="96"/>
      <c r="V37" s="96"/>
      <c r="W37" s="96"/>
      <c r="X37" s="96"/>
      <c r="Y37" s="99"/>
      <c r="Z37" s="96"/>
      <c r="AA37" s="96"/>
      <c r="AB37" s="100"/>
      <c r="AC37" s="100"/>
      <c r="AD37" s="244" t="str">
        <f>IF($B$12="individual",Constants!F62,Constants!L62)</f>
        <v>number of bar days</v>
      </c>
      <c r="AE37" s="249">
        <v>6</v>
      </c>
      <c r="AF37" s="271">
        <f>IF(AE37&gt;=15,2,IF(AE37&gt;=8,1,0))</f>
        <v>0</v>
      </c>
      <c r="AG37" s="560"/>
      <c r="AH37" s="560"/>
      <c r="AI37" s="560"/>
      <c r="AJ37" s="560"/>
      <c r="AK37" s="100"/>
      <c r="AL37" s="100"/>
      <c r="AM37" s="100"/>
      <c r="AN37" s="100"/>
      <c r="AO37" s="100"/>
      <c r="AP37" s="100"/>
      <c r="AQ37" s="100"/>
      <c r="AR37" s="100"/>
      <c r="AS37" s="100"/>
      <c r="AT37" s="100"/>
      <c r="AU37" s="100"/>
      <c r="AV37" s="100"/>
      <c r="AW37" s="100"/>
      <c r="AX37" s="100"/>
      <c r="AY37" s="100"/>
      <c r="AZ37" s="100"/>
      <c r="BA37" s="100"/>
      <c r="BB37" s="100"/>
      <c r="BC37" s="100"/>
      <c r="BD37" s="100"/>
      <c r="BE37" s="100"/>
      <c r="BF37" s="100"/>
    </row>
    <row r="38" spans="1:58" ht="14.25" customHeight="1" thickTop="1" thickBot="1">
      <c r="A38" s="312" t="s">
        <v>556</v>
      </c>
      <c r="B38" s="232">
        <v>14</v>
      </c>
      <c r="C38" s="269">
        <v>2</v>
      </c>
      <c r="D38" s="269">
        <v>42</v>
      </c>
      <c r="E38" s="313" t="s">
        <v>55</v>
      </c>
      <c r="F38" s="261" t="s">
        <v>1329</v>
      </c>
      <c r="G38" s="323"/>
      <c r="H38" s="618" t="s">
        <v>1330</v>
      </c>
      <c r="I38" s="741"/>
      <c r="J38" s="742"/>
      <c r="K38" s="16"/>
      <c r="L38" s="16"/>
      <c r="M38" s="16"/>
      <c r="N38" s="16"/>
      <c r="O38" s="16"/>
      <c r="P38" s="16"/>
      <c r="Q38" s="16"/>
      <c r="R38" s="16"/>
      <c r="S38" s="16"/>
      <c r="T38" s="16"/>
      <c r="U38" s="16"/>
      <c r="V38" s="16"/>
      <c r="W38" s="16"/>
      <c r="X38" s="16"/>
      <c r="Y38" s="17"/>
      <c r="Z38" s="16"/>
      <c r="AA38" s="16"/>
      <c r="AD38" s="244" t="str">
        <f>IF($B$12="individual",Constants!F63,Constants!L63)</f>
        <v>own bar / extra location</v>
      </c>
      <c r="AE38" s="249">
        <v>0</v>
      </c>
      <c r="AF38" s="271">
        <f>IF(AE38&gt;=15,2,IF(AE38&gt;=8,1,0))</f>
        <v>0</v>
      </c>
      <c r="AG38" s="560"/>
      <c r="AH38" s="560"/>
      <c r="AI38" s="560"/>
      <c r="AJ38" s="560"/>
    </row>
    <row r="39" spans="1:58" ht="14.25" customHeight="1" thickBot="1">
      <c r="A39" s="312" t="s">
        <v>558</v>
      </c>
      <c r="B39" s="232">
        <v>10</v>
      </c>
      <c r="C39" s="269">
        <v>2</v>
      </c>
      <c r="D39" s="269">
        <v>42</v>
      </c>
      <c r="E39" s="313" t="s">
        <v>55</v>
      </c>
      <c r="F39" s="261" t="s">
        <v>1331</v>
      </c>
      <c r="G39" s="325"/>
      <c r="H39" s="743"/>
      <c r="I39" s="744"/>
      <c r="J39" s="745"/>
      <c r="K39" s="16"/>
      <c r="L39" s="16"/>
      <c r="M39" s="16"/>
      <c r="N39" s="16"/>
      <c r="O39" s="16"/>
      <c r="P39" s="16"/>
      <c r="Q39" s="16"/>
      <c r="R39" s="16"/>
      <c r="S39" s="16"/>
      <c r="T39" s="16"/>
      <c r="U39" s="16"/>
      <c r="V39" s="16"/>
      <c r="W39" s="16"/>
      <c r="X39" s="16"/>
      <c r="Y39" s="17"/>
      <c r="Z39" s="16"/>
      <c r="AA39" s="16"/>
      <c r="AD39" s="244" t="str">
        <f>IF($B$12="individual",Constants!F65,Constants!L64)</f>
        <v>number of facilities used</v>
      </c>
      <c r="AE39" s="249">
        <v>1</v>
      </c>
      <c r="AF39" s="273">
        <f>IF(B12="individual", IF(AE39&gt;10, 5, IF(AE39&gt;6, 3, IF(AE39&gt;2, 1, 0))), IF(AE39&gt;3, 3, IF(AE39&gt;1, 2, 1)))</f>
        <v>1</v>
      </c>
      <c r="AG39" s="560"/>
      <c r="AH39" s="560"/>
      <c r="AI39" s="560"/>
      <c r="AJ39" s="560"/>
    </row>
    <row r="40" spans="1:58" ht="15.75" customHeight="1" thickBot="1">
      <c r="A40" s="312" t="s">
        <v>563</v>
      </c>
      <c r="B40" s="232">
        <v>5</v>
      </c>
      <c r="C40" s="269">
        <v>2</v>
      </c>
      <c r="D40" s="269">
        <v>42</v>
      </c>
      <c r="E40" s="245" t="s">
        <v>55</v>
      </c>
      <c r="F40" s="261" t="s">
        <v>1329</v>
      </c>
      <c r="G40" s="231"/>
      <c r="H40" s="743"/>
      <c r="I40" s="744"/>
      <c r="J40" s="745"/>
      <c r="K40" s="16"/>
      <c r="L40" s="16"/>
      <c r="M40" s="16"/>
      <c r="N40" s="16"/>
      <c r="O40" s="16"/>
      <c r="P40" s="16"/>
      <c r="Q40" s="16"/>
      <c r="R40" s="16"/>
      <c r="S40" s="16"/>
      <c r="T40" s="16"/>
      <c r="U40" s="16"/>
      <c r="V40" s="16"/>
      <c r="W40" s="16"/>
      <c r="X40" s="16"/>
      <c r="Y40" s="16"/>
      <c r="Z40" s="16"/>
      <c r="AA40" s="16"/>
      <c r="AD40" s="231" t="str">
        <f>IF($B$12="individual",Constants!F64,Constants!L65)</f>
        <v>ratio of competing teams / training teams</v>
      </c>
      <c r="AE40" s="231">
        <f>IF(AD40="n/a","",COUNTA(A48:A52)/COUNTA(A38:A44))</f>
        <v>0.4</v>
      </c>
      <c r="AF40" s="272">
        <f>IF(B12="group", IF(AE40&gt;0.15, 5, IF(AE40&gt;0.1, 3, IF(AE40&gt;0.05, 1, 0))), " ")</f>
        <v>5</v>
      </c>
      <c r="AG40" s="560"/>
      <c r="AH40" s="560"/>
      <c r="AI40" s="560"/>
      <c r="AJ40" s="560"/>
    </row>
    <row r="41" spans="1:58" ht="15.75" customHeight="1" thickBot="1">
      <c r="A41" s="231" t="s">
        <v>1332</v>
      </c>
      <c r="B41" s="232">
        <v>10</v>
      </c>
      <c r="C41" s="231">
        <v>2</v>
      </c>
      <c r="D41" s="231">
        <v>42</v>
      </c>
      <c r="E41" s="245" t="s">
        <v>55</v>
      </c>
      <c r="F41" s="261" t="s">
        <v>287</v>
      </c>
      <c r="G41" s="231"/>
      <c r="H41" s="743"/>
      <c r="I41" s="744"/>
      <c r="J41" s="745"/>
      <c r="K41" s="16"/>
      <c r="L41" s="16"/>
      <c r="M41" s="16"/>
      <c r="N41" s="16"/>
      <c r="O41" s="16"/>
      <c r="P41" s="16"/>
      <c r="Q41" s="16"/>
      <c r="R41" s="16"/>
      <c r="S41" s="16"/>
      <c r="T41" s="16"/>
      <c r="U41" s="16"/>
      <c r="V41" s="16"/>
      <c r="W41" s="16"/>
      <c r="X41" s="16"/>
      <c r="Y41" s="16"/>
      <c r="Z41" s="16"/>
      <c r="AA41" s="16"/>
      <c r="AD41" s="16"/>
      <c r="AE41" s="275" t="s">
        <v>461</v>
      </c>
      <c r="AF41" s="277">
        <f>SUM(AF30:AF40)</f>
        <v>21</v>
      </c>
      <c r="AG41" s="247"/>
      <c r="AH41" s="245"/>
      <c r="AI41" s="246"/>
      <c r="AJ41" s="247"/>
    </row>
    <row r="42" spans="1:58" ht="15.75" customHeight="1">
      <c r="A42" s="231" t="s">
        <v>1333</v>
      </c>
      <c r="B42" s="232">
        <v>2</v>
      </c>
      <c r="C42" s="231">
        <v>2</v>
      </c>
      <c r="D42" s="231">
        <v>42</v>
      </c>
      <c r="E42" s="245" t="s">
        <v>55</v>
      </c>
      <c r="F42" s="261" t="s">
        <v>287</v>
      </c>
      <c r="G42" s="231"/>
      <c r="H42" s="743"/>
      <c r="I42" s="744"/>
      <c r="J42" s="745"/>
      <c r="K42" s="16"/>
      <c r="L42" s="16"/>
      <c r="M42" s="16"/>
      <c r="N42" s="16"/>
      <c r="O42" s="16"/>
      <c r="P42" s="16"/>
      <c r="Q42" s="16"/>
      <c r="R42" s="16"/>
      <c r="S42" s="16"/>
      <c r="T42" s="16"/>
      <c r="U42" s="16"/>
      <c r="V42" s="16"/>
      <c r="W42" s="16"/>
      <c r="X42" s="16"/>
      <c r="Y42" s="16"/>
      <c r="Z42" s="16"/>
      <c r="AA42" s="16"/>
    </row>
    <row r="43" spans="1:58" ht="15.75" customHeight="1">
      <c r="A43" s="231"/>
      <c r="B43" s="232"/>
      <c r="C43" s="231"/>
      <c r="D43" s="232"/>
      <c r="E43" s="245"/>
      <c r="F43" s="261"/>
      <c r="G43" s="231"/>
      <c r="H43" s="743"/>
      <c r="I43" s="744"/>
      <c r="J43" s="745"/>
      <c r="K43" s="16"/>
      <c r="L43" s="16"/>
      <c r="M43" s="16"/>
      <c r="N43" s="16"/>
      <c r="O43" s="16"/>
      <c r="P43" s="16"/>
      <c r="Q43" s="16"/>
      <c r="R43" s="16"/>
      <c r="S43" s="16"/>
      <c r="T43" s="16"/>
      <c r="U43" s="16"/>
      <c r="V43" s="16"/>
      <c r="W43" s="16"/>
      <c r="X43" s="16"/>
      <c r="Y43" s="16"/>
      <c r="Z43" s="16"/>
      <c r="AA43" s="16"/>
    </row>
    <row r="44" spans="1:58" ht="15.75" customHeight="1" thickBot="1">
      <c r="A44" s="231"/>
      <c r="B44" s="326"/>
      <c r="C44" s="245"/>
      <c r="D44" s="232"/>
      <c r="E44" s="261"/>
      <c r="F44" s="261"/>
      <c r="G44" s="231"/>
      <c r="H44" s="746"/>
      <c r="I44" s="747"/>
      <c r="J44" s="748"/>
      <c r="K44" s="16"/>
      <c r="L44" s="16"/>
      <c r="M44" s="16"/>
      <c r="N44" s="16"/>
      <c r="O44" s="16"/>
      <c r="P44" s="16"/>
      <c r="Q44" s="16"/>
      <c r="R44" s="16"/>
      <c r="S44" s="16"/>
      <c r="T44" s="16"/>
      <c r="U44" s="16"/>
      <c r="V44" s="16"/>
      <c r="W44" s="16"/>
      <c r="X44" s="16"/>
      <c r="Y44" s="16"/>
      <c r="Z44" s="16"/>
      <c r="AA44" s="16"/>
    </row>
    <row r="45" spans="1:58" ht="15.75" customHeight="1" thickTop="1">
      <c r="A45" s="18"/>
      <c r="B45" s="18"/>
      <c r="C45" s="18"/>
      <c r="D45" s="18"/>
      <c r="E45" s="18"/>
      <c r="F45" s="18"/>
      <c r="G45" s="17"/>
      <c r="H45" s="17"/>
      <c r="I45" s="17"/>
      <c r="J45" s="17"/>
      <c r="K45" s="17"/>
      <c r="L45" s="17"/>
      <c r="M45" s="17"/>
      <c r="N45" s="17"/>
      <c r="O45" s="17"/>
      <c r="P45" s="17"/>
      <c r="Q45" s="16"/>
      <c r="R45" s="17"/>
      <c r="S45" s="17"/>
      <c r="T45" s="17"/>
      <c r="U45" s="17"/>
      <c r="V45" s="17"/>
      <c r="W45" s="17"/>
      <c r="X45" s="17"/>
      <c r="Y45" s="17"/>
      <c r="Z45" s="17"/>
      <c r="AA45" s="17"/>
      <c r="AB45" s="17"/>
      <c r="AC45" s="17"/>
      <c r="AD45" s="17"/>
    </row>
    <row r="46" spans="1:58" ht="15.75" customHeight="1" thickBot="1">
      <c r="A46" s="179" t="s">
        <v>462</v>
      </c>
      <c r="B46" s="169"/>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8"/>
      <c r="AC46" s="16"/>
      <c r="AD46" s="16"/>
    </row>
    <row r="47" spans="1:58" ht="15" customHeight="1" thickTop="1" thickBot="1">
      <c r="A47" s="258" t="s">
        <v>449</v>
      </c>
      <c r="B47" s="259" t="s">
        <v>450</v>
      </c>
      <c r="C47" s="258" t="s">
        <v>463</v>
      </c>
      <c r="D47" s="258" t="s">
        <v>464</v>
      </c>
      <c r="E47" s="258" t="s">
        <v>465</v>
      </c>
      <c r="F47" s="258" t="s">
        <v>466</v>
      </c>
      <c r="G47" s="258" t="s">
        <v>467</v>
      </c>
      <c r="H47" s="259" t="s">
        <v>455</v>
      </c>
      <c r="I47" s="561" t="s">
        <v>456</v>
      </c>
      <c r="J47" s="716"/>
      <c r="K47" s="717"/>
      <c r="L47" s="98"/>
      <c r="M47" s="98"/>
      <c r="N47" s="98"/>
      <c r="O47" s="98"/>
      <c r="P47" s="98"/>
      <c r="Q47" s="98"/>
      <c r="R47" s="98"/>
      <c r="S47" s="98"/>
      <c r="T47" s="98"/>
      <c r="U47" s="98"/>
      <c r="V47" s="96"/>
      <c r="W47" s="96"/>
      <c r="X47" s="96"/>
      <c r="Y47" s="96"/>
      <c r="Z47" s="99"/>
      <c r="AA47" s="96"/>
      <c r="AB47" s="96"/>
      <c r="AC47" s="100"/>
      <c r="AD47" s="100"/>
      <c r="AE47" s="100"/>
      <c r="AF47" s="100"/>
      <c r="AG47" s="100"/>
      <c r="AH47" s="100"/>
      <c r="AI47" s="100"/>
      <c r="AJ47" s="100"/>
      <c r="AK47" s="100"/>
      <c r="AL47" s="100"/>
      <c r="AM47" s="100"/>
      <c r="AN47" s="100"/>
      <c r="AO47" s="100"/>
      <c r="AP47" s="100"/>
      <c r="AQ47" s="100"/>
      <c r="AR47" s="100"/>
      <c r="AS47" s="100"/>
      <c r="AT47" s="100"/>
      <c r="AU47" s="100"/>
      <c r="AV47" s="100"/>
      <c r="AW47" s="100"/>
      <c r="AX47" s="100"/>
      <c r="AY47" s="100"/>
      <c r="AZ47" s="100"/>
      <c r="BA47" s="100"/>
      <c r="BB47" s="100"/>
      <c r="BC47" s="100"/>
      <c r="BD47" s="100"/>
      <c r="BE47" s="100"/>
      <c r="BF47" s="100"/>
    </row>
    <row r="48" spans="1:58" ht="14.25" customHeight="1" thickTop="1">
      <c r="A48" s="312" t="s">
        <v>556</v>
      </c>
      <c r="B48" s="232">
        <v>14</v>
      </c>
      <c r="C48" s="269"/>
      <c r="D48" s="269" t="s">
        <v>55</v>
      </c>
      <c r="E48" s="327"/>
      <c r="F48" s="327"/>
      <c r="G48" s="323"/>
      <c r="H48" s="323"/>
      <c r="I48" s="618"/>
      <c r="J48" s="741"/>
      <c r="K48" s="742"/>
      <c r="L48" s="16"/>
      <c r="M48" s="16"/>
      <c r="N48" s="16"/>
      <c r="O48" s="16"/>
      <c r="P48" s="16"/>
      <c r="Q48" s="16"/>
      <c r="R48" s="16"/>
      <c r="S48" s="16"/>
      <c r="T48" s="16"/>
      <c r="U48" s="16"/>
      <c r="V48" s="16"/>
      <c r="W48" s="16"/>
      <c r="X48" s="16"/>
      <c r="Y48" s="16"/>
      <c r="Z48" s="17"/>
      <c r="AA48" s="16"/>
      <c r="AB48" s="16"/>
    </row>
    <row r="49" spans="1:30" ht="14.25" customHeight="1">
      <c r="A49" s="312" t="s">
        <v>563</v>
      </c>
      <c r="B49" s="232">
        <v>5</v>
      </c>
      <c r="C49" s="269"/>
      <c r="D49" s="269" t="s">
        <v>55</v>
      </c>
      <c r="E49" s="328"/>
      <c r="F49" s="327"/>
      <c r="G49" s="323"/>
      <c r="H49" s="323"/>
      <c r="I49" s="743"/>
      <c r="J49" s="744"/>
      <c r="K49" s="745"/>
      <c r="L49" s="16"/>
      <c r="M49" s="16"/>
      <c r="N49" s="16"/>
      <c r="O49" s="16"/>
      <c r="P49" s="16"/>
      <c r="Q49" s="16"/>
      <c r="R49" s="16"/>
      <c r="S49" s="16"/>
      <c r="T49" s="16"/>
      <c r="U49" s="16"/>
      <c r="V49" s="16"/>
      <c r="W49" s="16"/>
      <c r="X49" s="16"/>
      <c r="Y49" s="16"/>
      <c r="Z49" s="17"/>
      <c r="AA49" s="16"/>
      <c r="AB49" s="16"/>
    </row>
    <row r="50" spans="1:30" ht="15.75" customHeight="1">
      <c r="A50" s="323"/>
      <c r="B50" s="323"/>
      <c r="C50" s="323"/>
      <c r="D50" s="312"/>
      <c r="E50" s="328"/>
      <c r="F50" s="327"/>
      <c r="G50" s="329"/>
      <c r="H50" s="323"/>
      <c r="I50" s="743"/>
      <c r="J50" s="744"/>
      <c r="K50" s="745"/>
      <c r="L50" s="16"/>
      <c r="M50" s="16"/>
      <c r="N50" s="16"/>
      <c r="O50" s="16"/>
      <c r="P50" s="16"/>
      <c r="Q50" s="16"/>
      <c r="R50" s="16"/>
      <c r="S50" s="16"/>
      <c r="T50" s="16"/>
      <c r="U50" s="16"/>
      <c r="V50" s="16"/>
      <c r="W50" s="16"/>
      <c r="X50" s="16"/>
      <c r="Y50" s="16"/>
      <c r="Z50" s="16"/>
      <c r="AA50" s="16"/>
      <c r="AB50" s="16"/>
    </row>
    <row r="51" spans="1:30" ht="15.75" customHeight="1">
      <c r="A51" s="231"/>
      <c r="B51" s="232"/>
      <c r="C51" s="231"/>
      <c r="D51" s="269"/>
      <c r="E51" s="245"/>
      <c r="F51" s="261"/>
      <c r="G51" s="263"/>
      <c r="H51" s="231"/>
      <c r="I51" s="743"/>
      <c r="J51" s="744"/>
      <c r="K51" s="745"/>
      <c r="L51" s="16"/>
      <c r="M51" s="16"/>
      <c r="N51" s="16"/>
      <c r="O51" s="16"/>
      <c r="P51" s="16"/>
      <c r="Q51" s="16"/>
      <c r="R51" s="16"/>
      <c r="S51" s="16"/>
      <c r="T51" s="16"/>
      <c r="U51" s="16"/>
      <c r="V51" s="16"/>
      <c r="W51" s="16"/>
      <c r="X51" s="16"/>
      <c r="Y51" s="16"/>
      <c r="Z51" s="16"/>
      <c r="AA51" s="16"/>
      <c r="AB51" s="16"/>
    </row>
    <row r="52" spans="1:30" ht="15.75" customHeight="1" thickBot="1">
      <c r="A52" s="231"/>
      <c r="B52" s="326"/>
      <c r="C52" s="245"/>
      <c r="D52" s="245"/>
      <c r="E52" s="261"/>
      <c r="F52" s="261"/>
      <c r="G52" s="263"/>
      <c r="H52" s="231"/>
      <c r="I52" s="746"/>
      <c r="J52" s="747"/>
      <c r="K52" s="748"/>
      <c r="L52" s="16"/>
      <c r="M52" s="16"/>
      <c r="N52" s="16"/>
      <c r="O52" s="16"/>
      <c r="P52" s="16"/>
      <c r="Q52" s="16"/>
      <c r="R52" s="16"/>
      <c r="S52" s="16"/>
      <c r="T52" s="16"/>
      <c r="U52" s="16"/>
      <c r="V52" s="16"/>
      <c r="W52" s="16"/>
      <c r="X52" s="16"/>
      <c r="Y52" s="16"/>
      <c r="Z52" s="16"/>
      <c r="AA52" s="16"/>
      <c r="AB52" s="16"/>
    </row>
    <row r="53" spans="1:30" ht="15.75" customHeight="1" thickTop="1">
      <c r="A53" s="15"/>
      <c r="B53" s="16"/>
      <c r="C53" s="16"/>
      <c r="D53" s="16"/>
      <c r="E53" s="16"/>
      <c r="F53" s="16"/>
      <c r="G53" s="16"/>
      <c r="H53" s="16"/>
      <c r="I53" s="16"/>
      <c r="J53" s="16"/>
      <c r="K53" s="16"/>
      <c r="L53" s="16"/>
      <c r="M53" s="16"/>
      <c r="N53" s="16"/>
      <c r="O53" s="16"/>
      <c r="P53" s="16"/>
      <c r="Q53" s="16"/>
      <c r="R53" s="16"/>
      <c r="S53" s="16"/>
      <c r="T53" s="16"/>
      <c r="U53" s="16"/>
      <c r="V53" s="16"/>
      <c r="W53" s="16"/>
      <c r="X53" s="16"/>
      <c r="Y53" s="16"/>
      <c r="Z53" s="16"/>
      <c r="AA53" s="16"/>
      <c r="AB53" s="16"/>
      <c r="AC53" s="16"/>
      <c r="AD53" s="16"/>
    </row>
    <row r="54" spans="1:30" ht="15.75" customHeight="1">
      <c r="A54" s="15"/>
      <c r="B54" s="16"/>
      <c r="C54" s="16"/>
      <c r="D54" s="16"/>
      <c r="E54" s="16"/>
      <c r="F54" s="16"/>
      <c r="G54" s="16"/>
      <c r="H54" s="16"/>
      <c r="I54" s="16"/>
      <c r="J54" s="16"/>
      <c r="K54" s="16"/>
      <c r="L54" s="16"/>
      <c r="M54" s="16"/>
      <c r="N54" s="16"/>
      <c r="O54" s="16"/>
      <c r="P54" s="16"/>
      <c r="Q54" s="16"/>
      <c r="W54" s="16"/>
      <c r="X54" s="16"/>
      <c r="Y54" s="16"/>
      <c r="Z54" s="16"/>
      <c r="AA54" s="16"/>
      <c r="AB54" s="16"/>
      <c r="AC54" s="16"/>
      <c r="AD54" s="16"/>
    </row>
    <row r="55" spans="1:30" ht="15.75" customHeight="1">
      <c r="A55" s="113" t="s">
        <v>475</v>
      </c>
      <c r="B55" s="180"/>
      <c r="C55" s="180"/>
      <c r="D55" s="180"/>
      <c r="E55" s="180"/>
      <c r="F55" s="180"/>
      <c r="G55" s="180"/>
      <c r="H55" s="180"/>
      <c r="I55" s="180"/>
      <c r="J55" s="16"/>
      <c r="K55" s="16"/>
      <c r="L55" s="16"/>
      <c r="M55" s="16"/>
      <c r="N55" s="16"/>
      <c r="O55" s="16"/>
      <c r="P55" s="16"/>
      <c r="Q55" s="16"/>
      <c r="W55" s="16"/>
      <c r="X55" s="16"/>
      <c r="Y55" s="16"/>
      <c r="Z55" s="16"/>
      <c r="AA55" s="16"/>
      <c r="AB55" s="16"/>
      <c r="AC55" s="16"/>
      <c r="AD55" s="16"/>
    </row>
    <row r="56" spans="1:30" ht="15.75" customHeight="1" thickTop="1" thickBot="1">
      <c r="A56" s="114" t="s">
        <v>476</v>
      </c>
      <c r="B56" s="15" t="s">
        <v>477</v>
      </c>
      <c r="C56" s="15" t="s">
        <v>478</v>
      </c>
      <c r="D56" s="15" t="s">
        <v>479</v>
      </c>
      <c r="E56" s="15" t="s">
        <v>480</v>
      </c>
      <c r="F56" s="15" t="s">
        <v>481</v>
      </c>
      <c r="G56" s="15" t="s">
        <v>482</v>
      </c>
      <c r="H56" s="15" t="s">
        <v>453</v>
      </c>
      <c r="I56" s="15" t="s">
        <v>483</v>
      </c>
      <c r="J56" s="15" t="s">
        <v>484</v>
      </c>
      <c r="K56" s="721" t="s">
        <v>485</v>
      </c>
      <c r="L56" s="716"/>
      <c r="M56" s="722"/>
      <c r="N56" s="15"/>
      <c r="O56" s="16"/>
      <c r="P56" s="16"/>
      <c r="Q56" s="16"/>
      <c r="W56" s="16"/>
      <c r="X56" s="16"/>
      <c r="Y56" s="16"/>
      <c r="Z56" s="16"/>
      <c r="AA56" s="16"/>
      <c r="AB56" s="16"/>
    </row>
    <row r="57" spans="1:30" ht="15" customHeight="1" thickTop="1">
      <c r="A57" s="125" t="s">
        <v>1334</v>
      </c>
      <c r="B57" s="108" t="s">
        <v>287</v>
      </c>
      <c r="C57" s="102">
        <v>42</v>
      </c>
      <c r="D57" s="102">
        <v>1</v>
      </c>
      <c r="E57" s="108">
        <v>1.5</v>
      </c>
      <c r="F57" s="108">
        <f>Table_41685[[#This Row],['# Weeks]]*Table_41685[[#This Row],[Total hours/week]]</f>
        <v>63</v>
      </c>
      <c r="G57" s="137" t="s">
        <v>570</v>
      </c>
      <c r="H57" s="108" t="s">
        <v>55</v>
      </c>
      <c r="I57" s="135" t="s">
        <v>328</v>
      </c>
      <c r="J57" s="16"/>
      <c r="K57" s="564" t="s">
        <v>1335</v>
      </c>
      <c r="L57" s="741"/>
      <c r="M57" s="742"/>
      <c r="N57" s="16"/>
      <c r="O57" s="16"/>
      <c r="P57" s="16"/>
      <c r="Q57" s="16"/>
      <c r="W57" s="16"/>
      <c r="X57" s="16"/>
      <c r="Y57" s="16"/>
      <c r="Z57" s="16"/>
      <c r="AA57" s="16"/>
      <c r="AB57" s="16"/>
    </row>
    <row r="58" spans="1:30" ht="15.75" customHeight="1">
      <c r="A58" s="102" t="s">
        <v>1336</v>
      </c>
      <c r="B58" s="108" t="s">
        <v>287</v>
      </c>
      <c r="C58" s="102">
        <v>42</v>
      </c>
      <c r="D58" s="102">
        <v>1</v>
      </c>
      <c r="E58" s="108">
        <v>1.5</v>
      </c>
      <c r="F58" s="108">
        <f>Table_41685[[#This Row],['# Weeks]]*Table_41685[[#This Row],[Total hours/week]]</f>
        <v>63</v>
      </c>
      <c r="G58" s="137" t="s">
        <v>570</v>
      </c>
      <c r="H58" s="108" t="s">
        <v>55</v>
      </c>
      <c r="I58" s="135" t="s">
        <v>328</v>
      </c>
      <c r="J58" s="16"/>
      <c r="K58" s="749"/>
      <c r="L58" s="744"/>
      <c r="M58" s="745"/>
      <c r="N58" s="16"/>
      <c r="O58" s="16"/>
      <c r="P58" s="16"/>
      <c r="Q58" s="16"/>
      <c r="W58" s="16"/>
      <c r="X58" s="16"/>
      <c r="Y58" s="16"/>
      <c r="Z58" s="16"/>
      <c r="AA58" s="16"/>
      <c r="AB58" s="16"/>
    </row>
    <row r="59" spans="1:30" ht="14.25" customHeight="1">
      <c r="A59" s="125" t="s">
        <v>1337</v>
      </c>
      <c r="B59" s="108" t="s">
        <v>287</v>
      </c>
      <c r="C59" s="102">
        <v>42</v>
      </c>
      <c r="D59" s="102">
        <v>1</v>
      </c>
      <c r="E59" s="108">
        <v>1.5</v>
      </c>
      <c r="F59" s="108">
        <f>Table_41685[[#This Row],['# Weeks]]*Table_41685[[#This Row],[Total hours/week]]</f>
        <v>63</v>
      </c>
      <c r="G59" s="108" t="s">
        <v>570</v>
      </c>
      <c r="H59" s="108" t="s">
        <v>55</v>
      </c>
      <c r="I59" s="135" t="s">
        <v>328</v>
      </c>
      <c r="J59" s="16"/>
      <c r="K59" s="749"/>
      <c r="L59" s="744"/>
      <c r="M59" s="745"/>
      <c r="N59" s="16"/>
      <c r="O59" s="16"/>
      <c r="P59" s="16"/>
      <c r="Q59" s="16"/>
      <c r="W59" s="16"/>
      <c r="X59" s="16"/>
      <c r="Y59" s="16"/>
      <c r="Z59" s="16"/>
      <c r="AA59" s="16"/>
      <c r="AB59" s="16"/>
    </row>
    <row r="60" spans="1:30" ht="15.75" customHeight="1">
      <c r="A60" s="116"/>
      <c r="B60" s="117"/>
      <c r="C60" s="16"/>
      <c r="D60" s="16"/>
      <c r="E60" s="16"/>
      <c r="F60" s="16"/>
      <c r="G60" s="16"/>
      <c r="H60" s="117"/>
      <c r="I60" s="119"/>
      <c r="J60" s="16"/>
      <c r="K60" s="749"/>
      <c r="L60" s="744"/>
      <c r="M60" s="745"/>
      <c r="N60" s="16"/>
      <c r="O60" s="16"/>
      <c r="P60" s="16"/>
      <c r="Q60" s="16"/>
      <c r="W60" s="16"/>
      <c r="X60" s="16"/>
      <c r="Y60" s="16"/>
      <c r="Z60" s="16"/>
      <c r="AA60" s="16"/>
      <c r="AB60" s="16"/>
    </row>
    <row r="61" spans="1:30" ht="15.75" customHeight="1">
      <c r="A61" s="116"/>
      <c r="B61" s="117"/>
      <c r="C61" s="16"/>
      <c r="D61" s="16"/>
      <c r="E61" s="16"/>
      <c r="F61" s="16"/>
      <c r="G61" s="16"/>
      <c r="H61" s="117"/>
      <c r="I61" s="119"/>
      <c r="J61" s="16"/>
      <c r="K61" s="749"/>
      <c r="L61" s="744"/>
      <c r="M61" s="745"/>
      <c r="N61" s="16"/>
      <c r="O61" s="16"/>
      <c r="P61" s="16"/>
      <c r="Q61" s="16"/>
      <c r="W61" s="16"/>
      <c r="X61" s="16"/>
      <c r="Y61" s="16"/>
      <c r="Z61" s="16"/>
      <c r="AA61" s="16"/>
      <c r="AB61" s="16"/>
    </row>
    <row r="62" spans="1:30" ht="15.75" customHeight="1">
      <c r="A62" s="116"/>
      <c r="B62" s="117"/>
      <c r="C62" s="16"/>
      <c r="D62" s="16"/>
      <c r="E62" s="16"/>
      <c r="F62" s="16"/>
      <c r="G62" s="117"/>
      <c r="H62" s="117"/>
      <c r="I62" s="119"/>
      <c r="J62" s="16"/>
      <c r="K62" s="749"/>
      <c r="L62" s="744"/>
      <c r="M62" s="745"/>
      <c r="N62" s="16"/>
      <c r="O62" s="16"/>
      <c r="P62" s="16"/>
      <c r="Q62" s="16"/>
      <c r="W62" s="16"/>
      <c r="X62" s="16"/>
      <c r="Y62" s="16"/>
      <c r="Z62" s="16"/>
      <c r="AA62" s="16"/>
      <c r="AB62" s="16"/>
    </row>
    <row r="63" spans="1:30" ht="15.75" customHeight="1">
      <c r="A63" s="116"/>
      <c r="B63" s="117"/>
      <c r="C63" s="16"/>
      <c r="D63" s="16"/>
      <c r="E63" s="16"/>
      <c r="F63" s="16"/>
      <c r="G63" s="117"/>
      <c r="H63" s="117"/>
      <c r="I63" s="119"/>
      <c r="J63" s="16"/>
      <c r="K63" s="749"/>
      <c r="L63" s="744"/>
      <c r="M63" s="745"/>
      <c r="N63" s="16"/>
      <c r="O63" s="16"/>
      <c r="P63" s="16"/>
      <c r="Q63" s="16"/>
      <c r="W63" s="16"/>
      <c r="X63" s="16"/>
      <c r="Y63" s="16"/>
      <c r="Z63" s="16"/>
      <c r="AA63" s="16"/>
      <c r="AB63" s="16"/>
    </row>
    <row r="64" spans="1:30" ht="15.75" customHeight="1">
      <c r="A64" s="116"/>
      <c r="B64" s="117"/>
      <c r="C64" s="106"/>
      <c r="D64" s="106"/>
      <c r="E64" s="106"/>
      <c r="F64" s="120"/>
      <c r="G64" s="117"/>
      <c r="H64" s="117"/>
      <c r="I64" s="119"/>
      <c r="J64" s="16"/>
      <c r="K64" s="749"/>
      <c r="L64" s="744"/>
      <c r="M64" s="745"/>
      <c r="N64" s="16"/>
      <c r="O64" s="16"/>
      <c r="P64" s="16"/>
      <c r="Q64" s="16"/>
      <c r="W64" s="16"/>
      <c r="X64" s="16"/>
      <c r="Y64" s="16"/>
      <c r="Z64" s="16"/>
      <c r="AA64" s="16"/>
      <c r="AB64" s="16"/>
    </row>
    <row r="65" spans="1:30" ht="15.75" customHeight="1">
      <c r="A65" s="116"/>
      <c r="B65" s="117"/>
      <c r="C65" s="106"/>
      <c r="D65" s="106"/>
      <c r="E65" s="106"/>
      <c r="F65" s="120"/>
      <c r="G65" s="117"/>
      <c r="H65" s="117"/>
      <c r="I65" s="119"/>
      <c r="J65" s="16"/>
      <c r="K65" s="749"/>
      <c r="L65" s="744"/>
      <c r="M65" s="745"/>
      <c r="N65" s="16"/>
      <c r="O65" s="16"/>
      <c r="P65" s="16"/>
      <c r="Q65" s="16"/>
      <c r="W65" s="16"/>
      <c r="X65" s="16"/>
      <c r="Y65" s="16"/>
      <c r="Z65" s="16"/>
      <c r="AA65" s="16"/>
      <c r="AB65" s="16"/>
    </row>
    <row r="66" spans="1:30" ht="15.75" customHeight="1">
      <c r="A66" s="16"/>
      <c r="B66" s="117"/>
      <c r="C66" s="51"/>
      <c r="D66" s="51"/>
      <c r="E66" s="106"/>
      <c r="F66" s="120"/>
      <c r="G66" s="16"/>
      <c r="H66" s="117"/>
      <c r="I66" s="119"/>
      <c r="J66" s="16"/>
      <c r="K66" s="749"/>
      <c r="L66" s="744"/>
      <c r="M66" s="745"/>
      <c r="N66" s="16"/>
      <c r="O66" s="16"/>
      <c r="P66" s="16"/>
      <c r="Q66" s="16"/>
      <c r="W66" s="16"/>
      <c r="X66" s="16"/>
      <c r="Y66" s="16"/>
      <c r="Z66" s="16"/>
      <c r="AA66" s="16"/>
      <c r="AB66" s="16"/>
    </row>
    <row r="67" spans="1:30" ht="15.75" customHeight="1">
      <c r="A67" s="16"/>
      <c r="B67" s="117"/>
      <c r="C67" s="51"/>
      <c r="D67" s="51"/>
      <c r="E67" s="106"/>
      <c r="F67" s="120"/>
      <c r="G67" s="16"/>
      <c r="H67" s="117"/>
      <c r="I67" s="119"/>
      <c r="J67" s="16"/>
      <c r="K67" s="749"/>
      <c r="L67" s="744"/>
      <c r="M67" s="745"/>
      <c r="N67" s="16"/>
      <c r="O67" s="16"/>
      <c r="P67" s="16"/>
      <c r="Q67" s="16"/>
      <c r="W67" s="16"/>
      <c r="X67" s="16"/>
      <c r="Y67" s="16"/>
      <c r="Z67" s="16"/>
      <c r="AA67" s="16"/>
      <c r="AB67" s="16"/>
    </row>
    <row r="68" spans="1:30" ht="15.75" customHeight="1">
      <c r="A68" s="16"/>
      <c r="B68" s="117"/>
      <c r="C68" s="51"/>
      <c r="D68" s="51"/>
      <c r="E68" s="106"/>
      <c r="F68" s="120"/>
      <c r="G68" s="16"/>
      <c r="H68" s="117"/>
      <c r="I68" s="119"/>
      <c r="J68" s="16"/>
      <c r="K68" s="749"/>
      <c r="L68" s="744"/>
      <c r="M68" s="745"/>
      <c r="N68" s="16"/>
      <c r="O68" s="16"/>
      <c r="P68" s="16"/>
      <c r="Q68" s="16"/>
      <c r="W68" s="16"/>
      <c r="X68" s="16"/>
      <c r="Y68" s="16"/>
      <c r="Z68" s="16"/>
      <c r="AA68" s="16"/>
      <c r="AB68" s="16"/>
    </row>
    <row r="69" spans="1:30" ht="15.75" customHeight="1" thickBot="1">
      <c r="A69" s="121"/>
      <c r="B69" s="117"/>
      <c r="C69" s="182"/>
      <c r="D69" s="183"/>
      <c r="E69" s="184"/>
      <c r="F69" s="185"/>
      <c r="G69" s="112"/>
      <c r="H69" s="112"/>
      <c r="I69" s="122"/>
      <c r="J69" s="180"/>
      <c r="K69" s="746"/>
      <c r="L69" s="747"/>
      <c r="M69" s="748"/>
      <c r="N69" s="16"/>
      <c r="O69" s="16"/>
      <c r="P69" s="16"/>
      <c r="Q69" s="16"/>
      <c r="W69" s="16"/>
      <c r="X69" s="16"/>
      <c r="Y69" s="16"/>
      <c r="Z69" s="16"/>
      <c r="AA69" s="16"/>
      <c r="AB69" s="16"/>
    </row>
    <row r="70" spans="1:30" ht="15.75" customHeight="1" thickTop="1">
      <c r="A70" s="16"/>
      <c r="B70" s="16"/>
      <c r="C70" s="16"/>
      <c r="D70" s="16"/>
      <c r="E70" s="16"/>
      <c r="F70" s="16"/>
      <c r="G70" s="16"/>
      <c r="H70" s="16"/>
      <c r="I70" s="16"/>
      <c r="J70" s="16"/>
      <c r="K70" s="16"/>
      <c r="L70" s="16"/>
      <c r="M70" s="16"/>
      <c r="N70" s="16"/>
      <c r="O70" s="16"/>
      <c r="P70" s="16"/>
      <c r="Q70" s="16"/>
      <c r="W70" s="16"/>
      <c r="X70" s="16"/>
      <c r="Y70" s="16"/>
      <c r="Z70" s="16"/>
      <c r="AA70" s="16"/>
      <c r="AB70" s="16"/>
      <c r="AC70" s="16"/>
      <c r="AD70" s="16"/>
    </row>
    <row r="71" spans="1:30" ht="15.75" customHeight="1" thickBot="1">
      <c r="A71" s="186" t="s">
        <v>499</v>
      </c>
      <c r="B71" s="231"/>
      <c r="C71" s="231"/>
      <c r="D71" s="231"/>
      <c r="E71" s="231"/>
      <c r="F71" s="231"/>
      <c r="G71" s="231"/>
      <c r="H71" s="231"/>
      <c r="I71" s="231"/>
      <c r="J71" s="231"/>
      <c r="K71" s="123"/>
      <c r="L71" s="123"/>
      <c r="M71" s="16"/>
      <c r="N71" s="16"/>
      <c r="O71" s="16"/>
      <c r="P71" s="16"/>
      <c r="Q71" s="16"/>
      <c r="W71" s="16"/>
      <c r="X71" s="16"/>
      <c r="Y71" s="16"/>
      <c r="Z71" s="16"/>
      <c r="AA71" s="16"/>
      <c r="AB71" s="16"/>
      <c r="AC71" s="16"/>
      <c r="AD71" s="16"/>
    </row>
    <row r="72" spans="1:30" ht="15.75" customHeight="1" thickTop="1" thickBot="1">
      <c r="A72" s="230" t="s">
        <v>476</v>
      </c>
      <c r="B72" s="230" t="s">
        <v>500</v>
      </c>
      <c r="C72" s="230" t="s">
        <v>501</v>
      </c>
      <c r="D72" s="230" t="s">
        <v>502</v>
      </c>
      <c r="E72" s="230" t="s">
        <v>503</v>
      </c>
      <c r="F72" s="230" t="s">
        <v>504</v>
      </c>
      <c r="G72" s="230" t="s">
        <v>505</v>
      </c>
      <c r="H72" s="230" t="s">
        <v>506</v>
      </c>
      <c r="I72" s="230" t="s">
        <v>507</v>
      </c>
      <c r="J72" s="230" t="s">
        <v>508</v>
      </c>
      <c r="K72" s="561" t="s">
        <v>441</v>
      </c>
      <c r="L72" s="561"/>
      <c r="M72" s="561"/>
      <c r="N72" s="561"/>
      <c r="O72" s="570"/>
      <c r="P72" s="726" t="s">
        <v>434</v>
      </c>
      <c r="Q72" s="727"/>
      <c r="R72" s="16"/>
      <c r="S72" s="16"/>
      <c r="V72" s="16"/>
      <c r="W72" s="16"/>
      <c r="X72" s="16"/>
      <c r="Y72" s="16"/>
      <c r="Z72" s="16"/>
      <c r="AA72" s="16"/>
    </row>
    <row r="73" spans="1:30" ht="15.75" customHeight="1" thickTop="1">
      <c r="A73" s="319" t="s">
        <v>1334</v>
      </c>
      <c r="B73" s="231" t="s">
        <v>243</v>
      </c>
      <c r="C73" s="232" t="s">
        <v>515</v>
      </c>
      <c r="D73" s="261">
        <v>1.5</v>
      </c>
      <c r="E73" s="245">
        <v>42</v>
      </c>
      <c r="F73" s="326">
        <f>Table_51696[[#This Row],[Duration '[hours']]]*Table_51696[[#This Row],[Weeks]]</f>
        <v>63</v>
      </c>
      <c r="G73" s="245">
        <v>3</v>
      </c>
      <c r="H73" s="247" t="s">
        <v>1338</v>
      </c>
      <c r="I73" s="247" t="s">
        <v>1339</v>
      </c>
      <c r="J73" s="247"/>
      <c r="K73" s="610"/>
      <c r="L73" s="611"/>
      <c r="M73" s="611"/>
      <c r="N73" s="611"/>
      <c r="O73" s="612"/>
      <c r="P73" s="564" t="s">
        <v>511</v>
      </c>
      <c r="Q73" s="565"/>
      <c r="R73" s="16"/>
      <c r="S73" s="16"/>
      <c r="V73" s="16"/>
      <c r="W73" s="16"/>
      <c r="X73" s="16"/>
      <c r="Y73" s="16"/>
      <c r="Z73" s="16"/>
      <c r="AA73" s="16"/>
    </row>
    <row r="74" spans="1:30" ht="15.75" customHeight="1">
      <c r="A74" s="231" t="s">
        <v>1336</v>
      </c>
      <c r="B74" s="231" t="s">
        <v>247</v>
      </c>
      <c r="C74" s="232" t="s">
        <v>513</v>
      </c>
      <c r="D74" s="261">
        <v>1.5</v>
      </c>
      <c r="E74" s="245">
        <v>42</v>
      </c>
      <c r="F74" s="326">
        <f>Table_51696[[#This Row],[Duration '[hours']]]*Table_51696[[#This Row],[Weeks]]</f>
        <v>63</v>
      </c>
      <c r="G74" s="245">
        <v>3</v>
      </c>
      <c r="H74" s="247" t="s">
        <v>1338</v>
      </c>
      <c r="I74" s="247" t="s">
        <v>1340</v>
      </c>
      <c r="J74" s="247"/>
      <c r="K74" s="613"/>
      <c r="L74" s="562"/>
      <c r="M74" s="562"/>
      <c r="N74" s="562"/>
      <c r="O74" s="614"/>
      <c r="P74" s="566"/>
      <c r="Q74" s="567"/>
      <c r="R74" s="16"/>
      <c r="S74" s="16"/>
      <c r="V74" s="16"/>
      <c r="W74" s="16"/>
      <c r="X74" s="16"/>
      <c r="Y74" s="16"/>
      <c r="Z74" s="16"/>
      <c r="AA74" s="16"/>
    </row>
    <row r="75" spans="1:30" ht="15.75" customHeight="1">
      <c r="A75" s="231" t="s">
        <v>1337</v>
      </c>
      <c r="B75" s="231" t="s">
        <v>243</v>
      </c>
      <c r="C75" s="232" t="s">
        <v>516</v>
      </c>
      <c r="D75" s="261">
        <v>1.5</v>
      </c>
      <c r="E75" s="245">
        <v>42</v>
      </c>
      <c r="F75" s="326">
        <f>Table_51696[[#This Row],[Duration '[hours']]]*Table_51696[[#This Row],[Weeks]]</f>
        <v>63</v>
      </c>
      <c r="G75" s="245">
        <v>3</v>
      </c>
      <c r="H75" s="247" t="s">
        <v>1338</v>
      </c>
      <c r="I75" s="247" t="s">
        <v>1341</v>
      </c>
      <c r="J75" s="247"/>
      <c r="K75" s="613"/>
      <c r="L75" s="562"/>
      <c r="M75" s="562"/>
      <c r="N75" s="562"/>
      <c r="O75" s="614"/>
      <c r="P75" s="566"/>
      <c r="Q75" s="567"/>
      <c r="R75" s="16"/>
      <c r="S75" s="16"/>
      <c r="V75" s="16"/>
      <c r="W75" s="16"/>
      <c r="X75" s="16"/>
      <c r="Y75" s="16"/>
      <c r="Z75" s="16"/>
      <c r="AA75" s="16"/>
    </row>
    <row r="76" spans="1:30" ht="15.75" customHeight="1">
      <c r="A76" s="319" t="s">
        <v>1342</v>
      </c>
      <c r="B76" s="231" t="s">
        <v>245</v>
      </c>
      <c r="C76" s="232" t="s">
        <v>1006</v>
      </c>
      <c r="D76" s="261">
        <v>6</v>
      </c>
      <c r="E76" s="245">
        <v>7</v>
      </c>
      <c r="F76" s="326">
        <f>Table_51696[[#This Row],[Duration '[hours']]]*Table_51696[[#This Row],[Weeks]]</f>
        <v>42</v>
      </c>
      <c r="G76" s="245">
        <v>0</v>
      </c>
      <c r="H76" s="247" t="s">
        <v>1338</v>
      </c>
      <c r="I76" s="247" t="s">
        <v>1343</v>
      </c>
      <c r="J76" s="247"/>
      <c r="K76" s="613"/>
      <c r="L76" s="562"/>
      <c r="M76" s="562"/>
      <c r="N76" s="562"/>
      <c r="O76" s="614"/>
      <c r="P76" s="566"/>
      <c r="Q76" s="567"/>
      <c r="R76" s="16"/>
      <c r="S76" s="16"/>
      <c r="V76" s="16"/>
      <c r="W76" s="16"/>
      <c r="X76" s="16"/>
      <c r="Y76" s="16"/>
      <c r="Z76" s="16"/>
      <c r="AA76" s="16"/>
    </row>
    <row r="77" spans="1:30" ht="15.75" customHeight="1">
      <c r="A77" s="231"/>
      <c r="B77" s="231"/>
      <c r="C77" s="232"/>
      <c r="D77" s="261"/>
      <c r="E77" s="245"/>
      <c r="F77" s="326">
        <f>'Messed Up'!$D77*'Messed Up'!$E77</f>
        <v>0</v>
      </c>
      <c r="G77" s="245"/>
      <c r="H77" s="332" t="str">
        <f>IF($B77= "","-",IF($B77= "External","Specify location tariff", INDEX(Constants!$3:$3,MATCH($B77,Constants!$2:$2,0))))</f>
        <v>-</v>
      </c>
      <c r="I77" s="333" t="str">
        <f t="shared" ref="I77:I89" si="2">IF($H77="-","-",IF($H77="Specify location tariff","-",$H77*$F77))</f>
        <v>-</v>
      </c>
      <c r="J77" s="247"/>
      <c r="K77" s="613"/>
      <c r="L77" s="562"/>
      <c r="M77" s="562"/>
      <c r="N77" s="562"/>
      <c r="O77" s="614"/>
      <c r="P77" s="566"/>
      <c r="Q77" s="567"/>
      <c r="R77" s="16"/>
      <c r="S77" s="16"/>
      <c r="V77" s="16"/>
      <c r="W77" s="16"/>
      <c r="X77" s="16"/>
      <c r="Y77" s="16"/>
      <c r="Z77" s="16"/>
      <c r="AA77" s="16"/>
    </row>
    <row r="78" spans="1:30" ht="15.75" customHeight="1">
      <c r="A78" s="231"/>
      <c r="B78" s="231"/>
      <c r="C78" s="232"/>
      <c r="D78" s="261"/>
      <c r="E78" s="245"/>
      <c r="F78" s="326">
        <f>'Messed Up'!$D78*'Messed Up'!$E78</f>
        <v>0</v>
      </c>
      <c r="G78" s="245"/>
      <c r="H78" s="332" t="str">
        <f>IF($B78= "","-",IF($B78= "External","Specify location tariff", INDEX(Constants!$3:$3,MATCH($B78,Constants!$2:$2,0))))</f>
        <v>-</v>
      </c>
      <c r="I78" s="333" t="str">
        <f t="shared" si="2"/>
        <v>-</v>
      </c>
      <c r="J78" s="247"/>
      <c r="K78" s="613"/>
      <c r="L78" s="562"/>
      <c r="M78" s="562"/>
      <c r="N78" s="562"/>
      <c r="O78" s="614"/>
      <c r="P78" s="566"/>
      <c r="Q78" s="567"/>
      <c r="R78" s="16"/>
      <c r="S78" s="16"/>
      <c r="V78" s="16"/>
      <c r="W78" s="16"/>
      <c r="X78" s="16"/>
      <c r="Y78" s="16"/>
      <c r="Z78" s="16"/>
      <c r="AA78" s="16"/>
    </row>
    <row r="79" spans="1:30" ht="15.75" customHeight="1">
      <c r="A79" s="231"/>
      <c r="B79" s="231"/>
      <c r="C79" s="232"/>
      <c r="D79" s="261"/>
      <c r="E79" s="245"/>
      <c r="F79" s="326">
        <f>'Messed Up'!$D79*'Messed Up'!$E79</f>
        <v>0</v>
      </c>
      <c r="G79" s="245"/>
      <c r="H79" s="332" t="str">
        <f>IF($B79= "","-",IF($B79= "External","Specify location tariff", INDEX(Constants!$3:$3,MATCH($B79,Constants!$2:$2,0))))</f>
        <v>-</v>
      </c>
      <c r="I79" s="333" t="str">
        <f t="shared" si="2"/>
        <v>-</v>
      </c>
      <c r="J79" s="247"/>
      <c r="K79" s="613"/>
      <c r="L79" s="562"/>
      <c r="M79" s="562"/>
      <c r="N79" s="562"/>
      <c r="O79" s="614"/>
      <c r="P79" s="566"/>
      <c r="Q79" s="567"/>
      <c r="R79" s="16"/>
      <c r="S79" s="16"/>
      <c r="V79" s="16"/>
      <c r="W79" s="16"/>
      <c r="X79" s="16"/>
      <c r="Y79" s="16"/>
      <c r="Z79" s="16"/>
      <c r="AA79" s="16"/>
    </row>
    <row r="80" spans="1:30" ht="15.75" customHeight="1">
      <c r="A80" s="231"/>
      <c r="B80" s="231"/>
      <c r="C80" s="232"/>
      <c r="D80" s="261"/>
      <c r="E80" s="245"/>
      <c r="F80" s="326">
        <f>'Messed Up'!$D80*'Messed Up'!$E80</f>
        <v>0</v>
      </c>
      <c r="G80" s="245"/>
      <c r="H80" s="332" t="str">
        <f>IF($B80= "","-",IF($B80= "External","Specify location tariff", INDEX(Constants!$3:$3,MATCH($B80,Constants!$2:$2,0))))</f>
        <v>-</v>
      </c>
      <c r="I80" s="333" t="str">
        <f t="shared" si="2"/>
        <v>-</v>
      </c>
      <c r="J80" s="247"/>
      <c r="K80" s="613"/>
      <c r="L80" s="562"/>
      <c r="M80" s="562"/>
      <c r="N80" s="562"/>
      <c r="O80" s="614"/>
      <c r="P80" s="566"/>
      <c r="Q80" s="567"/>
      <c r="R80" s="16"/>
      <c r="S80" s="16"/>
      <c r="V80" s="16"/>
      <c r="W80" s="16"/>
      <c r="X80" s="16"/>
      <c r="Y80" s="16"/>
      <c r="Z80" s="16"/>
      <c r="AA80" s="16"/>
    </row>
    <row r="81" spans="1:30" ht="15.75" customHeight="1">
      <c r="A81" s="231"/>
      <c r="B81" s="231"/>
      <c r="C81" s="232"/>
      <c r="D81" s="261"/>
      <c r="E81" s="245"/>
      <c r="F81" s="326">
        <f>'Messed Up'!$D81*'Messed Up'!$E81</f>
        <v>0</v>
      </c>
      <c r="G81" s="245"/>
      <c r="H81" s="332" t="str">
        <f>IF($B81= "","-",IF($B81= "External","Specify location tariff", INDEX(Constants!$3:$3,MATCH($B81,Constants!$2:$2,0))))</f>
        <v>-</v>
      </c>
      <c r="I81" s="333" t="str">
        <f t="shared" si="2"/>
        <v>-</v>
      </c>
      <c r="J81" s="247"/>
      <c r="K81" s="613"/>
      <c r="L81" s="562"/>
      <c r="M81" s="562"/>
      <c r="N81" s="562"/>
      <c r="O81" s="614"/>
      <c r="P81" s="566"/>
      <c r="Q81" s="567"/>
      <c r="R81" s="16"/>
      <c r="S81" s="16"/>
      <c r="V81" s="16"/>
      <c r="W81" s="16"/>
      <c r="X81" s="16"/>
      <c r="Y81" s="16"/>
      <c r="Z81" s="16"/>
      <c r="AA81" s="16"/>
    </row>
    <row r="82" spans="1:30" ht="15.75" customHeight="1">
      <c r="A82" s="231"/>
      <c r="B82" s="231"/>
      <c r="C82" s="232"/>
      <c r="D82" s="261"/>
      <c r="E82" s="245"/>
      <c r="F82" s="326">
        <f>'Messed Up'!$D82*'Messed Up'!$E82</f>
        <v>0</v>
      </c>
      <c r="G82" s="245"/>
      <c r="H82" s="332" t="str">
        <f>IF($B82= "","-",IF($B82= "External","Specify location tariff", INDEX(Constants!$3:$3,MATCH($B82,Constants!$2:$2,0))))</f>
        <v>-</v>
      </c>
      <c r="I82" s="333" t="str">
        <f t="shared" si="2"/>
        <v>-</v>
      </c>
      <c r="J82" s="247"/>
      <c r="K82" s="613"/>
      <c r="L82" s="562"/>
      <c r="M82" s="562"/>
      <c r="N82" s="562"/>
      <c r="O82" s="614"/>
      <c r="P82" s="566"/>
      <c r="Q82" s="567"/>
      <c r="R82" s="16"/>
      <c r="S82" s="16"/>
      <c r="V82" s="16"/>
      <c r="W82" s="16"/>
      <c r="X82" s="16"/>
      <c r="Y82" s="16"/>
      <c r="Z82" s="16"/>
      <c r="AA82" s="16"/>
    </row>
    <row r="83" spans="1:30" ht="15.75" customHeight="1">
      <c r="A83" s="231"/>
      <c r="B83" s="231"/>
      <c r="C83" s="232"/>
      <c r="D83" s="261"/>
      <c r="E83" s="245"/>
      <c r="F83" s="326">
        <f>'Messed Up'!$D83*'Messed Up'!$E83</f>
        <v>0</v>
      </c>
      <c r="G83" s="245"/>
      <c r="H83" s="332" t="str">
        <f>IF($B83= "","-",IF($B83= "External","Specify location tariff", INDEX(Constants!$3:$3,MATCH($B83,Constants!$2:$2,0))))</f>
        <v>-</v>
      </c>
      <c r="I83" s="333" t="str">
        <f t="shared" si="2"/>
        <v>-</v>
      </c>
      <c r="J83" s="247"/>
      <c r="K83" s="613"/>
      <c r="L83" s="562"/>
      <c r="M83" s="562"/>
      <c r="N83" s="562"/>
      <c r="O83" s="614"/>
      <c r="P83" s="566"/>
      <c r="Q83" s="567"/>
      <c r="R83" s="16"/>
      <c r="S83" s="16"/>
      <c r="V83" s="16"/>
      <c r="W83" s="16"/>
      <c r="X83" s="16"/>
      <c r="Y83" s="16"/>
      <c r="Z83" s="16"/>
      <c r="AA83" s="16"/>
    </row>
    <row r="84" spans="1:30" ht="15.75" customHeight="1">
      <c r="A84" s="231"/>
      <c r="B84" s="231"/>
      <c r="C84" s="232"/>
      <c r="D84" s="261"/>
      <c r="E84" s="245"/>
      <c r="F84" s="326">
        <f>'Messed Up'!$D84*'Messed Up'!$E84</f>
        <v>0</v>
      </c>
      <c r="G84" s="245"/>
      <c r="H84" s="332" t="str">
        <f>IF($B84= "","-",IF($B84= "External","Specify location tariff", INDEX(Constants!$3:$3,MATCH($B84,Constants!$2:$2,0))))</f>
        <v>-</v>
      </c>
      <c r="I84" s="333" t="str">
        <f t="shared" si="2"/>
        <v>-</v>
      </c>
      <c r="J84" s="247"/>
      <c r="K84" s="613"/>
      <c r="L84" s="562"/>
      <c r="M84" s="562"/>
      <c r="N84" s="562"/>
      <c r="O84" s="614"/>
      <c r="P84" s="566"/>
      <c r="Q84" s="567"/>
      <c r="R84" s="16"/>
      <c r="S84" s="16"/>
      <c r="V84" s="16"/>
      <c r="W84" s="16"/>
      <c r="X84" s="16"/>
      <c r="Y84" s="16"/>
      <c r="Z84" s="16"/>
      <c r="AA84" s="16"/>
    </row>
    <row r="85" spans="1:30" ht="15.75" customHeight="1">
      <c r="A85" s="231"/>
      <c r="B85" s="231"/>
      <c r="C85" s="232"/>
      <c r="D85" s="261"/>
      <c r="E85" s="245"/>
      <c r="F85" s="326">
        <f>'Messed Up'!$D85*'Messed Up'!$E85</f>
        <v>0</v>
      </c>
      <c r="G85" s="245"/>
      <c r="H85" s="332" t="str">
        <f>IF($B85= "","-",IF($B85= "External","Specify location tariff", INDEX(Constants!$3:$3,MATCH($B85,Constants!$2:$2,0))))</f>
        <v>-</v>
      </c>
      <c r="I85" s="333" t="str">
        <f t="shared" si="2"/>
        <v>-</v>
      </c>
      <c r="J85" s="247"/>
      <c r="K85" s="613"/>
      <c r="L85" s="562"/>
      <c r="M85" s="562"/>
      <c r="N85" s="562"/>
      <c r="O85" s="614"/>
      <c r="P85" s="566"/>
      <c r="Q85" s="567"/>
      <c r="R85" s="16"/>
      <c r="S85" s="16"/>
      <c r="V85" s="16"/>
      <c r="W85" s="16"/>
      <c r="X85" s="16"/>
      <c r="Y85" s="16"/>
      <c r="Z85" s="16"/>
      <c r="AA85" s="16"/>
    </row>
    <row r="86" spans="1:30" ht="15.75" customHeight="1">
      <c r="A86" s="231"/>
      <c r="B86" s="231"/>
      <c r="C86" s="232"/>
      <c r="D86" s="261"/>
      <c r="E86" s="245"/>
      <c r="F86" s="326">
        <f>'Messed Up'!$D86*'Messed Up'!$E86</f>
        <v>0</v>
      </c>
      <c r="G86" s="245"/>
      <c r="H86" s="332" t="str">
        <f>IF($B86= "","-",IF($B86= "External","Specify location tariff", INDEX(Constants!$3:$3,MATCH($B86,Constants!$2:$2,0))))</f>
        <v>-</v>
      </c>
      <c r="I86" s="333" t="str">
        <f t="shared" si="2"/>
        <v>-</v>
      </c>
      <c r="J86" s="247"/>
      <c r="K86" s="613"/>
      <c r="L86" s="562"/>
      <c r="M86" s="562"/>
      <c r="N86" s="562"/>
      <c r="O86" s="614"/>
      <c r="P86" s="566"/>
      <c r="Q86" s="567"/>
      <c r="R86" s="16"/>
      <c r="S86" s="16"/>
      <c r="V86" s="16"/>
      <c r="W86" s="16"/>
      <c r="X86" s="16"/>
      <c r="Y86" s="16"/>
      <c r="Z86" s="16"/>
      <c r="AA86" s="16"/>
    </row>
    <row r="87" spans="1:30" ht="15.75" customHeight="1">
      <c r="A87" s="231"/>
      <c r="B87" s="231"/>
      <c r="C87" s="232"/>
      <c r="D87" s="261"/>
      <c r="E87" s="245"/>
      <c r="F87" s="326">
        <f>'Messed Up'!$D87*'Messed Up'!$E87</f>
        <v>0</v>
      </c>
      <c r="G87" s="245"/>
      <c r="H87" s="332" t="str">
        <f>IF($B87= "","-",IF($B87= "External","Specify location tariff", INDEX(Constants!$3:$3,MATCH($B87,Constants!$2:$2,0))))</f>
        <v>-</v>
      </c>
      <c r="I87" s="333" t="str">
        <f t="shared" si="2"/>
        <v>-</v>
      </c>
      <c r="J87" s="247"/>
      <c r="K87" s="613"/>
      <c r="L87" s="562"/>
      <c r="M87" s="562"/>
      <c r="N87" s="562"/>
      <c r="O87" s="614"/>
      <c r="P87" s="566"/>
      <c r="Q87" s="567"/>
      <c r="R87" s="16"/>
      <c r="S87" s="16"/>
      <c r="V87" s="16"/>
      <c r="W87" s="16"/>
      <c r="X87" s="16"/>
      <c r="Y87" s="16"/>
      <c r="Z87" s="16"/>
      <c r="AA87" s="16"/>
    </row>
    <row r="88" spans="1:30" ht="15.75" customHeight="1">
      <c r="A88" s="231"/>
      <c r="B88" s="231"/>
      <c r="C88" s="232"/>
      <c r="D88" s="261"/>
      <c r="E88" s="245"/>
      <c r="F88" s="326">
        <f>'Messed Up'!$D88*'Messed Up'!$E88</f>
        <v>0</v>
      </c>
      <c r="G88" s="245"/>
      <c r="H88" s="332" t="str">
        <f>IF($B88= "","-",IF($B88= "External","Specify location tariff", INDEX(Constants!$3:$3,MATCH($B88,Constants!$2:$2,0))))</f>
        <v>-</v>
      </c>
      <c r="I88" s="333" t="str">
        <f t="shared" si="2"/>
        <v>-</v>
      </c>
      <c r="J88" s="247"/>
      <c r="K88" s="613"/>
      <c r="L88" s="562"/>
      <c r="M88" s="562"/>
      <c r="N88" s="562"/>
      <c r="O88" s="614"/>
      <c r="P88" s="566"/>
      <c r="Q88" s="567"/>
      <c r="R88" s="16"/>
      <c r="S88" s="16"/>
      <c r="V88" s="16"/>
      <c r="W88" s="16"/>
      <c r="X88" s="16"/>
      <c r="Y88" s="16"/>
      <c r="Z88" s="16"/>
      <c r="AA88" s="16"/>
    </row>
    <row r="89" spans="1:30" ht="15.75" customHeight="1" thickBot="1">
      <c r="A89" s="231"/>
      <c r="B89" s="231"/>
      <c r="C89" s="232"/>
      <c r="D89" s="261"/>
      <c r="E89" s="245"/>
      <c r="F89" s="326">
        <f>'Messed Up'!$D89*'Messed Up'!$E89</f>
        <v>0</v>
      </c>
      <c r="G89" s="245"/>
      <c r="H89" s="332" t="str">
        <f>IF($B89= "","-",IF($B89= "External","Specify location tariff", INDEX(Constants!$3:$3,MATCH($B89,Constants!$2:$2,0))))</f>
        <v>-</v>
      </c>
      <c r="I89" s="333" t="str">
        <f t="shared" si="2"/>
        <v>-</v>
      </c>
      <c r="J89" s="247"/>
      <c r="K89" s="615"/>
      <c r="L89" s="616"/>
      <c r="M89" s="616"/>
      <c r="N89" s="616"/>
      <c r="O89" s="617"/>
      <c r="P89" s="568"/>
      <c r="Q89" s="569"/>
      <c r="R89" s="16"/>
      <c r="S89" s="16"/>
      <c r="V89" s="16"/>
      <c r="W89" s="16"/>
      <c r="X89" s="16"/>
      <c r="Y89" s="16"/>
      <c r="Z89" s="16"/>
      <c r="AA89" s="16"/>
    </row>
    <row r="90" spans="1:30" ht="15.75" customHeight="1" thickTop="1">
      <c r="A90" s="15"/>
      <c r="B90" s="16"/>
      <c r="C90" s="16"/>
      <c r="D90" s="16"/>
      <c r="E90" s="16"/>
      <c r="F90" s="16"/>
      <c r="G90" s="16"/>
      <c r="H90" s="16"/>
      <c r="I90" s="16"/>
      <c r="J90" s="16"/>
      <c r="K90" s="16"/>
      <c r="L90" s="16"/>
      <c r="M90" s="16"/>
      <c r="N90" s="16"/>
      <c r="O90" s="16"/>
      <c r="P90" s="16"/>
      <c r="Q90" s="16"/>
      <c r="R90" s="16"/>
      <c r="S90" s="16"/>
      <c r="T90" s="16"/>
      <c r="U90" s="16"/>
      <c r="V90" s="16"/>
      <c r="W90" s="16"/>
      <c r="X90" s="16"/>
      <c r="Y90" s="16"/>
      <c r="Z90" s="16"/>
      <c r="AA90" s="16"/>
      <c r="AB90" s="16"/>
      <c r="AC90" s="16"/>
      <c r="AD90" s="16"/>
    </row>
    <row r="91" spans="1:30" ht="15.75" customHeight="1">
      <c r="A91" s="15"/>
      <c r="B91" s="16"/>
      <c r="C91" s="16"/>
      <c r="D91" s="16"/>
      <c r="E91" s="16"/>
      <c r="F91" s="16"/>
      <c r="G91" s="16"/>
      <c r="H91" s="16"/>
      <c r="I91" s="16"/>
      <c r="J91" s="16"/>
      <c r="K91" s="16"/>
      <c r="L91" s="16"/>
      <c r="M91" s="16"/>
      <c r="N91" s="16"/>
      <c r="O91" s="16"/>
      <c r="P91" s="16"/>
      <c r="Q91" s="16"/>
      <c r="R91" s="16"/>
      <c r="S91" s="16"/>
      <c r="T91" s="16"/>
      <c r="U91" s="16"/>
      <c r="V91" s="16"/>
      <c r="W91" s="16"/>
      <c r="X91" s="16"/>
      <c r="Y91" s="16"/>
      <c r="Z91" s="16"/>
      <c r="AA91" s="16"/>
      <c r="AB91" s="16"/>
      <c r="AC91" s="16"/>
      <c r="AD91" s="16"/>
    </row>
    <row r="92" spans="1:30" ht="15.75" customHeight="1" thickBot="1">
      <c r="A92" s="186" t="s">
        <v>519</v>
      </c>
      <c r="B92" s="16"/>
      <c r="C92" s="128"/>
      <c r="D92" s="51"/>
      <c r="E92" s="51"/>
      <c r="F92" s="51"/>
      <c r="G92" s="51"/>
      <c r="H92" s="51"/>
      <c r="I92" s="51"/>
      <c r="J92" s="51"/>
      <c r="K92" s="51"/>
      <c r="L92" s="232"/>
      <c r="M92" s="231"/>
      <c r="N92" s="16"/>
      <c r="O92" s="16"/>
      <c r="P92" s="16"/>
      <c r="Q92" s="16"/>
      <c r="R92" s="16"/>
      <c r="S92" s="16"/>
      <c r="T92" s="16"/>
      <c r="U92" s="16"/>
      <c r="V92" s="16"/>
      <c r="W92" s="16"/>
      <c r="X92" s="16"/>
      <c r="Y92" s="16"/>
      <c r="Z92" s="16"/>
      <c r="AA92" s="16"/>
      <c r="AB92" s="16"/>
      <c r="AC92" s="16"/>
      <c r="AD92" s="16"/>
    </row>
    <row r="93" spans="1:30" ht="15" customHeight="1" thickTop="1" thickBot="1">
      <c r="A93" s="230" t="s">
        <v>438</v>
      </c>
      <c r="B93" s="230" t="s">
        <v>439</v>
      </c>
      <c r="C93" s="230" t="s">
        <v>520</v>
      </c>
      <c r="D93" s="230" t="s">
        <v>521</v>
      </c>
      <c r="E93" s="230" t="s">
        <v>522</v>
      </c>
      <c r="F93" s="230" t="s">
        <v>523</v>
      </c>
      <c r="G93" s="230" t="s">
        <v>508</v>
      </c>
      <c r="H93" s="765" t="s">
        <v>441</v>
      </c>
      <c r="I93" s="737"/>
      <c r="J93" s="729" t="s">
        <v>434</v>
      </c>
      <c r="K93" s="730"/>
      <c r="L93" s="16"/>
      <c r="M93" s="16"/>
      <c r="N93" s="16"/>
      <c r="O93" s="16"/>
      <c r="P93" s="117"/>
      <c r="Q93" s="15"/>
      <c r="R93" s="16"/>
      <c r="S93" s="130"/>
      <c r="T93" s="16"/>
      <c r="U93" s="16"/>
      <c r="V93" s="16"/>
      <c r="W93" s="241"/>
      <c r="X93" s="16"/>
      <c r="Y93" s="16"/>
      <c r="Z93" s="16"/>
      <c r="AA93" s="16"/>
      <c r="AB93" s="16"/>
    </row>
    <row r="94" spans="1:30" ht="14.25" customHeight="1" thickTop="1">
      <c r="A94" s="244" t="s">
        <v>1103</v>
      </c>
      <c r="B94" s="244" t="s">
        <v>279</v>
      </c>
      <c r="C94" s="331" t="s">
        <v>1344</v>
      </c>
      <c r="D94" s="250">
        <v>1</v>
      </c>
      <c r="E94" s="338">
        <v>100</v>
      </c>
      <c r="F94" s="339">
        <v>140</v>
      </c>
      <c r="G94" s="247"/>
      <c r="H94" s="575"/>
      <c r="I94" s="696"/>
      <c r="J94" s="559" t="s">
        <v>526</v>
      </c>
      <c r="K94" s="730"/>
      <c r="L94" s="16"/>
      <c r="M94" s="16"/>
      <c r="N94" s="16"/>
      <c r="O94" s="16"/>
      <c r="P94" s="16"/>
      <c r="Q94" s="133"/>
      <c r="R94" s="16"/>
      <c r="S94" s="16"/>
      <c r="T94" s="16"/>
      <c r="U94" s="16"/>
      <c r="V94" s="16"/>
      <c r="W94" s="16"/>
      <c r="X94" s="16"/>
      <c r="Y94" s="16"/>
      <c r="Z94" s="16"/>
      <c r="AA94" s="16"/>
      <c r="AB94" s="16"/>
    </row>
    <row r="95" spans="1:30" ht="15.75" customHeight="1">
      <c r="A95" s="244" t="s">
        <v>1345</v>
      </c>
      <c r="B95" s="244" t="s">
        <v>283</v>
      </c>
      <c r="C95" s="331" t="s">
        <v>1346</v>
      </c>
      <c r="D95" s="250">
        <v>1</v>
      </c>
      <c r="E95" s="338">
        <v>1</v>
      </c>
      <c r="F95" s="339">
        <v>50</v>
      </c>
      <c r="G95" s="247"/>
      <c r="H95" s="744"/>
      <c r="I95" s="696"/>
      <c r="J95" s="731"/>
      <c r="K95" s="732"/>
      <c r="L95" s="16"/>
      <c r="M95" s="16"/>
      <c r="N95" s="16"/>
      <c r="O95" s="16"/>
      <c r="P95" s="16"/>
      <c r="Q95" s="16"/>
      <c r="R95" s="16"/>
      <c r="S95" s="16"/>
      <c r="T95" s="16"/>
      <c r="U95" s="16"/>
      <c r="V95" s="16"/>
      <c r="W95" s="16"/>
      <c r="X95" s="16"/>
      <c r="Y95" s="16"/>
      <c r="Z95" s="16"/>
      <c r="AA95" s="16"/>
      <c r="AB95" s="16"/>
    </row>
    <row r="96" spans="1:30" ht="15.75" customHeight="1">
      <c r="A96" s="244" t="s">
        <v>1347</v>
      </c>
      <c r="B96" s="244" t="s">
        <v>279</v>
      </c>
      <c r="C96" s="331" t="s">
        <v>1348</v>
      </c>
      <c r="D96" s="250">
        <v>5</v>
      </c>
      <c r="E96" s="338">
        <v>3</v>
      </c>
      <c r="F96" s="339">
        <v>60</v>
      </c>
      <c r="G96" s="247"/>
      <c r="H96" s="744"/>
      <c r="I96" s="696"/>
      <c r="J96" s="731"/>
      <c r="K96" s="732"/>
      <c r="L96" s="16"/>
      <c r="M96" s="16"/>
      <c r="N96" s="16"/>
      <c r="O96" s="16"/>
      <c r="P96" s="16"/>
      <c r="Q96" s="16"/>
      <c r="R96" s="16"/>
      <c r="S96" s="16"/>
      <c r="T96" s="16"/>
      <c r="U96" s="16"/>
      <c r="V96" s="16"/>
      <c r="W96" s="16"/>
      <c r="X96" s="16"/>
      <c r="Y96" s="16"/>
      <c r="Z96" s="16"/>
      <c r="AA96" s="16"/>
      <c r="AB96" s="16"/>
    </row>
    <row r="97" spans="1:30" ht="15.75" customHeight="1">
      <c r="A97" s="244" t="s">
        <v>1349</v>
      </c>
      <c r="B97" s="244" t="s">
        <v>279</v>
      </c>
      <c r="C97" s="331" t="s">
        <v>1350</v>
      </c>
      <c r="D97" s="250">
        <v>3</v>
      </c>
      <c r="E97" s="338">
        <v>3</v>
      </c>
      <c r="F97" s="339">
        <v>150</v>
      </c>
      <c r="G97" s="247"/>
      <c r="H97" s="744"/>
      <c r="I97" s="696"/>
      <c r="J97" s="731"/>
      <c r="K97" s="732"/>
      <c r="L97" s="16"/>
      <c r="M97" s="16"/>
      <c r="N97" s="16"/>
      <c r="O97" s="16"/>
      <c r="P97" s="16"/>
      <c r="Q97" s="16"/>
      <c r="R97" s="16"/>
      <c r="S97" s="16"/>
      <c r="T97" s="16"/>
      <c r="U97" s="16"/>
      <c r="V97" s="16"/>
      <c r="W97" s="16"/>
      <c r="X97" s="16"/>
      <c r="Y97" s="16"/>
      <c r="Z97" s="16"/>
      <c r="AA97" s="16"/>
      <c r="AB97" s="16"/>
    </row>
    <row r="98" spans="1:30" ht="15.75" customHeight="1">
      <c r="A98" s="244" t="s">
        <v>1351</v>
      </c>
      <c r="B98" s="244" t="s">
        <v>279</v>
      </c>
      <c r="C98" s="331" t="s">
        <v>1352</v>
      </c>
      <c r="D98" s="250">
        <v>5</v>
      </c>
      <c r="E98" s="338">
        <v>3</v>
      </c>
      <c r="F98" s="339">
        <v>18</v>
      </c>
      <c r="G98" s="247"/>
      <c r="H98" s="744"/>
      <c r="I98" s="696"/>
      <c r="J98" s="731"/>
      <c r="K98" s="732"/>
      <c r="L98" s="16"/>
      <c r="M98" s="16"/>
      <c r="N98" s="16"/>
      <c r="O98" s="16"/>
      <c r="P98" s="16"/>
      <c r="Q98" s="16"/>
      <c r="R98" s="16"/>
      <c r="S98" s="16"/>
      <c r="T98" s="16"/>
      <c r="U98" s="16"/>
      <c r="V98" s="16"/>
      <c r="W98" s="16"/>
      <c r="X98" s="16"/>
      <c r="Y98" s="16"/>
      <c r="Z98" s="16"/>
      <c r="AA98" s="16"/>
      <c r="AB98" s="16"/>
    </row>
    <row r="99" spans="1:30" ht="15.75" customHeight="1">
      <c r="A99" s="244" t="s">
        <v>1353</v>
      </c>
      <c r="B99" s="244" t="s">
        <v>279</v>
      </c>
      <c r="C99" s="331" t="s">
        <v>1354</v>
      </c>
      <c r="D99" s="250">
        <v>2</v>
      </c>
      <c r="E99" s="338">
        <v>3</v>
      </c>
      <c r="F99" s="339">
        <v>120</v>
      </c>
      <c r="G99" s="247"/>
      <c r="H99" s="744"/>
      <c r="I99" s="696"/>
      <c r="J99" s="731"/>
      <c r="K99" s="732"/>
      <c r="L99" s="16"/>
      <c r="M99" s="16"/>
      <c r="N99" s="16"/>
      <c r="O99" s="16"/>
      <c r="P99" s="16"/>
      <c r="Q99" s="16"/>
      <c r="R99" s="16"/>
      <c r="S99" s="16"/>
      <c r="T99" s="16"/>
      <c r="U99" s="16"/>
      <c r="V99" s="16"/>
      <c r="W99" s="16"/>
      <c r="X99" s="16"/>
      <c r="Y99" s="16"/>
      <c r="Z99" s="16"/>
      <c r="AA99" s="16"/>
      <c r="AB99" s="16"/>
    </row>
    <row r="100" spans="1:30" ht="15.75" customHeight="1">
      <c r="A100" s="244" t="s">
        <v>1355</v>
      </c>
      <c r="B100" s="244" t="s">
        <v>279</v>
      </c>
      <c r="C100" s="331" t="s">
        <v>1354</v>
      </c>
      <c r="D100" s="250">
        <v>4</v>
      </c>
      <c r="E100" s="338">
        <v>3</v>
      </c>
      <c r="F100" s="339">
        <v>60</v>
      </c>
      <c r="G100" s="247"/>
      <c r="H100" s="744"/>
      <c r="I100" s="696"/>
      <c r="J100" s="731"/>
      <c r="K100" s="732"/>
      <c r="L100" s="16"/>
      <c r="M100" s="16"/>
      <c r="N100" s="16"/>
      <c r="O100" s="16"/>
      <c r="P100" s="16"/>
      <c r="Q100" s="16"/>
      <c r="R100" s="16"/>
      <c r="S100" s="16"/>
      <c r="T100" s="16"/>
      <c r="U100" s="16"/>
      <c r="V100" s="16"/>
      <c r="W100" s="16"/>
      <c r="X100" s="16"/>
      <c r="Y100" s="16"/>
      <c r="Z100" s="16"/>
      <c r="AA100" s="16"/>
      <c r="AB100" s="16"/>
    </row>
    <row r="101" spans="1:30" ht="15.75" customHeight="1">
      <c r="A101" s="244" t="s">
        <v>1356</v>
      </c>
      <c r="B101" s="244" t="s">
        <v>279</v>
      </c>
      <c r="C101" s="331" t="s">
        <v>1357</v>
      </c>
      <c r="D101" s="250">
        <v>5</v>
      </c>
      <c r="E101" s="338">
        <v>3</v>
      </c>
      <c r="F101" s="339">
        <v>36</v>
      </c>
      <c r="G101" s="247"/>
      <c r="H101" s="744"/>
      <c r="I101" s="696"/>
      <c r="J101" s="731"/>
      <c r="K101" s="732"/>
      <c r="L101" s="16"/>
      <c r="M101" s="16"/>
      <c r="N101" s="16"/>
      <c r="O101" s="16"/>
      <c r="P101" s="16"/>
      <c r="Q101" s="16"/>
      <c r="R101" s="16"/>
      <c r="S101" s="16"/>
      <c r="T101" s="16"/>
      <c r="U101" s="16"/>
      <c r="V101" s="16"/>
      <c r="W101" s="16"/>
      <c r="X101" s="16"/>
      <c r="Y101" s="16"/>
      <c r="Z101" s="16"/>
      <c r="AA101" s="16"/>
      <c r="AB101" s="16"/>
    </row>
    <row r="102" spans="1:30" ht="15.75" customHeight="1">
      <c r="A102" s="244" t="s">
        <v>1358</v>
      </c>
      <c r="B102" s="244" t="s">
        <v>279</v>
      </c>
      <c r="C102" s="331" t="s">
        <v>1359</v>
      </c>
      <c r="D102" s="250">
        <v>3</v>
      </c>
      <c r="E102" s="338">
        <v>3</v>
      </c>
      <c r="F102" s="339">
        <v>40</v>
      </c>
      <c r="G102" s="247"/>
      <c r="H102" s="744"/>
      <c r="I102" s="696"/>
      <c r="J102" s="731"/>
      <c r="K102" s="732"/>
      <c r="L102" s="16"/>
      <c r="M102" s="16"/>
      <c r="N102" s="16"/>
      <c r="O102" s="16"/>
      <c r="P102" s="16"/>
      <c r="Q102" s="16"/>
      <c r="R102" s="16"/>
      <c r="S102" s="16"/>
      <c r="T102" s="16"/>
      <c r="U102" s="16"/>
      <c r="V102" s="16"/>
      <c r="W102" s="16"/>
      <c r="X102" s="16"/>
      <c r="Y102" s="16"/>
      <c r="Z102" s="16"/>
      <c r="AA102" s="16"/>
      <c r="AB102" s="16"/>
    </row>
    <row r="103" spans="1:30" ht="15.75" customHeight="1">
      <c r="A103" s="244" t="s">
        <v>1360</v>
      </c>
      <c r="B103" s="244" t="s">
        <v>279</v>
      </c>
      <c r="C103" s="331" t="s">
        <v>1361</v>
      </c>
      <c r="D103" s="250">
        <v>2</v>
      </c>
      <c r="E103" s="338">
        <v>6</v>
      </c>
      <c r="F103" s="339">
        <v>15</v>
      </c>
      <c r="G103" s="247"/>
      <c r="H103" s="744"/>
      <c r="I103" s="696"/>
      <c r="J103" s="731"/>
      <c r="K103" s="732"/>
      <c r="L103" s="16"/>
      <c r="M103" s="16"/>
      <c r="N103" s="16"/>
      <c r="O103" s="16"/>
      <c r="P103" s="16"/>
      <c r="Q103" s="16"/>
      <c r="R103" s="16"/>
      <c r="S103" s="16"/>
      <c r="T103" s="16"/>
      <c r="U103" s="16"/>
      <c r="V103" s="16"/>
      <c r="W103" s="16"/>
      <c r="X103" s="16"/>
      <c r="Y103" s="16"/>
      <c r="Z103" s="16"/>
      <c r="AA103" s="16"/>
      <c r="AB103" s="16"/>
    </row>
    <row r="104" spans="1:30" ht="15.75" customHeight="1">
      <c r="A104" s="244" t="s">
        <v>1362</v>
      </c>
      <c r="B104" s="244" t="s">
        <v>279</v>
      </c>
      <c r="C104" s="331" t="s">
        <v>1361</v>
      </c>
      <c r="D104" s="250">
        <v>2</v>
      </c>
      <c r="E104" s="338">
        <v>1</v>
      </c>
      <c r="F104" s="339">
        <v>30</v>
      </c>
      <c r="G104" s="247"/>
      <c r="H104" s="744"/>
      <c r="I104" s="696"/>
      <c r="J104" s="731"/>
      <c r="K104" s="732"/>
      <c r="L104" s="16"/>
      <c r="M104" s="16"/>
      <c r="N104" s="16"/>
      <c r="O104" s="16"/>
      <c r="P104" s="16"/>
      <c r="Q104" s="16"/>
      <c r="R104" s="16"/>
      <c r="S104" s="16"/>
      <c r="T104" s="16"/>
      <c r="U104" s="16"/>
      <c r="V104" s="16"/>
      <c r="W104" s="16"/>
      <c r="X104" s="16"/>
      <c r="Y104" s="16"/>
      <c r="Z104" s="16"/>
      <c r="AA104" s="16"/>
      <c r="AB104" s="16"/>
    </row>
    <row r="105" spans="1:30" ht="15.75" customHeight="1">
      <c r="A105" s="244" t="s">
        <v>1363</v>
      </c>
      <c r="B105" s="244" t="s">
        <v>279</v>
      </c>
      <c r="C105" s="331" t="s">
        <v>1359</v>
      </c>
      <c r="D105" s="250">
        <v>7</v>
      </c>
      <c r="E105" s="338">
        <v>2</v>
      </c>
      <c r="F105" s="339">
        <v>17.14</v>
      </c>
      <c r="G105" s="247"/>
      <c r="H105" s="744"/>
      <c r="I105" s="696"/>
      <c r="J105" s="731"/>
      <c r="K105" s="732"/>
      <c r="L105" s="16"/>
      <c r="M105" s="16"/>
      <c r="N105" s="16"/>
      <c r="O105" s="16"/>
      <c r="P105" s="16"/>
      <c r="Q105" s="16"/>
      <c r="R105" s="16"/>
      <c r="S105" s="16"/>
      <c r="T105" s="16"/>
      <c r="U105" s="16"/>
      <c r="V105" s="16"/>
      <c r="W105" s="16"/>
      <c r="X105" s="16"/>
      <c r="Y105" s="16"/>
      <c r="Z105" s="16"/>
      <c r="AA105" s="16"/>
      <c r="AB105" s="16"/>
    </row>
    <row r="106" spans="1:30" ht="15.75" customHeight="1">
      <c r="A106" s="244" t="s">
        <v>1364</v>
      </c>
      <c r="B106" s="244" t="s">
        <v>279</v>
      </c>
      <c r="C106" s="244" t="s">
        <v>1365</v>
      </c>
      <c r="D106" s="250">
        <v>10</v>
      </c>
      <c r="E106" s="250">
        <v>30</v>
      </c>
      <c r="F106" s="391">
        <v>60</v>
      </c>
      <c r="G106" s="232"/>
      <c r="H106" s="744"/>
      <c r="I106" s="696"/>
      <c r="J106" s="731"/>
      <c r="K106" s="732"/>
      <c r="L106" s="16"/>
      <c r="M106" s="16"/>
      <c r="N106" s="16"/>
      <c r="O106" s="16"/>
      <c r="P106" s="16"/>
      <c r="Q106" s="16"/>
      <c r="R106" s="16"/>
      <c r="S106" s="16"/>
      <c r="T106" s="16"/>
      <c r="U106" s="16"/>
      <c r="V106" s="16"/>
      <c r="W106" s="16"/>
      <c r="X106" s="16"/>
      <c r="Y106" s="16"/>
      <c r="Z106" s="16"/>
      <c r="AA106" s="16"/>
      <c r="AB106" s="16"/>
    </row>
    <row r="107" spans="1:30" ht="15.75" customHeight="1">
      <c r="A107" s="244" t="s">
        <v>1366</v>
      </c>
      <c r="B107" s="244" t="s">
        <v>279</v>
      </c>
      <c r="C107" s="244" t="s">
        <v>1367</v>
      </c>
      <c r="D107" s="250">
        <v>3</v>
      </c>
      <c r="E107" s="250">
        <v>50</v>
      </c>
      <c r="F107" s="339">
        <v>6.67</v>
      </c>
      <c r="G107" s="232"/>
      <c r="H107" s="724"/>
      <c r="I107" s="724"/>
      <c r="J107" s="733"/>
      <c r="K107" s="734"/>
      <c r="L107" s="16"/>
      <c r="M107" s="16"/>
      <c r="N107" s="16"/>
      <c r="O107" s="16"/>
      <c r="P107" s="16"/>
      <c r="Q107" s="16"/>
      <c r="R107" s="16"/>
      <c r="S107" s="16"/>
      <c r="T107" s="16"/>
      <c r="U107" s="16"/>
      <c r="V107" s="16"/>
      <c r="W107" s="16"/>
      <c r="X107" s="16"/>
      <c r="Y107" s="16"/>
      <c r="Z107" s="16"/>
      <c r="AA107" s="16"/>
      <c r="AB107" s="16"/>
    </row>
    <row r="108" spans="1:30" ht="15.75" customHeight="1">
      <c r="A108" s="15"/>
      <c r="B108" s="131"/>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c r="AA108" s="16"/>
      <c r="AB108" s="16"/>
      <c r="AC108" s="16"/>
      <c r="AD108" s="16"/>
    </row>
    <row r="109" spans="1:30" ht="15.75" customHeight="1">
      <c r="A109" s="15"/>
      <c r="B109" s="131"/>
      <c r="C109" s="16"/>
      <c r="D109" s="16"/>
      <c r="E109" s="16"/>
      <c r="F109" s="16"/>
      <c r="G109" s="16"/>
      <c r="I109" s="16"/>
      <c r="J109" s="16"/>
      <c r="K109" s="16"/>
      <c r="L109" s="16"/>
      <c r="M109" s="16"/>
      <c r="N109" s="16"/>
      <c r="O109" s="16"/>
      <c r="P109" s="16"/>
      <c r="Q109" s="16"/>
      <c r="R109" s="16"/>
      <c r="S109" s="16"/>
      <c r="T109" s="16"/>
      <c r="U109" s="16"/>
      <c r="V109" s="16"/>
      <c r="W109" s="16"/>
      <c r="X109" s="16"/>
      <c r="Y109" s="16"/>
      <c r="Z109" s="16"/>
      <c r="AA109" s="16"/>
      <c r="AB109" s="16"/>
      <c r="AC109" s="16"/>
      <c r="AD109" s="16"/>
    </row>
    <row r="110" spans="1:30" ht="15.75" customHeight="1">
      <c r="H110" s="51"/>
      <c r="I110" s="51"/>
      <c r="J110" s="51"/>
      <c r="K110" s="51"/>
      <c r="L110" s="16"/>
      <c r="M110" s="16"/>
      <c r="N110" s="16"/>
      <c r="O110" s="16"/>
      <c r="P110" s="16"/>
      <c r="Q110" s="16"/>
      <c r="R110" s="16"/>
      <c r="S110" s="16"/>
      <c r="T110" s="16"/>
      <c r="U110" s="16"/>
      <c r="V110" s="16"/>
      <c r="W110" s="16"/>
      <c r="X110" s="16"/>
      <c r="Y110" s="16"/>
      <c r="Z110" s="16"/>
      <c r="AA110" s="16"/>
      <c r="AB110" s="16"/>
      <c r="AC110" s="16"/>
      <c r="AD110" s="16"/>
    </row>
    <row r="111" spans="1:30" ht="15.75" customHeight="1">
      <c r="L111" s="16"/>
      <c r="M111" s="16"/>
      <c r="N111" s="16"/>
      <c r="O111" s="16"/>
      <c r="P111" s="16"/>
      <c r="Q111" s="16"/>
      <c r="R111" s="16"/>
      <c r="S111" s="16"/>
      <c r="T111" s="16"/>
      <c r="U111" s="16"/>
      <c r="V111" s="16"/>
      <c r="W111" s="16"/>
      <c r="X111" s="16"/>
      <c r="Y111" s="16"/>
      <c r="Z111" s="16"/>
      <c r="AA111" s="16"/>
      <c r="AB111" s="16"/>
      <c r="AC111" s="16"/>
      <c r="AD111" s="16"/>
    </row>
    <row r="112" spans="1:30" ht="15.75" customHeight="1">
      <c r="L112" s="16"/>
      <c r="M112" s="16"/>
      <c r="N112" s="16"/>
      <c r="O112" s="16"/>
      <c r="P112" s="16"/>
      <c r="Q112" s="16"/>
      <c r="R112" s="16"/>
      <c r="S112" s="16"/>
      <c r="T112" s="16"/>
      <c r="U112" s="16"/>
      <c r="V112" s="16"/>
      <c r="W112" s="16"/>
      <c r="X112" s="16"/>
      <c r="Y112" s="16"/>
      <c r="Z112" s="16"/>
      <c r="AA112" s="16"/>
      <c r="AB112" s="16"/>
      <c r="AC112" s="16"/>
      <c r="AD112" s="16"/>
    </row>
    <row r="113" spans="1:30" ht="15.75" customHeight="1">
      <c r="L113" s="16"/>
      <c r="M113" s="16"/>
      <c r="N113" s="16"/>
      <c r="O113" s="16"/>
      <c r="P113" s="16"/>
      <c r="Q113" s="16"/>
      <c r="R113" s="16"/>
      <c r="S113" s="16"/>
      <c r="T113" s="16"/>
      <c r="U113" s="16"/>
      <c r="V113" s="16"/>
      <c r="W113" s="16"/>
      <c r="X113" s="16"/>
      <c r="Y113" s="16"/>
      <c r="Z113" s="16"/>
      <c r="AA113" s="16"/>
      <c r="AB113" s="16"/>
      <c r="AC113" s="16"/>
      <c r="AD113" s="16"/>
    </row>
    <row r="114" spans="1:30" ht="15.75" customHeight="1">
      <c r="L114" s="16"/>
      <c r="M114" s="16"/>
      <c r="N114" s="16"/>
      <c r="O114" s="16"/>
      <c r="P114" s="16"/>
      <c r="Q114" s="16"/>
      <c r="R114" s="16"/>
      <c r="S114" s="16"/>
      <c r="T114" s="16"/>
      <c r="U114" s="16"/>
      <c r="V114" s="16"/>
      <c r="W114" s="16"/>
      <c r="X114" s="16"/>
      <c r="Y114" s="16"/>
      <c r="Z114" s="16"/>
      <c r="AA114" s="16"/>
      <c r="AB114" s="16"/>
      <c r="AC114" s="16"/>
      <c r="AD114" s="16"/>
    </row>
    <row r="115" spans="1:30" ht="15.75" customHeight="1">
      <c r="L115" s="16"/>
      <c r="M115" s="16"/>
      <c r="N115" s="16"/>
      <c r="O115" s="16"/>
      <c r="P115" s="16"/>
      <c r="Q115" s="16"/>
      <c r="R115" s="16"/>
      <c r="S115" s="16"/>
      <c r="T115" s="16"/>
      <c r="U115" s="16"/>
      <c r="V115" s="16"/>
      <c r="W115" s="16"/>
      <c r="X115" s="16"/>
      <c r="Y115" s="16"/>
      <c r="Z115" s="16"/>
      <c r="AA115" s="16"/>
      <c r="AB115" s="16"/>
      <c r="AC115" s="16"/>
      <c r="AD115" s="16"/>
    </row>
    <row r="116" spans="1:30" ht="15.75" customHeight="1">
      <c r="L116" s="16"/>
      <c r="M116" s="16"/>
      <c r="N116" s="16"/>
      <c r="O116" s="16"/>
      <c r="P116" s="16"/>
      <c r="Q116" s="16"/>
      <c r="R116" s="16"/>
      <c r="S116" s="16"/>
      <c r="T116" s="16"/>
      <c r="U116" s="16"/>
      <c r="V116" s="16"/>
      <c r="W116" s="16"/>
      <c r="X116" s="16"/>
      <c r="Y116" s="16"/>
      <c r="Z116" s="16"/>
      <c r="AA116" s="16"/>
      <c r="AB116" s="16"/>
      <c r="AC116" s="16"/>
      <c r="AD116" s="16"/>
    </row>
    <row r="117" spans="1:30" ht="15.75" customHeight="1">
      <c r="L117" s="16"/>
      <c r="M117" s="16"/>
      <c r="N117" s="16"/>
      <c r="O117" s="16"/>
      <c r="P117" s="735"/>
      <c r="Q117" s="696"/>
      <c r="R117" s="696"/>
      <c r="S117" s="16"/>
      <c r="T117" s="16"/>
      <c r="U117" s="16"/>
      <c r="V117" s="16"/>
      <c r="W117" s="16"/>
      <c r="X117" s="16"/>
      <c r="Y117" s="16"/>
      <c r="Z117" s="16"/>
      <c r="AA117" s="16"/>
      <c r="AB117" s="16"/>
      <c r="AC117" s="16"/>
      <c r="AD117" s="16"/>
    </row>
    <row r="118" spans="1:30" ht="15.75" customHeight="1">
      <c r="L118" s="16"/>
      <c r="M118" s="16"/>
      <c r="N118" s="16"/>
      <c r="O118" s="16"/>
      <c r="P118" s="735"/>
      <c r="Q118" s="696"/>
      <c r="R118" s="696"/>
      <c r="S118" s="16"/>
      <c r="T118" s="16"/>
      <c r="U118" s="16"/>
      <c r="V118" s="16"/>
      <c r="W118" s="16"/>
      <c r="X118" s="16"/>
      <c r="Y118" s="16"/>
      <c r="Z118" s="16"/>
      <c r="AA118" s="16"/>
      <c r="AB118" s="16"/>
      <c r="AC118" s="16"/>
      <c r="AD118" s="16"/>
    </row>
    <row r="119" spans="1:30" ht="15.75" customHeight="1">
      <c r="L119" s="16"/>
      <c r="M119" s="16"/>
      <c r="N119" s="16"/>
      <c r="O119" s="16"/>
      <c r="P119" s="735"/>
      <c r="Q119" s="696"/>
      <c r="R119" s="696"/>
      <c r="S119" s="16"/>
      <c r="T119" s="16"/>
      <c r="U119" s="16"/>
      <c r="V119" s="16"/>
      <c r="W119" s="16"/>
      <c r="X119" s="16"/>
      <c r="Y119" s="16"/>
      <c r="Z119" s="16"/>
      <c r="AA119" s="16"/>
      <c r="AB119" s="16"/>
      <c r="AC119" s="16"/>
      <c r="AD119" s="16"/>
    </row>
    <row r="120" spans="1:30" ht="15.75" customHeight="1">
      <c r="L120" s="16"/>
      <c r="M120" s="16"/>
      <c r="N120" s="16"/>
      <c r="O120" s="16"/>
      <c r="P120" s="735"/>
      <c r="Q120" s="696"/>
      <c r="R120" s="696"/>
      <c r="S120" s="16"/>
      <c r="T120" s="16"/>
      <c r="U120" s="16"/>
      <c r="V120" s="16"/>
      <c r="W120" s="16"/>
      <c r="X120" s="16"/>
      <c r="Y120" s="16"/>
      <c r="Z120" s="16"/>
      <c r="AA120" s="16"/>
      <c r="AB120" s="16"/>
      <c r="AC120" s="16"/>
      <c r="AD120" s="16"/>
    </row>
    <row r="121" spans="1:30" ht="15.75" customHeight="1">
      <c r="L121" s="16"/>
      <c r="M121" s="16"/>
      <c r="N121" s="16"/>
      <c r="O121" s="16"/>
      <c r="P121" s="735"/>
      <c r="Q121" s="696"/>
      <c r="R121" s="696"/>
      <c r="S121" s="16"/>
      <c r="T121" s="16"/>
      <c r="U121" s="16"/>
      <c r="V121" s="16"/>
      <c r="W121" s="16"/>
      <c r="X121" s="16"/>
      <c r="Y121" s="16"/>
      <c r="Z121" s="16"/>
      <c r="AA121" s="16"/>
      <c r="AB121" s="16"/>
      <c r="AC121" s="16"/>
      <c r="AD121" s="16"/>
    </row>
    <row r="122" spans="1:30" ht="15.75" customHeight="1">
      <c r="L122" s="16"/>
      <c r="M122" s="16"/>
      <c r="N122" s="16"/>
      <c r="O122" s="16"/>
      <c r="P122" s="735"/>
      <c r="Q122" s="696"/>
      <c r="R122" s="696"/>
      <c r="S122" s="16"/>
      <c r="T122" s="16"/>
      <c r="U122" s="16"/>
      <c r="V122" s="16"/>
      <c r="W122" s="16"/>
      <c r="X122" s="16"/>
      <c r="Y122" s="16"/>
      <c r="Z122" s="16"/>
      <c r="AA122" s="16"/>
      <c r="AB122" s="16"/>
      <c r="AC122" s="16"/>
      <c r="AD122" s="16"/>
    </row>
    <row r="123" spans="1:30" ht="15.75" customHeight="1">
      <c r="H123" s="248"/>
      <c r="I123" s="248"/>
      <c r="J123" s="228"/>
      <c r="K123" s="228"/>
      <c r="L123" s="16"/>
      <c r="M123" s="16"/>
      <c r="N123" s="16"/>
      <c r="O123" s="16"/>
      <c r="P123" s="735"/>
      <c r="Q123" s="696"/>
      <c r="R123" s="696"/>
      <c r="S123" s="16"/>
      <c r="T123" s="16"/>
      <c r="U123" s="16"/>
      <c r="V123" s="16"/>
      <c r="W123" s="16"/>
      <c r="X123" s="16"/>
      <c r="Y123" s="16"/>
      <c r="Z123" s="16"/>
      <c r="AA123" s="16"/>
      <c r="AB123" s="16"/>
      <c r="AC123" s="16"/>
      <c r="AD123" s="16"/>
    </row>
    <row r="124" spans="1:30" ht="15.75" customHeight="1">
      <c r="A124" s="231"/>
      <c r="B124" s="231"/>
      <c r="C124" s="246"/>
      <c r="D124" s="247"/>
      <c r="E124" s="245"/>
      <c r="F124" s="246"/>
      <c r="G124" s="247"/>
      <c r="H124" s="248"/>
      <c r="I124" s="248"/>
      <c r="J124" s="228"/>
      <c r="K124" s="228"/>
      <c r="L124" s="16"/>
      <c r="M124" s="16"/>
      <c r="N124" s="16"/>
      <c r="O124" s="16"/>
      <c r="P124" s="16"/>
      <c r="Q124" s="16"/>
      <c r="R124" s="16"/>
      <c r="S124" s="16"/>
      <c r="T124" s="16"/>
      <c r="U124" s="16"/>
      <c r="V124" s="16"/>
      <c r="W124" s="16"/>
      <c r="X124" s="16"/>
      <c r="Y124" s="16"/>
      <c r="Z124" s="16"/>
      <c r="AA124" s="16"/>
      <c r="AB124" s="16"/>
      <c r="AC124" s="16"/>
      <c r="AD124" s="16"/>
    </row>
    <row r="125" spans="1:30" ht="15.75" customHeight="1">
      <c r="A125" s="231"/>
      <c r="B125" s="16"/>
      <c r="C125" s="246"/>
      <c r="D125" s="247"/>
      <c r="E125" s="245"/>
      <c r="F125" s="246"/>
      <c r="G125" s="247"/>
      <c r="H125" s="228"/>
      <c r="I125" s="228"/>
      <c r="J125" s="228"/>
      <c r="K125" s="228"/>
      <c r="L125" s="16"/>
      <c r="M125" s="735"/>
      <c r="N125" s="696"/>
      <c r="O125" s="696"/>
      <c r="P125" s="735"/>
      <c r="Q125" s="696"/>
      <c r="R125" s="696"/>
      <c r="S125" s="696"/>
      <c r="T125" s="696"/>
      <c r="U125" s="16"/>
      <c r="V125" s="16"/>
      <c r="W125" s="16"/>
      <c r="X125" s="16"/>
      <c r="Y125" s="16"/>
      <c r="Z125" s="16"/>
      <c r="AA125" s="16"/>
      <c r="AB125" s="16"/>
      <c r="AC125" s="16"/>
      <c r="AD125" s="16"/>
    </row>
    <row r="126" spans="1:30" ht="15.75" customHeight="1">
      <c r="A126" s="16"/>
      <c r="B126" s="16"/>
      <c r="C126" s="16"/>
      <c r="D126" s="16"/>
      <c r="E126" s="16"/>
      <c r="F126" s="16"/>
      <c r="G126" s="16"/>
      <c r="H126" s="16"/>
      <c r="I126" s="16"/>
      <c r="J126" s="16"/>
      <c r="K126" s="16"/>
      <c r="L126" s="16"/>
      <c r="M126" s="735"/>
      <c r="N126" s="696"/>
      <c r="O126" s="696"/>
      <c r="P126" s="735"/>
      <c r="Q126" s="696"/>
      <c r="R126" s="696"/>
      <c r="S126" s="696"/>
      <c r="T126" s="696"/>
      <c r="U126" s="16"/>
      <c r="V126" s="16"/>
      <c r="W126" s="16"/>
      <c r="X126" s="16"/>
      <c r="Y126" s="16"/>
      <c r="Z126" s="16"/>
      <c r="AA126" s="16"/>
      <c r="AB126" s="16"/>
      <c r="AC126" s="16"/>
      <c r="AD126" s="16"/>
    </row>
    <row r="127" spans="1:30" ht="15.75" customHeight="1">
      <c r="A127" s="16"/>
      <c r="B127" s="16"/>
      <c r="C127" s="16"/>
      <c r="D127" s="16"/>
      <c r="E127" s="16"/>
      <c r="F127" s="16"/>
      <c r="G127" s="16"/>
      <c r="H127" s="16"/>
      <c r="I127" s="16"/>
      <c r="J127" s="16"/>
      <c r="K127" s="16"/>
      <c r="L127" s="16"/>
      <c r="M127" s="735"/>
      <c r="N127" s="696"/>
      <c r="O127" s="696"/>
      <c r="P127" s="696"/>
      <c r="Q127" s="696"/>
      <c r="R127" s="696"/>
      <c r="S127" s="696"/>
      <c r="T127" s="696"/>
      <c r="U127" s="16"/>
      <c r="V127" s="16"/>
      <c r="W127" s="16"/>
      <c r="X127" s="16"/>
      <c r="Y127" s="16"/>
      <c r="Z127" s="16"/>
      <c r="AA127" s="16"/>
      <c r="AB127" s="16"/>
      <c r="AC127" s="16"/>
      <c r="AD127" s="16"/>
    </row>
    <row r="128" spans="1:30" ht="15.75" customHeight="1">
      <c r="A128" s="16"/>
      <c r="B128" s="16"/>
      <c r="C128" s="16"/>
      <c r="D128" s="16"/>
      <c r="E128" s="16"/>
      <c r="F128" s="16"/>
      <c r="G128" s="16"/>
      <c r="H128" s="16"/>
      <c r="I128" s="16"/>
      <c r="J128" s="16"/>
      <c r="K128" s="16"/>
      <c r="L128" s="16"/>
      <c r="M128" s="735"/>
      <c r="N128" s="696"/>
      <c r="O128" s="696"/>
      <c r="P128" s="696"/>
      <c r="Q128" s="696"/>
      <c r="R128" s="696"/>
      <c r="S128" s="696"/>
      <c r="T128" s="696"/>
      <c r="U128" s="16"/>
      <c r="V128" s="16"/>
      <c r="W128" s="16"/>
      <c r="X128" s="16"/>
      <c r="Y128" s="16"/>
      <c r="Z128" s="16"/>
      <c r="AA128" s="16"/>
      <c r="AB128" s="16"/>
      <c r="AC128" s="16"/>
      <c r="AD128" s="16"/>
    </row>
    <row r="129" spans="1:30" ht="15.75" customHeight="1">
      <c r="A129" s="16"/>
      <c r="B129" s="16"/>
      <c r="C129" s="16"/>
      <c r="D129" s="16"/>
      <c r="E129" s="16"/>
      <c r="F129" s="16"/>
      <c r="G129" s="16"/>
      <c r="H129" s="16"/>
      <c r="I129" s="16"/>
      <c r="J129" s="16"/>
      <c r="K129" s="16"/>
      <c r="L129" s="16"/>
      <c r="M129" s="735"/>
      <c r="N129" s="696"/>
      <c r="O129" s="696"/>
      <c r="P129" s="696"/>
      <c r="Q129" s="696"/>
      <c r="R129" s="696"/>
      <c r="S129" s="696"/>
      <c r="T129" s="696"/>
      <c r="U129" s="16"/>
      <c r="V129" s="16"/>
      <c r="W129" s="16"/>
      <c r="X129" s="16"/>
      <c r="Y129" s="16"/>
      <c r="Z129" s="16"/>
      <c r="AA129" s="16"/>
      <c r="AB129" s="16"/>
      <c r="AC129" s="16"/>
      <c r="AD129" s="16"/>
    </row>
    <row r="130" spans="1:30" ht="15.75" customHeight="1">
      <c r="A130" s="16"/>
      <c r="B130" s="16"/>
      <c r="C130" s="16"/>
      <c r="D130" s="16"/>
      <c r="E130" s="16"/>
      <c r="F130" s="16"/>
      <c r="G130" s="16"/>
      <c r="H130" s="16"/>
      <c r="I130" s="16"/>
      <c r="J130" s="16"/>
      <c r="K130" s="16"/>
      <c r="L130" s="16"/>
      <c r="M130" s="735"/>
      <c r="N130" s="696"/>
      <c r="O130" s="696"/>
      <c r="P130" s="696"/>
      <c r="Q130" s="696"/>
      <c r="R130" s="696"/>
      <c r="S130" s="696"/>
      <c r="T130" s="696"/>
      <c r="U130" s="16"/>
      <c r="V130" s="16"/>
      <c r="W130" s="16"/>
      <c r="X130" s="16"/>
      <c r="Y130" s="16"/>
      <c r="Z130" s="16"/>
      <c r="AA130" s="16"/>
      <c r="AB130" s="16"/>
      <c r="AC130" s="16"/>
      <c r="AD130" s="16"/>
    </row>
    <row r="131" spans="1:30" ht="15.75" customHeight="1">
      <c r="A131" s="16"/>
      <c r="B131" s="16"/>
      <c r="C131" s="16"/>
      <c r="D131" s="16"/>
      <c r="E131" s="16"/>
      <c r="F131" s="16"/>
      <c r="G131" s="16"/>
      <c r="H131" s="16"/>
      <c r="I131" s="16"/>
      <c r="J131" s="16"/>
      <c r="K131" s="16"/>
      <c r="L131" s="16"/>
      <c r="M131" s="735"/>
      <c r="N131" s="696"/>
      <c r="O131" s="696"/>
      <c r="P131" s="696"/>
      <c r="Q131" s="696"/>
      <c r="R131" s="696"/>
      <c r="S131" s="696"/>
      <c r="T131" s="696"/>
      <c r="U131" s="16"/>
      <c r="V131" s="16"/>
      <c r="W131" s="16"/>
      <c r="X131" s="16"/>
      <c r="Y131" s="16"/>
      <c r="Z131" s="16"/>
      <c r="AA131" s="16"/>
      <c r="AB131" s="16"/>
      <c r="AC131" s="16"/>
      <c r="AD131" s="16"/>
    </row>
    <row r="132" spans="1:30" ht="15.75" customHeight="1">
      <c r="A132" s="16"/>
      <c r="B132" s="16"/>
      <c r="C132" s="16"/>
      <c r="D132" s="16"/>
      <c r="E132" s="16"/>
      <c r="F132" s="16"/>
      <c r="G132" s="16"/>
      <c r="H132" s="16"/>
      <c r="I132" s="16"/>
      <c r="J132" s="16"/>
      <c r="K132" s="16"/>
      <c r="L132" s="16"/>
      <c r="M132" s="735"/>
      <c r="N132" s="696"/>
      <c r="O132" s="696"/>
      <c r="P132" s="696"/>
      <c r="Q132" s="696"/>
      <c r="R132" s="696"/>
      <c r="S132" s="696"/>
      <c r="T132" s="696"/>
      <c r="U132" s="16"/>
      <c r="V132" s="16"/>
      <c r="W132" s="16"/>
      <c r="X132" s="16"/>
      <c r="Y132" s="16"/>
      <c r="Z132" s="16"/>
      <c r="AA132" s="16"/>
      <c r="AB132" s="16"/>
      <c r="AC132" s="16"/>
      <c r="AD132" s="16"/>
    </row>
    <row r="133" spans="1:30" ht="15.75" customHeight="1">
      <c r="A133" s="16"/>
      <c r="B133" s="16"/>
      <c r="C133" s="16"/>
      <c r="D133" s="16"/>
      <c r="E133" s="16"/>
      <c r="F133" s="16"/>
      <c r="G133" s="16"/>
      <c r="H133" s="16"/>
      <c r="I133" s="16"/>
      <c r="J133" s="16"/>
      <c r="K133" s="16"/>
      <c r="L133" s="16"/>
      <c r="M133" s="735"/>
      <c r="N133" s="696"/>
      <c r="O133" s="696"/>
      <c r="P133" s="696"/>
      <c r="Q133" s="696"/>
      <c r="R133" s="696"/>
      <c r="S133" s="696"/>
      <c r="T133" s="696"/>
      <c r="U133" s="16"/>
      <c r="V133" s="16"/>
      <c r="W133" s="16"/>
      <c r="X133" s="16"/>
      <c r="Y133" s="16"/>
      <c r="Z133" s="16"/>
      <c r="AA133" s="16"/>
      <c r="AB133" s="16"/>
      <c r="AC133" s="16"/>
      <c r="AD133" s="16"/>
    </row>
    <row r="134" spans="1:30" ht="15.75" customHeight="1">
      <c r="A134" s="16"/>
      <c r="B134" s="16"/>
      <c r="C134" s="16"/>
      <c r="D134" s="16"/>
      <c r="E134" s="16"/>
      <c r="F134" s="16"/>
      <c r="G134" s="16"/>
      <c r="H134" s="16"/>
      <c r="I134" s="16"/>
      <c r="J134" s="16"/>
      <c r="K134" s="16"/>
      <c r="L134" s="16"/>
      <c r="M134" s="735"/>
      <c r="N134" s="696"/>
      <c r="O134" s="696"/>
      <c r="P134" s="696"/>
      <c r="Q134" s="696"/>
      <c r="R134" s="696"/>
      <c r="S134" s="696"/>
      <c r="T134" s="696"/>
      <c r="U134" s="16"/>
      <c r="V134" s="16"/>
      <c r="W134" s="16"/>
      <c r="X134" s="16"/>
      <c r="Y134" s="16"/>
      <c r="Z134" s="16"/>
      <c r="AA134" s="16"/>
      <c r="AB134" s="16"/>
      <c r="AC134" s="16"/>
      <c r="AD134" s="16"/>
    </row>
    <row r="135" spans="1:30" ht="15.75" customHeight="1">
      <c r="A135" s="16"/>
      <c r="B135" s="16"/>
      <c r="C135" s="16"/>
      <c r="D135" s="16"/>
      <c r="E135" s="16"/>
      <c r="F135" s="16"/>
      <c r="G135" s="16"/>
      <c r="H135" s="16"/>
      <c r="I135" s="16"/>
      <c r="J135" s="16"/>
      <c r="K135" s="16"/>
      <c r="L135" s="16"/>
      <c r="M135" s="735"/>
      <c r="N135" s="696"/>
      <c r="O135" s="696"/>
      <c r="P135" s="696"/>
      <c r="Q135" s="696"/>
      <c r="R135" s="696"/>
      <c r="S135" s="696"/>
      <c r="T135" s="696"/>
      <c r="U135" s="16"/>
      <c r="V135" s="16"/>
      <c r="W135" s="16"/>
      <c r="X135" s="16"/>
      <c r="Y135" s="16"/>
      <c r="Z135" s="16"/>
      <c r="AA135" s="16"/>
      <c r="AB135" s="16"/>
      <c r="AC135" s="16"/>
      <c r="AD135" s="16"/>
    </row>
    <row r="136" spans="1:30" ht="15.75" customHeight="1">
      <c r="A136" s="16"/>
      <c r="B136" s="16"/>
      <c r="C136" s="16"/>
      <c r="D136" s="16"/>
      <c r="E136" s="16"/>
      <c r="F136" s="16"/>
      <c r="G136" s="16"/>
      <c r="H136" s="16"/>
      <c r="I136" s="16"/>
      <c r="J136" s="16"/>
      <c r="K136" s="16"/>
      <c r="L136" s="16"/>
      <c r="M136" s="735"/>
      <c r="N136" s="696"/>
      <c r="O136" s="696"/>
      <c r="P136" s="696"/>
      <c r="Q136" s="696"/>
      <c r="R136" s="696"/>
      <c r="S136" s="696"/>
      <c r="T136" s="696"/>
      <c r="U136" s="16"/>
      <c r="V136" s="16"/>
      <c r="W136" s="16"/>
      <c r="X136" s="16"/>
      <c r="Y136" s="16"/>
      <c r="Z136" s="16"/>
      <c r="AA136" s="16"/>
      <c r="AB136" s="16"/>
      <c r="AC136" s="16"/>
      <c r="AD136" s="16"/>
    </row>
    <row r="137" spans="1:30" ht="15.75" customHeight="1">
      <c r="A137" s="16"/>
      <c r="B137" s="16"/>
      <c r="C137" s="16"/>
      <c r="D137" s="16"/>
      <c r="E137" s="16"/>
      <c r="F137" s="16"/>
      <c r="G137" s="16"/>
      <c r="H137" s="16"/>
      <c r="I137" s="16"/>
      <c r="J137" s="16"/>
      <c r="K137" s="16"/>
      <c r="L137" s="16"/>
      <c r="M137" s="735"/>
      <c r="N137" s="696"/>
      <c r="O137" s="696"/>
      <c r="P137" s="696"/>
      <c r="Q137" s="696"/>
      <c r="R137" s="696"/>
      <c r="S137" s="696"/>
      <c r="T137" s="696"/>
      <c r="U137" s="16"/>
      <c r="V137" s="16"/>
      <c r="W137" s="16"/>
      <c r="X137" s="16"/>
      <c r="Y137" s="16"/>
      <c r="Z137" s="16"/>
      <c r="AA137" s="16"/>
      <c r="AB137" s="16"/>
      <c r="AC137" s="16"/>
      <c r="AD137" s="16"/>
    </row>
    <row r="138" spans="1:30" ht="15.75" customHeight="1">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c r="AA138" s="16"/>
      <c r="AB138" s="16"/>
      <c r="AC138" s="16"/>
      <c r="AD138" s="16"/>
    </row>
    <row r="139" spans="1:30" ht="15.75" customHeight="1">
      <c r="A139" s="1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c r="AA139" s="16"/>
      <c r="AB139" s="16"/>
      <c r="AC139" s="16"/>
      <c r="AD139" s="16"/>
    </row>
    <row r="140" spans="1:30" ht="15.75" customHeight="1">
      <c r="A140" s="16"/>
      <c r="B140" s="16"/>
      <c r="C140" s="16"/>
      <c r="D140" s="16"/>
      <c r="E140" s="16"/>
      <c r="F140" s="16"/>
      <c r="G140" s="16"/>
      <c r="H140" s="16"/>
      <c r="I140" s="16"/>
      <c r="J140" s="16"/>
      <c r="K140" s="16"/>
      <c r="L140" s="16"/>
      <c r="M140" s="735"/>
      <c r="N140" s="696"/>
      <c r="O140" s="696"/>
      <c r="P140" s="735"/>
      <c r="Q140" s="696"/>
      <c r="R140" s="696"/>
      <c r="S140" s="696"/>
      <c r="T140" s="696"/>
      <c r="U140" s="16"/>
      <c r="V140" s="16"/>
      <c r="W140" s="16"/>
      <c r="X140" s="16"/>
      <c r="Y140" s="16"/>
      <c r="Z140" s="16"/>
      <c r="AA140" s="16"/>
      <c r="AB140" s="16"/>
      <c r="AC140" s="16"/>
      <c r="AD140" s="16"/>
    </row>
    <row r="141" spans="1:30" ht="15.75" customHeight="1">
      <c r="A141" s="16"/>
      <c r="B141" s="16"/>
      <c r="C141" s="16"/>
      <c r="D141" s="16"/>
      <c r="E141" s="16"/>
      <c r="F141" s="16"/>
      <c r="G141" s="16"/>
      <c r="H141" s="16"/>
      <c r="I141" s="16"/>
      <c r="J141" s="16"/>
      <c r="K141" s="16"/>
      <c r="L141" s="16"/>
      <c r="M141" s="735"/>
      <c r="N141" s="696"/>
      <c r="O141" s="696"/>
      <c r="P141" s="735"/>
      <c r="Q141" s="696"/>
      <c r="R141" s="696"/>
      <c r="S141" s="696"/>
      <c r="T141" s="696"/>
      <c r="U141" s="16"/>
      <c r="V141" s="16"/>
      <c r="W141" s="16"/>
      <c r="X141" s="16"/>
      <c r="Y141" s="16"/>
      <c r="Z141" s="16"/>
      <c r="AA141" s="16"/>
      <c r="AB141" s="16"/>
      <c r="AC141" s="16"/>
      <c r="AD141" s="16"/>
    </row>
    <row r="142" spans="1:30" ht="15.75" customHeight="1">
      <c r="A142" s="16"/>
      <c r="B142" s="16"/>
      <c r="C142" s="16"/>
      <c r="D142" s="16"/>
      <c r="E142" s="16"/>
      <c r="F142" s="16"/>
      <c r="G142" s="16"/>
      <c r="H142" s="16"/>
      <c r="I142" s="16"/>
      <c r="J142" s="16"/>
      <c r="K142" s="16"/>
      <c r="L142" s="16"/>
      <c r="M142" s="735"/>
      <c r="N142" s="696"/>
      <c r="O142" s="696"/>
      <c r="P142" s="696"/>
      <c r="Q142" s="696"/>
      <c r="R142" s="696"/>
      <c r="S142" s="696"/>
      <c r="T142" s="696"/>
      <c r="U142" s="16"/>
      <c r="V142" s="16"/>
      <c r="W142" s="16"/>
      <c r="X142" s="16"/>
      <c r="Y142" s="16"/>
      <c r="Z142" s="16"/>
      <c r="AA142" s="16"/>
      <c r="AB142" s="16"/>
      <c r="AC142" s="16"/>
      <c r="AD142" s="16"/>
    </row>
    <row r="143" spans="1:30" ht="15.75" customHeight="1">
      <c r="A143" s="16"/>
      <c r="B143" s="16"/>
      <c r="C143" s="16"/>
      <c r="D143" s="16"/>
      <c r="E143" s="16"/>
      <c r="F143" s="16"/>
      <c r="G143" s="16"/>
      <c r="H143" s="16"/>
      <c r="I143" s="16"/>
      <c r="J143" s="16"/>
      <c r="K143" s="16"/>
      <c r="L143" s="16"/>
      <c r="M143" s="735"/>
      <c r="N143" s="696"/>
      <c r="O143" s="696"/>
      <c r="P143" s="696"/>
      <c r="Q143" s="696"/>
      <c r="R143" s="696"/>
      <c r="S143" s="696"/>
      <c r="T143" s="696"/>
      <c r="U143" s="16"/>
      <c r="V143" s="16"/>
      <c r="W143" s="16"/>
      <c r="X143" s="16"/>
      <c r="Y143" s="16"/>
      <c r="Z143" s="16"/>
      <c r="AA143" s="16"/>
      <c r="AB143" s="16"/>
      <c r="AC143" s="16"/>
      <c r="AD143" s="16"/>
    </row>
    <row r="144" spans="1:30" ht="15.75" customHeight="1">
      <c r="A144" s="16"/>
      <c r="B144" s="16"/>
      <c r="C144" s="16"/>
      <c r="D144" s="16"/>
      <c r="E144" s="16"/>
      <c r="F144" s="16"/>
      <c r="G144" s="16"/>
      <c r="H144" s="16"/>
      <c r="I144" s="16"/>
      <c r="J144" s="16"/>
      <c r="K144" s="16"/>
      <c r="L144" s="16"/>
      <c r="M144" s="735"/>
      <c r="N144" s="696"/>
      <c r="O144" s="696"/>
      <c r="P144" s="696"/>
      <c r="Q144" s="696"/>
      <c r="R144" s="696"/>
      <c r="S144" s="696"/>
      <c r="T144" s="696"/>
      <c r="U144" s="16"/>
      <c r="V144" s="16"/>
      <c r="W144" s="16"/>
      <c r="X144" s="16"/>
      <c r="Y144" s="16"/>
      <c r="Z144" s="16"/>
      <c r="AA144" s="16"/>
      <c r="AB144" s="16"/>
      <c r="AC144" s="16"/>
      <c r="AD144" s="16"/>
    </row>
    <row r="145" spans="1:30" ht="15.75" customHeight="1">
      <c r="A145" s="16"/>
      <c r="B145" s="16"/>
      <c r="C145" s="16"/>
      <c r="D145" s="16"/>
      <c r="E145" s="16"/>
      <c r="F145" s="16"/>
      <c r="G145" s="16"/>
      <c r="H145" s="16"/>
      <c r="I145" s="16"/>
      <c r="J145" s="16"/>
      <c r="K145" s="16"/>
      <c r="L145" s="16"/>
      <c r="M145" s="735"/>
      <c r="N145" s="696"/>
      <c r="O145" s="696"/>
      <c r="P145" s="696"/>
      <c r="Q145" s="696"/>
      <c r="R145" s="696"/>
      <c r="S145" s="696"/>
      <c r="T145" s="696"/>
      <c r="U145" s="16"/>
      <c r="V145" s="16"/>
      <c r="W145" s="16"/>
      <c r="X145" s="16"/>
      <c r="Y145" s="16"/>
      <c r="Z145" s="16"/>
      <c r="AA145" s="16"/>
      <c r="AB145" s="16"/>
      <c r="AC145" s="16"/>
      <c r="AD145" s="16"/>
    </row>
    <row r="146" spans="1:30" ht="15.75" customHeight="1">
      <c r="A146" s="16"/>
      <c r="B146" s="16"/>
      <c r="C146" s="16"/>
      <c r="D146" s="16"/>
      <c r="E146" s="16"/>
      <c r="F146" s="16"/>
      <c r="G146" s="16"/>
      <c r="H146" s="16"/>
      <c r="I146" s="16"/>
      <c r="J146" s="16"/>
      <c r="K146" s="16"/>
      <c r="L146" s="16"/>
      <c r="M146" s="735"/>
      <c r="N146" s="696"/>
      <c r="O146" s="696"/>
      <c r="P146" s="696"/>
      <c r="Q146" s="696"/>
      <c r="R146" s="696"/>
      <c r="S146" s="696"/>
      <c r="T146" s="696"/>
      <c r="U146" s="16"/>
      <c r="V146" s="16"/>
      <c r="W146" s="16"/>
      <c r="X146" s="16"/>
      <c r="Y146" s="16"/>
      <c r="Z146" s="16"/>
      <c r="AA146" s="16"/>
      <c r="AB146" s="16"/>
      <c r="AC146" s="16"/>
      <c r="AD146" s="16"/>
    </row>
    <row r="147" spans="1:30" ht="15.75" customHeight="1">
      <c r="A147" s="16"/>
      <c r="B147" s="16"/>
      <c r="C147" s="16"/>
      <c r="D147" s="16"/>
      <c r="E147" s="16"/>
      <c r="F147" s="16"/>
      <c r="G147" s="16"/>
      <c r="H147" s="16"/>
      <c r="I147" s="16"/>
      <c r="J147" s="16"/>
      <c r="K147" s="16"/>
      <c r="L147" s="16"/>
      <c r="M147" s="735"/>
      <c r="N147" s="696"/>
      <c r="O147" s="696"/>
      <c r="P147" s="696"/>
      <c r="Q147" s="696"/>
      <c r="R147" s="696"/>
      <c r="S147" s="696"/>
      <c r="T147" s="696"/>
      <c r="U147" s="16"/>
      <c r="V147" s="16"/>
      <c r="W147" s="16"/>
      <c r="X147" s="16"/>
      <c r="Y147" s="16"/>
      <c r="Z147" s="16"/>
      <c r="AA147" s="16"/>
      <c r="AB147" s="16"/>
      <c r="AC147" s="16"/>
      <c r="AD147" s="16"/>
    </row>
    <row r="148" spans="1:30" ht="15.75" customHeight="1">
      <c r="A148" s="16"/>
      <c r="B148" s="16"/>
      <c r="C148" s="16"/>
      <c r="D148" s="16"/>
      <c r="E148" s="16"/>
      <c r="F148" s="16"/>
      <c r="G148" s="16"/>
      <c r="H148" s="16"/>
      <c r="I148" s="16"/>
      <c r="J148" s="16"/>
      <c r="K148" s="16"/>
      <c r="L148" s="16"/>
      <c r="M148" s="735"/>
      <c r="N148" s="696"/>
      <c r="O148" s="696"/>
      <c r="P148" s="696"/>
      <c r="Q148" s="696"/>
      <c r="R148" s="696"/>
      <c r="S148" s="696"/>
      <c r="T148" s="696"/>
      <c r="U148" s="16"/>
      <c r="V148" s="16"/>
      <c r="W148" s="16"/>
      <c r="X148" s="16"/>
      <c r="Y148" s="16"/>
      <c r="Z148" s="16"/>
      <c r="AA148" s="16"/>
      <c r="AB148" s="16"/>
      <c r="AC148" s="16"/>
      <c r="AD148" s="16"/>
    </row>
    <row r="149" spans="1:30" ht="15.75" customHeight="1">
      <c r="A149" s="16"/>
      <c r="B149" s="16"/>
      <c r="C149" s="16"/>
      <c r="D149" s="16"/>
      <c r="E149" s="16"/>
      <c r="F149" s="16"/>
      <c r="G149" s="16"/>
      <c r="H149" s="16"/>
      <c r="I149" s="16"/>
      <c r="J149" s="16"/>
      <c r="K149" s="16"/>
      <c r="L149" s="16"/>
      <c r="M149" s="735"/>
      <c r="N149" s="696"/>
      <c r="O149" s="696"/>
      <c r="P149" s="696"/>
      <c r="Q149" s="696"/>
      <c r="R149" s="696"/>
      <c r="S149" s="696"/>
      <c r="T149" s="696"/>
      <c r="U149" s="16"/>
      <c r="V149" s="16"/>
      <c r="W149" s="16"/>
      <c r="X149" s="16"/>
      <c r="Y149" s="16"/>
      <c r="Z149" s="16"/>
      <c r="AA149" s="16"/>
      <c r="AB149" s="16"/>
      <c r="AC149" s="16"/>
      <c r="AD149" s="16"/>
    </row>
    <row r="150" spans="1:30" ht="15.75" customHeight="1">
      <c r="A150" s="16"/>
      <c r="B150" s="16"/>
      <c r="C150" s="16"/>
      <c r="D150" s="16"/>
      <c r="E150" s="16"/>
      <c r="F150" s="16"/>
      <c r="G150" s="16"/>
      <c r="H150" s="16"/>
      <c r="I150" s="16"/>
      <c r="J150" s="16"/>
      <c r="K150" s="16"/>
      <c r="L150" s="16"/>
      <c r="M150" s="735"/>
      <c r="N150" s="696"/>
      <c r="O150" s="696"/>
      <c r="P150" s="696"/>
      <c r="Q150" s="696"/>
      <c r="R150" s="696"/>
      <c r="S150" s="696"/>
      <c r="T150" s="696"/>
      <c r="U150" s="16"/>
      <c r="V150" s="16"/>
      <c r="W150" s="16"/>
      <c r="X150" s="16"/>
      <c r="Y150" s="16"/>
      <c r="Z150" s="16"/>
      <c r="AA150" s="16"/>
      <c r="AB150" s="16"/>
      <c r="AC150" s="16"/>
      <c r="AD150" s="16"/>
    </row>
    <row r="151" spans="1:30" ht="15.75" customHeight="1">
      <c r="A151" s="16"/>
      <c r="B151" s="16"/>
      <c r="C151" s="16"/>
      <c r="D151" s="16"/>
      <c r="E151" s="16"/>
      <c r="F151" s="16"/>
      <c r="G151" s="16"/>
      <c r="H151" s="16"/>
      <c r="I151" s="16"/>
      <c r="J151" s="16"/>
      <c r="K151" s="16"/>
      <c r="L151" s="16"/>
      <c r="M151" s="735"/>
      <c r="N151" s="696"/>
      <c r="O151" s="696"/>
      <c r="P151" s="696"/>
      <c r="Q151" s="696"/>
      <c r="R151" s="696"/>
      <c r="S151" s="696"/>
      <c r="T151" s="696"/>
      <c r="U151" s="16"/>
      <c r="V151" s="16"/>
      <c r="W151" s="16"/>
      <c r="X151" s="16"/>
      <c r="Y151" s="16"/>
      <c r="Z151" s="16"/>
      <c r="AA151" s="16"/>
      <c r="AB151" s="16"/>
      <c r="AC151" s="16"/>
      <c r="AD151" s="16"/>
    </row>
    <row r="152" spans="1:30" ht="15.75" customHeight="1">
      <c r="A152" s="16"/>
      <c r="B152" s="16"/>
      <c r="C152" s="16"/>
      <c r="D152" s="16"/>
      <c r="E152" s="16"/>
      <c r="F152" s="16"/>
      <c r="G152" s="16"/>
      <c r="H152" s="16"/>
      <c r="I152" s="16"/>
      <c r="J152" s="16"/>
      <c r="K152" s="16"/>
      <c r="L152" s="16"/>
      <c r="M152" s="735"/>
      <c r="N152" s="696"/>
      <c r="O152" s="696"/>
      <c r="P152" s="696"/>
      <c r="Q152" s="696"/>
      <c r="R152" s="696"/>
      <c r="S152" s="696"/>
      <c r="T152" s="696"/>
      <c r="U152" s="16"/>
      <c r="V152" s="16"/>
      <c r="W152" s="16"/>
      <c r="X152" s="16"/>
      <c r="Y152" s="16"/>
      <c r="Z152" s="16"/>
      <c r="AA152" s="16"/>
      <c r="AB152" s="16"/>
      <c r="AC152" s="16"/>
      <c r="AD152" s="16"/>
    </row>
    <row r="153" spans="1:30" ht="15.75" customHeight="1">
      <c r="A153" s="16"/>
      <c r="B153" s="16"/>
      <c r="C153" s="16"/>
      <c r="D153" s="16"/>
      <c r="E153" s="16"/>
      <c r="F153" s="16"/>
      <c r="G153" s="16"/>
      <c r="H153" s="16"/>
      <c r="I153" s="16"/>
      <c r="J153" s="16"/>
      <c r="K153" s="16"/>
      <c r="L153" s="16"/>
      <c r="M153" s="735"/>
      <c r="N153" s="696"/>
      <c r="O153" s="696"/>
      <c r="P153" s="696"/>
      <c r="Q153" s="696"/>
      <c r="R153" s="696"/>
      <c r="S153" s="696"/>
      <c r="T153" s="696"/>
      <c r="U153" s="16"/>
      <c r="V153" s="16"/>
      <c r="W153" s="16"/>
      <c r="X153" s="16"/>
      <c r="Y153" s="16"/>
      <c r="Z153" s="16"/>
      <c r="AA153" s="16"/>
      <c r="AB153" s="16"/>
      <c r="AC153" s="16"/>
      <c r="AD153" s="16"/>
    </row>
    <row r="154" spans="1:30" ht="15.75" customHeight="1">
      <c r="A154" s="16"/>
      <c r="B154" s="16"/>
      <c r="C154" s="16"/>
      <c r="D154" s="16"/>
      <c r="E154" s="16"/>
      <c r="F154" s="16"/>
      <c r="G154" s="16"/>
      <c r="H154" s="16"/>
      <c r="I154" s="16"/>
      <c r="J154" s="16"/>
      <c r="K154" s="16"/>
      <c r="L154" s="16"/>
      <c r="M154" s="735"/>
      <c r="N154" s="696"/>
      <c r="O154" s="696"/>
      <c r="P154" s="696"/>
      <c r="Q154" s="696"/>
      <c r="R154" s="696"/>
      <c r="S154" s="696"/>
      <c r="T154" s="696"/>
      <c r="U154" s="16"/>
      <c r="V154" s="16"/>
      <c r="W154" s="16"/>
      <c r="X154" s="16"/>
      <c r="Y154" s="16"/>
      <c r="Z154" s="16"/>
      <c r="AA154" s="16"/>
      <c r="AB154" s="16"/>
      <c r="AC154" s="16"/>
      <c r="AD154" s="16"/>
    </row>
    <row r="155" spans="1:30" ht="15.75" customHeight="1">
      <c r="A155" s="1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c r="AA155" s="16"/>
      <c r="AB155" s="16"/>
      <c r="AC155" s="16"/>
      <c r="AD155" s="16"/>
    </row>
    <row r="156" spans="1:30" ht="15.75" customHeight="1">
      <c r="A156" s="1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c r="AA156" s="16"/>
      <c r="AB156" s="16"/>
      <c r="AC156" s="16"/>
      <c r="AD156" s="16"/>
    </row>
    <row r="157" spans="1:30" ht="15.75" customHeight="1">
      <c r="A157" s="16"/>
      <c r="B157" s="735"/>
      <c r="C157" s="696"/>
      <c r="D157" s="16"/>
      <c r="E157" s="16"/>
      <c r="F157" s="16"/>
      <c r="G157" s="16"/>
      <c r="H157" s="16"/>
      <c r="I157" s="16"/>
      <c r="J157" s="16"/>
      <c r="K157" s="16"/>
      <c r="L157" s="16"/>
      <c r="M157" s="735"/>
      <c r="N157" s="696"/>
      <c r="O157" s="696"/>
      <c r="P157" s="735"/>
      <c r="Q157" s="696"/>
      <c r="R157" s="696"/>
      <c r="S157" s="696"/>
      <c r="T157" s="696"/>
      <c r="U157" s="16"/>
      <c r="V157" s="16"/>
      <c r="W157" s="16"/>
      <c r="X157" s="16"/>
      <c r="Y157" s="16"/>
      <c r="Z157" s="16"/>
      <c r="AA157" s="16"/>
      <c r="AB157" s="16"/>
      <c r="AC157" s="16"/>
      <c r="AD157" s="16"/>
    </row>
    <row r="158" spans="1:30" ht="15.75" customHeight="1">
      <c r="A158" s="16"/>
      <c r="B158" s="735"/>
      <c r="C158" s="696"/>
      <c r="D158" s="16"/>
      <c r="E158" s="16"/>
      <c r="F158" s="16"/>
      <c r="G158" s="16"/>
      <c r="H158" s="16"/>
      <c r="I158" s="16"/>
      <c r="J158" s="16"/>
      <c r="K158" s="16"/>
      <c r="L158" s="16"/>
      <c r="M158" s="735"/>
      <c r="N158" s="696"/>
      <c r="O158" s="696"/>
      <c r="P158" s="735"/>
      <c r="Q158" s="696"/>
      <c r="R158" s="696"/>
      <c r="S158" s="696"/>
      <c r="T158" s="696"/>
      <c r="U158" s="16"/>
      <c r="V158" s="16"/>
      <c r="W158" s="16"/>
      <c r="X158" s="16"/>
      <c r="Y158" s="16"/>
      <c r="Z158" s="16"/>
      <c r="AA158" s="16"/>
      <c r="AB158" s="16"/>
      <c r="AC158" s="16"/>
      <c r="AD158" s="16"/>
    </row>
    <row r="159" spans="1:30" ht="15.75" customHeight="1">
      <c r="A159" s="16"/>
      <c r="B159" s="735"/>
      <c r="C159" s="696"/>
      <c r="D159" s="16"/>
      <c r="E159" s="16"/>
      <c r="F159" s="16"/>
      <c r="G159" s="16"/>
      <c r="H159" s="16"/>
      <c r="I159" s="16"/>
      <c r="J159" s="16"/>
      <c r="K159" s="16"/>
      <c r="L159" s="16"/>
      <c r="M159" s="735"/>
      <c r="N159" s="696"/>
      <c r="O159" s="696"/>
      <c r="P159" s="696"/>
      <c r="Q159" s="696"/>
      <c r="R159" s="696"/>
      <c r="S159" s="696"/>
      <c r="T159" s="696"/>
      <c r="U159" s="16"/>
      <c r="V159" s="16"/>
      <c r="W159" s="16"/>
      <c r="X159" s="16"/>
      <c r="Y159" s="16"/>
      <c r="Z159" s="16"/>
      <c r="AA159" s="16"/>
      <c r="AB159" s="16"/>
      <c r="AC159" s="16"/>
      <c r="AD159" s="16"/>
    </row>
    <row r="160" spans="1:30" ht="15.75" customHeight="1">
      <c r="A160" s="16"/>
      <c r="B160" s="735"/>
      <c r="C160" s="696"/>
      <c r="D160" s="16"/>
      <c r="E160" s="16"/>
      <c r="F160" s="16"/>
      <c r="G160" s="16"/>
      <c r="H160" s="16"/>
      <c r="I160" s="16"/>
      <c r="J160" s="16"/>
      <c r="K160" s="16"/>
      <c r="L160" s="16"/>
      <c r="M160" s="735"/>
      <c r="N160" s="696"/>
      <c r="O160" s="696"/>
      <c r="P160" s="696"/>
      <c r="Q160" s="696"/>
      <c r="R160" s="696"/>
      <c r="S160" s="696"/>
      <c r="T160" s="696"/>
      <c r="U160" s="16"/>
      <c r="V160" s="16"/>
      <c r="W160" s="16"/>
      <c r="X160" s="16"/>
      <c r="Y160" s="16"/>
      <c r="Z160" s="16"/>
      <c r="AA160" s="16"/>
      <c r="AB160" s="16"/>
      <c r="AC160" s="16"/>
      <c r="AD160" s="16"/>
    </row>
    <row r="161" spans="1:30" ht="15.75" customHeight="1">
      <c r="A161" s="16"/>
      <c r="B161" s="735"/>
      <c r="C161" s="696"/>
      <c r="D161" s="16"/>
      <c r="E161" s="16"/>
      <c r="F161" s="16"/>
      <c r="G161" s="16"/>
      <c r="H161" s="16"/>
      <c r="I161" s="16"/>
      <c r="J161" s="16"/>
      <c r="K161" s="16"/>
      <c r="L161" s="16"/>
      <c r="M161" s="735"/>
      <c r="N161" s="696"/>
      <c r="O161" s="696"/>
      <c r="P161" s="696"/>
      <c r="Q161" s="696"/>
      <c r="R161" s="696"/>
      <c r="S161" s="696"/>
      <c r="T161" s="696"/>
      <c r="U161" s="16"/>
      <c r="V161" s="16"/>
      <c r="W161" s="16"/>
      <c r="X161" s="16"/>
      <c r="Y161" s="16"/>
      <c r="Z161" s="16"/>
      <c r="AA161" s="16"/>
      <c r="AB161" s="16"/>
      <c r="AC161" s="16"/>
      <c r="AD161" s="16"/>
    </row>
    <row r="162" spans="1:30" ht="15.75" customHeight="1">
      <c r="A162" s="16"/>
      <c r="B162" s="735"/>
      <c r="C162" s="696"/>
      <c r="D162" s="16"/>
      <c r="E162" s="16"/>
      <c r="F162" s="16"/>
      <c r="G162" s="16"/>
      <c r="H162" s="16"/>
      <c r="I162" s="16"/>
      <c r="J162" s="16"/>
      <c r="K162" s="16"/>
      <c r="L162" s="16"/>
      <c r="M162" s="735"/>
      <c r="N162" s="696"/>
      <c r="O162" s="696"/>
      <c r="P162" s="696"/>
      <c r="Q162" s="696"/>
      <c r="R162" s="696"/>
      <c r="S162" s="696"/>
      <c r="T162" s="696"/>
      <c r="U162" s="16"/>
      <c r="V162" s="16"/>
      <c r="W162" s="16"/>
      <c r="X162" s="16"/>
      <c r="Y162" s="16"/>
      <c r="Z162" s="16"/>
      <c r="AA162" s="16"/>
      <c r="AB162" s="16"/>
      <c r="AC162" s="16"/>
      <c r="AD162" s="16"/>
    </row>
    <row r="163" spans="1:30" ht="15.75" customHeight="1">
      <c r="A163" s="16"/>
      <c r="B163" s="735"/>
      <c r="C163" s="696"/>
      <c r="D163" s="16"/>
      <c r="E163" s="16"/>
      <c r="F163" s="16"/>
      <c r="G163" s="16"/>
      <c r="H163" s="16"/>
      <c r="I163" s="16"/>
      <c r="J163" s="16"/>
      <c r="K163" s="16"/>
      <c r="L163" s="16"/>
      <c r="M163" s="735"/>
      <c r="N163" s="696"/>
      <c r="O163" s="696"/>
      <c r="P163" s="696"/>
      <c r="Q163" s="696"/>
      <c r="R163" s="696"/>
      <c r="S163" s="696"/>
      <c r="T163" s="696"/>
      <c r="U163" s="16"/>
      <c r="V163" s="16"/>
      <c r="W163" s="16"/>
      <c r="X163" s="16"/>
      <c r="Y163" s="16"/>
      <c r="Z163" s="16"/>
      <c r="AA163" s="16"/>
      <c r="AB163" s="16"/>
      <c r="AC163" s="16"/>
      <c r="AD163" s="16"/>
    </row>
    <row r="164" spans="1:30" ht="15.75" customHeight="1">
      <c r="A164" s="16"/>
      <c r="B164" s="735"/>
      <c r="C164" s="696"/>
      <c r="D164" s="16"/>
      <c r="E164" s="16"/>
      <c r="F164" s="16"/>
      <c r="G164" s="16"/>
      <c r="H164" s="16"/>
      <c r="I164" s="16"/>
      <c r="J164" s="16"/>
      <c r="K164" s="16"/>
      <c r="L164" s="16"/>
      <c r="M164" s="735"/>
      <c r="N164" s="696"/>
      <c r="O164" s="696"/>
      <c r="P164" s="696"/>
      <c r="Q164" s="696"/>
      <c r="R164" s="696"/>
      <c r="S164" s="696"/>
      <c r="T164" s="696"/>
      <c r="U164" s="16"/>
      <c r="V164" s="16"/>
      <c r="W164" s="16"/>
      <c r="X164" s="16"/>
      <c r="Y164" s="16"/>
      <c r="Z164" s="16"/>
      <c r="AA164" s="16"/>
      <c r="AB164" s="16"/>
      <c r="AC164" s="16"/>
      <c r="AD164" s="16"/>
    </row>
    <row r="165" spans="1:30" ht="15.75" customHeight="1">
      <c r="A165" s="16"/>
      <c r="B165" s="735"/>
      <c r="C165" s="696"/>
      <c r="D165" s="16"/>
      <c r="E165" s="16"/>
      <c r="F165" s="16"/>
      <c r="G165" s="16"/>
      <c r="H165" s="16"/>
      <c r="I165" s="16"/>
      <c r="J165" s="16"/>
      <c r="K165" s="16"/>
      <c r="L165" s="16"/>
      <c r="M165" s="735"/>
      <c r="N165" s="696"/>
      <c r="O165" s="696"/>
      <c r="P165" s="696"/>
      <c r="Q165" s="696"/>
      <c r="R165" s="696"/>
      <c r="S165" s="696"/>
      <c r="T165" s="696"/>
      <c r="U165" s="16"/>
      <c r="V165" s="16"/>
      <c r="W165" s="16"/>
      <c r="X165" s="16"/>
      <c r="Y165" s="16"/>
      <c r="Z165" s="16"/>
      <c r="AA165" s="16"/>
      <c r="AB165" s="16"/>
      <c r="AC165" s="16"/>
      <c r="AD165" s="16"/>
    </row>
    <row r="166" spans="1:30" ht="15.75" customHeight="1">
      <c r="A166" s="16"/>
      <c r="B166" s="735"/>
      <c r="C166" s="696"/>
      <c r="D166" s="16"/>
      <c r="E166" s="16"/>
      <c r="F166" s="16"/>
      <c r="G166" s="16"/>
      <c r="H166" s="16"/>
      <c r="I166" s="16"/>
      <c r="J166" s="16"/>
      <c r="K166" s="16"/>
      <c r="L166" s="16"/>
      <c r="M166" s="735"/>
      <c r="N166" s="696"/>
      <c r="O166" s="696"/>
      <c r="P166" s="696"/>
      <c r="Q166" s="696"/>
      <c r="R166" s="696"/>
      <c r="S166" s="696"/>
      <c r="T166" s="696"/>
      <c r="U166" s="16"/>
      <c r="V166" s="16"/>
      <c r="W166" s="16"/>
      <c r="X166" s="16"/>
      <c r="Y166" s="16"/>
      <c r="Z166" s="16"/>
      <c r="AA166" s="16"/>
      <c r="AB166" s="16"/>
      <c r="AC166" s="16"/>
      <c r="AD166" s="16"/>
    </row>
    <row r="167" spans="1:30" ht="15.75" customHeight="1">
      <c r="A167" s="16"/>
      <c r="B167" s="735"/>
      <c r="C167" s="696"/>
      <c r="D167" s="16"/>
      <c r="E167" s="16"/>
      <c r="F167" s="16"/>
      <c r="G167" s="16"/>
      <c r="H167" s="16"/>
      <c r="I167" s="16"/>
      <c r="J167" s="16"/>
      <c r="K167" s="16"/>
      <c r="L167" s="16"/>
      <c r="M167" s="735"/>
      <c r="N167" s="696"/>
      <c r="O167" s="696"/>
      <c r="P167" s="696"/>
      <c r="Q167" s="696"/>
      <c r="R167" s="696"/>
      <c r="S167" s="696"/>
      <c r="T167" s="696"/>
      <c r="U167" s="16"/>
      <c r="V167" s="16"/>
      <c r="W167" s="16"/>
      <c r="X167" s="16"/>
      <c r="Y167" s="16"/>
      <c r="Z167" s="16"/>
      <c r="AA167" s="16"/>
      <c r="AB167" s="16"/>
      <c r="AC167" s="16"/>
      <c r="AD167" s="16"/>
    </row>
    <row r="168" spans="1:30" ht="15.75" customHeight="1">
      <c r="A168" s="16"/>
      <c r="B168" s="735"/>
      <c r="C168" s="696"/>
      <c r="D168" s="16"/>
      <c r="E168" s="16"/>
      <c r="F168" s="16"/>
      <c r="G168" s="16"/>
      <c r="H168" s="16"/>
      <c r="I168" s="16"/>
      <c r="J168" s="16"/>
      <c r="K168" s="16"/>
      <c r="L168" s="16"/>
      <c r="M168" s="735"/>
      <c r="N168" s="696"/>
      <c r="O168" s="696"/>
      <c r="P168" s="696"/>
      <c r="Q168" s="696"/>
      <c r="R168" s="696"/>
      <c r="S168" s="696"/>
      <c r="T168" s="696"/>
      <c r="U168" s="16"/>
      <c r="V168" s="16"/>
      <c r="W168" s="16"/>
      <c r="X168" s="16"/>
      <c r="Y168" s="16"/>
      <c r="Z168" s="16"/>
      <c r="AA168" s="16"/>
      <c r="AB168" s="16"/>
      <c r="AC168" s="16"/>
      <c r="AD168" s="16"/>
    </row>
    <row r="169" spans="1:30" ht="15.75" customHeight="1">
      <c r="A169" s="16"/>
      <c r="B169" s="735"/>
      <c r="C169" s="696"/>
      <c r="D169" s="16"/>
      <c r="E169" s="16"/>
      <c r="F169" s="16"/>
      <c r="G169" s="16"/>
      <c r="H169" s="16"/>
      <c r="I169" s="16"/>
      <c r="J169" s="16"/>
      <c r="K169" s="16"/>
      <c r="L169" s="16"/>
      <c r="M169" s="735"/>
      <c r="N169" s="696"/>
      <c r="O169" s="696"/>
      <c r="P169" s="696"/>
      <c r="Q169" s="696"/>
      <c r="R169" s="696"/>
      <c r="S169" s="696"/>
      <c r="T169" s="696"/>
      <c r="U169" s="16"/>
      <c r="V169" s="16"/>
      <c r="W169" s="16"/>
      <c r="X169" s="16"/>
      <c r="Y169" s="16"/>
      <c r="Z169" s="16"/>
      <c r="AA169" s="16"/>
      <c r="AB169" s="16"/>
      <c r="AC169" s="16"/>
      <c r="AD169" s="16"/>
    </row>
    <row r="170" spans="1:30" ht="15.75" customHeight="1">
      <c r="A170" s="16"/>
      <c r="B170" s="735"/>
      <c r="C170" s="696"/>
      <c r="D170" s="16"/>
      <c r="E170" s="16"/>
      <c r="F170" s="16"/>
      <c r="G170" s="16"/>
      <c r="H170" s="16"/>
      <c r="I170" s="16"/>
      <c r="J170" s="16"/>
      <c r="K170" s="16"/>
      <c r="L170" s="16"/>
      <c r="M170" s="735"/>
      <c r="N170" s="696"/>
      <c r="O170" s="696"/>
      <c r="P170" s="696"/>
      <c r="Q170" s="696"/>
      <c r="R170" s="696"/>
      <c r="S170" s="696"/>
      <c r="T170" s="696"/>
      <c r="U170" s="16"/>
      <c r="V170" s="16"/>
      <c r="W170" s="16"/>
      <c r="X170" s="16"/>
      <c r="Y170" s="16"/>
      <c r="Z170" s="16"/>
      <c r="AA170" s="16"/>
      <c r="AB170" s="16"/>
      <c r="AC170" s="16"/>
      <c r="AD170" s="16"/>
    </row>
    <row r="171" spans="1:30" ht="15.75" customHeight="1">
      <c r="A171" s="16"/>
      <c r="B171" s="735"/>
      <c r="C171" s="696"/>
      <c r="D171" s="16"/>
      <c r="E171" s="16"/>
      <c r="F171" s="16"/>
      <c r="G171" s="16"/>
      <c r="H171" s="16"/>
      <c r="I171" s="16"/>
      <c r="J171" s="16"/>
      <c r="K171" s="16"/>
      <c r="L171" s="16"/>
      <c r="M171" s="735"/>
      <c r="N171" s="696"/>
      <c r="O171" s="696"/>
      <c r="P171" s="696"/>
      <c r="Q171" s="696"/>
      <c r="R171" s="696"/>
      <c r="S171" s="696"/>
      <c r="T171" s="696"/>
      <c r="U171" s="16"/>
      <c r="V171" s="16"/>
      <c r="W171" s="16"/>
      <c r="X171" s="16"/>
      <c r="Y171" s="16"/>
      <c r="Z171" s="16"/>
      <c r="AA171" s="16"/>
      <c r="AB171" s="16"/>
      <c r="AC171" s="16"/>
      <c r="AD171" s="16"/>
    </row>
    <row r="172" spans="1:30" ht="15.75" customHeight="1">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row>
    <row r="173" spans="1:30" ht="15.75" customHeight="1">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c r="AC173" s="16"/>
      <c r="AD173" s="16"/>
    </row>
    <row r="174" spans="1:30" ht="15.75" customHeight="1">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c r="AC174" s="16"/>
      <c r="AD174" s="16"/>
    </row>
    <row r="175" spans="1:30" ht="15.75" customHeight="1">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c r="AA175" s="16"/>
      <c r="AB175" s="16"/>
      <c r="AC175" s="16"/>
      <c r="AD175" s="16"/>
    </row>
    <row r="176" spans="1:30" ht="15.75" customHeight="1">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c r="AD176" s="16"/>
    </row>
    <row r="177" spans="1:30" ht="15.75" customHeight="1">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c r="AD177" s="16"/>
    </row>
    <row r="178" spans="1:30" ht="15.75" customHeight="1">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c r="AA178" s="16"/>
      <c r="AB178" s="16"/>
      <c r="AC178" s="16"/>
      <c r="AD178" s="16"/>
    </row>
    <row r="179" spans="1:30" ht="15.75" customHeight="1">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c r="AD179" s="16"/>
    </row>
    <row r="180" spans="1:30" ht="15.75" customHeight="1">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c r="AD180" s="16"/>
    </row>
    <row r="181" spans="1:30" ht="15.75" customHeight="1">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c r="AD181" s="16"/>
    </row>
    <row r="182" spans="1:30" ht="15.75" customHeight="1">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c r="AD182" s="16"/>
    </row>
    <row r="183" spans="1:30" ht="15.75" customHeight="1">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c r="AD183" s="16"/>
    </row>
    <row r="184" spans="1:30" ht="15.75" customHeight="1">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c r="AD184" s="16"/>
    </row>
    <row r="185" spans="1:30" ht="15.75" customHeight="1">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c r="AD185" s="16"/>
    </row>
    <row r="186" spans="1:30" ht="15.75" customHeight="1">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c r="AD186" s="16"/>
    </row>
    <row r="187" spans="1:30" ht="15.75" customHeight="1">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16"/>
      <c r="AB187" s="16"/>
      <c r="AC187" s="16"/>
      <c r="AD187" s="16"/>
    </row>
    <row r="188" spans="1:30" ht="15.75" customHeight="1">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c r="AD188" s="16"/>
    </row>
    <row r="189" spans="1:30" ht="15.75" customHeight="1">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c r="AD189" s="16"/>
    </row>
    <row r="190" spans="1:30" ht="15.75" customHeight="1">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c r="AD190" s="16"/>
    </row>
    <row r="191" spans="1:30" ht="15.75" customHeight="1">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c r="AD191" s="16"/>
    </row>
    <row r="192" spans="1:30" ht="15.75" customHeight="1">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c r="AD192" s="16"/>
    </row>
    <row r="193" spans="1:30" ht="15.75" customHeight="1">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c r="AA193" s="16"/>
      <c r="AB193" s="16"/>
      <c r="AC193" s="16"/>
      <c r="AD193" s="16"/>
    </row>
    <row r="194" spans="1:30" ht="15.75" customHeight="1">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c r="AA194" s="16"/>
      <c r="AB194" s="16"/>
      <c r="AC194" s="16"/>
      <c r="AD194" s="16"/>
    </row>
    <row r="195" spans="1:30" ht="15.75" customHeight="1">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c r="AA195" s="16"/>
      <c r="AB195" s="16"/>
      <c r="AC195" s="16"/>
      <c r="AD195" s="16"/>
    </row>
    <row r="196" spans="1:30" ht="15.75" customHeight="1">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c r="AA196" s="16"/>
      <c r="AB196" s="16"/>
      <c r="AC196" s="16"/>
      <c r="AD196" s="16"/>
    </row>
    <row r="197" spans="1:30" ht="15.75" customHeight="1">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c r="AD197" s="16"/>
    </row>
    <row r="198" spans="1:30" ht="15.75" customHeight="1">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c r="AD198" s="16"/>
    </row>
    <row r="199" spans="1:30" ht="15.75" customHeight="1">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c r="AA199" s="16"/>
      <c r="AB199" s="16"/>
      <c r="AC199" s="16"/>
      <c r="AD199" s="16"/>
    </row>
    <row r="200" spans="1:30" ht="15.75" customHeight="1">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c r="AA200" s="16"/>
      <c r="AB200" s="16"/>
      <c r="AC200" s="16"/>
      <c r="AD200" s="16"/>
    </row>
    <row r="201" spans="1:30" ht="15.75" customHeight="1">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c r="AD201" s="16"/>
    </row>
    <row r="202" spans="1:30" ht="15.75" customHeight="1">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c r="AD202" s="16"/>
    </row>
    <row r="203" spans="1:30" ht="15.75" customHeight="1">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c r="AA203" s="16"/>
      <c r="AB203" s="16"/>
      <c r="AC203" s="16"/>
      <c r="AD203" s="16"/>
    </row>
    <row r="204" spans="1:30" ht="15.75" customHeight="1">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c r="AA204" s="16"/>
      <c r="AB204" s="16"/>
      <c r="AC204" s="16"/>
      <c r="AD204" s="16"/>
    </row>
    <row r="205" spans="1:30" ht="15.75" customHeight="1">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c r="AD205" s="16"/>
    </row>
    <row r="206" spans="1:30" ht="15.75" customHeight="1">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row>
    <row r="207" spans="1:30" ht="15.75" customHeight="1">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c r="AD207" s="16"/>
    </row>
    <row r="208" spans="1:30" ht="15.75" customHeight="1">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c r="AD208" s="16"/>
    </row>
    <row r="209" spans="1:30" ht="15.75" customHeight="1">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c r="AD209" s="16"/>
    </row>
    <row r="210" spans="1:30" ht="15.75" customHeight="1">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c r="AD210" s="16"/>
    </row>
    <row r="211" spans="1:30" ht="15.75" customHeight="1">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row>
    <row r="212" spans="1:30" ht="15.75" customHeight="1">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c r="AD212" s="16"/>
    </row>
    <row r="213" spans="1:30" ht="15.75" customHeight="1">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c r="AD213" s="16"/>
    </row>
    <row r="214" spans="1:30" ht="15.75" customHeight="1">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row>
    <row r="215" spans="1:30" ht="15.75" customHeight="1">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c r="AD215" s="16"/>
    </row>
    <row r="216" spans="1:30" ht="15.75" customHeight="1">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c r="AD216" s="16"/>
    </row>
    <row r="217" spans="1:30" ht="15.75" customHeight="1">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c r="AD217" s="16"/>
    </row>
    <row r="218" spans="1:30" ht="15.75" customHeight="1">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c r="AD218" s="16"/>
    </row>
    <row r="219" spans="1:30" ht="15.75" customHeight="1">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c r="AD219" s="16"/>
    </row>
    <row r="220" spans="1:30" ht="15.75" customHeight="1">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c r="AD220" s="16"/>
    </row>
    <row r="221" spans="1:30" ht="15.75" customHeight="1">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row>
    <row r="222" spans="1:30" ht="15.75" customHeight="1">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row>
    <row r="223" spans="1:30" ht="15.75" customHeight="1">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c r="AD223" s="16"/>
    </row>
    <row r="224" spans="1:30" ht="15.75" customHeight="1">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c r="AD224" s="16"/>
    </row>
    <row r="225" spans="1:30" ht="15.75" customHeight="1">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16"/>
    </row>
    <row r="226" spans="1:30" ht="15.75" customHeight="1">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row>
    <row r="227" spans="1:30" ht="15.75" customHeight="1">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16"/>
    </row>
    <row r="228" spans="1:30" ht="15.75" customHeight="1">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c r="AD228" s="16"/>
    </row>
    <row r="229" spans="1:30" ht="15.75" customHeight="1">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c r="AD229" s="16"/>
    </row>
    <row r="230" spans="1:30" ht="15.75" customHeight="1">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row>
    <row r="231" spans="1:30" ht="15.75" customHeight="1">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c r="AD231" s="16"/>
    </row>
    <row r="232" spans="1:30" ht="15.75" customHeight="1">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c r="AD232" s="16"/>
    </row>
    <row r="233" spans="1:30" ht="15.75" customHeight="1">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c r="AD233" s="16"/>
    </row>
    <row r="234" spans="1:30" ht="15.75" customHeight="1">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c r="AD234" s="16"/>
    </row>
    <row r="235" spans="1:30" ht="15.75" customHeight="1">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row>
    <row r="236" spans="1:30" ht="15.75" customHeight="1">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c r="AD236" s="16"/>
    </row>
    <row r="237" spans="1:30" ht="15.75" customHeight="1">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c r="AD237" s="16"/>
    </row>
    <row r="238" spans="1:30" ht="15.75" customHeight="1">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c r="AD238" s="16"/>
    </row>
    <row r="239" spans="1:30" ht="15.75" customHeight="1">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c r="AD239" s="16"/>
    </row>
    <row r="240" spans="1:30" ht="15.75" customHeight="1">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c r="AD240" s="16"/>
    </row>
    <row r="241" spans="1:30" ht="15.75" customHeight="1">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c r="AD241" s="16"/>
    </row>
    <row r="242" spans="1:30" ht="15.75" customHeight="1">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c r="AD242" s="16"/>
    </row>
    <row r="243" spans="1:30" ht="15.75" customHeight="1">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c r="AD243" s="16"/>
    </row>
    <row r="244" spans="1:30" ht="15.75" customHeight="1">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16"/>
    </row>
    <row r="245" spans="1:30" ht="15.75" customHeight="1">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c r="AD245" s="16"/>
    </row>
    <row r="246" spans="1:30" ht="15.75" customHeight="1">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row>
    <row r="247" spans="1:30" ht="15.75" customHeight="1">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c r="AD247" s="16"/>
    </row>
    <row r="248" spans="1:30" ht="15.75" customHeight="1">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row>
    <row r="249" spans="1:30" ht="15.75" customHeight="1">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row>
    <row r="250" spans="1:30" ht="15.75" customHeight="1">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c r="AD250" s="16"/>
    </row>
    <row r="251" spans="1:30" ht="15.75" customHeight="1">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row>
    <row r="252" spans="1:30" ht="15.75" customHeight="1">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16"/>
    </row>
    <row r="253" spans="1:30" ht="15.75" customHeight="1">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c r="AD253" s="16"/>
    </row>
    <row r="254" spans="1:30" ht="15.75" customHeight="1">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row>
    <row r="255" spans="1:30" ht="15.75" customHeight="1">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c r="AD255" s="16"/>
    </row>
    <row r="256" spans="1:30" ht="15.75" customHeight="1">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row>
    <row r="257" spans="1:30" ht="15.75" customHeight="1">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c r="AD257" s="16"/>
    </row>
    <row r="258" spans="1:30" ht="15.75" customHeight="1">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c r="AD258" s="16"/>
    </row>
    <row r="259" spans="1:30" ht="15.75" customHeight="1">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row>
    <row r="260" spans="1:30" ht="15.75" customHeight="1">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row>
    <row r="261" spans="1:30" ht="15.75" customHeight="1">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c r="AD261" s="16"/>
    </row>
    <row r="262" spans="1:30" ht="15.75" customHeight="1">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row>
    <row r="263" spans="1:30" ht="15.75" customHeight="1">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row>
    <row r="264" spans="1:30" ht="15.75" customHeight="1">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c r="AD264" s="16"/>
    </row>
    <row r="265" spans="1:30" ht="15.75" customHeight="1">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row>
    <row r="266" spans="1:30" ht="15.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row>
    <row r="267" spans="1:30" ht="15.75" customHeight="1">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row>
    <row r="268" spans="1:30" ht="15.75" customHeight="1">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c r="AD268" s="16"/>
    </row>
    <row r="269" spans="1:30" ht="15.75" customHeight="1">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row>
    <row r="270" spans="1:30" ht="15.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row>
    <row r="271" spans="1:30" ht="15.75" customHeight="1">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c r="AD271" s="16"/>
    </row>
    <row r="272" spans="1:30" ht="15.75" customHeight="1">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c r="AD272" s="16"/>
    </row>
    <row r="273" spans="1:30" ht="15.75" customHeight="1">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c r="AD273" s="16"/>
    </row>
    <row r="274" spans="1:30" ht="15.75" customHeight="1">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c r="AD274" s="16"/>
    </row>
    <row r="275" spans="1:30" ht="15.75" customHeight="1">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c r="AD275" s="16"/>
    </row>
    <row r="276" spans="1:30" ht="15.75" customHeight="1">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row>
    <row r="277" spans="1:30" ht="15.75" customHeight="1">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16"/>
    </row>
    <row r="278" spans="1:30" ht="15.75" customHeight="1">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row>
    <row r="279" spans="1:30" ht="15.75" customHeight="1">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16"/>
    </row>
    <row r="280" spans="1:30" ht="15.75" customHeight="1">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c r="AD280" s="16"/>
    </row>
    <row r="281" spans="1:30" ht="15.75" customHeight="1">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c r="AD281" s="16"/>
    </row>
    <row r="282" spans="1:30" ht="15.75" customHeight="1">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c r="AD282" s="16"/>
    </row>
    <row r="283" spans="1:30" ht="15.75" customHeight="1">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c r="AD283" s="16"/>
    </row>
    <row r="284" spans="1:30" ht="15.75" customHeight="1">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c r="AD284" s="16"/>
    </row>
    <row r="285" spans="1:30" ht="15.75" customHeight="1">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c r="AD285" s="16"/>
    </row>
    <row r="286" spans="1:30" ht="15.75" customHeight="1">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row>
    <row r="287" spans="1:30" ht="15.75" customHeight="1">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row>
    <row r="288" spans="1:30" ht="15.75" customHeight="1">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row>
    <row r="289" spans="1:30" ht="15.75" customHeight="1">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row>
    <row r="290" spans="1:30" ht="15.75" customHeight="1">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row>
    <row r="291" spans="1:30" ht="15.75" customHeight="1">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c r="AD291" s="16"/>
    </row>
    <row r="292" spans="1:30" ht="15.75" customHeight="1">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row>
    <row r="293" spans="1:30" ht="15.75" customHeight="1">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row>
    <row r="294" spans="1:30" ht="15.75" customHeight="1">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row>
    <row r="295" spans="1:30" ht="15.75" customHeight="1">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row>
    <row r="296" spans="1:30" ht="15.75" customHeight="1">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row>
    <row r="297" spans="1:30" ht="15.75" customHeight="1">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row>
    <row r="298" spans="1:30" ht="15.75" customHeight="1">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row>
    <row r="299" spans="1:30" ht="15.75" customHeight="1">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row>
    <row r="300" spans="1:30" ht="15.75" customHeight="1">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row>
    <row r="301" spans="1:30" ht="15.75" customHeight="1">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c r="AD301" s="16"/>
    </row>
    <row r="302" spans="1:30" ht="15.75" customHeight="1">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c r="AD302" s="16"/>
    </row>
    <row r="303" spans="1:30" ht="15.75" customHeight="1">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row>
    <row r="304" spans="1:30" ht="15.75" customHeight="1">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c r="AD304" s="16"/>
    </row>
    <row r="305" spans="1:30" ht="15.75" customHeight="1">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c r="AD305" s="16"/>
    </row>
    <row r="306" spans="1:30" ht="15.75" customHeight="1">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c r="AA306" s="16"/>
      <c r="AB306" s="16"/>
      <c r="AC306" s="16"/>
      <c r="AD306" s="16"/>
    </row>
    <row r="307" spans="1:30" ht="15.75" customHeight="1">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c r="AA307" s="16"/>
      <c r="AB307" s="16"/>
      <c r="AC307" s="16"/>
      <c r="AD307" s="16"/>
    </row>
    <row r="308" spans="1:30" ht="15.75" customHeight="1"/>
    <row r="309" spans="1:30" ht="15.75" customHeight="1"/>
    <row r="310" spans="1:30" ht="15.75" customHeight="1"/>
    <row r="311" spans="1:30" ht="15.75" customHeight="1"/>
    <row r="312" spans="1:30" ht="15.75" customHeight="1"/>
    <row r="313" spans="1:30" ht="15.75" customHeight="1"/>
    <row r="314" spans="1:30" ht="15.75" customHeight="1"/>
    <row r="315" spans="1:30" ht="15.75" customHeight="1"/>
    <row r="316" spans="1:30" ht="15.75" customHeight="1"/>
    <row r="317" spans="1:30" ht="15.75" customHeight="1"/>
    <row r="318" spans="1:30" ht="15.75" customHeight="1"/>
    <row r="319" spans="1:30" ht="15.75" customHeight="1"/>
    <row r="320" spans="1:3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sheetData>
  <mergeCells count="99">
    <mergeCell ref="M166:O166"/>
    <mergeCell ref="B170:C170"/>
    <mergeCell ref="M170:O170"/>
    <mergeCell ref="B171:C171"/>
    <mergeCell ref="M171:O171"/>
    <mergeCell ref="B167:C167"/>
    <mergeCell ref="M167:O167"/>
    <mergeCell ref="B168:C168"/>
    <mergeCell ref="M168:O168"/>
    <mergeCell ref="B169:C169"/>
    <mergeCell ref="M169:O169"/>
    <mergeCell ref="M154:O154"/>
    <mergeCell ref="B157:C157"/>
    <mergeCell ref="M157:O157"/>
    <mergeCell ref="M160:O160"/>
    <mergeCell ref="B161:C161"/>
    <mergeCell ref="M161:O161"/>
    <mergeCell ref="P157:T157"/>
    <mergeCell ref="B158:C158"/>
    <mergeCell ref="M158:O158"/>
    <mergeCell ref="P158:T171"/>
    <mergeCell ref="B159:C159"/>
    <mergeCell ref="M159:O159"/>
    <mergeCell ref="B160:C160"/>
    <mergeCell ref="B163:C163"/>
    <mergeCell ref="M163:O163"/>
    <mergeCell ref="B162:C162"/>
    <mergeCell ref="M162:O162"/>
    <mergeCell ref="B164:C164"/>
    <mergeCell ref="M164:O164"/>
    <mergeCell ref="B165:C165"/>
    <mergeCell ref="M165:O165"/>
    <mergeCell ref="B166:C166"/>
    <mergeCell ref="M153:O153"/>
    <mergeCell ref="M140:O140"/>
    <mergeCell ref="P140:T140"/>
    <mergeCell ref="M141:O141"/>
    <mergeCell ref="P141:T154"/>
    <mergeCell ref="M142:O142"/>
    <mergeCell ref="M143:O143"/>
    <mergeCell ref="M144:O144"/>
    <mergeCell ref="M145:O145"/>
    <mergeCell ref="M146:O146"/>
    <mergeCell ref="M147:O147"/>
    <mergeCell ref="M148:O148"/>
    <mergeCell ref="M149:O149"/>
    <mergeCell ref="M150:O150"/>
    <mergeCell ref="M151:O151"/>
    <mergeCell ref="M152:O152"/>
    <mergeCell ref="M137:O137"/>
    <mergeCell ref="P123:R123"/>
    <mergeCell ref="M125:O125"/>
    <mergeCell ref="P125:T125"/>
    <mergeCell ref="M126:O126"/>
    <mergeCell ref="P126:T137"/>
    <mergeCell ref="M127:O127"/>
    <mergeCell ref="M128:O128"/>
    <mergeCell ref="M129:O129"/>
    <mergeCell ref="M130:O130"/>
    <mergeCell ref="M131:O131"/>
    <mergeCell ref="M132:O132"/>
    <mergeCell ref="M133:O133"/>
    <mergeCell ref="M134:O134"/>
    <mergeCell ref="M135:O135"/>
    <mergeCell ref="M136:O136"/>
    <mergeCell ref="P121:R121"/>
    <mergeCell ref="P122:R122"/>
    <mergeCell ref="AG29:AH29"/>
    <mergeCell ref="AI29:AJ29"/>
    <mergeCell ref="AG30:AH40"/>
    <mergeCell ref="AI30:AJ40"/>
    <mergeCell ref="P117:R117"/>
    <mergeCell ref="P72:Q72"/>
    <mergeCell ref="H94:I107"/>
    <mergeCell ref="J94:K107"/>
    <mergeCell ref="P118:R118"/>
    <mergeCell ref="P119:R119"/>
    <mergeCell ref="P120:R120"/>
    <mergeCell ref="H37:J37"/>
    <mergeCell ref="K73:O89"/>
    <mergeCell ref="P73:Q89"/>
    <mergeCell ref="H93:I93"/>
    <mergeCell ref="J93:K93"/>
    <mergeCell ref="K72:O72"/>
    <mergeCell ref="H38:J44"/>
    <mergeCell ref="I47:K47"/>
    <mergeCell ref="I48:K52"/>
    <mergeCell ref="K56:M56"/>
    <mergeCell ref="K57:M69"/>
    <mergeCell ref="A1:C1"/>
    <mergeCell ref="E1:H1"/>
    <mergeCell ref="D7:I7"/>
    <mergeCell ref="D8:I8"/>
    <mergeCell ref="A28:F28"/>
    <mergeCell ref="A30:F30"/>
    <mergeCell ref="A31:F31"/>
    <mergeCell ref="A32:F32"/>
    <mergeCell ref="A34:F34"/>
    <mergeCell ref="A29:F29"/>
  </mergeCells>
  <phoneticPr fontId="31" type="noConversion"/>
  <conditionalFormatting sqref="I57:I68">
    <cfRule type="containsText" dxfId="394" priority="1" operator="containsText" text="5">
      <formula>NOT(ISERROR(SEARCH(("5"),(I57))))</formula>
    </cfRule>
    <cfRule type="containsText" dxfId="393" priority="2" operator="containsText" text="42">
      <formula>NOT(ISERROR(SEARCH(("42"),(I57))))</formula>
    </cfRule>
    <cfRule type="containsText" dxfId="392" priority="3" operator="containsText" text="Please fill in">
      <formula>NOT(ISERROR(SEARCH(("Please fill in"),(I57))))</formula>
    </cfRule>
  </conditionalFormatting>
  <dataValidations count="5">
    <dataValidation type="list" allowBlank="1" showErrorMessage="1" sqref="D50:D52 H60:H69" xr:uid="{FDED92F8-4C2D-468D-A261-30D7764A7404}">
      <formula1>'Messed Up'!TypesOfTrainers</formula1>
    </dataValidation>
    <dataValidation type="list" allowBlank="1" showErrorMessage="1" sqref="B9" xr:uid="{33513DE8-1631-4CE9-8AEA-EA6B2E00C9FD}">
      <formula1>"yes,no,partial"</formula1>
    </dataValidation>
    <dataValidation type="list" allowBlank="1" sqref="G48:G52" xr:uid="{CCD0CD17-A215-4C52-8632-4FD5B56208EA}">
      <formula1>"yes,no"</formula1>
    </dataValidation>
    <dataValidation type="list" allowBlank="1" showErrorMessage="1" sqref="D48:D49 H57:H59" xr:uid="{76DA17DD-891C-41EA-B600-B397BC4F1C35}">
      <formula1>'https://universiteittwente.sharepoint.com/sites/SportsCoordinatorsSUT/Gedeelde documenten/General/(WIP) FAM Sheets - Regulations 2025-28 - Version April 2025.xlsx'!TypesOfTrainers</formula1>
    </dataValidation>
    <dataValidation type="list" allowBlank="1" showErrorMessage="1" sqref="B73:B76" xr:uid="{92D3A255-AA63-4607-8F19-0274A185F186}">
      <formula1>'https://universiteittwente.sharepoint.com/sites/SportsCoordinatorsSUT/Gedeelde documenten/General/(WIP) FAM Sheets - Regulations 2025-28 - Version April 2025.xlsx'!LocationNames</formula1>
    </dataValidation>
  </dataValidations>
  <pageMargins left="0.7" right="0.7" top="0.75" bottom="0.75" header="0" footer="0"/>
  <pageSetup paperSize="9" orientation="portrait"/>
  <drawing r:id="rId1"/>
  <legacyDrawing r:id="rId2"/>
  <tableParts count="6">
    <tablePart r:id="rId3"/>
    <tablePart r:id="rId4"/>
    <tablePart r:id="rId5"/>
    <tablePart r:id="rId6"/>
    <tablePart r:id="rId7"/>
    <tablePart r:id="rId8"/>
  </tableParts>
  <extLst>
    <ext xmlns:x14="http://schemas.microsoft.com/office/spreadsheetml/2009/9/main" uri="{CCE6A557-97BC-4b89-ADB6-D9C93CAAB3DF}">
      <x14:dataValidations xmlns:xm="http://schemas.microsoft.com/office/excel/2006/main" count="4">
        <x14:dataValidation type="list" allowBlank="1" showInputMessage="1" showErrorMessage="1" xr:uid="{6C051838-A814-41A0-9A52-BDCEC1E38E7D}">
          <x14:formula1>
            <xm:f>Constants!$M$6:$M$7</xm:f>
          </x14:formula1>
          <xm:sqref>B108:B109</xm:sqref>
        </x14:dataValidation>
        <x14:dataValidation type="list" allowBlank="1" showInputMessage="1" showErrorMessage="1" xr:uid="{B9E35D33-64A5-4E49-BF93-75D847FD2CB7}">
          <x14:formula1>
            <xm:f>Constants!$C$55:$C$56</xm:f>
          </x14:formula1>
          <xm:sqref>B12</xm:sqref>
        </x14:dataValidation>
        <x14:dataValidation type="list" allowBlank="1" showErrorMessage="1" xr:uid="{E4B3FEB4-61F0-4BBC-82F3-D040FD9C7870}">
          <x14:formula1>
            <xm:f>Constants!$H$6:$H$13</xm:f>
          </x14:formula1>
          <xm:sqref>B57:B69</xm:sqref>
        </x14:dataValidation>
        <x14:dataValidation type="list" allowBlank="1" showErrorMessage="1" xr:uid="{384042B7-0A0D-40A1-8E0F-7D6FC8738AB5}">
          <x14:formula1>
            <xm:f>Constants!$A$2:$AD$2</xm:f>
          </x14:formula1>
          <xm:sqref>B77:B89</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D76962-C138-4864-8E44-97F0243A04D6}">
  <dimension ref="A1:BG1003"/>
  <sheetViews>
    <sheetView topLeftCell="J5" workbookViewId="0">
      <selection activeCell="O13" sqref="O13"/>
    </sheetView>
  </sheetViews>
  <sheetFormatPr defaultColWidth="12.625" defaultRowHeight="15" customHeight="1"/>
  <cols>
    <col min="1" max="1" width="36.625" customWidth="1"/>
    <col min="2" max="2" width="28.125" customWidth="1"/>
    <col min="3" max="3" width="21" customWidth="1"/>
    <col min="4" max="4" width="17.5" customWidth="1"/>
    <col min="5" max="5" width="16.125" customWidth="1"/>
    <col min="6" max="6" width="21.5" customWidth="1"/>
    <col min="7" max="7" width="22.625" customWidth="1"/>
    <col min="8" max="8" width="18.625" customWidth="1"/>
    <col min="9" max="9" width="19.625" customWidth="1"/>
    <col min="10" max="10" width="18.875" customWidth="1"/>
    <col min="11" max="11" width="21.625" customWidth="1"/>
    <col min="12" max="12" width="17.375" customWidth="1"/>
    <col min="13" max="13" width="15.125" customWidth="1"/>
    <col min="14" max="14" width="15.625" customWidth="1"/>
    <col min="15" max="15" width="28.5" customWidth="1"/>
    <col min="16" max="16" width="13.125" customWidth="1"/>
    <col min="17" max="17" width="21.875" customWidth="1"/>
    <col min="18" max="18" width="27" customWidth="1"/>
    <col min="19" max="19" width="20.5" customWidth="1"/>
    <col min="20" max="22" width="7.625" customWidth="1"/>
    <col min="23" max="23" width="31.875" customWidth="1"/>
    <col min="24" max="24" width="7.625" customWidth="1"/>
    <col min="25" max="25" width="8.375" customWidth="1"/>
    <col min="26" max="26" width="21.625" customWidth="1"/>
    <col min="27" max="27" width="12" customWidth="1"/>
    <col min="28" max="28" width="16.5" customWidth="1"/>
    <col min="29" max="29" width="6" customWidth="1"/>
    <col min="30" max="30" width="13.625" customWidth="1"/>
  </cols>
  <sheetData>
    <row r="1" spans="1:59" ht="171" customHeight="1">
      <c r="A1" s="703"/>
      <c r="B1" s="704"/>
      <c r="C1" s="705"/>
      <c r="D1" s="16"/>
      <c r="E1" s="572" t="s">
        <v>1368</v>
      </c>
      <c r="F1" s="704"/>
      <c r="G1" s="704"/>
      <c r="H1" s="705"/>
      <c r="I1" s="16"/>
      <c r="J1" s="16"/>
      <c r="K1" s="16"/>
      <c r="L1" s="16"/>
      <c r="M1" s="16"/>
      <c r="N1" s="16"/>
      <c r="O1" s="16"/>
      <c r="P1" s="16"/>
      <c r="Q1" s="16"/>
      <c r="R1" s="16"/>
      <c r="S1" s="16"/>
      <c r="T1" s="16"/>
      <c r="U1" s="16"/>
      <c r="V1" s="16"/>
      <c r="W1" s="16"/>
      <c r="X1" s="16"/>
      <c r="Y1" s="16"/>
      <c r="Z1" s="16"/>
      <c r="AA1" s="16"/>
      <c r="AB1" s="16"/>
      <c r="AC1" s="16"/>
      <c r="AD1" s="16"/>
    </row>
    <row r="2" spans="1:59">
      <c r="A2" s="58" t="s">
        <v>404</v>
      </c>
      <c r="B2" s="152" t="s">
        <v>716</v>
      </c>
      <c r="C2" s="59"/>
      <c r="D2" s="16"/>
      <c r="E2" s="60" t="s">
        <v>406</v>
      </c>
      <c r="F2" s="153"/>
      <c r="G2" s="154"/>
      <c r="H2" s="61"/>
      <c r="I2" s="16"/>
      <c r="J2" s="16"/>
      <c r="K2" s="16"/>
      <c r="L2" s="16"/>
      <c r="M2" s="16"/>
      <c r="N2" s="16"/>
      <c r="O2" s="16"/>
      <c r="P2" s="16"/>
      <c r="Q2" s="16"/>
      <c r="R2" s="16"/>
      <c r="S2" s="16"/>
      <c r="T2" s="16"/>
      <c r="U2" s="16"/>
      <c r="V2" s="16"/>
      <c r="W2" s="16"/>
      <c r="X2" s="16"/>
      <c r="Y2" s="16"/>
      <c r="Z2" s="15"/>
      <c r="AA2" s="15"/>
      <c r="AB2" s="15"/>
      <c r="AC2" s="15"/>
      <c r="AD2" s="16"/>
      <c r="AE2" s="16"/>
      <c r="AF2" s="16"/>
      <c r="AG2" s="16"/>
      <c r="AH2" s="16"/>
      <c r="AI2" s="17"/>
      <c r="AJ2" s="17"/>
      <c r="AK2" s="17"/>
      <c r="AL2" s="17"/>
      <c r="AM2" s="17"/>
      <c r="AN2" s="17"/>
      <c r="AO2" s="17"/>
      <c r="AP2" s="17"/>
      <c r="AQ2" s="17"/>
      <c r="AR2" s="18"/>
      <c r="AS2" s="17"/>
      <c r="AT2" s="17"/>
      <c r="AU2" s="16"/>
      <c r="AV2" s="16"/>
      <c r="AW2" s="16"/>
      <c r="AX2" s="16"/>
      <c r="AY2" s="16"/>
      <c r="AZ2" s="16"/>
      <c r="BA2" s="16"/>
    </row>
    <row r="3" spans="1:59">
      <c r="A3" s="62" t="s">
        <v>408</v>
      </c>
      <c r="B3" s="155">
        <v>6</v>
      </c>
      <c r="C3" s="156"/>
      <c r="D3" s="16"/>
      <c r="E3" s="63" t="s">
        <v>409</v>
      </c>
      <c r="F3" s="157"/>
      <c r="G3" s="158"/>
      <c r="H3" s="159"/>
      <c r="I3" s="16"/>
      <c r="J3" s="16"/>
      <c r="K3" s="16"/>
      <c r="L3" s="16"/>
      <c r="M3" s="16"/>
      <c r="N3" s="16"/>
      <c r="O3" s="16"/>
      <c r="P3" s="16"/>
      <c r="Q3" s="16"/>
      <c r="R3" s="16"/>
      <c r="S3" s="16"/>
      <c r="T3" s="16"/>
      <c r="U3" s="16"/>
      <c r="V3" s="16"/>
      <c r="W3" s="16"/>
      <c r="X3" s="16"/>
      <c r="Y3" s="16"/>
      <c r="Z3" s="16"/>
      <c r="AA3" s="16"/>
      <c r="AB3" s="16"/>
      <c r="AC3" s="16"/>
      <c r="AD3" s="16"/>
    </row>
    <row r="4" spans="1:59">
      <c r="A4" s="160" t="s">
        <v>410</v>
      </c>
      <c r="B4" s="161">
        <v>45812</v>
      </c>
      <c r="C4" s="162"/>
      <c r="D4" s="16"/>
      <c r="E4" s="163"/>
      <c r="F4" s="164"/>
      <c r="G4" s="165"/>
      <c r="H4" s="166"/>
      <c r="I4" s="16"/>
      <c r="J4" s="16"/>
      <c r="K4" s="16"/>
      <c r="L4" s="16"/>
      <c r="M4" s="16"/>
      <c r="N4" s="16"/>
      <c r="O4" s="16"/>
      <c r="P4" s="16"/>
      <c r="Q4" s="16"/>
      <c r="R4" s="16"/>
      <c r="S4" s="16"/>
      <c r="T4" s="16"/>
      <c r="U4" s="16"/>
      <c r="V4" s="16"/>
      <c r="W4" s="16"/>
      <c r="X4" s="16"/>
      <c r="Y4" s="16"/>
      <c r="Z4" s="16"/>
      <c r="AA4" s="16"/>
      <c r="AB4" s="16"/>
      <c r="AC4" s="16"/>
      <c r="AD4" s="16"/>
    </row>
    <row r="5" spans="1:59">
      <c r="A5" s="167" t="s">
        <v>411</v>
      </c>
      <c r="B5" s="168"/>
      <c r="C5" s="167"/>
      <c r="D5" s="16"/>
      <c r="E5" s="169" t="s">
        <v>412</v>
      </c>
      <c r="F5" s="169"/>
      <c r="G5" s="158"/>
      <c r="H5" s="169"/>
      <c r="I5" s="16"/>
      <c r="J5" s="16"/>
      <c r="K5" s="16"/>
      <c r="L5" s="16"/>
      <c r="M5" s="16"/>
      <c r="N5" s="16"/>
      <c r="O5" s="16"/>
      <c r="P5" s="16"/>
      <c r="Q5" s="16"/>
      <c r="R5" s="16"/>
      <c r="S5" s="16"/>
      <c r="T5" s="16"/>
      <c r="U5" s="16"/>
      <c r="V5" s="16"/>
      <c r="W5" s="16"/>
      <c r="X5" s="16"/>
      <c r="Y5" s="16"/>
      <c r="Z5" s="16"/>
      <c r="AA5" s="16"/>
      <c r="AB5" s="16"/>
      <c r="AC5" s="16"/>
      <c r="AD5" s="16"/>
    </row>
    <row r="6" spans="1:59">
      <c r="A6" s="15"/>
      <c r="B6" s="64"/>
      <c r="C6" s="16"/>
      <c r="D6" s="16"/>
      <c r="E6" s="16"/>
      <c r="F6" s="16"/>
      <c r="G6" s="16"/>
      <c r="H6" s="16"/>
      <c r="I6" s="16"/>
      <c r="J6" s="64"/>
      <c r="K6" s="16"/>
      <c r="L6" s="16"/>
      <c r="M6" s="16"/>
      <c r="N6" s="16"/>
      <c r="O6" s="16"/>
      <c r="P6" s="16"/>
      <c r="Q6" s="16"/>
      <c r="R6" s="16"/>
      <c r="S6" s="16"/>
      <c r="T6" s="16"/>
      <c r="U6" s="16"/>
      <c r="V6" s="16"/>
      <c r="W6" s="16"/>
      <c r="X6" s="16"/>
      <c r="Y6" s="16"/>
      <c r="Z6" s="16"/>
      <c r="AA6" s="16"/>
      <c r="AB6" s="16"/>
      <c r="AC6" s="16"/>
      <c r="AD6" s="16"/>
    </row>
    <row r="7" spans="1:59">
      <c r="A7" s="170" t="s">
        <v>413</v>
      </c>
      <c r="B7" s="59">
        <v>69</v>
      </c>
      <c r="C7" s="16"/>
      <c r="D7" s="573" t="s">
        <v>414</v>
      </c>
      <c r="E7" s="701"/>
      <c r="F7" s="701"/>
      <c r="G7" s="701"/>
      <c r="H7" s="701"/>
      <c r="I7" s="701"/>
      <c r="J7" s="16"/>
      <c r="K7" s="16"/>
      <c r="L7" s="16"/>
      <c r="M7" s="16"/>
      <c r="N7" s="16"/>
      <c r="O7" s="16"/>
      <c r="P7" s="16"/>
      <c r="Q7" s="16"/>
      <c r="R7" s="16"/>
      <c r="S7" s="16"/>
      <c r="T7" s="16"/>
      <c r="U7" s="16"/>
      <c r="V7" s="16"/>
      <c r="W7" s="16"/>
      <c r="X7" s="16"/>
      <c r="Y7" s="16"/>
      <c r="Z7" s="16"/>
      <c r="AA7" s="16"/>
      <c r="AB7" s="16"/>
      <c r="AC7" s="16"/>
      <c r="AD7" s="16"/>
    </row>
    <row r="8" spans="1:59" ht="14.25" customHeight="1">
      <c r="A8" s="171" t="s">
        <v>415</v>
      </c>
      <c r="B8" s="172">
        <f ca="1">M21-M17</f>
        <v>3450.8472322623002</v>
      </c>
      <c r="C8" s="16" t="s">
        <v>416</v>
      </c>
      <c r="D8" s="574" t="s">
        <v>417</v>
      </c>
      <c r="E8" s="704"/>
      <c r="F8" s="704"/>
      <c r="G8" s="704"/>
      <c r="H8" s="704"/>
      <c r="I8" s="704"/>
      <c r="J8" s="16"/>
      <c r="K8" s="16"/>
      <c r="L8" s="16"/>
      <c r="M8" s="16"/>
      <c r="N8" s="16"/>
      <c r="O8" s="16"/>
      <c r="P8" s="16"/>
      <c r="Q8" s="16"/>
      <c r="R8" s="16"/>
      <c r="S8" s="16"/>
      <c r="T8" s="16"/>
      <c r="U8" s="16"/>
      <c r="V8" s="16"/>
      <c r="W8" s="16"/>
      <c r="X8" s="16"/>
      <c r="Y8" s="16"/>
      <c r="Z8" s="16"/>
      <c r="AA8" s="16"/>
      <c r="AB8" s="16"/>
      <c r="AC8" s="16"/>
    </row>
    <row r="9" spans="1:59">
      <c r="A9" s="65" t="s">
        <v>418</v>
      </c>
      <c r="B9" s="173" t="s">
        <v>419</v>
      </c>
      <c r="C9" s="16"/>
      <c r="D9" s="16"/>
      <c r="E9" s="17"/>
      <c r="F9" s="17"/>
      <c r="G9" s="17"/>
      <c r="H9" s="17"/>
      <c r="I9" s="17"/>
      <c r="J9" s="17"/>
      <c r="K9" s="17"/>
      <c r="L9" s="17"/>
      <c r="M9" s="17"/>
      <c r="N9" s="17"/>
      <c r="O9" s="17"/>
      <c r="P9" s="17"/>
      <c r="Q9" s="16"/>
      <c r="R9" s="17"/>
      <c r="S9" s="17"/>
      <c r="T9" s="17"/>
      <c r="U9" s="17"/>
      <c r="V9" s="17"/>
      <c r="W9" s="17"/>
      <c r="X9" s="17"/>
      <c r="Y9" s="17"/>
      <c r="Z9" s="17"/>
      <c r="AA9" s="17"/>
      <c r="AB9" s="17"/>
      <c r="AC9" s="17"/>
      <c r="AD9" s="18" t="s">
        <v>242</v>
      </c>
    </row>
    <row r="10" spans="1:59">
      <c r="A10" s="174" t="s">
        <v>420</v>
      </c>
      <c r="B10" s="66">
        <f>COUNTA(A38:A42)</f>
        <v>1</v>
      </c>
      <c r="C10" s="16"/>
      <c r="D10" s="16"/>
      <c r="E10" s="17"/>
      <c r="F10" s="17"/>
      <c r="G10" s="17"/>
      <c r="H10" s="17"/>
      <c r="I10" s="17"/>
      <c r="J10" s="17"/>
      <c r="K10" s="17"/>
      <c r="L10" s="17"/>
      <c r="M10" s="17"/>
      <c r="N10" s="17"/>
      <c r="O10" s="17"/>
      <c r="P10" s="17"/>
      <c r="Q10" s="16"/>
      <c r="R10" s="17"/>
      <c r="S10" s="17"/>
      <c r="T10" s="17"/>
      <c r="U10" s="17"/>
      <c r="V10" s="17"/>
      <c r="W10" s="17"/>
      <c r="X10" s="17"/>
      <c r="Y10" s="17"/>
      <c r="Z10" s="17"/>
      <c r="AA10" s="17"/>
      <c r="AB10" s="17"/>
      <c r="AC10" s="17"/>
      <c r="AD10" s="18"/>
    </row>
    <row r="11" spans="1:59">
      <c r="A11" s="171" t="s">
        <v>421</v>
      </c>
      <c r="B11" s="238">
        <f>SUM(B38:B42)</f>
        <v>54</v>
      </c>
      <c r="C11" s="16"/>
      <c r="D11" s="16"/>
      <c r="E11" s="17"/>
      <c r="F11" s="17"/>
      <c r="G11" s="17"/>
      <c r="H11" s="17"/>
      <c r="I11" s="17"/>
      <c r="J11" s="17"/>
      <c r="K11" s="17"/>
      <c r="L11" s="17"/>
      <c r="M11" s="17"/>
      <c r="N11" s="17"/>
      <c r="O11" s="17"/>
      <c r="P11" s="17"/>
      <c r="Q11" s="16"/>
      <c r="R11" s="17"/>
      <c r="S11" s="17"/>
      <c r="T11" s="17"/>
      <c r="U11" s="17"/>
      <c r="V11" s="17"/>
      <c r="W11" s="17"/>
      <c r="X11" s="17"/>
      <c r="Y11" s="17"/>
      <c r="Z11" s="17"/>
      <c r="AA11" s="17"/>
      <c r="AB11" s="17"/>
      <c r="AC11" s="17"/>
      <c r="AD11" s="18"/>
    </row>
    <row r="12" spans="1:59">
      <c r="A12" s="239" t="s">
        <v>422</v>
      </c>
      <c r="B12" s="240" t="s">
        <v>317</v>
      </c>
      <c r="C12" s="16"/>
      <c r="D12" s="16"/>
      <c r="E12" s="17"/>
      <c r="F12" s="17"/>
      <c r="G12" s="17"/>
      <c r="H12" s="17"/>
      <c r="I12" s="17"/>
      <c r="J12" s="17"/>
      <c r="K12" s="17"/>
      <c r="L12" s="17"/>
      <c r="M12" s="17"/>
      <c r="N12" s="17"/>
      <c r="O12" s="17"/>
      <c r="P12" s="17"/>
      <c r="Q12" s="16"/>
      <c r="R12" s="17"/>
      <c r="S12" s="17"/>
      <c r="T12" s="17"/>
      <c r="U12" s="17"/>
      <c r="V12" s="17"/>
      <c r="W12" s="17"/>
      <c r="X12" s="17"/>
      <c r="Y12" s="17"/>
      <c r="Z12" s="17"/>
      <c r="AA12" s="17"/>
      <c r="AB12" s="17"/>
      <c r="AC12" s="17"/>
      <c r="AD12" s="18"/>
    </row>
    <row r="13" spans="1:59">
      <c r="A13" s="16"/>
      <c r="B13" s="16"/>
      <c r="C13" s="16"/>
      <c r="D13" s="16"/>
      <c r="E13" s="17"/>
      <c r="F13" s="17"/>
      <c r="G13" s="17"/>
      <c r="H13" s="17"/>
      <c r="I13" s="17"/>
      <c r="J13" s="17"/>
      <c r="K13" s="17"/>
      <c r="L13" s="17"/>
      <c r="M13" s="17"/>
      <c r="N13" s="17"/>
      <c r="O13" s="17"/>
      <c r="P13" s="17"/>
      <c r="Q13" s="16"/>
      <c r="R13" s="17"/>
      <c r="S13" s="17"/>
      <c r="T13" s="17"/>
      <c r="U13" s="17"/>
      <c r="V13" s="17"/>
      <c r="W13" s="17"/>
      <c r="X13" s="17"/>
      <c r="Y13" s="17"/>
      <c r="Z13" s="17"/>
      <c r="AA13" s="17"/>
      <c r="AB13" s="17"/>
      <c r="AC13" s="17"/>
      <c r="AD13" s="17" t="str" cm="1">
        <f t="array" ref="AD13:BF14">Constants!A2:AC3</f>
        <v>SC1</v>
      </c>
      <c r="AE13" s="17" t="str">
        <v>SC1 - Half</v>
      </c>
      <c r="AF13" s="17" t="str">
        <v>SC2</v>
      </c>
      <c r="AG13" s="17" t="str">
        <v>SC2 - Half</v>
      </c>
      <c r="AH13" s="17" t="str">
        <v>SC3</v>
      </c>
      <c r="AI13" s="17" t="str">
        <v>SC4</v>
      </c>
      <c r="AJ13" s="17" t="str">
        <v>SC5</v>
      </c>
      <c r="AK13" s="17" t="str">
        <v>SC6</v>
      </c>
      <c r="AL13" s="17" t="str">
        <v>Dojo</v>
      </c>
      <c r="AM13" s="17" t="str">
        <v>Boulder Wall</v>
      </c>
      <c r="AN13" s="17" t="str">
        <v>Climbing Wall</v>
      </c>
      <c r="AO13" s="17" t="str">
        <v>Artificial Hockey field</v>
      </c>
      <c r="AP13" s="17" t="str">
        <v>Artificial Hockey field - Half</v>
      </c>
      <c r="AQ13" s="17" t="str">
        <v>Artificial Soccer field</v>
      </c>
      <c r="AR13" s="17" t="str">
        <v>Artificial Soccer field - Half</v>
      </c>
      <c r="AS13" s="17" t="str">
        <v>Basketball</v>
      </c>
      <c r="AT13" s="17" t="str">
        <v>Bastille field</v>
      </c>
      <c r="AU13" s="17" t="str">
        <v>Beach fields</v>
      </c>
      <c r="AV13" s="17" t="str">
        <v>Shooting range</v>
      </c>
      <c r="AW13" s="17" t="str">
        <v>Multi/Lacrosse field</v>
      </c>
      <c r="AX13" s="17" t="str">
        <v>Multi/Lacrosse field - Half</v>
      </c>
      <c r="AY13" s="17" t="str">
        <v>Bootcamp field</v>
      </c>
      <c r="AZ13" s="17" t="str">
        <v>Multi/Baseball field</v>
      </c>
      <c r="BA13" s="17" t="str">
        <v>Tennis court</v>
      </c>
      <c r="BB13" s="17" t="str">
        <v>Utrack</v>
      </c>
      <c r="BC13" s="22" t="str">
        <v>Verreveld</v>
      </c>
      <c r="BD13" s="22" t="str">
        <v>Wsc</v>
      </c>
      <c r="BE13" s="22" t="str">
        <v>Indoor pool</v>
      </c>
      <c r="BF13" s="22" t="str">
        <v>Outdoor pool</v>
      </c>
      <c r="BG13" s="22"/>
    </row>
    <row r="14" spans="1:59">
      <c r="A14" s="175" t="s">
        <v>423</v>
      </c>
      <c r="B14" s="16"/>
      <c r="C14" s="16"/>
      <c r="D14" s="16"/>
      <c r="E14" s="16"/>
      <c r="F14" s="16"/>
      <c r="G14" s="175" t="s">
        <v>424</v>
      </c>
      <c r="I14" s="17"/>
      <c r="J14" s="17"/>
      <c r="K14" s="176" t="s">
        <v>425</v>
      </c>
      <c r="L14" s="17"/>
      <c r="M14" s="176" t="s">
        <v>426</v>
      </c>
      <c r="N14" s="17"/>
      <c r="O14" s="17"/>
      <c r="P14" s="17"/>
      <c r="Q14" s="17"/>
      <c r="R14" s="17"/>
      <c r="S14" s="16"/>
      <c r="T14" s="17"/>
      <c r="U14" s="17"/>
      <c r="V14" s="17"/>
      <c r="W14" s="17"/>
      <c r="X14" s="17"/>
      <c r="Y14" s="17"/>
      <c r="Z14" s="17"/>
      <c r="AA14" s="17"/>
      <c r="AB14" s="17"/>
      <c r="AC14" s="17"/>
      <c r="AD14" s="19">
        <v>67.5</v>
      </c>
      <c r="AE14" s="19">
        <v>35</v>
      </c>
      <c r="AF14" s="19">
        <v>67.5</v>
      </c>
      <c r="AG14" s="19">
        <v>35</v>
      </c>
      <c r="AH14" s="19">
        <v>40</v>
      </c>
      <c r="AI14" s="19">
        <v>40</v>
      </c>
      <c r="AJ14" s="19">
        <v>35</v>
      </c>
      <c r="AK14" s="19">
        <v>35</v>
      </c>
      <c r="AL14" s="19">
        <v>40</v>
      </c>
      <c r="AM14" s="19">
        <v>27.5</v>
      </c>
      <c r="AN14" s="19">
        <v>45</v>
      </c>
      <c r="AO14" s="19">
        <v>75</v>
      </c>
      <c r="AP14" s="19">
        <v>40</v>
      </c>
      <c r="AQ14" s="19">
        <v>75</v>
      </c>
      <c r="AR14" s="19">
        <v>40</v>
      </c>
      <c r="AS14" s="19">
        <v>30</v>
      </c>
      <c r="AT14" s="19">
        <v>50</v>
      </c>
      <c r="AU14" s="19">
        <v>75</v>
      </c>
      <c r="AV14" s="19">
        <v>40</v>
      </c>
      <c r="AW14" s="19">
        <v>75</v>
      </c>
      <c r="AX14" s="19">
        <v>40</v>
      </c>
      <c r="AY14" s="19">
        <v>50</v>
      </c>
      <c r="AZ14" s="19">
        <v>65</v>
      </c>
      <c r="BA14" s="19">
        <v>35</v>
      </c>
      <c r="BB14" s="19">
        <v>45</v>
      </c>
      <c r="BC14" s="19">
        <v>50</v>
      </c>
      <c r="BD14" s="19">
        <v>0</v>
      </c>
      <c r="BE14" s="19">
        <v>65</v>
      </c>
      <c r="BF14" s="20">
        <v>70</v>
      </c>
      <c r="BG14" s="20"/>
    </row>
    <row r="15" spans="1:59">
      <c r="A15" s="67"/>
      <c r="B15" s="68" t="str">
        <f>Constants!H6</f>
        <v>Performance training</v>
      </c>
      <c r="C15" s="68" t="str">
        <f>Constants!H7</f>
        <v>Performance coaching</v>
      </c>
      <c r="D15" s="68" t="str">
        <f>Constants!H8</f>
        <v>Dangerous</v>
      </c>
      <c r="E15" s="69" t="str">
        <f>Constants!H9</f>
        <v>Recreational</v>
      </c>
      <c r="F15" s="69" t="s">
        <v>290</v>
      </c>
      <c r="G15" s="70"/>
      <c r="H15" s="71" t="s">
        <v>427</v>
      </c>
      <c r="I15" s="72" t="s">
        <v>272</v>
      </c>
      <c r="J15" s="70" t="s">
        <v>5</v>
      </c>
      <c r="K15" s="72" t="s">
        <v>428</v>
      </c>
      <c r="L15" s="70" t="s">
        <v>429</v>
      </c>
      <c r="M15" s="73">
        <v>125</v>
      </c>
      <c r="N15" s="17"/>
      <c r="O15" s="17"/>
      <c r="P15" s="17"/>
      <c r="Q15" s="17"/>
      <c r="R15" s="16"/>
      <c r="S15" s="17"/>
      <c r="T15" s="17"/>
      <c r="U15" s="17"/>
      <c r="V15" s="17"/>
      <c r="W15" s="17"/>
      <c r="X15" s="17"/>
      <c r="Y15" s="17"/>
      <c r="Z15" s="17"/>
      <c r="AA15" s="17"/>
      <c r="AB15" s="17"/>
      <c r="AC15" s="17"/>
      <c r="AD15" s="16">
        <f t="shared" ref="AD15:BF15" si="0">SUMIF($B$71:$B$88,AD13,$F$71:$F$88)</f>
        <v>0</v>
      </c>
      <c r="AE15" s="16">
        <f t="shared" si="0"/>
        <v>0</v>
      </c>
      <c r="AF15" s="16">
        <f t="shared" si="0"/>
        <v>0</v>
      </c>
      <c r="AG15" s="16">
        <f t="shared" si="0"/>
        <v>0</v>
      </c>
      <c r="AH15" s="16">
        <f t="shared" si="0"/>
        <v>0</v>
      </c>
      <c r="AI15" s="16">
        <f t="shared" si="0"/>
        <v>0</v>
      </c>
      <c r="AJ15" s="16">
        <f t="shared" si="0"/>
        <v>0</v>
      </c>
      <c r="AK15" s="16">
        <f t="shared" si="0"/>
        <v>0</v>
      </c>
      <c r="AL15" s="16">
        <f t="shared" si="0"/>
        <v>0</v>
      </c>
      <c r="AM15" s="16">
        <f t="shared" si="0"/>
        <v>0</v>
      </c>
      <c r="AN15" s="16">
        <f t="shared" si="0"/>
        <v>0</v>
      </c>
      <c r="AO15" s="16">
        <f t="shared" si="0"/>
        <v>0</v>
      </c>
      <c r="AP15" s="16">
        <f t="shared" si="0"/>
        <v>0</v>
      </c>
      <c r="AQ15" s="16">
        <f t="shared" si="0"/>
        <v>0</v>
      </c>
      <c r="AR15" s="16">
        <f t="shared" si="0"/>
        <v>0</v>
      </c>
      <c r="AS15" s="16">
        <f t="shared" si="0"/>
        <v>0</v>
      </c>
      <c r="AT15" s="16">
        <f t="shared" si="0"/>
        <v>0</v>
      </c>
      <c r="AU15" s="16">
        <f t="shared" si="0"/>
        <v>0</v>
      </c>
      <c r="AV15" s="16">
        <f t="shared" si="0"/>
        <v>0</v>
      </c>
      <c r="AW15" s="16">
        <f t="shared" si="0"/>
        <v>0</v>
      </c>
      <c r="AX15" s="16">
        <f t="shared" si="0"/>
        <v>0</v>
      </c>
      <c r="AY15" s="16">
        <f t="shared" si="0"/>
        <v>0</v>
      </c>
      <c r="AZ15" s="16">
        <f t="shared" si="0"/>
        <v>0</v>
      </c>
      <c r="BA15" s="16">
        <f t="shared" si="0"/>
        <v>0</v>
      </c>
      <c r="BB15" s="16">
        <f t="shared" si="0"/>
        <v>0</v>
      </c>
      <c r="BC15" s="16">
        <f t="shared" si="0"/>
        <v>0</v>
      </c>
      <c r="BD15" s="16">
        <f t="shared" si="0"/>
        <v>0</v>
      </c>
      <c r="BE15" s="16">
        <f t="shared" si="0"/>
        <v>0</v>
      </c>
      <c r="BF15" s="16">
        <f t="shared" si="0"/>
        <v>0</v>
      </c>
    </row>
    <row r="16" spans="1:59">
      <c r="A16" s="74" t="str">
        <f>Constants!E6</f>
        <v>PT</v>
      </c>
      <c r="B16" s="16">
        <f>SUMIFS(MSG!$F$55:$F$67,MSG!$B$55:$B$67, B$15,MSG!$H$55:$H$67,$A16)*(1+Constants!$B$7)</f>
        <v>0</v>
      </c>
      <c r="C16" s="16">
        <f>SUMIFS(MSG!$F$55:$F$67,MSG!$B$55:$B$67, C$15,MSG!$H$55:$H$67,$A16)</f>
        <v>0</v>
      </c>
      <c r="D16" s="16">
        <f>SUMIFS(MSG!$F$55:$F$67,MSG!$B$55:$B$67, D$15,MSG!$H$55:$H$67,$A16)*(1+Constants!$B$7)</f>
        <v>0</v>
      </c>
      <c r="E16" s="16">
        <f>SUMIFS(MSG!$F$55:$F$67,MSG!$B$55:$B$67, E$15,MSG!$H$55:$H$67,$A16)*(1+Constants!$B$7)</f>
        <v>0</v>
      </c>
      <c r="F16" s="16">
        <f>SUMIFS(MSG!$F$55:$F$67,MSG!$B$55:$B$67, F$15,MSG!$H$55:$H$67,$A16)*(1+Constants!$B$7)</f>
        <v>0</v>
      </c>
      <c r="G16" s="74" t="s">
        <v>430</v>
      </c>
      <c r="H16" s="16">
        <f>SUMIF(MSG!$B$71:$B$89,"&lt;&gt;External",MSG!$F$71:$F$89)</f>
        <v>0</v>
      </c>
      <c r="I16" s="75">
        <f>SUMIF(MSG!$B$71:$B$89,"External",MSG!$F$71:$F$89)</f>
        <v>57</v>
      </c>
      <c r="J16" s="234">
        <f>SUM($F$92:$F$105)</f>
        <v>4630</v>
      </c>
      <c r="K16" s="76">
        <f>IF(OR(ISBLANK(B7),ISBLANK(B9)), "ERROR",MAX(MIN(J16,B7*Constants!B15)-Constants!B14*B7,0)*IF(B9="yes",Constants!B16,IF(B9="no",Constants!B17,0)))</f>
        <v>3152</v>
      </c>
      <c r="L16" s="77" t="s">
        <v>360</v>
      </c>
      <c r="M16" s="76">
        <f>E16*Constants!B6+E17*Constants!B8+E22+E21</f>
        <v>0</v>
      </c>
      <c r="N16" s="17"/>
      <c r="O16" s="17"/>
      <c r="P16" s="17"/>
      <c r="Q16" s="17"/>
      <c r="R16" s="16"/>
      <c r="S16" s="17"/>
      <c r="T16" s="17"/>
      <c r="U16" s="17"/>
      <c r="V16" s="17"/>
      <c r="W16" s="17"/>
      <c r="X16" s="17"/>
      <c r="Y16" s="17"/>
      <c r="Z16" s="17"/>
      <c r="AA16" s="17"/>
      <c r="AB16" s="17"/>
      <c r="AC16" s="17"/>
      <c r="AD16" s="19">
        <f t="shared" ref="AD16:BF16" si="1">AD14*AD15</f>
        <v>0</v>
      </c>
      <c r="AE16" s="19">
        <f t="shared" si="1"/>
        <v>0</v>
      </c>
      <c r="AF16" s="19">
        <f t="shared" si="1"/>
        <v>0</v>
      </c>
      <c r="AG16" s="19">
        <f t="shared" si="1"/>
        <v>0</v>
      </c>
      <c r="AH16" s="19">
        <f t="shared" si="1"/>
        <v>0</v>
      </c>
      <c r="AI16" s="19">
        <f t="shared" si="1"/>
        <v>0</v>
      </c>
      <c r="AJ16" s="19">
        <f t="shared" si="1"/>
        <v>0</v>
      </c>
      <c r="AK16" s="19">
        <f t="shared" si="1"/>
        <v>0</v>
      </c>
      <c r="AL16" s="19">
        <f t="shared" si="1"/>
        <v>0</v>
      </c>
      <c r="AM16" s="19">
        <f t="shared" si="1"/>
        <v>0</v>
      </c>
      <c r="AN16" s="19">
        <f t="shared" si="1"/>
        <v>0</v>
      </c>
      <c r="AO16" s="19">
        <f t="shared" si="1"/>
        <v>0</v>
      </c>
      <c r="AP16" s="19">
        <f t="shared" si="1"/>
        <v>0</v>
      </c>
      <c r="AQ16" s="19">
        <f t="shared" si="1"/>
        <v>0</v>
      </c>
      <c r="AR16" s="19">
        <f t="shared" si="1"/>
        <v>0</v>
      </c>
      <c r="AS16" s="19">
        <f t="shared" si="1"/>
        <v>0</v>
      </c>
      <c r="AT16" s="19">
        <f t="shared" si="1"/>
        <v>0</v>
      </c>
      <c r="AU16" s="19">
        <f t="shared" si="1"/>
        <v>0</v>
      </c>
      <c r="AV16" s="19">
        <f t="shared" si="1"/>
        <v>0</v>
      </c>
      <c r="AW16" s="19">
        <f t="shared" si="1"/>
        <v>0</v>
      </c>
      <c r="AX16" s="19">
        <f t="shared" si="1"/>
        <v>0</v>
      </c>
      <c r="AY16" s="19">
        <f t="shared" si="1"/>
        <v>0</v>
      </c>
      <c r="AZ16" s="19">
        <f t="shared" si="1"/>
        <v>0</v>
      </c>
      <c r="BA16" s="19">
        <f t="shared" si="1"/>
        <v>0</v>
      </c>
      <c r="BB16" s="19">
        <f t="shared" si="1"/>
        <v>0</v>
      </c>
      <c r="BC16" s="19">
        <f t="shared" si="1"/>
        <v>0</v>
      </c>
      <c r="BD16" s="19">
        <f t="shared" si="1"/>
        <v>0</v>
      </c>
      <c r="BE16" s="19">
        <f t="shared" si="1"/>
        <v>0</v>
      </c>
      <c r="BF16" s="19">
        <f t="shared" si="1"/>
        <v>0</v>
      </c>
    </row>
    <row r="17" spans="1:36">
      <c r="A17" s="74" t="str">
        <f>Constants!E7</f>
        <v>PT-V</v>
      </c>
      <c r="B17" s="16">
        <f>SUMIFS(MSG!$F$55:$F$67,MSG!$B$55:$B$67, B$15,MSG!$H$55:$H$67,$A17)*(1+Constants!$B$9)</f>
        <v>0</v>
      </c>
      <c r="C17" s="16">
        <f>SUMIFS(MSG!$F$55:$F$67,MSG!$B$55:$B$67, C$15,MSG!$H$55:$H$67,$A17)</f>
        <v>0</v>
      </c>
      <c r="D17" s="16">
        <f>SUMIFS(MSG!$F$55:$F$67,MSG!$B$55:$B$67, D$15,MSG!$H$55:$H$67,$A17)*(1+Constants!$B$9)</f>
        <v>0</v>
      </c>
      <c r="E17" s="16">
        <f>SUMIFS(MSG!$F$55:$F$67,MSG!$B$55:$B$67, E$15,MSG!$H$55:$H$67,$A17)*(1+Constants!$B$9)</f>
        <v>0</v>
      </c>
      <c r="F17" s="16">
        <f>SUMIFS(MSG!$F$55:$F$67,MSG!$B$55:$B$67, F$15,MSG!$H$55:$H$67,$A17)</f>
        <v>0</v>
      </c>
      <c r="G17" s="74" t="s">
        <v>38</v>
      </c>
      <c r="H17" s="78">
        <f>SUM(AD16:BZ16)</f>
        <v>0</v>
      </c>
      <c r="I17" s="76" cm="1">
        <f t="array" ref="I17">SUM(IF($B$71:$B$87="External",$F$71:$F$87*$H$71:$H$87,0))</f>
        <v>1466.6</v>
      </c>
      <c r="J17" s="79"/>
      <c r="K17" s="80"/>
      <c r="L17" s="77" t="s">
        <v>63</v>
      </c>
      <c r="M17" s="76">
        <f>J16-K16</f>
        <v>1478</v>
      </c>
      <c r="N17" s="17"/>
      <c r="O17" s="17"/>
      <c r="P17" s="17"/>
      <c r="Q17" s="17"/>
      <c r="R17" s="16"/>
      <c r="S17" s="17"/>
      <c r="T17" s="17"/>
      <c r="U17" s="17"/>
      <c r="V17" s="17"/>
      <c r="W17" s="17"/>
      <c r="X17" s="17"/>
      <c r="Y17" s="17"/>
      <c r="Z17" s="17"/>
      <c r="AA17" s="17"/>
      <c r="AB17" s="17"/>
      <c r="AC17" s="17"/>
      <c r="AD17" s="17"/>
      <c r="AE17" s="17"/>
    </row>
    <row r="18" spans="1:36">
      <c r="A18" s="74" t="str">
        <f>Constants!E8</f>
        <v>PT-ZZP</v>
      </c>
      <c r="B18" s="16">
        <f>SUMIFS(MSG!$F$55:$F$67,MSG!$B$55:$B$67, B$15,MSG!$H$55:$H$67,$A18)*(1+Constants!$B$7)</f>
        <v>0</v>
      </c>
      <c r="C18" s="16">
        <f>SUMIFS(MSG!$F$55:$F$67,MSG!$B$55:$B$67, C$15,MSG!$H$55:$H$67,$A18)</f>
        <v>0</v>
      </c>
      <c r="D18" s="16">
        <f>SUMIFS(MSG!$F$55:$F$67,MSG!$B$55:$B$67, D$15,MSG!$H$55:$H$67,$A18)*(1+Constants!$B$7)</f>
        <v>0</v>
      </c>
      <c r="E18" s="16">
        <f>SUMIFS(MSG!$F$55:$F$67,MSG!$B$55:$B$67, E$15,MSG!$H$55:$H$67,$A18)*(1+Constants!$B$7)</f>
        <v>0</v>
      </c>
      <c r="F18" s="16">
        <f>SUMIFS(MSG!$F$55:$F$67,MSG!$B$55:$B$67, F$15,MSG!$H$55:$H$67,$A18)*(1+Constants!$B$7)</f>
        <v>0</v>
      </c>
      <c r="G18" s="74"/>
      <c r="H18" s="78"/>
      <c r="I18" s="76"/>
      <c r="J18" s="79"/>
      <c r="K18" s="80"/>
      <c r="L18" s="77" t="s">
        <v>60</v>
      </c>
      <c r="M18" s="76" t="str">
        <f>IF(I17-Constants!I17*$B$7&gt;0,$I$17-Constants!I17*$B$7,"-")</f>
        <v>-</v>
      </c>
      <c r="N18" s="17"/>
      <c r="O18" s="17"/>
      <c r="P18" s="17"/>
      <c r="Q18" s="17"/>
      <c r="R18" s="16"/>
      <c r="S18" s="17"/>
      <c r="T18" s="17"/>
      <c r="U18" s="17"/>
      <c r="V18" s="17"/>
      <c r="W18" s="17"/>
      <c r="X18" s="17"/>
      <c r="Y18" s="17"/>
      <c r="Z18" s="17"/>
      <c r="AA18" s="17"/>
      <c r="AB18" s="17"/>
      <c r="AC18" s="17"/>
      <c r="AD18" s="17"/>
      <c r="AE18" s="17"/>
    </row>
    <row r="19" spans="1:36">
      <c r="A19" s="74" t="str">
        <f>Constants!E9</f>
        <v>RT</v>
      </c>
      <c r="B19" s="16">
        <f>SUMIFS(MSG!$F$55:$F$67,MSG!$B$55:$B$67, B$15,MSG!$H$55:$H$67,$A19)</f>
        <v>0</v>
      </c>
      <c r="C19" s="16">
        <f>SUMIFS(MSG!$F$55:$F$67,MSG!$B$55:$B$67, C$15,MSG!$H$55:$H$67,$A19)</f>
        <v>0</v>
      </c>
      <c r="D19" s="16">
        <f>SUMIFS(MSG!$F$55:$F$67,MSG!$B$55:$B$67, D$15,MSG!$H$55:$H$67,$A19)</f>
        <v>0</v>
      </c>
      <c r="E19" s="16">
        <f>SUMIFS(MSG!$F$55:$F$67,MSG!$B$55:$B$67, E$15,MSG!$H$55:$H$67,$A19)</f>
        <v>90</v>
      </c>
      <c r="F19" s="16">
        <f>SUMIFS(MSG!$F$55:$F$67,MSG!$B$55:$B$67, F$15,MSG!$H$55:$H$67,$A19)</f>
        <v>0</v>
      </c>
      <c r="G19" s="74" t="s">
        <v>396</v>
      </c>
      <c r="H19" s="78"/>
      <c r="I19" s="76">
        <f>IF(B7*Constants!I17&lt;I17,B7*Constants!I17,I17)</f>
        <v>1466.6</v>
      </c>
      <c r="J19" s="79"/>
      <c r="K19" s="80"/>
      <c r="L19" s="77" t="s">
        <v>431</v>
      </c>
      <c r="M19" s="255">
        <f ca="1">Constants!C31*B7+Data!L23</f>
        <v>3325.8472322623002</v>
      </c>
      <c r="N19" s="17"/>
      <c r="O19" s="17"/>
      <c r="P19" s="17"/>
      <c r="Q19" s="17"/>
      <c r="R19" s="16"/>
      <c r="S19" s="17"/>
      <c r="T19" s="17"/>
      <c r="U19" s="17"/>
      <c r="V19" s="17"/>
      <c r="W19" s="17"/>
      <c r="X19" s="17"/>
      <c r="Y19" s="17"/>
      <c r="Z19" s="17"/>
      <c r="AA19" s="17"/>
      <c r="AB19" s="17"/>
      <c r="AC19" s="17"/>
      <c r="AD19" s="17"/>
      <c r="AE19" s="17"/>
    </row>
    <row r="20" spans="1:36">
      <c r="A20" s="74" t="str">
        <f>Constants!E10</f>
        <v>Extern</v>
      </c>
      <c r="B20" s="16">
        <f>SUMIFS(MSG!$F$55:$F$67,MSG!$B$55:$B$67, B$15,MSG!$H$55:$H$67,$A20)</f>
        <v>0</v>
      </c>
      <c r="C20" s="16">
        <f>SUMIFS(MSG!$F$55:$F$67,MSG!$B$55:$B$67, C$15,MSG!$H$55:$H$67,$A20)</f>
        <v>0</v>
      </c>
      <c r="D20" s="16">
        <f>SUMIFS(MSG!$F$55:$F$67,MSG!$B$55:$B$67, D$15,MSG!$H$55:$H$67,$A20)</f>
        <v>20</v>
      </c>
      <c r="E20" s="16">
        <f>SUMIFS(MSG!$F$55:$F$67,MSG!$B$55:$B$67, E$15,MSG!$H$55:$H$67,$A20)</f>
        <v>0</v>
      </c>
      <c r="F20" s="16">
        <f>SUMIFS(MSG!$F$55:$F$67,MSG!$B$55:$B$67, F$15,MSG!$H$55:$H$67,$A20)</f>
        <v>0</v>
      </c>
      <c r="G20" s="81"/>
      <c r="H20" s="16"/>
      <c r="I20" s="75"/>
      <c r="J20" s="79"/>
      <c r="K20" s="82"/>
      <c r="L20" s="83"/>
      <c r="M20" s="84"/>
      <c r="N20" s="17"/>
      <c r="O20" s="17"/>
      <c r="P20" s="17"/>
      <c r="Q20" s="17"/>
      <c r="R20" s="16"/>
      <c r="S20" s="17"/>
      <c r="T20" s="17"/>
      <c r="U20" s="17"/>
      <c r="V20" s="17"/>
      <c r="W20" s="17"/>
      <c r="X20" s="17"/>
      <c r="Y20" s="17"/>
      <c r="Z20" s="17"/>
      <c r="AA20" s="17"/>
      <c r="AB20" s="17"/>
      <c r="AC20" s="17"/>
      <c r="AD20" s="17"/>
      <c r="AE20" s="17"/>
    </row>
    <row r="21" spans="1:36">
      <c r="A21" s="74" t="str">
        <f>CONCATENATE(A18," Costs")</f>
        <v>PT-ZZP Costs</v>
      </c>
      <c r="B21" s="78">
        <f t="array" ref="B21">SUM(IF(MSG!$B$55:$B$67=B$15,IF(MSG!$H$55:$H$67="PT-ZZP",MSG!$F$55:$F$67*MSG!$I$55:$I$67*(1+Constants!$B$7),0),0))</f>
        <v>0</v>
      </c>
      <c r="C21" s="78">
        <f t="array" ref="C21">SUM(IF(MSG!$B$55:$B$67=C$15,IF(MSG!$H$55:$H$67="PT-ZZP",MSG!$F$55:$F$67*MSG!$I$55:$I$67,0),0))</f>
        <v>0</v>
      </c>
      <c r="D21" s="78">
        <f t="array" ref="D21">SUM(IF(MSG!$B$55:$B$67=D$15,IF(MSG!$H$55:$H$67="PT-ZZP",MSG!$F$55:$F$67*MSG!$I$55:$I$67*(1+Constants!$B$7),0),0))</f>
        <v>0</v>
      </c>
      <c r="E21" s="78">
        <f t="array" ref="E21">SUM(IF(MSG!$B$55:$B$67=E$15,IF(MSG!$H$55:$H$67="PT-ZZP",MSG!$F$55:$F$67*MSG!$I$55:$I$67*(1+Constants!$B$7),0),0))</f>
        <v>0</v>
      </c>
      <c r="F21" s="78">
        <f t="array" ref="F21">SUM(IF(MSG!$B$55:$B$67=F$15,IF(MSG!$H$55:$H$67="PT-ZZP",MSG!$F$55:$F$67*MSG!$I$55:$I$67*(1+Constants!$B$7),0),0))</f>
        <v>0</v>
      </c>
      <c r="G21" s="81"/>
      <c r="H21" s="16"/>
      <c r="I21" s="75"/>
      <c r="J21" s="79"/>
      <c r="K21" s="82"/>
      <c r="L21" s="77" t="s">
        <v>5</v>
      </c>
      <c r="M21" s="76">
        <f ca="1">SUM(M15:M20)</f>
        <v>4928.8472322623002</v>
      </c>
      <c r="N21" s="17"/>
      <c r="O21" s="17"/>
      <c r="P21" s="17"/>
      <c r="Q21" s="17"/>
      <c r="R21" s="16"/>
      <c r="S21" s="17"/>
      <c r="T21" s="17"/>
      <c r="U21" s="17"/>
      <c r="V21" s="17"/>
      <c r="W21" s="17"/>
      <c r="X21" s="17"/>
      <c r="Y21" s="17"/>
      <c r="Z21" s="17"/>
      <c r="AA21" s="17"/>
      <c r="AB21" s="17"/>
      <c r="AC21" s="17"/>
      <c r="AD21" s="17"/>
      <c r="AE21" s="17"/>
    </row>
    <row r="22" spans="1:36" ht="15.75" customHeight="1">
      <c r="A22" s="74" t="str">
        <f>CONCATENATE(A20," Costs")</f>
        <v>Extern Costs</v>
      </c>
      <c r="B22" s="78">
        <f t="array" ref="B22">SUM(IF(MSG!$B$55:$B$67=B$15,IF(MSG!$H$55:$H$67="Extern",MSG!$F$55:$F$67*MSG!$I$55:$I$67,0),0))</f>
        <v>0</v>
      </c>
      <c r="C22" s="78">
        <f t="array" ref="C22">SUM(IF(MSG!$B$55:$B$67=C$15,IF(MSG!$H$55:$H$67="Extern",MSG!$F$55:$F$67*MSG!$I$55:$I$67,0),0))</f>
        <v>0</v>
      </c>
      <c r="D22" s="78">
        <f t="array" ref="D22">SUM(IF(MSG!$B$55:$B$67=D$15,IF(MSG!$H$55:$H$67="Extern",MSG!$F$55:$F$67*MSG!$I$55:$I$67,0),0))</f>
        <v>490</v>
      </c>
      <c r="E22" s="78">
        <f t="array" ref="E22">SUM(IF(MSG!$B$55:$B$67=E$15,IF(MSG!$H$55:$H$67="Extern",MSG!$F$55:$F$67*MSG!$I$55:$I$67,0),0))</f>
        <v>0</v>
      </c>
      <c r="F22" s="76">
        <f t="array" ref="F22">SUM(IF(MSG!$B$55:$B$67=F$15,IF(MSG!$H$55:$H$67="Extern",MSG!$F$55:$F$67*MSG!$I$55:$I$67,0),0))</f>
        <v>0</v>
      </c>
      <c r="G22" s="85"/>
      <c r="H22" s="177"/>
      <c r="I22" s="86"/>
      <c r="J22" s="87"/>
      <c r="K22" s="88"/>
      <c r="L22" s="87"/>
      <c r="M22" s="88"/>
      <c r="N22" s="17"/>
      <c r="O22" s="17"/>
      <c r="P22" s="17"/>
      <c r="Q22" s="17"/>
      <c r="R22" s="16"/>
      <c r="S22" s="17"/>
      <c r="T22" s="17"/>
      <c r="U22" s="17"/>
      <c r="V22" s="17"/>
      <c r="W22" s="17"/>
      <c r="X22" s="17"/>
      <c r="Y22" s="17"/>
      <c r="Z22" s="17"/>
      <c r="AA22" s="17"/>
      <c r="AB22" s="17"/>
      <c r="AC22" s="17"/>
      <c r="AD22" s="17"/>
      <c r="AE22" s="17"/>
    </row>
    <row r="23" spans="1:36" ht="15" customHeight="1">
      <c r="A23" s="74" t="s">
        <v>432</v>
      </c>
      <c r="B23" s="78"/>
      <c r="C23" s="78"/>
      <c r="D23" s="78"/>
      <c r="E23" s="78"/>
      <c r="F23" s="76">
        <f t="array" ref="F23">SUMIFS(MSG!$F$55:$F$67,MSG!$B$55:$B$67,"Mentorship",MSG!$H$55:$H$67,"PT-V")*Constants!B8+SUMIFS(MSG!$F$55:$F$67,MSG!$B$55:$B$67,"Mentorship",MSG!$H$55:$H$67,"PT")*Constants!B6+SUMPRODUCT(IF(MSG!$B$55:$B$67="Mentorship",IF(MSG!$H$55:$H$67="PT-ZZP",MSG!$F$55:$F$67*MSG!$I$55:$I$67,0)))</f>
        <v>0</v>
      </c>
    </row>
    <row r="24" spans="1:36" ht="15" customHeight="1">
      <c r="A24" s="89" t="s">
        <v>433</v>
      </c>
      <c r="B24" s="178"/>
      <c r="C24" s="178"/>
      <c r="D24" s="178"/>
      <c r="E24" s="178">
        <f>SUMIF(MSG!$B$55:$B$67,"External Trainer Course",MSG!$I$55:$I$67)</f>
        <v>0</v>
      </c>
      <c r="F24" s="90"/>
    </row>
    <row r="25" spans="1:36" ht="15.75" customHeight="1">
      <c r="A25" s="16"/>
      <c r="B25" s="16"/>
      <c r="C25" s="16"/>
      <c r="D25" s="16"/>
      <c r="E25" s="17"/>
      <c r="F25" s="17"/>
      <c r="G25" s="17"/>
      <c r="H25" s="17"/>
      <c r="I25" s="17"/>
      <c r="J25" s="17"/>
      <c r="K25" s="17"/>
      <c r="L25" s="17"/>
      <c r="M25" s="17"/>
      <c r="N25" s="17"/>
      <c r="O25" s="17"/>
      <c r="P25" s="17"/>
      <c r="Q25" s="16"/>
      <c r="R25" s="17"/>
      <c r="S25" s="17"/>
      <c r="T25" s="17"/>
      <c r="U25" s="17"/>
      <c r="V25" s="17"/>
      <c r="W25" s="17"/>
      <c r="X25" s="17"/>
      <c r="Y25" s="17"/>
      <c r="Z25" s="17"/>
      <c r="AA25" s="17"/>
      <c r="AB25" s="17"/>
      <c r="AC25" s="17"/>
      <c r="AD25" s="17"/>
    </row>
    <row r="26" spans="1:36" ht="15.75" customHeight="1">
      <c r="A26" s="16"/>
      <c r="B26" s="16"/>
      <c r="C26" s="16"/>
      <c r="D26" s="16"/>
      <c r="E26" s="17"/>
      <c r="F26" s="17"/>
      <c r="G26" s="17"/>
      <c r="H26" s="17"/>
      <c r="I26" s="17"/>
      <c r="J26" s="17"/>
      <c r="K26" s="17"/>
      <c r="L26" s="17"/>
      <c r="M26" s="17"/>
      <c r="N26" s="17"/>
      <c r="O26" s="17"/>
      <c r="P26" s="17"/>
      <c r="Q26" s="16"/>
      <c r="R26" s="17"/>
      <c r="S26" s="17"/>
      <c r="T26" s="17"/>
      <c r="U26" s="17"/>
      <c r="V26" s="17"/>
      <c r="W26" s="17"/>
      <c r="X26" s="17"/>
      <c r="Y26" s="17"/>
      <c r="Z26" s="17"/>
      <c r="AA26" s="17"/>
      <c r="AB26" s="17"/>
      <c r="AC26" s="17"/>
      <c r="AD26" s="17"/>
    </row>
    <row r="27" spans="1:36" ht="15.75" customHeight="1" thickBot="1">
      <c r="A27" s="91" t="s">
        <v>434</v>
      </c>
      <c r="B27" s="17"/>
      <c r="C27" s="17"/>
      <c r="D27" s="17"/>
      <c r="E27" s="17"/>
      <c r="F27" s="17"/>
      <c r="G27" s="92"/>
      <c r="H27" s="19"/>
      <c r="I27" s="17"/>
      <c r="J27" s="17"/>
      <c r="K27" s="17"/>
      <c r="L27" s="17"/>
      <c r="M27" s="17"/>
      <c r="N27" s="17"/>
      <c r="O27" s="17"/>
      <c r="P27" s="17"/>
      <c r="Q27" s="16"/>
      <c r="R27" s="17"/>
      <c r="S27" s="17"/>
      <c r="T27" s="17"/>
      <c r="U27" s="17"/>
      <c r="V27" s="17"/>
      <c r="W27" s="17"/>
      <c r="X27" s="17"/>
      <c r="Y27" s="17"/>
      <c r="Z27" s="17"/>
      <c r="AA27" s="17"/>
      <c r="AB27" s="17"/>
      <c r="AC27" s="17"/>
      <c r="AD27" s="17"/>
    </row>
    <row r="28" spans="1:36" ht="15.75" customHeight="1" thickTop="1" thickBot="1">
      <c r="A28" s="706" t="s">
        <v>435</v>
      </c>
      <c r="B28" s="707"/>
      <c r="C28" s="707"/>
      <c r="D28" s="707"/>
      <c r="E28" s="707"/>
      <c r="F28" s="708"/>
      <c r="G28" s="15"/>
      <c r="H28" s="17"/>
      <c r="I28" s="17"/>
      <c r="J28" s="17"/>
      <c r="K28" s="17"/>
      <c r="L28" s="17"/>
      <c r="M28" s="17"/>
      <c r="N28" s="17"/>
      <c r="O28" s="17"/>
      <c r="P28" s="17"/>
      <c r="Q28" s="16"/>
      <c r="R28" s="17"/>
      <c r="S28" s="17"/>
      <c r="T28" s="17"/>
      <c r="U28" s="17"/>
      <c r="V28" s="17"/>
      <c r="W28" s="17"/>
      <c r="X28" s="17"/>
      <c r="Y28" s="17"/>
      <c r="Z28" s="17"/>
      <c r="AA28" s="17"/>
      <c r="AB28" s="17"/>
      <c r="AC28" s="17"/>
      <c r="AD28" s="242" t="s">
        <v>436</v>
      </c>
      <c r="AE28" s="16"/>
      <c r="AF28" s="128"/>
      <c r="AG28" s="51"/>
      <c r="AH28" s="51"/>
      <c r="AI28" s="51"/>
      <c r="AJ28" s="51"/>
    </row>
    <row r="29" spans="1:36" ht="15.75" customHeight="1" thickBot="1">
      <c r="A29" s="709" t="s">
        <v>437</v>
      </c>
      <c r="B29" s="696"/>
      <c r="C29" s="696"/>
      <c r="D29" s="696"/>
      <c r="E29" s="696"/>
      <c r="F29" s="710"/>
      <c r="G29" s="17"/>
      <c r="H29" s="17"/>
      <c r="I29" s="17"/>
      <c r="J29" s="17"/>
      <c r="K29" s="17"/>
      <c r="L29" s="17"/>
      <c r="M29" s="17"/>
      <c r="N29" s="17"/>
      <c r="O29" s="17"/>
      <c r="P29" s="17"/>
      <c r="Q29" s="16"/>
      <c r="R29" s="17"/>
      <c r="S29" s="17"/>
      <c r="T29" s="17"/>
      <c r="U29" s="17"/>
      <c r="V29" s="17"/>
      <c r="W29" s="17"/>
      <c r="X29" s="17"/>
      <c r="Y29" s="17"/>
      <c r="Z29" s="17"/>
      <c r="AA29" s="17"/>
      <c r="AB29" s="17"/>
      <c r="AC29" s="17"/>
      <c r="AD29" s="243" t="s">
        <v>438</v>
      </c>
      <c r="AE29" s="243" t="s">
        <v>439</v>
      </c>
      <c r="AF29" s="243" t="s">
        <v>440</v>
      </c>
      <c r="AG29" s="711" t="s">
        <v>441</v>
      </c>
      <c r="AH29" s="712"/>
      <c r="AI29" s="711" t="s">
        <v>434</v>
      </c>
      <c r="AJ29" s="712"/>
    </row>
    <row r="30" spans="1:36" ht="15.75" customHeight="1" thickBot="1">
      <c r="A30" s="709" t="s">
        <v>442</v>
      </c>
      <c r="B30" s="696"/>
      <c r="C30" s="696"/>
      <c r="D30" s="696"/>
      <c r="E30" s="696"/>
      <c r="F30" s="710"/>
      <c r="G30" s="17"/>
      <c r="H30" s="17"/>
      <c r="I30" s="17"/>
      <c r="J30" s="17"/>
      <c r="K30" s="17"/>
      <c r="L30" s="17"/>
      <c r="M30" s="17"/>
      <c r="N30" s="17"/>
      <c r="O30" s="17"/>
      <c r="P30" s="17"/>
      <c r="Q30" s="16"/>
      <c r="R30" s="17"/>
      <c r="S30" s="17"/>
      <c r="T30" s="17"/>
      <c r="U30" s="17"/>
      <c r="V30" s="17"/>
      <c r="W30" s="17"/>
      <c r="X30" s="17"/>
      <c r="Y30" s="17"/>
      <c r="Z30" s="17"/>
      <c r="AA30" s="17"/>
      <c r="AB30" s="17"/>
      <c r="AC30" s="17"/>
      <c r="AD30" s="244" t="str">
        <f>IF($B$12="individual",Constants!F55,Constants!L55)</f>
        <v>member count</v>
      </c>
      <c r="AE30" s="244">
        <f>B7</f>
        <v>69</v>
      </c>
      <c r="AF30" s="269">
        <f>IF(AE30&gt;=301,5,IF(AE30&gt;=176,4,IF(AE30&gt;=101,3,IF(AE30&gt;=51,2,1))))</f>
        <v>2</v>
      </c>
      <c r="AG30" s="560" t="s">
        <v>1369</v>
      </c>
      <c r="AH30" s="560"/>
      <c r="AI30" s="560" t="s">
        <v>443</v>
      </c>
      <c r="AJ30" s="560"/>
    </row>
    <row r="31" spans="1:36" ht="15" customHeight="1" thickBot="1">
      <c r="A31" s="709" t="s">
        <v>444</v>
      </c>
      <c r="B31" s="696"/>
      <c r="C31" s="696"/>
      <c r="D31" s="696"/>
      <c r="E31" s="696"/>
      <c r="F31" s="710"/>
      <c r="G31" s="17"/>
      <c r="H31" s="17"/>
      <c r="I31" s="17"/>
      <c r="J31" s="17"/>
      <c r="K31" s="17"/>
      <c r="L31" s="17"/>
      <c r="M31" s="17"/>
      <c r="N31" s="17"/>
      <c r="O31" s="17"/>
      <c r="P31" s="17"/>
      <c r="Q31" s="16"/>
      <c r="R31" s="17"/>
      <c r="S31" s="17"/>
      <c r="T31" s="17"/>
      <c r="U31" s="17"/>
      <c r="V31" s="17"/>
      <c r="W31" s="17"/>
      <c r="X31" s="17"/>
      <c r="Y31" s="17"/>
      <c r="Z31" s="17"/>
      <c r="AA31" s="17"/>
      <c r="AB31" s="17"/>
      <c r="AC31" s="17"/>
      <c r="AD31" s="244" t="str">
        <f>IF($B$12="individual",Constants!F56,Constants!L56)</f>
        <v>number of trainings per week</v>
      </c>
      <c r="AE31" s="244" cm="1">
        <f t="array" ref="AE31">SUMPRODUCT(C55:C67*D55:D67)/42</f>
        <v>1.5476190476190477</v>
      </c>
      <c r="AF31" s="270">
        <f>IF(AE31&gt;=4,3,IF(AE31&gt;=3,2,IF(AE31&gt;=2,1,0)))</f>
        <v>0</v>
      </c>
      <c r="AG31" s="560"/>
      <c r="AH31" s="560"/>
      <c r="AI31" s="560"/>
      <c r="AJ31" s="560"/>
    </row>
    <row r="32" spans="1:36" ht="15.75" customHeight="1" thickBot="1">
      <c r="A32" s="709" t="s">
        <v>445</v>
      </c>
      <c r="B32" s="696"/>
      <c r="C32" s="696"/>
      <c r="D32" s="696"/>
      <c r="E32" s="696"/>
      <c r="F32" s="710"/>
      <c r="G32" s="17"/>
      <c r="H32" s="16"/>
      <c r="I32" s="16"/>
      <c r="J32" s="16"/>
      <c r="K32" s="17"/>
      <c r="L32" s="17"/>
      <c r="M32" s="17"/>
      <c r="N32" s="17"/>
      <c r="O32" s="17"/>
      <c r="P32" s="17"/>
      <c r="Q32" s="16"/>
      <c r="R32" s="17"/>
      <c r="S32" s="17"/>
      <c r="T32" s="17"/>
      <c r="U32" s="17"/>
      <c r="V32" s="17"/>
      <c r="W32" s="17"/>
      <c r="X32" s="17"/>
      <c r="Y32" s="17"/>
      <c r="Z32" s="17"/>
      <c r="AA32" s="17"/>
      <c r="AB32" s="17"/>
      <c r="AC32" s="17"/>
      <c r="AD32" s="244" t="str">
        <f>IF($B$12="individual",Constants!F57,Constants!L57)</f>
        <v>number of trainings weeks per year</v>
      </c>
      <c r="AE32" s="252">
        <f>MAX(C55:C67)</f>
        <v>40</v>
      </c>
      <c r="AF32" s="250">
        <f>IF(AE32&gt;=40,3,IF(AE32&gt;=35,2,1))</f>
        <v>3</v>
      </c>
      <c r="AG32" s="560"/>
      <c r="AH32" s="560"/>
      <c r="AI32" s="560"/>
      <c r="AJ32" s="560"/>
    </row>
    <row r="33" spans="1:58" ht="15.75" customHeight="1" thickBot="1">
      <c r="A33" s="93" t="s">
        <v>446</v>
      </c>
      <c r="F33" s="94"/>
      <c r="G33" s="17"/>
      <c r="H33" s="16"/>
      <c r="I33" s="16"/>
      <c r="J33" s="16"/>
      <c r="K33" s="17"/>
      <c r="L33" s="17"/>
      <c r="M33" s="17"/>
      <c r="N33" s="17"/>
      <c r="O33" s="17"/>
      <c r="P33" s="17"/>
      <c r="Q33" s="16"/>
      <c r="R33" s="17"/>
      <c r="S33" s="17"/>
      <c r="T33" s="17"/>
      <c r="U33" s="17"/>
      <c r="V33" s="17"/>
      <c r="W33" s="17"/>
      <c r="X33" s="17"/>
      <c r="Y33" s="17"/>
      <c r="Z33" s="17"/>
      <c r="AA33" s="17"/>
      <c r="AB33" s="17"/>
      <c r="AC33" s="17"/>
      <c r="AD33" s="244" t="str">
        <f>IF($B$12="individual",Constants!F58,Constants!L58)</f>
        <v>number of training hours by RT / PT-V</v>
      </c>
      <c r="AE33" s="251">
        <f>(SUMIF(H55:H67,"RT",F55:F67)+SUMIF(H55:H67,"PT-V",F55:F67))/SUM(F55:F67)</f>
        <v>0.81818181818181823</v>
      </c>
      <c r="AF33" s="270">
        <f>IF(AE33&gt;0.9,3,IF(AE33&gt;0.6,2,IF(AE33&gt;0.3,1,0)))</f>
        <v>2</v>
      </c>
      <c r="AG33" s="560"/>
      <c r="AH33" s="560"/>
      <c r="AI33" s="560"/>
      <c r="AJ33" s="560"/>
    </row>
    <row r="34" spans="1:58" ht="15.75" customHeight="1" thickBot="1">
      <c r="A34" s="713" t="s">
        <v>447</v>
      </c>
      <c r="B34" s="714"/>
      <c r="C34" s="714"/>
      <c r="D34" s="714"/>
      <c r="E34" s="714"/>
      <c r="F34" s="715"/>
      <c r="G34" s="17"/>
      <c r="H34" s="16"/>
      <c r="I34" s="16"/>
      <c r="J34" s="16"/>
      <c r="K34" s="17"/>
      <c r="L34" s="17"/>
      <c r="M34" s="17"/>
      <c r="N34" s="17"/>
      <c r="O34" s="17"/>
      <c r="P34" s="17"/>
      <c r="Q34" s="16"/>
      <c r="R34" s="17"/>
      <c r="S34" s="17"/>
      <c r="T34" s="17"/>
      <c r="U34" s="17"/>
      <c r="V34" s="17"/>
      <c r="W34" s="17"/>
      <c r="X34" s="17"/>
      <c r="Y34" s="17"/>
      <c r="Z34" s="17"/>
      <c r="AA34" s="17"/>
      <c r="AB34" s="17"/>
      <c r="AC34" s="17"/>
      <c r="AD34" s="244" t="str">
        <f>IF($B$12="individual",Constants!F59,Constants!L59)</f>
        <v>number of training groups / teams</v>
      </c>
      <c r="AE34" s="244">
        <f>B10</f>
        <v>1</v>
      </c>
      <c r="AF34" s="271">
        <f>IF(AE34&gt;9,3,IF(AE34&gt;4,2,IF(AE34&gt;2,1,0)))</f>
        <v>0</v>
      </c>
      <c r="AG34" s="560"/>
      <c r="AH34" s="560"/>
      <c r="AI34" s="560"/>
      <c r="AJ34" s="560"/>
    </row>
    <row r="35" spans="1:58" ht="15.75" customHeight="1" thickTop="1" thickBot="1">
      <c r="A35" s="16"/>
      <c r="G35" s="17"/>
      <c r="H35" s="16"/>
      <c r="I35" s="16"/>
      <c r="J35" s="16"/>
      <c r="K35" s="17"/>
      <c r="L35" s="17"/>
      <c r="M35" s="17"/>
      <c r="N35" s="17"/>
      <c r="O35" s="17"/>
      <c r="P35" s="17"/>
      <c r="Q35" s="16"/>
      <c r="R35" s="17"/>
      <c r="S35" s="17"/>
      <c r="T35" s="17"/>
      <c r="U35" s="17"/>
      <c r="V35" s="17"/>
      <c r="W35" s="17"/>
      <c r="X35" s="17"/>
      <c r="Y35" s="17"/>
      <c r="Z35" s="17"/>
      <c r="AA35" s="17"/>
      <c r="AB35" s="17"/>
      <c r="AC35" s="17"/>
      <c r="AD35" s="244" t="str">
        <f>IF($B$12="individual",Constants!F60,Constants!L60)</f>
        <v>number of competitions organised</v>
      </c>
      <c r="AE35" s="249">
        <v>0</v>
      </c>
      <c r="AF35" s="271">
        <f>IF(AE35&gt;=4,5,IF(AE35&gt;=2,3,IF(AE35&gt;=1,1,0)))</f>
        <v>0</v>
      </c>
      <c r="AG35" s="560"/>
      <c r="AH35" s="560"/>
      <c r="AI35" s="560"/>
      <c r="AJ35" s="560"/>
    </row>
    <row r="36" spans="1:58" ht="15.75" customHeight="1" thickBot="1">
      <c r="A36" s="179" t="s">
        <v>448</v>
      </c>
      <c r="B36" s="16"/>
      <c r="C36" s="16"/>
      <c r="D36" s="16"/>
      <c r="E36" s="16"/>
      <c r="F36" s="16"/>
      <c r="G36" s="16"/>
      <c r="H36" s="16"/>
      <c r="I36" s="16"/>
      <c r="J36" s="16"/>
      <c r="K36" s="16"/>
      <c r="L36" s="16"/>
      <c r="M36" s="16"/>
      <c r="N36" s="16"/>
      <c r="O36" s="16"/>
      <c r="P36" s="16"/>
      <c r="Q36" s="16"/>
      <c r="R36" s="16"/>
      <c r="S36" s="16"/>
      <c r="T36" s="16"/>
      <c r="U36" s="16"/>
      <c r="V36" s="16"/>
      <c r="W36" s="16"/>
      <c r="X36" s="16"/>
      <c r="Y36" s="16"/>
      <c r="Z36" s="16"/>
      <c r="AA36" s="16"/>
      <c r="AB36" s="18"/>
      <c r="AC36" s="16"/>
      <c r="AD36" s="244" t="str">
        <f>IF($B$12="individual",Constants!F61,Constants!L61)</f>
        <v>number of social activities</v>
      </c>
      <c r="AE36" s="249">
        <v>20</v>
      </c>
      <c r="AF36" s="271">
        <f>IF(AE36&gt;=20,2,IF(AE36&gt;=10,1,0))</f>
        <v>2</v>
      </c>
      <c r="AG36" s="560"/>
      <c r="AH36" s="560"/>
      <c r="AI36" s="560"/>
      <c r="AJ36" s="560"/>
    </row>
    <row r="37" spans="1:58" ht="15" customHeight="1" thickTop="1" thickBot="1">
      <c r="A37" s="258" t="s">
        <v>449</v>
      </c>
      <c r="B37" s="259" t="s">
        <v>450</v>
      </c>
      <c r="C37" s="258" t="s">
        <v>451</v>
      </c>
      <c r="D37" s="258" t="s">
        <v>452</v>
      </c>
      <c r="E37" s="258" t="s">
        <v>453</v>
      </c>
      <c r="F37" s="258" t="s">
        <v>454</v>
      </c>
      <c r="G37" s="259" t="s">
        <v>455</v>
      </c>
      <c r="H37" s="561" t="s">
        <v>456</v>
      </c>
      <c r="I37" s="716"/>
      <c r="J37" s="717"/>
      <c r="K37" s="98"/>
      <c r="L37" s="98"/>
      <c r="M37" s="98"/>
      <c r="N37" s="98"/>
      <c r="O37" s="98"/>
      <c r="P37" s="98"/>
      <c r="Q37" s="98"/>
      <c r="R37" s="98"/>
      <c r="S37" s="98"/>
      <c r="T37" s="98"/>
      <c r="U37" s="96"/>
      <c r="V37" s="96"/>
      <c r="W37" s="96"/>
      <c r="X37" s="96"/>
      <c r="Y37" s="99"/>
      <c r="Z37" s="96"/>
      <c r="AA37" s="96"/>
      <c r="AB37" s="100"/>
      <c r="AC37" s="100"/>
      <c r="AD37" s="244" t="str">
        <f>IF($B$12="individual",Constants!F62,Constants!L62)</f>
        <v>number of bar days</v>
      </c>
      <c r="AE37" s="249">
        <v>6</v>
      </c>
      <c r="AF37" s="271">
        <f>IF(AE37&gt;=15,2,IF(AE37&gt;=8,1,0))</f>
        <v>0</v>
      </c>
      <c r="AG37" s="560"/>
      <c r="AH37" s="560"/>
      <c r="AI37" s="560"/>
      <c r="AJ37" s="560"/>
      <c r="AK37" s="100"/>
      <c r="AL37" s="100"/>
      <c r="AM37" s="100"/>
      <c r="AN37" s="100"/>
      <c r="AO37" s="100"/>
      <c r="AP37" s="100"/>
      <c r="AQ37" s="100"/>
      <c r="AR37" s="100"/>
      <c r="AS37" s="100"/>
      <c r="AT37" s="100"/>
      <c r="AU37" s="100"/>
      <c r="AV37" s="100"/>
      <c r="AW37" s="100"/>
      <c r="AX37" s="100"/>
      <c r="AY37" s="100"/>
      <c r="AZ37" s="100"/>
      <c r="BA37" s="100"/>
      <c r="BB37" s="100"/>
      <c r="BC37" s="100"/>
      <c r="BD37" s="100"/>
      <c r="BE37" s="100"/>
      <c r="BF37" s="100"/>
    </row>
    <row r="38" spans="1:58" ht="14.25" customHeight="1" thickTop="1" thickBot="1">
      <c r="A38" s="312" t="s">
        <v>1370</v>
      </c>
      <c r="B38" s="232">
        <v>54</v>
      </c>
      <c r="C38" s="312">
        <v>1</v>
      </c>
      <c r="D38" s="313">
        <v>42</v>
      </c>
      <c r="E38" s="312" t="s">
        <v>289</v>
      </c>
      <c r="F38" s="324" t="s">
        <v>1371</v>
      </c>
      <c r="G38" s="323"/>
      <c r="H38" s="618"/>
      <c r="I38" s="741"/>
      <c r="J38" s="742"/>
      <c r="K38" s="16"/>
      <c r="L38" s="16"/>
      <c r="M38" s="16"/>
      <c r="N38" s="16"/>
      <c r="O38" s="16"/>
      <c r="P38" s="16"/>
      <c r="Q38" s="16"/>
      <c r="R38" s="16"/>
      <c r="S38" s="16"/>
      <c r="T38" s="16"/>
      <c r="U38" s="16"/>
      <c r="V38" s="16"/>
      <c r="W38" s="16"/>
      <c r="X38" s="16"/>
      <c r="Y38" s="17"/>
      <c r="Z38" s="16"/>
      <c r="AA38" s="16"/>
      <c r="AD38" s="244" t="str">
        <f>IF($B$12="individual",Constants!F63,Constants!L63)</f>
        <v>own bar / extra location</v>
      </c>
      <c r="AE38" s="249">
        <v>1</v>
      </c>
      <c r="AF38" s="271">
        <f>IF(AE38&gt;=2,2,IF(AE38&gt;=1,1,0))</f>
        <v>1</v>
      </c>
      <c r="AG38" s="560"/>
      <c r="AH38" s="560"/>
      <c r="AI38" s="560"/>
      <c r="AJ38" s="560"/>
    </row>
    <row r="39" spans="1:58" ht="14.25" customHeight="1" thickBot="1">
      <c r="A39" s="312"/>
      <c r="B39" s="232"/>
      <c r="C39" s="269"/>
      <c r="D39" s="313"/>
      <c r="E39" s="245"/>
      <c r="F39" s="261"/>
      <c r="G39" s="325"/>
      <c r="H39" s="743"/>
      <c r="I39" s="744"/>
      <c r="J39" s="745"/>
      <c r="K39" s="16"/>
      <c r="L39" s="16"/>
      <c r="M39" s="16"/>
      <c r="N39" s="16"/>
      <c r="O39" s="16"/>
      <c r="P39" s="16"/>
      <c r="Q39" s="16"/>
      <c r="R39" s="16"/>
      <c r="S39" s="16"/>
      <c r="T39" s="16"/>
      <c r="U39" s="16"/>
      <c r="V39" s="16"/>
      <c r="W39" s="16"/>
      <c r="X39" s="16"/>
      <c r="Y39" s="17"/>
      <c r="Z39" s="16"/>
      <c r="AA39" s="16"/>
      <c r="AD39" s="244" t="str">
        <f>IF($B$12="individual",Constants!F65,Constants!L64)</f>
        <v>number of competitions attended</v>
      </c>
      <c r="AE39" s="249">
        <v>0</v>
      </c>
      <c r="AF39" s="273">
        <f>IF(B12="individual", IF(AE39&gt;10, 5, IF(AE39&gt;6, 3, IF(AE39&gt;2, 1, 0))), IF(AE39&gt;3, 3, IF(AE39&gt;1, 2, 1)))</f>
        <v>0</v>
      </c>
      <c r="AG39" s="560"/>
      <c r="AH39" s="560"/>
      <c r="AI39" s="560"/>
      <c r="AJ39" s="560"/>
    </row>
    <row r="40" spans="1:58" ht="15.75" customHeight="1" thickBot="1">
      <c r="A40" s="231"/>
      <c r="B40" s="232"/>
      <c r="C40" s="231"/>
      <c r="D40" s="232"/>
      <c r="E40" s="245"/>
      <c r="F40" s="261"/>
      <c r="G40" s="231"/>
      <c r="H40" s="743"/>
      <c r="I40" s="744"/>
      <c r="J40" s="745"/>
      <c r="K40" s="16"/>
      <c r="L40" s="16"/>
      <c r="M40" s="16"/>
      <c r="N40" s="16"/>
      <c r="O40" s="16"/>
      <c r="P40" s="16"/>
      <c r="Q40" s="16"/>
      <c r="R40" s="16"/>
      <c r="S40" s="16"/>
      <c r="T40" s="16"/>
      <c r="U40" s="16"/>
      <c r="V40" s="16"/>
      <c r="W40" s="16"/>
      <c r="X40" s="16"/>
      <c r="Y40" s="16"/>
      <c r="Z40" s="16"/>
      <c r="AA40" s="16"/>
      <c r="AD40" s="231" t="str">
        <f>IF($B$12="individual",Constants!F64,Constants!L65)</f>
        <v>n/a</v>
      </c>
      <c r="AE40" s="231" t="str">
        <f>IF(AD40="n/a","",COUNTA(A46:A50)/COUNTA(A38:A42))</f>
        <v/>
      </c>
      <c r="AF40" s="272" t="str">
        <f>IF(B12="group", IF(AE40&gt;0.15, 5, IF(AE40&gt;0.1, 3, IF(AE40&gt;0.05, 1, 0))), " ")</f>
        <v xml:space="preserve"> </v>
      </c>
      <c r="AG40" s="560"/>
      <c r="AH40" s="560"/>
      <c r="AI40" s="560"/>
      <c r="AJ40" s="560"/>
    </row>
    <row r="41" spans="1:58" ht="15.75" customHeight="1" thickBot="1">
      <c r="A41" s="231"/>
      <c r="B41" s="232"/>
      <c r="C41" s="231"/>
      <c r="D41" s="232"/>
      <c r="E41" s="245"/>
      <c r="F41" s="261"/>
      <c r="G41" s="231"/>
      <c r="H41" s="743"/>
      <c r="I41" s="744"/>
      <c r="J41" s="745"/>
      <c r="K41" s="16"/>
      <c r="L41" s="16"/>
      <c r="M41" s="16"/>
      <c r="N41" s="16"/>
      <c r="O41" s="16"/>
      <c r="P41" s="16"/>
      <c r="Q41" s="16"/>
      <c r="R41" s="16"/>
      <c r="S41" s="16"/>
      <c r="T41" s="16"/>
      <c r="U41" s="16"/>
      <c r="V41" s="16"/>
      <c r="W41" s="16"/>
      <c r="X41" s="16"/>
      <c r="Y41" s="16"/>
      <c r="Z41" s="16"/>
      <c r="AA41" s="16"/>
      <c r="AD41" s="16"/>
      <c r="AE41" s="275" t="s">
        <v>461</v>
      </c>
      <c r="AF41" s="277">
        <f>SUM(AF30:AF40)</f>
        <v>10</v>
      </c>
      <c r="AG41" s="247"/>
      <c r="AH41" s="245"/>
      <c r="AI41" s="246"/>
      <c r="AJ41" s="247"/>
    </row>
    <row r="42" spans="1:58" ht="15.75" customHeight="1" thickBot="1">
      <c r="A42" s="231"/>
      <c r="B42" s="326"/>
      <c r="C42" s="245"/>
      <c r="D42" s="232"/>
      <c r="E42" s="261"/>
      <c r="F42" s="261"/>
      <c r="G42" s="231"/>
      <c r="H42" s="746"/>
      <c r="I42" s="747"/>
      <c r="J42" s="748"/>
      <c r="K42" s="16"/>
      <c r="L42" s="16"/>
      <c r="M42" s="16"/>
      <c r="N42" s="16"/>
      <c r="O42" s="16"/>
      <c r="P42" s="16"/>
      <c r="Q42" s="16"/>
      <c r="R42" s="16"/>
      <c r="S42" s="16"/>
      <c r="T42" s="16"/>
      <c r="U42" s="16"/>
      <c r="V42" s="16"/>
      <c r="W42" s="16"/>
      <c r="X42" s="16"/>
      <c r="Y42" s="16"/>
      <c r="Z42" s="16"/>
      <c r="AA42" s="16"/>
    </row>
    <row r="43" spans="1:58" ht="15.75" customHeight="1" thickTop="1">
      <c r="A43" s="18"/>
      <c r="B43" s="18"/>
      <c r="C43" s="18"/>
      <c r="D43" s="18"/>
      <c r="E43" s="18"/>
      <c r="F43" s="18"/>
      <c r="G43" s="17"/>
      <c r="H43" s="17"/>
      <c r="I43" s="17"/>
      <c r="J43" s="17"/>
      <c r="K43" s="17"/>
      <c r="L43" s="17"/>
      <c r="M43" s="17"/>
      <c r="N43" s="17"/>
      <c r="O43" s="17"/>
      <c r="P43" s="17"/>
      <c r="Q43" s="16"/>
      <c r="R43" s="17"/>
      <c r="S43" s="17"/>
      <c r="T43" s="17"/>
      <c r="U43" s="17"/>
      <c r="V43" s="17"/>
      <c r="W43" s="17"/>
      <c r="X43" s="17"/>
      <c r="Y43" s="17"/>
      <c r="Z43" s="17"/>
      <c r="AA43" s="17"/>
      <c r="AB43" s="17"/>
      <c r="AC43" s="17"/>
      <c r="AD43" s="17"/>
    </row>
    <row r="44" spans="1:58" ht="15.75" customHeight="1" thickBot="1">
      <c r="A44" s="179" t="s">
        <v>462</v>
      </c>
      <c r="B44" s="169"/>
      <c r="C44" s="16"/>
      <c r="D44" s="16"/>
      <c r="E44" s="16"/>
      <c r="F44" s="16"/>
      <c r="G44" s="16"/>
      <c r="H44" s="16"/>
      <c r="I44" s="16"/>
      <c r="J44" s="16"/>
      <c r="K44" s="16"/>
      <c r="L44" s="16"/>
      <c r="M44" s="16"/>
      <c r="N44" s="16"/>
      <c r="O44" s="16"/>
      <c r="P44" s="16"/>
      <c r="Q44" s="16"/>
      <c r="R44" s="16"/>
      <c r="S44" s="16"/>
      <c r="T44" s="16"/>
      <c r="U44" s="16"/>
      <c r="V44" s="16"/>
      <c r="W44" s="16"/>
      <c r="X44" s="16"/>
      <c r="Y44" s="16"/>
      <c r="Z44" s="16"/>
      <c r="AA44" s="16"/>
      <c r="AB44" s="18"/>
      <c r="AC44" s="16"/>
      <c r="AD44" s="16"/>
    </row>
    <row r="45" spans="1:58" ht="15" customHeight="1" thickTop="1" thickBot="1">
      <c r="A45" s="258" t="s">
        <v>449</v>
      </c>
      <c r="B45" s="259" t="s">
        <v>450</v>
      </c>
      <c r="C45" s="258" t="s">
        <v>463</v>
      </c>
      <c r="D45" s="258" t="s">
        <v>464</v>
      </c>
      <c r="E45" s="258" t="s">
        <v>465</v>
      </c>
      <c r="F45" s="258" t="s">
        <v>466</v>
      </c>
      <c r="G45" s="258" t="s">
        <v>467</v>
      </c>
      <c r="H45" s="259" t="s">
        <v>455</v>
      </c>
      <c r="I45" s="561" t="s">
        <v>456</v>
      </c>
      <c r="J45" s="716"/>
      <c r="K45" s="717"/>
      <c r="L45" s="98"/>
      <c r="M45" s="98"/>
      <c r="N45" s="98"/>
      <c r="O45" s="98"/>
      <c r="P45" s="98"/>
      <c r="Q45" s="98"/>
      <c r="R45" s="98"/>
      <c r="S45" s="98"/>
      <c r="T45" s="98"/>
      <c r="U45" s="98"/>
      <c r="V45" s="96"/>
      <c r="W45" s="96"/>
      <c r="X45" s="96"/>
      <c r="Y45" s="96"/>
      <c r="Z45" s="99"/>
      <c r="AA45" s="96"/>
      <c r="AB45" s="96"/>
      <c r="AC45" s="100"/>
      <c r="AD45" s="100"/>
      <c r="AE45" s="100"/>
      <c r="AF45" s="100"/>
      <c r="AG45" s="100"/>
      <c r="AH45" s="100"/>
      <c r="AI45" s="100"/>
      <c r="AJ45" s="100"/>
      <c r="AK45" s="100"/>
      <c r="AL45" s="100"/>
      <c r="AM45" s="100"/>
      <c r="AN45" s="100"/>
      <c r="AO45" s="100"/>
      <c r="AP45" s="100"/>
      <c r="AQ45" s="100"/>
      <c r="AR45" s="100"/>
      <c r="AS45" s="100"/>
      <c r="AT45" s="100"/>
      <c r="AU45" s="100"/>
      <c r="AV45" s="100"/>
      <c r="AW45" s="100"/>
      <c r="AX45" s="100"/>
      <c r="AY45" s="100"/>
      <c r="AZ45" s="100"/>
      <c r="BA45" s="100"/>
      <c r="BB45" s="100"/>
      <c r="BC45" s="100"/>
      <c r="BD45" s="100"/>
      <c r="BE45" s="100"/>
      <c r="BF45" s="100"/>
    </row>
    <row r="46" spans="1:58" ht="14.25" customHeight="1" thickTop="1">
      <c r="A46" s="312" t="s">
        <v>1372</v>
      </c>
      <c r="B46" s="232">
        <v>54</v>
      </c>
      <c r="C46" s="269" t="s">
        <v>1373</v>
      </c>
      <c r="D46" s="269" t="s">
        <v>289</v>
      </c>
      <c r="E46" s="261">
        <v>0.5</v>
      </c>
      <c r="F46" s="261">
        <v>1</v>
      </c>
      <c r="G46" s="231" t="s">
        <v>471</v>
      </c>
      <c r="H46" s="323"/>
      <c r="I46" s="618"/>
      <c r="J46" s="741"/>
      <c r="K46" s="742"/>
      <c r="L46" s="16"/>
      <c r="M46" s="16"/>
      <c r="N46" s="16"/>
      <c r="O46" s="16"/>
      <c r="P46" s="16"/>
      <c r="Q46" s="16"/>
      <c r="R46" s="16"/>
      <c r="S46" s="16"/>
      <c r="T46" s="16"/>
      <c r="U46" s="16"/>
      <c r="V46" s="16"/>
      <c r="W46" s="16"/>
      <c r="X46" s="16"/>
      <c r="Y46" s="16"/>
      <c r="Z46" s="17"/>
      <c r="AA46" s="16"/>
      <c r="AB46" s="16"/>
    </row>
    <row r="47" spans="1:58" ht="14.25" customHeight="1">
      <c r="A47" s="312"/>
      <c r="B47" s="323"/>
      <c r="C47" s="312"/>
      <c r="D47" s="312"/>
      <c r="E47" s="328"/>
      <c r="F47" s="327"/>
      <c r="G47" s="323"/>
      <c r="H47" s="323"/>
      <c r="I47" s="743"/>
      <c r="J47" s="744"/>
      <c r="K47" s="745"/>
      <c r="L47" s="16"/>
      <c r="M47" s="16"/>
      <c r="N47" s="16"/>
      <c r="O47" s="16"/>
      <c r="P47" s="16"/>
      <c r="Q47" s="16"/>
      <c r="R47" s="16"/>
      <c r="S47" s="16"/>
      <c r="T47" s="16"/>
      <c r="U47" s="16"/>
      <c r="V47" s="16"/>
      <c r="W47" s="16"/>
      <c r="X47" s="16"/>
      <c r="Y47" s="16"/>
      <c r="Z47" s="17"/>
      <c r="AA47" s="16"/>
      <c r="AB47" s="16"/>
    </row>
    <row r="48" spans="1:58" ht="15.75" customHeight="1">
      <c r="A48" s="323"/>
      <c r="B48" s="323"/>
      <c r="C48" s="323"/>
      <c r="D48" s="312"/>
      <c r="E48" s="328"/>
      <c r="F48" s="327"/>
      <c r="G48" s="329"/>
      <c r="H48" s="323"/>
      <c r="I48" s="743"/>
      <c r="J48" s="744"/>
      <c r="K48" s="745"/>
      <c r="L48" s="16"/>
      <c r="M48" s="16"/>
      <c r="N48" s="16"/>
      <c r="O48" s="16"/>
      <c r="P48" s="16"/>
      <c r="Q48" s="16"/>
      <c r="R48" s="16"/>
      <c r="S48" s="16"/>
      <c r="T48" s="16"/>
      <c r="U48" s="16"/>
      <c r="V48" s="16"/>
      <c r="W48" s="16"/>
      <c r="X48" s="16"/>
      <c r="Y48" s="16"/>
      <c r="Z48" s="16"/>
      <c r="AA48" s="16"/>
      <c r="AB48" s="16"/>
    </row>
    <row r="49" spans="1:30" ht="15.75" customHeight="1">
      <c r="A49" s="231"/>
      <c r="B49" s="232"/>
      <c r="C49" s="231"/>
      <c r="D49" s="269"/>
      <c r="E49" s="245"/>
      <c r="F49" s="261"/>
      <c r="G49" s="263"/>
      <c r="H49" s="231"/>
      <c r="I49" s="743"/>
      <c r="J49" s="744"/>
      <c r="K49" s="745"/>
      <c r="L49" s="16"/>
      <c r="M49" s="16"/>
      <c r="N49" s="16"/>
      <c r="O49" s="16"/>
      <c r="P49" s="16"/>
      <c r="Q49" s="16"/>
      <c r="R49" s="16"/>
      <c r="S49" s="16"/>
      <c r="T49" s="16"/>
      <c r="U49" s="16"/>
      <c r="V49" s="16"/>
      <c r="W49" s="16"/>
      <c r="X49" s="16"/>
      <c r="Y49" s="16"/>
      <c r="Z49" s="16"/>
      <c r="AA49" s="16"/>
      <c r="AB49" s="16"/>
    </row>
    <row r="50" spans="1:30" ht="15.75" customHeight="1" thickBot="1">
      <c r="A50" s="231"/>
      <c r="B50" s="326"/>
      <c r="C50" s="245"/>
      <c r="D50" s="245"/>
      <c r="E50" s="261"/>
      <c r="F50" s="261"/>
      <c r="G50" s="263"/>
      <c r="H50" s="231"/>
      <c r="I50" s="746"/>
      <c r="J50" s="747"/>
      <c r="K50" s="748"/>
      <c r="L50" s="16"/>
      <c r="M50" s="16"/>
      <c r="N50" s="16"/>
      <c r="O50" s="16"/>
      <c r="P50" s="16"/>
      <c r="Q50" s="16"/>
      <c r="R50" s="16"/>
      <c r="S50" s="16"/>
      <c r="T50" s="16"/>
      <c r="U50" s="16"/>
      <c r="V50" s="16"/>
      <c r="W50" s="16"/>
      <c r="X50" s="16"/>
      <c r="Y50" s="16"/>
      <c r="Z50" s="16"/>
      <c r="AA50" s="16"/>
      <c r="AB50" s="16"/>
    </row>
    <row r="51" spans="1:30" ht="15.75" customHeight="1" thickTop="1">
      <c r="A51" s="15"/>
      <c r="B51" s="16"/>
      <c r="C51" s="16"/>
      <c r="D51" s="16"/>
      <c r="E51" s="16"/>
      <c r="F51" s="16"/>
      <c r="G51" s="16"/>
      <c r="H51" s="16"/>
      <c r="I51" s="16"/>
      <c r="J51" s="16"/>
      <c r="K51" s="16"/>
      <c r="L51" s="16"/>
      <c r="M51" s="16"/>
      <c r="N51" s="16"/>
      <c r="O51" s="16"/>
      <c r="P51" s="16"/>
      <c r="Q51" s="16"/>
      <c r="R51" s="16"/>
      <c r="S51" s="16"/>
      <c r="T51" s="16"/>
      <c r="U51" s="16"/>
      <c r="V51" s="16"/>
      <c r="W51" s="16"/>
      <c r="X51" s="16"/>
      <c r="Y51" s="16"/>
      <c r="Z51" s="16"/>
      <c r="AA51" s="16"/>
      <c r="AB51" s="16"/>
      <c r="AC51" s="16"/>
      <c r="AD51" s="16"/>
    </row>
    <row r="52" spans="1:30" ht="15.75" customHeight="1">
      <c r="A52" s="15"/>
      <c r="B52" s="16"/>
      <c r="C52" s="16"/>
      <c r="D52" s="16"/>
      <c r="E52" s="16"/>
      <c r="F52" s="16"/>
      <c r="G52" s="16"/>
      <c r="H52" s="16"/>
      <c r="I52" s="16"/>
      <c r="J52" s="16"/>
      <c r="K52" s="16"/>
      <c r="L52" s="16"/>
      <c r="M52" s="16"/>
      <c r="N52" s="16"/>
      <c r="O52" s="16"/>
      <c r="P52" s="16"/>
      <c r="Q52" s="16"/>
      <c r="W52" s="16"/>
      <c r="X52" s="16"/>
      <c r="Y52" s="16"/>
      <c r="Z52" s="16"/>
      <c r="AA52" s="16"/>
      <c r="AB52" s="16"/>
      <c r="AC52" s="16"/>
      <c r="AD52" s="16"/>
    </row>
    <row r="53" spans="1:30" ht="15.75" customHeight="1" thickBot="1">
      <c r="A53" s="186" t="s">
        <v>475</v>
      </c>
      <c r="B53" s="231"/>
      <c r="C53" s="231"/>
      <c r="D53" s="231"/>
      <c r="E53" s="231"/>
      <c r="F53" s="231"/>
      <c r="G53" s="231"/>
      <c r="H53" s="231"/>
      <c r="I53" s="231"/>
      <c r="J53" s="231"/>
      <c r="K53" s="16"/>
      <c r="L53" s="16"/>
      <c r="M53" s="16"/>
      <c r="N53" s="16"/>
      <c r="O53" s="16"/>
      <c r="P53" s="16"/>
      <c r="Q53" s="16"/>
      <c r="W53" s="16"/>
      <c r="X53" s="16"/>
      <c r="Y53" s="16"/>
      <c r="Z53" s="16"/>
      <c r="AA53" s="16"/>
      <c r="AB53" s="16"/>
      <c r="AC53" s="16"/>
      <c r="AD53" s="16"/>
    </row>
    <row r="54" spans="1:30" ht="15.75" customHeight="1" thickTop="1" thickBot="1">
      <c r="A54" s="230" t="s">
        <v>476</v>
      </c>
      <c r="B54" s="230" t="s">
        <v>477</v>
      </c>
      <c r="C54" s="230" t="s">
        <v>478</v>
      </c>
      <c r="D54" s="230" t="s">
        <v>479</v>
      </c>
      <c r="E54" s="230" t="s">
        <v>480</v>
      </c>
      <c r="F54" s="230" t="s">
        <v>481</v>
      </c>
      <c r="G54" s="230" t="s">
        <v>482</v>
      </c>
      <c r="H54" s="230" t="s">
        <v>453</v>
      </c>
      <c r="I54" s="230" t="s">
        <v>483</v>
      </c>
      <c r="J54" s="230" t="s">
        <v>484</v>
      </c>
      <c r="K54" s="721" t="s">
        <v>485</v>
      </c>
      <c r="L54" s="716"/>
      <c r="M54" s="722"/>
      <c r="N54" s="15"/>
      <c r="O54" s="16"/>
      <c r="P54" s="16"/>
      <c r="Q54" s="16"/>
      <c r="W54" s="16"/>
      <c r="X54" s="16"/>
      <c r="Y54" s="16"/>
      <c r="Z54" s="16"/>
      <c r="AA54" s="16"/>
      <c r="AB54" s="16"/>
    </row>
    <row r="55" spans="1:30" ht="15" customHeight="1" thickTop="1">
      <c r="A55" s="319" t="s">
        <v>512</v>
      </c>
      <c r="B55" s="319" t="s">
        <v>287</v>
      </c>
      <c r="C55" s="261">
        <v>40</v>
      </c>
      <c r="D55" s="261">
        <v>1</v>
      </c>
      <c r="E55" s="261">
        <v>2</v>
      </c>
      <c r="F55" s="261">
        <v>80</v>
      </c>
      <c r="G55" s="384" t="s">
        <v>570</v>
      </c>
      <c r="H55" s="319" t="s">
        <v>55</v>
      </c>
      <c r="I55" s="331"/>
      <c r="J55" s="231"/>
      <c r="K55" s="564"/>
      <c r="L55" s="741"/>
      <c r="M55" s="742"/>
      <c r="N55" s="16"/>
      <c r="O55" s="16"/>
      <c r="P55" s="16"/>
      <c r="Q55" s="16"/>
      <c r="W55" s="16"/>
      <c r="X55" s="16"/>
      <c r="Y55" s="16"/>
      <c r="Z55" s="16"/>
      <c r="AA55" s="16"/>
      <c r="AB55" s="16"/>
    </row>
    <row r="56" spans="1:30" ht="15.75" customHeight="1">
      <c r="A56" s="319" t="s">
        <v>1372</v>
      </c>
      <c r="B56" s="319" t="s">
        <v>285</v>
      </c>
      <c r="C56" s="261">
        <v>20</v>
      </c>
      <c r="D56" s="261">
        <v>1</v>
      </c>
      <c r="E56" s="261">
        <v>1</v>
      </c>
      <c r="F56" s="261">
        <v>20</v>
      </c>
      <c r="G56" s="319" t="s">
        <v>1373</v>
      </c>
      <c r="H56" s="319" t="s">
        <v>289</v>
      </c>
      <c r="I56" s="339">
        <v>24.5</v>
      </c>
      <c r="J56" s="231"/>
      <c r="K56" s="749"/>
      <c r="L56" s="744"/>
      <c r="M56" s="745"/>
      <c r="N56" s="16"/>
      <c r="O56" s="16"/>
      <c r="P56" s="16"/>
      <c r="Q56" s="16"/>
      <c r="W56" s="16"/>
      <c r="X56" s="16"/>
      <c r="Y56" s="16"/>
      <c r="Z56" s="16"/>
      <c r="AA56" s="16"/>
      <c r="AB56" s="16"/>
    </row>
    <row r="57" spans="1:30" ht="14.25" customHeight="1">
      <c r="A57" s="319" t="s">
        <v>1374</v>
      </c>
      <c r="B57" s="319" t="s">
        <v>287</v>
      </c>
      <c r="C57" s="261">
        <v>5</v>
      </c>
      <c r="D57" s="261">
        <v>1</v>
      </c>
      <c r="E57" s="261">
        <v>2</v>
      </c>
      <c r="F57" s="261">
        <v>10</v>
      </c>
      <c r="G57" s="319" t="s">
        <v>570</v>
      </c>
      <c r="H57" s="319" t="s">
        <v>55</v>
      </c>
      <c r="I57" s="331"/>
      <c r="J57" s="231"/>
      <c r="K57" s="749"/>
      <c r="L57" s="744"/>
      <c r="M57" s="745"/>
      <c r="N57" s="16"/>
      <c r="O57" s="16"/>
      <c r="P57" s="16"/>
      <c r="Q57" s="16"/>
      <c r="W57" s="16"/>
      <c r="X57" s="16"/>
      <c r="Y57" s="16"/>
      <c r="Z57" s="16"/>
      <c r="AA57" s="16"/>
      <c r="AB57" s="16"/>
    </row>
    <row r="58" spans="1:30" ht="15.75" customHeight="1">
      <c r="A58" s="319"/>
      <c r="B58" s="319"/>
      <c r="C58" s="231"/>
      <c r="D58" s="231"/>
      <c r="E58" s="231"/>
      <c r="F58" s="231"/>
      <c r="G58" s="231"/>
      <c r="H58" s="319"/>
      <c r="I58" s="331"/>
      <c r="J58" s="231"/>
      <c r="K58" s="749"/>
      <c r="L58" s="744"/>
      <c r="M58" s="745"/>
      <c r="N58" s="16"/>
      <c r="O58" s="16"/>
      <c r="P58" s="16"/>
      <c r="Q58" s="16"/>
      <c r="W58" s="16"/>
      <c r="X58" s="16"/>
      <c r="Y58" s="16"/>
      <c r="Z58" s="16"/>
      <c r="AA58" s="16"/>
      <c r="AB58" s="16"/>
    </row>
    <row r="59" spans="1:30" ht="15.75" customHeight="1">
      <c r="A59" s="319"/>
      <c r="B59" s="319"/>
      <c r="C59" s="231"/>
      <c r="D59" s="231"/>
      <c r="E59" s="231"/>
      <c r="F59" s="231"/>
      <c r="G59" s="231"/>
      <c r="H59" s="319"/>
      <c r="I59" s="331"/>
      <c r="J59" s="231"/>
      <c r="K59" s="749"/>
      <c r="L59" s="744"/>
      <c r="M59" s="745"/>
      <c r="N59" s="16"/>
      <c r="O59" s="16"/>
      <c r="P59" s="16"/>
      <c r="Q59" s="16"/>
      <c r="W59" s="16"/>
      <c r="X59" s="16"/>
      <c r="Y59" s="16"/>
      <c r="Z59" s="16"/>
      <c r="AA59" s="16"/>
      <c r="AB59" s="16"/>
    </row>
    <row r="60" spans="1:30" ht="15.75" customHeight="1">
      <c r="A60" s="319"/>
      <c r="B60" s="319"/>
      <c r="C60" s="231"/>
      <c r="D60" s="231"/>
      <c r="E60" s="231"/>
      <c r="F60" s="231"/>
      <c r="G60" s="319"/>
      <c r="H60" s="319"/>
      <c r="I60" s="331"/>
      <c r="J60" s="231"/>
      <c r="K60" s="749"/>
      <c r="L60" s="744"/>
      <c r="M60" s="745"/>
      <c r="N60" s="16"/>
      <c r="O60" s="16"/>
      <c r="P60" s="16"/>
      <c r="Q60" s="16"/>
      <c r="W60" s="16"/>
      <c r="X60" s="16"/>
      <c r="Y60" s="16"/>
      <c r="Z60" s="16"/>
      <c r="AA60" s="16"/>
      <c r="AB60" s="16"/>
    </row>
    <row r="61" spans="1:30" ht="15.75" customHeight="1">
      <c r="A61" s="319"/>
      <c r="B61" s="319"/>
      <c r="C61" s="231"/>
      <c r="D61" s="231"/>
      <c r="E61" s="231"/>
      <c r="F61" s="231"/>
      <c r="G61" s="319"/>
      <c r="H61" s="319"/>
      <c r="I61" s="331"/>
      <c r="J61" s="231"/>
      <c r="K61" s="749"/>
      <c r="L61" s="744"/>
      <c r="M61" s="745"/>
      <c r="N61" s="16"/>
      <c r="O61" s="16"/>
      <c r="P61" s="16"/>
      <c r="Q61" s="16"/>
      <c r="W61" s="16"/>
      <c r="X61" s="16"/>
      <c r="Y61" s="16"/>
      <c r="Z61" s="16"/>
      <c r="AA61" s="16"/>
      <c r="AB61" s="16"/>
    </row>
    <row r="62" spans="1:30" ht="15.75" customHeight="1">
      <c r="A62" s="319"/>
      <c r="B62" s="319"/>
      <c r="C62" s="261"/>
      <c r="D62" s="261"/>
      <c r="E62" s="261"/>
      <c r="F62" s="262"/>
      <c r="G62" s="319"/>
      <c r="H62" s="319"/>
      <c r="I62" s="331"/>
      <c r="J62" s="231"/>
      <c r="K62" s="749"/>
      <c r="L62" s="744"/>
      <c r="M62" s="745"/>
      <c r="N62" s="16"/>
      <c r="O62" s="16"/>
      <c r="P62" s="16"/>
      <c r="Q62" s="16"/>
      <c r="W62" s="16"/>
      <c r="X62" s="16"/>
      <c r="Y62" s="16"/>
      <c r="Z62" s="16"/>
      <c r="AA62" s="16"/>
      <c r="AB62" s="16"/>
    </row>
    <row r="63" spans="1:30" ht="15.75" customHeight="1">
      <c r="A63" s="319"/>
      <c r="B63" s="319"/>
      <c r="C63" s="261"/>
      <c r="D63" s="261"/>
      <c r="E63" s="261"/>
      <c r="F63" s="262"/>
      <c r="G63" s="319"/>
      <c r="H63" s="319"/>
      <c r="I63" s="331"/>
      <c r="J63" s="231"/>
      <c r="K63" s="749"/>
      <c r="L63" s="744"/>
      <c r="M63" s="745"/>
      <c r="N63" s="16"/>
      <c r="O63" s="16"/>
      <c r="P63" s="16"/>
      <c r="Q63" s="16"/>
      <c r="W63" s="16"/>
      <c r="X63" s="16"/>
      <c r="Y63" s="16"/>
      <c r="Z63" s="16"/>
      <c r="AA63" s="16"/>
      <c r="AB63" s="16"/>
    </row>
    <row r="64" spans="1:30" ht="15.75" customHeight="1">
      <c r="A64" s="231"/>
      <c r="B64" s="319"/>
      <c r="C64" s="232"/>
      <c r="D64" s="232"/>
      <c r="E64" s="261"/>
      <c r="F64" s="262"/>
      <c r="G64" s="231"/>
      <c r="H64" s="319"/>
      <c r="I64" s="331"/>
      <c r="J64" s="231"/>
      <c r="K64" s="749"/>
      <c r="L64" s="744"/>
      <c r="M64" s="745"/>
      <c r="N64" s="16"/>
      <c r="O64" s="16"/>
      <c r="P64" s="16"/>
      <c r="Q64" s="16"/>
      <c r="W64" s="16"/>
      <c r="X64" s="16"/>
      <c r="Y64" s="16"/>
      <c r="Z64" s="16"/>
      <c r="AA64" s="16"/>
      <c r="AB64" s="16"/>
    </row>
    <row r="65" spans="1:30" ht="15.75" customHeight="1">
      <c r="A65" s="231"/>
      <c r="B65" s="319"/>
      <c r="C65" s="232"/>
      <c r="D65" s="232"/>
      <c r="E65" s="261"/>
      <c r="F65" s="262"/>
      <c r="G65" s="231"/>
      <c r="H65" s="319"/>
      <c r="I65" s="331"/>
      <c r="J65" s="231"/>
      <c r="K65" s="749"/>
      <c r="L65" s="744"/>
      <c r="M65" s="745"/>
      <c r="N65" s="16"/>
      <c r="O65" s="16"/>
      <c r="P65" s="16"/>
      <c r="Q65" s="16"/>
      <c r="W65" s="16"/>
      <c r="X65" s="16"/>
      <c r="Y65" s="16"/>
      <c r="Z65" s="16"/>
      <c r="AA65" s="16"/>
      <c r="AB65" s="16"/>
    </row>
    <row r="66" spans="1:30" ht="15.75" customHeight="1">
      <c r="A66" s="231"/>
      <c r="B66" s="319"/>
      <c r="C66" s="232"/>
      <c r="D66" s="232"/>
      <c r="E66" s="261"/>
      <c r="F66" s="262"/>
      <c r="G66" s="231"/>
      <c r="H66" s="319"/>
      <c r="I66" s="331"/>
      <c r="J66" s="231"/>
      <c r="K66" s="749"/>
      <c r="L66" s="744"/>
      <c r="M66" s="745"/>
      <c r="N66" s="16"/>
      <c r="O66" s="16"/>
      <c r="P66" s="16"/>
      <c r="Q66" s="16"/>
      <c r="W66" s="16"/>
      <c r="X66" s="16"/>
      <c r="Y66" s="16"/>
      <c r="Z66" s="16"/>
      <c r="AA66" s="16"/>
      <c r="AB66" s="16"/>
    </row>
    <row r="67" spans="1:30" ht="15.75" customHeight="1" thickBot="1">
      <c r="A67" s="231"/>
      <c r="B67" s="319"/>
      <c r="C67" s="245"/>
      <c r="D67" s="232"/>
      <c r="E67" s="261"/>
      <c r="F67" s="262"/>
      <c r="G67" s="263"/>
      <c r="H67" s="263"/>
      <c r="I67" s="264"/>
      <c r="J67" s="231"/>
      <c r="K67" s="746"/>
      <c r="L67" s="747"/>
      <c r="M67" s="748"/>
      <c r="N67" s="16"/>
      <c r="O67" s="16"/>
      <c r="P67" s="16"/>
      <c r="Q67" s="16"/>
      <c r="W67" s="16"/>
      <c r="X67" s="16"/>
      <c r="Y67" s="16"/>
      <c r="Z67" s="16"/>
      <c r="AA67" s="16"/>
      <c r="AB67" s="16"/>
    </row>
    <row r="68" spans="1:30" ht="15.75" customHeight="1" thickTop="1">
      <c r="A68" s="16"/>
      <c r="B68" s="16"/>
      <c r="C68" s="16"/>
      <c r="D68" s="16"/>
      <c r="E68" s="16"/>
      <c r="F68" s="16"/>
      <c r="G68" s="16"/>
      <c r="H68" s="16"/>
      <c r="I68" s="16"/>
      <c r="J68" s="16"/>
      <c r="K68" s="16"/>
      <c r="L68" s="16"/>
      <c r="M68" s="16"/>
      <c r="N68" s="16"/>
      <c r="O68" s="16"/>
      <c r="P68" s="16"/>
      <c r="Q68" s="16"/>
      <c r="W68" s="16"/>
      <c r="X68" s="16"/>
      <c r="Y68" s="16"/>
      <c r="Z68" s="16"/>
      <c r="AA68" s="16"/>
      <c r="AB68" s="16"/>
      <c r="AC68" s="16"/>
      <c r="AD68" s="16"/>
    </row>
    <row r="69" spans="1:30" ht="15.75" customHeight="1" thickBot="1">
      <c r="A69" s="186" t="s">
        <v>499</v>
      </c>
      <c r="B69" s="231"/>
      <c r="C69" s="231"/>
      <c r="D69" s="231"/>
      <c r="E69" s="231"/>
      <c r="F69" s="231"/>
      <c r="G69" s="231"/>
      <c r="H69" s="231"/>
      <c r="I69" s="231"/>
      <c r="J69" s="231"/>
      <c r="K69" s="123"/>
      <c r="L69" s="123"/>
      <c r="M69" s="16"/>
      <c r="N69" s="16"/>
      <c r="O69" s="16"/>
      <c r="P69" s="16"/>
      <c r="Q69" s="16"/>
      <c r="W69" s="16"/>
      <c r="X69" s="16"/>
      <c r="Y69" s="16"/>
      <c r="Z69" s="16"/>
      <c r="AA69" s="16"/>
      <c r="AB69" s="16"/>
      <c r="AC69" s="16"/>
      <c r="AD69" s="16"/>
    </row>
    <row r="70" spans="1:30" ht="15.75" customHeight="1" thickTop="1" thickBot="1">
      <c r="A70" s="230" t="s">
        <v>476</v>
      </c>
      <c r="B70" s="230" t="s">
        <v>500</v>
      </c>
      <c r="C70" s="230" t="s">
        <v>501</v>
      </c>
      <c r="D70" s="230" t="s">
        <v>502</v>
      </c>
      <c r="E70" s="230" t="s">
        <v>503</v>
      </c>
      <c r="F70" s="230" t="s">
        <v>504</v>
      </c>
      <c r="G70" s="230" t="s">
        <v>505</v>
      </c>
      <c r="H70" s="230" t="s">
        <v>506</v>
      </c>
      <c r="I70" s="230" t="s">
        <v>507</v>
      </c>
      <c r="J70" s="230" t="s">
        <v>508</v>
      </c>
      <c r="K70" s="561" t="s">
        <v>441</v>
      </c>
      <c r="L70" s="561"/>
      <c r="M70" s="561"/>
      <c r="N70" s="561"/>
      <c r="O70" s="570"/>
      <c r="P70" s="726" t="s">
        <v>434</v>
      </c>
      <c r="Q70" s="727"/>
      <c r="R70" s="16"/>
      <c r="S70" s="16"/>
      <c r="V70" s="16"/>
      <c r="W70" s="16"/>
      <c r="X70" s="16"/>
      <c r="Y70" s="16"/>
      <c r="Z70" s="16"/>
      <c r="AA70" s="16"/>
    </row>
    <row r="71" spans="1:30" ht="15.75" customHeight="1" thickTop="1">
      <c r="A71" s="319" t="s">
        <v>1375</v>
      </c>
      <c r="B71" s="231" t="s">
        <v>272</v>
      </c>
      <c r="C71" s="232">
        <v>3</v>
      </c>
      <c r="D71" s="261">
        <v>12</v>
      </c>
      <c r="E71" s="245">
        <v>1</v>
      </c>
      <c r="F71" s="326">
        <f>MSG!$D71*MSG!$E71</f>
        <v>12</v>
      </c>
      <c r="G71" s="245">
        <v>0</v>
      </c>
      <c r="H71" s="247">
        <v>7.5</v>
      </c>
      <c r="I71" s="333">
        <f t="shared" ref="I71:I87" si="2">IF($H71="-","-",IF($H71="Specify location tariff","-",$H71*$F71))</f>
        <v>90</v>
      </c>
      <c r="J71" s="247" t="s">
        <v>1376</v>
      </c>
      <c r="K71" s="610"/>
      <c r="L71" s="611"/>
      <c r="M71" s="611"/>
      <c r="N71" s="611"/>
      <c r="O71" s="612"/>
      <c r="P71" s="564" t="s">
        <v>511</v>
      </c>
      <c r="Q71" s="565"/>
      <c r="R71" s="16"/>
      <c r="S71" s="16"/>
      <c r="V71" s="16"/>
      <c r="W71" s="16"/>
      <c r="X71" s="16"/>
      <c r="Y71" s="16"/>
      <c r="Z71" s="16"/>
      <c r="AA71" s="16"/>
    </row>
    <row r="72" spans="1:30" ht="15.75" customHeight="1">
      <c r="A72" s="231" t="s">
        <v>1375</v>
      </c>
      <c r="B72" s="231" t="s">
        <v>272</v>
      </c>
      <c r="C72" s="232">
        <v>3</v>
      </c>
      <c r="D72" s="261">
        <v>12</v>
      </c>
      <c r="E72" s="245">
        <v>1</v>
      </c>
      <c r="F72" s="326">
        <f>MSG!$D72*MSG!$E72</f>
        <v>12</v>
      </c>
      <c r="G72" s="245">
        <v>0</v>
      </c>
      <c r="H72" s="247">
        <v>24.5</v>
      </c>
      <c r="I72" s="333">
        <f t="shared" si="2"/>
        <v>294</v>
      </c>
      <c r="J72" s="247" t="s">
        <v>1377</v>
      </c>
      <c r="K72" s="613"/>
      <c r="L72" s="562"/>
      <c r="M72" s="562"/>
      <c r="N72" s="562"/>
      <c r="O72" s="614"/>
      <c r="P72" s="566"/>
      <c r="Q72" s="567"/>
      <c r="R72" s="16"/>
      <c r="S72" s="16"/>
      <c r="V72" s="16"/>
      <c r="W72" s="16"/>
      <c r="X72" s="16"/>
      <c r="Y72" s="16"/>
      <c r="Z72" s="16"/>
      <c r="AA72" s="16"/>
    </row>
    <row r="73" spans="1:30" ht="15.75" customHeight="1">
      <c r="A73" s="231" t="s">
        <v>1378</v>
      </c>
      <c r="B73" s="231" t="s">
        <v>272</v>
      </c>
      <c r="C73" s="232">
        <v>1</v>
      </c>
      <c r="D73" s="261">
        <v>1</v>
      </c>
      <c r="E73" s="245">
        <v>1</v>
      </c>
      <c r="F73" s="326">
        <f>MSG!$D73*MSG!$E73</f>
        <v>1</v>
      </c>
      <c r="G73" s="245">
        <v>0</v>
      </c>
      <c r="H73" s="247">
        <v>482.6</v>
      </c>
      <c r="I73" s="333">
        <f t="shared" si="2"/>
        <v>482.6</v>
      </c>
      <c r="J73" s="247" t="s">
        <v>1379</v>
      </c>
      <c r="K73" s="613"/>
      <c r="L73" s="562"/>
      <c r="M73" s="562"/>
      <c r="N73" s="562"/>
      <c r="O73" s="614"/>
      <c r="P73" s="566"/>
      <c r="Q73" s="567"/>
      <c r="R73" s="16"/>
      <c r="S73" s="16"/>
      <c r="V73" s="16"/>
      <c r="W73" s="16"/>
      <c r="X73" s="16"/>
      <c r="Y73" s="16"/>
      <c r="Z73" s="16"/>
      <c r="AA73" s="16"/>
    </row>
    <row r="74" spans="1:30" ht="15.75" customHeight="1">
      <c r="A74" s="319" t="s">
        <v>1380</v>
      </c>
      <c r="B74" s="231" t="s">
        <v>272</v>
      </c>
      <c r="C74" s="232">
        <v>1</v>
      </c>
      <c r="D74" s="261">
        <v>12</v>
      </c>
      <c r="E74" s="245">
        <v>1</v>
      </c>
      <c r="F74" s="326">
        <f>MSG!$D74*MSG!$E74</f>
        <v>12</v>
      </c>
      <c r="G74" s="245">
        <v>0</v>
      </c>
      <c r="H74" s="247">
        <v>50</v>
      </c>
      <c r="I74" s="333">
        <f t="shared" si="2"/>
        <v>600</v>
      </c>
      <c r="J74" s="247" t="s">
        <v>1381</v>
      </c>
      <c r="K74" s="613"/>
      <c r="L74" s="562"/>
      <c r="M74" s="562"/>
      <c r="N74" s="562"/>
      <c r="O74" s="614"/>
      <c r="P74" s="566"/>
      <c r="Q74" s="567"/>
      <c r="R74" s="16"/>
      <c r="S74" s="16"/>
      <c r="V74" s="16"/>
      <c r="W74" s="16"/>
      <c r="X74" s="16"/>
      <c r="Y74" s="16"/>
      <c r="Z74" s="16"/>
      <c r="AA74" s="16"/>
    </row>
    <row r="75" spans="1:30" ht="15.75" customHeight="1">
      <c r="A75" s="231" t="s">
        <v>1382</v>
      </c>
      <c r="B75" s="231" t="s">
        <v>272</v>
      </c>
      <c r="C75" s="232">
        <v>2</v>
      </c>
      <c r="D75" s="261">
        <v>20</v>
      </c>
      <c r="E75" s="245">
        <v>1</v>
      </c>
      <c r="F75" s="326">
        <f>MSG!$D75*MSG!$E75</f>
        <v>20</v>
      </c>
      <c r="G75" s="245"/>
      <c r="H75" s="247">
        <v>0</v>
      </c>
      <c r="I75" s="333">
        <f t="shared" si="2"/>
        <v>0</v>
      </c>
      <c r="J75" s="247"/>
      <c r="K75" s="613"/>
      <c r="L75" s="562"/>
      <c r="M75" s="562"/>
      <c r="N75" s="562"/>
      <c r="O75" s="614"/>
      <c r="P75" s="566"/>
      <c r="Q75" s="567"/>
      <c r="R75" s="16"/>
      <c r="S75" s="16"/>
      <c r="V75" s="16"/>
      <c r="W75" s="16"/>
      <c r="X75" s="16"/>
      <c r="Y75" s="16"/>
      <c r="Z75" s="16"/>
      <c r="AA75" s="16"/>
    </row>
    <row r="76" spans="1:30" ht="15.75" customHeight="1">
      <c r="A76" s="231"/>
      <c r="B76" s="231"/>
      <c r="C76" s="232"/>
      <c r="D76" s="261"/>
      <c r="E76" s="245"/>
      <c r="F76" s="326">
        <f>MSG!$D76*MSG!$E76</f>
        <v>0</v>
      </c>
      <c r="G76" s="245"/>
      <c r="H76" s="332" t="str">
        <f>IF($B76= "","-",IF($B76= "External","Specify location tariff", INDEX(Constants!$3:$3,MATCH($B76,Constants!$2:$2,0))))</f>
        <v>-</v>
      </c>
      <c r="I76" s="333" t="str">
        <f t="shared" si="2"/>
        <v>-</v>
      </c>
      <c r="J76" s="247"/>
      <c r="K76" s="613"/>
      <c r="L76" s="562"/>
      <c r="M76" s="562"/>
      <c r="N76" s="562"/>
      <c r="O76" s="614"/>
      <c r="P76" s="566"/>
      <c r="Q76" s="567"/>
      <c r="R76" s="16"/>
      <c r="S76" s="16"/>
      <c r="V76" s="16"/>
      <c r="W76" s="16"/>
      <c r="X76" s="16"/>
      <c r="Y76" s="16"/>
      <c r="Z76" s="16"/>
      <c r="AA76" s="16"/>
    </row>
    <row r="77" spans="1:30" ht="15.75" customHeight="1">
      <c r="A77" s="231"/>
      <c r="B77" s="231"/>
      <c r="C77" s="232"/>
      <c r="D77" s="261"/>
      <c r="E77" s="245"/>
      <c r="F77" s="326">
        <f>MSG!$D77*MSG!$E77</f>
        <v>0</v>
      </c>
      <c r="G77" s="245"/>
      <c r="H77" s="332" t="str">
        <f>IF($B77= "","-",IF($B77= "External","Specify location tariff", INDEX(Constants!$3:$3,MATCH($B77,Constants!$2:$2,0))))</f>
        <v>-</v>
      </c>
      <c r="I77" s="333" t="str">
        <f t="shared" si="2"/>
        <v>-</v>
      </c>
      <c r="J77" s="247"/>
      <c r="K77" s="613"/>
      <c r="L77" s="562"/>
      <c r="M77" s="562"/>
      <c r="N77" s="562"/>
      <c r="O77" s="614"/>
      <c r="P77" s="566"/>
      <c r="Q77" s="567"/>
      <c r="R77" s="16"/>
      <c r="S77" s="16"/>
      <c r="V77" s="16"/>
      <c r="W77" s="16"/>
      <c r="X77" s="16"/>
      <c r="Y77" s="16"/>
      <c r="Z77" s="16"/>
      <c r="AA77" s="16"/>
    </row>
    <row r="78" spans="1:30" ht="15.75" customHeight="1">
      <c r="A78" s="231"/>
      <c r="B78" s="231"/>
      <c r="C78" s="232"/>
      <c r="D78" s="261"/>
      <c r="E78" s="245"/>
      <c r="F78" s="326">
        <f>MSG!$D78*MSG!$E78</f>
        <v>0</v>
      </c>
      <c r="G78" s="245"/>
      <c r="H78" s="332" t="str">
        <f>IF($B78= "","-",IF($B78= "External","Specify location tariff", INDEX(Constants!$3:$3,MATCH($B78,Constants!$2:$2,0))))</f>
        <v>-</v>
      </c>
      <c r="I78" s="333" t="str">
        <f t="shared" si="2"/>
        <v>-</v>
      </c>
      <c r="J78" s="247"/>
      <c r="K78" s="613"/>
      <c r="L78" s="562"/>
      <c r="M78" s="562"/>
      <c r="N78" s="562"/>
      <c r="O78" s="614"/>
      <c r="P78" s="566"/>
      <c r="Q78" s="567"/>
      <c r="R78" s="16"/>
      <c r="S78" s="16"/>
      <c r="V78" s="16"/>
      <c r="W78" s="16"/>
      <c r="X78" s="16"/>
      <c r="Y78" s="16"/>
      <c r="Z78" s="16"/>
      <c r="AA78" s="16"/>
    </row>
    <row r="79" spans="1:30" ht="15.75" customHeight="1">
      <c r="A79" s="231"/>
      <c r="B79" s="231"/>
      <c r="C79" s="232"/>
      <c r="D79" s="261"/>
      <c r="E79" s="245"/>
      <c r="F79" s="326">
        <f>MSG!$D79*MSG!$E79</f>
        <v>0</v>
      </c>
      <c r="G79" s="245"/>
      <c r="H79" s="332" t="str">
        <f>IF($B79= "","-",IF($B79= "External","Specify location tariff", INDEX(Constants!$3:$3,MATCH($B79,Constants!$2:$2,0))))</f>
        <v>-</v>
      </c>
      <c r="I79" s="333" t="str">
        <f t="shared" si="2"/>
        <v>-</v>
      </c>
      <c r="J79" s="247"/>
      <c r="K79" s="613"/>
      <c r="L79" s="562"/>
      <c r="M79" s="562"/>
      <c r="N79" s="562"/>
      <c r="O79" s="614"/>
      <c r="P79" s="566"/>
      <c r="Q79" s="567"/>
      <c r="R79" s="16"/>
      <c r="S79" s="16"/>
      <c r="V79" s="16"/>
      <c r="W79" s="16"/>
      <c r="X79" s="16"/>
      <c r="Y79" s="16"/>
      <c r="Z79" s="16"/>
      <c r="AA79" s="16"/>
    </row>
    <row r="80" spans="1:30" ht="15.75" customHeight="1">
      <c r="A80" s="231"/>
      <c r="B80" s="231"/>
      <c r="C80" s="232"/>
      <c r="D80" s="261"/>
      <c r="E80" s="245"/>
      <c r="F80" s="326">
        <f>MSG!$D80*MSG!$E80</f>
        <v>0</v>
      </c>
      <c r="G80" s="245"/>
      <c r="H80" s="332" t="str">
        <f>IF($B80= "","-",IF($B80= "External","Specify location tariff", INDEX(Constants!$3:$3,MATCH($B80,Constants!$2:$2,0))))</f>
        <v>-</v>
      </c>
      <c r="I80" s="333" t="str">
        <f t="shared" si="2"/>
        <v>-</v>
      </c>
      <c r="J80" s="247"/>
      <c r="K80" s="613"/>
      <c r="L80" s="562"/>
      <c r="M80" s="562"/>
      <c r="N80" s="562"/>
      <c r="O80" s="614"/>
      <c r="P80" s="566"/>
      <c r="Q80" s="567"/>
      <c r="R80" s="16"/>
      <c r="S80" s="16"/>
      <c r="V80" s="16"/>
      <c r="W80" s="16"/>
      <c r="X80" s="16"/>
      <c r="Y80" s="16"/>
      <c r="Z80" s="16"/>
      <c r="AA80" s="16"/>
    </row>
    <row r="81" spans="1:30" ht="15.75" customHeight="1">
      <c r="A81" s="231"/>
      <c r="B81" s="231"/>
      <c r="C81" s="232"/>
      <c r="D81" s="261"/>
      <c r="E81" s="245"/>
      <c r="F81" s="326">
        <f>MSG!$D81*MSG!$E81</f>
        <v>0</v>
      </c>
      <c r="G81" s="245"/>
      <c r="H81" s="332" t="str">
        <f>IF($B81= "","-",IF($B81= "External","Specify location tariff", INDEX(Constants!$3:$3,MATCH($B81,Constants!$2:$2,0))))</f>
        <v>-</v>
      </c>
      <c r="I81" s="333" t="str">
        <f t="shared" si="2"/>
        <v>-</v>
      </c>
      <c r="J81" s="247"/>
      <c r="K81" s="613"/>
      <c r="L81" s="562"/>
      <c r="M81" s="562"/>
      <c r="N81" s="562"/>
      <c r="O81" s="614"/>
      <c r="P81" s="566"/>
      <c r="Q81" s="567"/>
      <c r="R81" s="16"/>
      <c r="S81" s="16"/>
      <c r="V81" s="16"/>
      <c r="W81" s="16"/>
      <c r="X81" s="16"/>
      <c r="Y81" s="16"/>
      <c r="Z81" s="16"/>
      <c r="AA81" s="16"/>
    </row>
    <row r="82" spans="1:30" ht="15.75" customHeight="1">
      <c r="A82" s="231"/>
      <c r="B82" s="231"/>
      <c r="C82" s="232"/>
      <c r="D82" s="261"/>
      <c r="E82" s="245"/>
      <c r="F82" s="326">
        <f>MSG!$D82*MSG!$E82</f>
        <v>0</v>
      </c>
      <c r="G82" s="245"/>
      <c r="H82" s="332" t="str">
        <f>IF($B82= "","-",IF($B82= "External","Specify location tariff", INDEX(Constants!$3:$3,MATCH($B82,Constants!$2:$2,0))))</f>
        <v>-</v>
      </c>
      <c r="I82" s="333" t="str">
        <f t="shared" si="2"/>
        <v>-</v>
      </c>
      <c r="J82" s="247"/>
      <c r="K82" s="613"/>
      <c r="L82" s="562"/>
      <c r="M82" s="562"/>
      <c r="N82" s="562"/>
      <c r="O82" s="614"/>
      <c r="P82" s="566"/>
      <c r="Q82" s="567"/>
      <c r="R82" s="16"/>
      <c r="S82" s="16"/>
      <c r="V82" s="16"/>
      <c r="W82" s="16"/>
      <c r="X82" s="16"/>
      <c r="Y82" s="16"/>
      <c r="Z82" s="16"/>
      <c r="AA82" s="16"/>
    </row>
    <row r="83" spans="1:30" ht="15.75" customHeight="1">
      <c r="A83" s="231"/>
      <c r="B83" s="231"/>
      <c r="C83" s="232"/>
      <c r="D83" s="261"/>
      <c r="E83" s="245"/>
      <c r="F83" s="326">
        <f>MSG!$D83*MSG!$E83</f>
        <v>0</v>
      </c>
      <c r="G83" s="245"/>
      <c r="H83" s="332" t="str">
        <f>IF($B83= "","-",IF($B83= "External","Specify location tariff", INDEX(Constants!$3:$3,MATCH($B83,Constants!$2:$2,0))))</f>
        <v>-</v>
      </c>
      <c r="I83" s="333" t="str">
        <f t="shared" si="2"/>
        <v>-</v>
      </c>
      <c r="J83" s="247"/>
      <c r="K83" s="613"/>
      <c r="L83" s="562"/>
      <c r="M83" s="562"/>
      <c r="N83" s="562"/>
      <c r="O83" s="614"/>
      <c r="P83" s="566"/>
      <c r="Q83" s="567"/>
      <c r="R83" s="16"/>
      <c r="S83" s="16"/>
      <c r="V83" s="16"/>
      <c r="W83" s="16"/>
      <c r="X83" s="16"/>
      <c r="Y83" s="16"/>
      <c r="Z83" s="16"/>
      <c r="AA83" s="16"/>
    </row>
    <row r="84" spans="1:30" ht="15.75" customHeight="1">
      <c r="A84" s="231"/>
      <c r="B84" s="231"/>
      <c r="C84" s="232"/>
      <c r="D84" s="261"/>
      <c r="E84" s="245"/>
      <c r="F84" s="326">
        <f>MSG!$D84*MSG!$E84</f>
        <v>0</v>
      </c>
      <c r="G84" s="245"/>
      <c r="H84" s="332" t="str">
        <f>IF($B84= "","-",IF($B84= "External","Specify location tariff", INDEX(Constants!$3:$3,MATCH($B84,Constants!$2:$2,0))))</f>
        <v>-</v>
      </c>
      <c r="I84" s="333" t="str">
        <f t="shared" si="2"/>
        <v>-</v>
      </c>
      <c r="J84" s="247"/>
      <c r="K84" s="613"/>
      <c r="L84" s="562"/>
      <c r="M84" s="562"/>
      <c r="N84" s="562"/>
      <c r="O84" s="614"/>
      <c r="P84" s="566"/>
      <c r="Q84" s="567"/>
      <c r="R84" s="16"/>
      <c r="S84" s="16"/>
      <c r="V84" s="16"/>
      <c r="W84" s="16"/>
      <c r="X84" s="16"/>
      <c r="Y84" s="16"/>
      <c r="Z84" s="16"/>
      <c r="AA84" s="16"/>
    </row>
    <row r="85" spans="1:30" ht="15.75" customHeight="1">
      <c r="A85" s="231"/>
      <c r="B85" s="231"/>
      <c r="C85" s="232"/>
      <c r="D85" s="261"/>
      <c r="E85" s="245"/>
      <c r="F85" s="326">
        <f>MSG!$D85*MSG!$E85</f>
        <v>0</v>
      </c>
      <c r="G85" s="245"/>
      <c r="H85" s="332" t="str">
        <f>IF($B85= "","-",IF($B85= "External","Specify location tariff", INDEX(Constants!$3:$3,MATCH($B85,Constants!$2:$2,0))))</f>
        <v>-</v>
      </c>
      <c r="I85" s="333" t="str">
        <f t="shared" si="2"/>
        <v>-</v>
      </c>
      <c r="J85" s="247"/>
      <c r="K85" s="613"/>
      <c r="L85" s="562"/>
      <c r="M85" s="562"/>
      <c r="N85" s="562"/>
      <c r="O85" s="614"/>
      <c r="P85" s="566"/>
      <c r="Q85" s="567"/>
      <c r="R85" s="16"/>
      <c r="S85" s="16"/>
      <c r="V85" s="16"/>
      <c r="W85" s="16"/>
      <c r="X85" s="16"/>
      <c r="Y85" s="16"/>
      <c r="Z85" s="16"/>
      <c r="AA85" s="16"/>
    </row>
    <row r="86" spans="1:30" ht="15.75" customHeight="1">
      <c r="A86" s="231"/>
      <c r="B86" s="231"/>
      <c r="C86" s="232"/>
      <c r="D86" s="261"/>
      <c r="E86" s="245"/>
      <c r="F86" s="326">
        <f>MSG!$D86*MSG!$E86</f>
        <v>0</v>
      </c>
      <c r="G86" s="245"/>
      <c r="H86" s="332" t="str">
        <f>IF($B86= "","-",IF($B86= "External","Specify location tariff", INDEX(Constants!$3:$3,MATCH($B86,Constants!$2:$2,0))))</f>
        <v>-</v>
      </c>
      <c r="I86" s="333" t="str">
        <f t="shared" si="2"/>
        <v>-</v>
      </c>
      <c r="J86" s="247"/>
      <c r="K86" s="613"/>
      <c r="L86" s="562"/>
      <c r="M86" s="562"/>
      <c r="N86" s="562"/>
      <c r="O86" s="614"/>
      <c r="P86" s="566"/>
      <c r="Q86" s="567"/>
      <c r="R86" s="16"/>
      <c r="S86" s="16"/>
      <c r="V86" s="16"/>
      <c r="W86" s="16"/>
      <c r="X86" s="16"/>
      <c r="Y86" s="16"/>
      <c r="Z86" s="16"/>
      <c r="AA86" s="16"/>
    </row>
    <row r="87" spans="1:30" ht="15.75" customHeight="1" thickBot="1">
      <c r="A87" s="231"/>
      <c r="B87" s="231"/>
      <c r="C87" s="232"/>
      <c r="D87" s="261"/>
      <c r="E87" s="245"/>
      <c r="F87" s="326">
        <f>MSG!$D87*MSG!$E87</f>
        <v>0</v>
      </c>
      <c r="G87" s="245"/>
      <c r="H87" s="332" t="str">
        <f>IF($B87= "","-",IF($B87= "External","Specify location tariff", INDEX(Constants!$3:$3,MATCH($B87,Constants!$2:$2,0))))</f>
        <v>-</v>
      </c>
      <c r="I87" s="333" t="str">
        <f t="shared" si="2"/>
        <v>-</v>
      </c>
      <c r="J87" s="247"/>
      <c r="K87" s="615"/>
      <c r="L87" s="616"/>
      <c r="M87" s="616"/>
      <c r="N87" s="616"/>
      <c r="O87" s="617"/>
      <c r="P87" s="568"/>
      <c r="Q87" s="569"/>
      <c r="R87" s="16"/>
      <c r="S87" s="16"/>
      <c r="V87" s="16"/>
      <c r="W87" s="16"/>
      <c r="X87" s="16"/>
      <c r="Y87" s="16"/>
      <c r="Z87" s="16"/>
      <c r="AA87" s="16"/>
    </row>
    <row r="88" spans="1:30" ht="15.75" customHeight="1" thickTop="1">
      <c r="A88" s="15"/>
      <c r="B88" s="16"/>
      <c r="C88" s="16"/>
      <c r="D88" s="16"/>
      <c r="E88" s="16"/>
      <c r="F88" s="16"/>
      <c r="G88" s="16"/>
      <c r="H88" s="16"/>
      <c r="I88" s="16"/>
      <c r="J88" s="16"/>
      <c r="K88" s="16"/>
      <c r="L88" s="16"/>
      <c r="M88" s="16"/>
      <c r="N88" s="16"/>
      <c r="O88" s="16"/>
      <c r="P88" s="16"/>
      <c r="Q88" s="16"/>
      <c r="R88" s="16"/>
      <c r="S88" s="16"/>
      <c r="T88" s="16"/>
      <c r="U88" s="16"/>
      <c r="V88" s="16"/>
      <c r="W88" s="16"/>
      <c r="X88" s="16"/>
      <c r="Y88" s="16"/>
      <c r="Z88" s="16"/>
      <c r="AA88" s="16"/>
      <c r="AB88" s="16"/>
      <c r="AC88" s="16"/>
      <c r="AD88" s="16"/>
    </row>
    <row r="89" spans="1:30" ht="15.75" customHeight="1">
      <c r="A89" s="15"/>
      <c r="B89" s="16"/>
      <c r="C89" s="16"/>
      <c r="D89" s="16"/>
      <c r="E89" s="16"/>
      <c r="F89" s="16"/>
      <c r="G89" s="16"/>
      <c r="H89" s="16"/>
      <c r="I89" s="16"/>
      <c r="J89" s="16"/>
      <c r="K89" s="16"/>
      <c r="L89" s="16"/>
      <c r="M89" s="16"/>
      <c r="N89" s="16"/>
      <c r="O89" s="16"/>
      <c r="P89" s="16"/>
      <c r="Q89" s="16"/>
      <c r="R89" s="16"/>
      <c r="S89" s="16"/>
      <c r="T89" s="16"/>
      <c r="U89" s="16"/>
      <c r="V89" s="16"/>
      <c r="W89" s="16"/>
      <c r="X89" s="16"/>
      <c r="Y89" s="16"/>
      <c r="Z89" s="16"/>
      <c r="AA89" s="16"/>
      <c r="AB89" s="16"/>
      <c r="AC89" s="16"/>
      <c r="AD89" s="16"/>
    </row>
    <row r="90" spans="1:30" ht="15.75" customHeight="1" thickBot="1">
      <c r="A90" s="186" t="s">
        <v>519</v>
      </c>
      <c r="B90" s="16"/>
      <c r="C90" s="128"/>
      <c r="D90" s="51"/>
      <c r="E90" s="51"/>
      <c r="F90" s="51"/>
      <c r="G90" s="51"/>
      <c r="H90" s="51"/>
      <c r="I90" s="51"/>
      <c r="J90" s="51"/>
      <c r="K90" s="51"/>
      <c r="L90" s="232"/>
      <c r="M90" s="231"/>
      <c r="N90" s="16"/>
      <c r="O90" s="16"/>
      <c r="P90" s="16"/>
      <c r="Q90" s="16"/>
      <c r="R90" s="16"/>
      <c r="S90" s="16"/>
      <c r="T90" s="16"/>
      <c r="U90" s="16"/>
      <c r="V90" s="16"/>
      <c r="W90" s="16"/>
      <c r="X90" s="16"/>
      <c r="Y90" s="16"/>
      <c r="Z90" s="16"/>
      <c r="AA90" s="16"/>
      <c r="AB90" s="16"/>
      <c r="AC90" s="16"/>
      <c r="AD90" s="16"/>
    </row>
    <row r="91" spans="1:30" ht="15" customHeight="1" thickTop="1" thickBot="1">
      <c r="A91" s="230" t="s">
        <v>438</v>
      </c>
      <c r="B91" s="230" t="s">
        <v>439</v>
      </c>
      <c r="C91" s="230" t="s">
        <v>520</v>
      </c>
      <c r="D91" s="230" t="s">
        <v>521</v>
      </c>
      <c r="E91" s="230" t="s">
        <v>522</v>
      </c>
      <c r="F91" s="230" t="s">
        <v>523</v>
      </c>
      <c r="G91" s="230" t="s">
        <v>508</v>
      </c>
      <c r="H91" s="721" t="s">
        <v>441</v>
      </c>
      <c r="I91" s="728"/>
      <c r="J91" s="729" t="s">
        <v>434</v>
      </c>
      <c r="K91" s="730"/>
      <c r="L91" s="16"/>
      <c r="M91" s="16"/>
      <c r="N91" s="16"/>
      <c r="O91" s="16"/>
      <c r="P91" s="117"/>
      <c r="Q91" s="15"/>
      <c r="R91" s="16"/>
      <c r="S91" s="130"/>
      <c r="T91" s="16"/>
      <c r="U91" s="16"/>
      <c r="V91" s="16"/>
      <c r="W91" s="241"/>
      <c r="X91" s="16"/>
      <c r="Y91" s="16"/>
      <c r="Z91" s="16"/>
      <c r="AA91" s="16"/>
      <c r="AB91" s="16"/>
    </row>
    <row r="92" spans="1:30" ht="14.25" customHeight="1" thickTop="1">
      <c r="A92" s="244" t="s">
        <v>1383</v>
      </c>
      <c r="B92" s="244" t="s">
        <v>687</v>
      </c>
      <c r="C92" s="339">
        <v>1750</v>
      </c>
      <c r="D92" s="394">
        <v>5</v>
      </c>
      <c r="E92" s="338">
        <v>350</v>
      </c>
      <c r="F92" s="339">
        <v>350</v>
      </c>
      <c r="G92" s="247"/>
      <c r="H92" s="653"/>
      <c r="I92" s="750"/>
      <c r="J92" s="628" t="s">
        <v>526</v>
      </c>
      <c r="K92" s="730"/>
      <c r="L92" s="16"/>
      <c r="M92" s="16"/>
      <c r="N92" s="16"/>
      <c r="O92" s="16"/>
      <c r="P92" s="16"/>
      <c r="Q92" s="133"/>
      <c r="R92" s="16"/>
      <c r="S92" s="16"/>
      <c r="T92" s="16"/>
      <c r="U92" s="16"/>
      <c r="V92" s="16"/>
      <c r="W92" s="16"/>
      <c r="X92" s="16"/>
      <c r="Y92" s="16"/>
      <c r="Z92" s="16"/>
      <c r="AA92" s="16"/>
      <c r="AB92" s="16"/>
    </row>
    <row r="93" spans="1:30" ht="15.75" customHeight="1">
      <c r="A93" s="244" t="s">
        <v>1383</v>
      </c>
      <c r="B93" s="244" t="s">
        <v>687</v>
      </c>
      <c r="C93" s="339">
        <v>1750</v>
      </c>
      <c r="D93" s="394">
        <v>5</v>
      </c>
      <c r="E93" s="338">
        <v>350</v>
      </c>
      <c r="F93" s="339">
        <v>350</v>
      </c>
      <c r="G93" s="247"/>
      <c r="H93" s="744"/>
      <c r="I93" s="751"/>
      <c r="J93" s="702"/>
      <c r="K93" s="732"/>
      <c r="L93" s="16"/>
      <c r="M93" s="16"/>
      <c r="N93" s="16"/>
      <c r="O93" s="16"/>
      <c r="P93" s="16"/>
      <c r="Q93" s="16"/>
      <c r="R93" s="16"/>
      <c r="S93" s="16"/>
      <c r="T93" s="16"/>
      <c r="U93" s="16"/>
      <c r="V93" s="16"/>
      <c r="W93" s="16"/>
      <c r="X93" s="16"/>
      <c r="Y93" s="16"/>
      <c r="Z93" s="16"/>
      <c r="AA93" s="16"/>
      <c r="AB93" s="16"/>
    </row>
    <row r="94" spans="1:30" ht="15.75" customHeight="1">
      <c r="A94" s="244" t="s">
        <v>1383</v>
      </c>
      <c r="B94" s="244" t="s">
        <v>687</v>
      </c>
      <c r="C94" s="339">
        <v>1750</v>
      </c>
      <c r="D94" s="394">
        <v>5</v>
      </c>
      <c r="E94" s="338">
        <v>350</v>
      </c>
      <c r="F94" s="339">
        <v>350</v>
      </c>
      <c r="G94" s="247"/>
      <c r="H94" s="744"/>
      <c r="I94" s="751"/>
      <c r="J94" s="702"/>
      <c r="K94" s="732"/>
      <c r="L94" s="16"/>
      <c r="M94" s="16"/>
      <c r="N94" s="16"/>
      <c r="O94" s="16"/>
      <c r="P94" s="16"/>
      <c r="Q94" s="16"/>
      <c r="R94" s="16"/>
      <c r="S94" s="16"/>
      <c r="T94" s="16"/>
      <c r="U94" s="16"/>
      <c r="V94" s="16"/>
      <c r="W94" s="16"/>
      <c r="X94" s="16"/>
      <c r="Y94" s="16"/>
      <c r="Z94" s="16"/>
      <c r="AA94" s="16"/>
      <c r="AB94" s="16"/>
    </row>
    <row r="95" spans="1:30" ht="15.75" customHeight="1">
      <c r="A95" s="244" t="s">
        <v>1108</v>
      </c>
      <c r="B95" s="244" t="s">
        <v>687</v>
      </c>
      <c r="C95" s="339">
        <v>30</v>
      </c>
      <c r="D95" s="394">
        <v>5</v>
      </c>
      <c r="E95" s="338">
        <v>30</v>
      </c>
      <c r="F95" s="339">
        <v>30</v>
      </c>
      <c r="G95" s="247"/>
      <c r="H95" s="744"/>
      <c r="I95" s="751"/>
      <c r="J95" s="702"/>
      <c r="K95" s="732"/>
      <c r="L95" s="16"/>
      <c r="M95" s="16"/>
      <c r="N95" s="16"/>
      <c r="O95" s="16"/>
      <c r="P95" s="16"/>
      <c r="Q95" s="16"/>
      <c r="R95" s="16"/>
      <c r="S95" s="16"/>
      <c r="T95" s="16"/>
      <c r="U95" s="16"/>
      <c r="V95" s="16"/>
      <c r="W95" s="16"/>
      <c r="X95" s="16"/>
      <c r="Y95" s="16"/>
      <c r="Z95" s="16"/>
      <c r="AA95" s="16"/>
      <c r="AB95" s="16"/>
    </row>
    <row r="96" spans="1:30" ht="15.75" customHeight="1">
      <c r="A96" s="244" t="s">
        <v>1384</v>
      </c>
      <c r="B96" s="244" t="s">
        <v>699</v>
      </c>
      <c r="C96" s="339">
        <v>1500</v>
      </c>
      <c r="D96" s="404"/>
      <c r="E96" s="337"/>
      <c r="F96" s="339">
        <v>1500</v>
      </c>
      <c r="G96" s="247"/>
      <c r="H96" s="744"/>
      <c r="I96" s="751"/>
      <c r="J96" s="702"/>
      <c r="K96" s="732"/>
      <c r="L96" s="16"/>
      <c r="M96" s="16"/>
      <c r="N96" s="16"/>
      <c r="O96" s="16"/>
      <c r="P96" s="16"/>
      <c r="Q96" s="16"/>
      <c r="R96" s="16"/>
      <c r="S96" s="16"/>
      <c r="T96" s="16"/>
      <c r="U96" s="16"/>
      <c r="V96" s="16"/>
      <c r="W96" s="16"/>
      <c r="X96" s="16"/>
      <c r="Y96" s="16"/>
      <c r="Z96" s="16"/>
      <c r="AA96" s="16"/>
      <c r="AB96" s="16"/>
    </row>
    <row r="97" spans="1:30" ht="15.75" customHeight="1">
      <c r="A97" s="244" t="s">
        <v>1385</v>
      </c>
      <c r="B97" s="244" t="s">
        <v>699</v>
      </c>
      <c r="C97" s="339">
        <v>250</v>
      </c>
      <c r="D97" s="404"/>
      <c r="E97" s="337"/>
      <c r="F97" s="339">
        <v>250</v>
      </c>
      <c r="G97" s="247"/>
      <c r="H97" s="744"/>
      <c r="I97" s="751"/>
      <c r="J97" s="702"/>
      <c r="K97" s="732"/>
      <c r="L97" s="16"/>
      <c r="M97" s="16"/>
      <c r="N97" s="16"/>
      <c r="O97" s="16"/>
      <c r="P97" s="16"/>
      <c r="Q97" s="16"/>
      <c r="R97" s="16"/>
      <c r="S97" s="16"/>
      <c r="T97" s="16"/>
      <c r="U97" s="16"/>
      <c r="V97" s="16"/>
      <c r="W97" s="16"/>
      <c r="X97" s="16"/>
      <c r="Y97" s="16"/>
      <c r="Z97" s="16"/>
      <c r="AA97" s="16"/>
      <c r="AB97" s="16"/>
    </row>
    <row r="98" spans="1:30" ht="15.75" customHeight="1">
      <c r="A98" s="244" t="s">
        <v>1386</v>
      </c>
      <c r="B98" s="244" t="s">
        <v>699</v>
      </c>
      <c r="C98" s="339">
        <v>200</v>
      </c>
      <c r="D98" s="404"/>
      <c r="E98" s="337"/>
      <c r="F98" s="339">
        <v>200</v>
      </c>
      <c r="G98" s="247"/>
      <c r="H98" s="744"/>
      <c r="I98" s="751"/>
      <c r="J98" s="702"/>
      <c r="K98" s="732"/>
      <c r="L98" s="16"/>
      <c r="M98" s="16"/>
      <c r="N98" s="16"/>
      <c r="O98" s="16"/>
      <c r="P98" s="16"/>
      <c r="Q98" s="16"/>
      <c r="R98" s="16"/>
      <c r="S98" s="16"/>
      <c r="T98" s="16"/>
      <c r="U98" s="16"/>
      <c r="V98" s="16"/>
      <c r="W98" s="16"/>
      <c r="X98" s="16"/>
      <c r="Y98" s="16"/>
      <c r="Z98" s="16"/>
      <c r="AA98" s="16"/>
      <c r="AB98" s="16"/>
    </row>
    <row r="99" spans="1:30" ht="15.75" customHeight="1">
      <c r="A99" s="244" t="s">
        <v>1387</v>
      </c>
      <c r="B99" s="244" t="s">
        <v>699</v>
      </c>
      <c r="C99" s="339">
        <v>100</v>
      </c>
      <c r="D99" s="408"/>
      <c r="E99" s="337"/>
      <c r="F99" s="339">
        <v>100</v>
      </c>
      <c r="G99" s="247"/>
      <c r="H99" s="744"/>
      <c r="I99" s="751"/>
      <c r="J99" s="702"/>
      <c r="K99" s="732"/>
      <c r="L99" s="16"/>
      <c r="M99" s="16"/>
      <c r="N99" s="16"/>
      <c r="O99" s="16"/>
      <c r="P99" s="16"/>
      <c r="Q99" s="16"/>
      <c r="R99" s="16"/>
      <c r="S99" s="16"/>
      <c r="T99" s="16"/>
      <c r="U99" s="16"/>
      <c r="V99" s="16"/>
      <c r="W99" s="16"/>
      <c r="X99" s="16"/>
      <c r="Y99" s="16"/>
      <c r="Z99" s="16"/>
      <c r="AA99" s="16"/>
      <c r="AB99" s="16"/>
    </row>
    <row r="100" spans="1:30" ht="15.75" customHeight="1">
      <c r="A100" s="244" t="s">
        <v>1388</v>
      </c>
      <c r="B100" s="244" t="s">
        <v>699</v>
      </c>
      <c r="C100" s="339">
        <v>1250</v>
      </c>
      <c r="D100" s="408"/>
      <c r="E100" s="337"/>
      <c r="F100" s="339">
        <v>1250</v>
      </c>
      <c r="G100" s="247"/>
      <c r="H100" s="744"/>
      <c r="I100" s="751"/>
      <c r="J100" s="702"/>
      <c r="K100" s="732"/>
      <c r="L100" s="16"/>
      <c r="M100" s="16"/>
      <c r="N100" s="16"/>
      <c r="O100" s="16"/>
      <c r="P100" s="16"/>
      <c r="Q100" s="16"/>
      <c r="R100" s="16"/>
      <c r="S100" s="16"/>
      <c r="T100" s="16"/>
      <c r="U100" s="16"/>
      <c r="V100" s="16"/>
      <c r="W100" s="16"/>
      <c r="X100" s="16"/>
      <c r="Y100" s="16"/>
      <c r="Z100" s="16"/>
      <c r="AA100" s="16"/>
      <c r="AB100" s="16"/>
    </row>
    <row r="101" spans="1:30" ht="15.75" customHeight="1">
      <c r="A101" s="244" t="s">
        <v>1389</v>
      </c>
      <c r="B101" s="244" t="s">
        <v>699</v>
      </c>
      <c r="C101" s="339">
        <v>250</v>
      </c>
      <c r="D101" s="408"/>
      <c r="E101" s="337"/>
      <c r="F101" s="339">
        <v>250</v>
      </c>
      <c r="G101" s="247"/>
      <c r="H101" s="744"/>
      <c r="I101" s="751"/>
      <c r="J101" s="702"/>
      <c r="K101" s="732"/>
      <c r="L101" s="16"/>
      <c r="M101" s="16"/>
      <c r="N101" s="16"/>
      <c r="O101" s="16"/>
      <c r="P101" s="16"/>
      <c r="Q101" s="16"/>
      <c r="R101" s="16"/>
      <c r="S101" s="16"/>
      <c r="T101" s="16"/>
      <c r="U101" s="16"/>
      <c r="V101" s="16"/>
      <c r="W101" s="16"/>
      <c r="X101" s="16"/>
      <c r="Y101" s="16"/>
      <c r="Z101" s="16"/>
      <c r="AA101" s="16"/>
      <c r="AB101" s="16"/>
    </row>
    <row r="102" spans="1:30" ht="15.75" customHeight="1">
      <c r="A102" s="231"/>
      <c r="B102" s="244"/>
      <c r="C102" s="246">
        <v>0</v>
      </c>
      <c r="D102" s="247"/>
      <c r="E102" s="245"/>
      <c r="F102" s="246">
        <f>IF(Table_617031[[#This Row],[Item]]="",0,Table_617031[[#This Row],[Amount]]*Table_617031[[#This Row],[Purchase / Running costs]]/Table_617031[[#This Row],[Depreciation period]])</f>
        <v>0</v>
      </c>
      <c r="G102" s="247"/>
      <c r="H102" s="744"/>
      <c r="I102" s="751"/>
      <c r="J102" s="702"/>
      <c r="K102" s="732"/>
      <c r="L102" s="16"/>
      <c r="M102" s="16"/>
      <c r="N102" s="16"/>
      <c r="O102" s="16"/>
      <c r="P102" s="16"/>
      <c r="Q102" s="16"/>
      <c r="R102" s="16"/>
      <c r="S102" s="16"/>
      <c r="T102" s="16"/>
      <c r="U102" s="16"/>
      <c r="V102" s="16"/>
      <c r="W102" s="16"/>
      <c r="X102" s="16"/>
      <c r="Y102" s="16"/>
      <c r="Z102" s="16"/>
      <c r="AA102" s="16"/>
      <c r="AB102" s="16"/>
    </row>
    <row r="103" spans="1:30" ht="15.75" customHeight="1">
      <c r="A103" s="231"/>
      <c r="B103" s="244"/>
      <c r="C103" s="246">
        <v>0</v>
      </c>
      <c r="D103" s="247"/>
      <c r="E103" s="245"/>
      <c r="F103" s="246">
        <f>IF(Table_617031[[#This Row],[Item]]="",0,Table_617031[[#This Row],[Amount]]*Table_617031[[#This Row],[Purchase / Running costs]]/Table_617031[[#This Row],[Depreciation period]])</f>
        <v>0</v>
      </c>
      <c r="G103" s="247"/>
      <c r="H103" s="744"/>
      <c r="I103" s="751"/>
      <c r="J103" s="702"/>
      <c r="K103" s="732"/>
      <c r="L103" s="16"/>
      <c r="M103" s="16"/>
      <c r="N103" s="16"/>
      <c r="O103" s="16"/>
      <c r="P103" s="16"/>
      <c r="Q103" s="16"/>
      <c r="R103" s="16"/>
      <c r="S103" s="16"/>
      <c r="T103" s="16"/>
      <c r="U103" s="16"/>
      <c r="V103" s="16"/>
      <c r="W103" s="16"/>
      <c r="X103" s="16"/>
      <c r="Y103" s="16"/>
      <c r="Z103" s="16"/>
      <c r="AA103" s="16"/>
      <c r="AB103" s="16"/>
    </row>
    <row r="104" spans="1:30" ht="15.75" customHeight="1">
      <c r="A104" s="231"/>
      <c r="B104" s="244"/>
      <c r="C104" s="246">
        <v>0</v>
      </c>
      <c r="D104" s="247"/>
      <c r="E104" s="245"/>
      <c r="F104" s="246">
        <f>IF(Table_617031[[#This Row],[Item]]="",0,Table_617031[[#This Row],[Amount]]*Table_617031[[#This Row],[Purchase / Running costs]]/Table_617031[[#This Row],[Depreciation period]])</f>
        <v>0</v>
      </c>
      <c r="G104" s="247"/>
      <c r="H104" s="744"/>
      <c r="I104" s="751"/>
      <c r="J104" s="702"/>
      <c r="K104" s="732"/>
      <c r="L104" s="16"/>
      <c r="M104" s="16"/>
      <c r="N104" s="16"/>
      <c r="O104" s="16"/>
      <c r="P104" s="16"/>
      <c r="Q104" s="16"/>
      <c r="R104" s="16"/>
      <c r="S104" s="16"/>
      <c r="T104" s="16"/>
      <c r="U104" s="16"/>
      <c r="V104" s="16"/>
      <c r="W104" s="16"/>
      <c r="X104" s="16"/>
      <c r="Y104" s="16"/>
      <c r="Z104" s="16"/>
      <c r="AA104" s="16"/>
      <c r="AB104" s="16"/>
    </row>
    <row r="105" spans="1:30" ht="15.75" customHeight="1" thickBot="1">
      <c r="A105" s="231"/>
      <c r="B105" s="244"/>
      <c r="C105" s="246">
        <v>0</v>
      </c>
      <c r="D105" s="247"/>
      <c r="E105" s="245"/>
      <c r="F105" s="246">
        <f>IF(Table_617031[[#This Row],[Item]]="",0,Table_617031[[#This Row],[Amount]]*Table_617031[[#This Row],[Purchase / Running costs]]/Table_617031[[#This Row],[Depreciation period]])</f>
        <v>0</v>
      </c>
      <c r="G105" s="247"/>
      <c r="H105" s="747"/>
      <c r="I105" s="748"/>
      <c r="J105" s="752"/>
      <c r="K105" s="734"/>
      <c r="L105" s="16"/>
      <c r="M105" s="16"/>
      <c r="N105" s="16"/>
      <c r="O105" s="16"/>
      <c r="P105" s="16"/>
      <c r="Q105" s="16"/>
      <c r="R105" s="16"/>
      <c r="S105" s="16"/>
      <c r="T105" s="16"/>
      <c r="U105" s="16"/>
      <c r="V105" s="16"/>
      <c r="W105" s="16"/>
      <c r="X105" s="16"/>
      <c r="Y105" s="16"/>
      <c r="Z105" s="16"/>
      <c r="AA105" s="16"/>
      <c r="AB105" s="16"/>
    </row>
    <row r="106" spans="1:30" ht="15.75" customHeight="1" thickTop="1">
      <c r="A106" s="15"/>
      <c r="B106" s="131"/>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c r="AD106" s="16"/>
    </row>
    <row r="107" spans="1:30" ht="15.75" customHeight="1">
      <c r="A107" s="15"/>
      <c r="B107" s="131"/>
      <c r="C107" s="16"/>
      <c r="D107" s="16"/>
      <c r="E107" s="16"/>
      <c r="F107" s="16"/>
      <c r="G107" s="16"/>
      <c r="I107" s="16"/>
      <c r="J107" s="16"/>
      <c r="K107" s="16"/>
      <c r="L107" s="16"/>
      <c r="M107" s="16"/>
      <c r="N107" s="16"/>
      <c r="O107" s="16"/>
      <c r="P107" s="16"/>
      <c r="Q107" s="16"/>
      <c r="R107" s="16"/>
      <c r="S107" s="16"/>
      <c r="T107" s="16"/>
      <c r="U107" s="16"/>
      <c r="V107" s="16"/>
      <c r="W107" s="16"/>
      <c r="X107" s="16"/>
      <c r="Y107" s="16"/>
      <c r="Z107" s="16"/>
      <c r="AA107" s="16"/>
      <c r="AB107" s="16"/>
      <c r="AC107" s="16"/>
      <c r="AD107" s="16"/>
    </row>
    <row r="108" spans="1:30" ht="15.75" customHeight="1">
      <c r="H108" s="51"/>
      <c r="I108" s="51"/>
      <c r="J108" s="51"/>
      <c r="K108" s="51"/>
      <c r="L108" s="16"/>
      <c r="M108" s="16"/>
      <c r="N108" s="16"/>
      <c r="O108" s="16"/>
      <c r="P108" s="16"/>
      <c r="Q108" s="16"/>
      <c r="R108" s="16"/>
      <c r="S108" s="16"/>
      <c r="T108" s="16"/>
      <c r="U108" s="16"/>
      <c r="V108" s="16"/>
      <c r="W108" s="16"/>
      <c r="X108" s="16"/>
      <c r="Y108" s="16"/>
      <c r="Z108" s="16"/>
      <c r="AA108" s="16"/>
      <c r="AB108" s="16"/>
      <c r="AC108" s="16"/>
      <c r="AD108" s="16"/>
    </row>
    <row r="109" spans="1:30" ht="15.75" customHeight="1">
      <c r="L109" s="16"/>
      <c r="M109" s="16"/>
      <c r="N109" s="16"/>
      <c r="O109" s="16"/>
      <c r="P109" s="16"/>
      <c r="Q109" s="16"/>
      <c r="R109" s="16"/>
      <c r="S109" s="16"/>
      <c r="T109" s="16"/>
      <c r="U109" s="16"/>
      <c r="V109" s="16"/>
      <c r="W109" s="16"/>
      <c r="X109" s="16"/>
      <c r="Y109" s="16"/>
      <c r="Z109" s="16"/>
      <c r="AA109" s="16"/>
      <c r="AB109" s="16"/>
      <c r="AC109" s="16"/>
      <c r="AD109" s="16"/>
    </row>
    <row r="110" spans="1:30" ht="15.75" customHeight="1">
      <c r="L110" s="16"/>
      <c r="M110" s="16"/>
      <c r="N110" s="16"/>
      <c r="O110" s="16"/>
      <c r="P110" s="16"/>
      <c r="Q110" s="16"/>
      <c r="R110" s="16"/>
      <c r="S110" s="16"/>
      <c r="T110" s="16"/>
      <c r="U110" s="16"/>
      <c r="V110" s="16"/>
      <c r="W110" s="16"/>
      <c r="X110" s="16"/>
      <c r="Y110" s="16"/>
      <c r="Z110" s="16"/>
      <c r="AA110" s="16"/>
      <c r="AB110" s="16"/>
      <c r="AC110" s="16"/>
      <c r="AD110" s="16"/>
    </row>
    <row r="111" spans="1:30" ht="15.75" customHeight="1">
      <c r="L111" s="16"/>
      <c r="M111" s="16"/>
      <c r="N111" s="16"/>
      <c r="O111" s="16"/>
      <c r="P111" s="16"/>
      <c r="Q111" s="16"/>
      <c r="R111" s="16"/>
      <c r="S111" s="16"/>
      <c r="T111" s="16"/>
      <c r="U111" s="16"/>
      <c r="V111" s="16"/>
      <c r="W111" s="16"/>
      <c r="X111" s="16"/>
      <c r="Y111" s="16"/>
      <c r="Z111" s="16"/>
      <c r="AA111" s="16"/>
      <c r="AB111" s="16"/>
      <c r="AC111" s="16"/>
      <c r="AD111" s="16"/>
    </row>
    <row r="112" spans="1:30" ht="15.75" customHeight="1">
      <c r="L112" s="16"/>
      <c r="M112" s="16"/>
      <c r="N112" s="16"/>
      <c r="O112" s="16"/>
      <c r="P112" s="16"/>
      <c r="Q112" s="16"/>
      <c r="R112" s="16"/>
      <c r="S112" s="16"/>
      <c r="T112" s="16"/>
      <c r="U112" s="16"/>
      <c r="V112" s="16"/>
      <c r="W112" s="16"/>
      <c r="X112" s="16"/>
      <c r="Y112" s="16"/>
      <c r="Z112" s="16"/>
      <c r="AA112" s="16"/>
      <c r="AB112" s="16"/>
      <c r="AC112" s="16"/>
      <c r="AD112" s="16"/>
    </row>
    <row r="113" spans="1:30" ht="15.75" customHeight="1">
      <c r="L113" s="16"/>
      <c r="M113" s="16"/>
      <c r="N113" s="16"/>
      <c r="O113" s="16"/>
      <c r="P113" s="16"/>
      <c r="Q113" s="16"/>
      <c r="R113" s="16"/>
      <c r="S113" s="16"/>
      <c r="T113" s="16"/>
      <c r="U113" s="16"/>
      <c r="V113" s="16"/>
      <c r="W113" s="16"/>
      <c r="X113" s="16"/>
      <c r="Y113" s="16"/>
      <c r="Z113" s="16"/>
      <c r="AA113" s="16"/>
      <c r="AB113" s="16"/>
      <c r="AC113" s="16"/>
      <c r="AD113" s="16"/>
    </row>
    <row r="114" spans="1:30" ht="15.75" customHeight="1">
      <c r="L114" s="16"/>
      <c r="M114" s="16"/>
      <c r="N114" s="16"/>
      <c r="O114" s="16"/>
      <c r="P114" s="16"/>
      <c r="Q114" s="16"/>
      <c r="R114" s="16"/>
      <c r="S114" s="16"/>
      <c r="T114" s="16"/>
      <c r="U114" s="16"/>
      <c r="V114" s="16"/>
      <c r="W114" s="16"/>
      <c r="X114" s="16"/>
      <c r="Y114" s="16"/>
      <c r="Z114" s="16"/>
      <c r="AA114" s="16"/>
      <c r="AB114" s="16"/>
      <c r="AC114" s="16"/>
      <c r="AD114" s="16"/>
    </row>
    <row r="115" spans="1:30" ht="15.75" customHeight="1">
      <c r="L115" s="16"/>
      <c r="M115" s="16"/>
      <c r="N115" s="16"/>
      <c r="O115" s="16"/>
      <c r="P115" s="735"/>
      <c r="Q115" s="696"/>
      <c r="R115" s="696"/>
      <c r="S115" s="16"/>
      <c r="T115" s="16"/>
      <c r="U115" s="16"/>
      <c r="V115" s="16"/>
      <c r="W115" s="16"/>
      <c r="X115" s="16"/>
      <c r="Y115" s="16"/>
      <c r="Z115" s="16"/>
      <c r="AA115" s="16"/>
      <c r="AB115" s="16"/>
      <c r="AC115" s="16"/>
      <c r="AD115" s="16"/>
    </row>
    <row r="116" spans="1:30" ht="15.75" customHeight="1">
      <c r="L116" s="16"/>
      <c r="M116" s="16"/>
      <c r="N116" s="16"/>
      <c r="O116" s="16"/>
      <c r="P116" s="735"/>
      <c r="Q116" s="696"/>
      <c r="R116" s="696"/>
      <c r="S116" s="16"/>
      <c r="T116" s="16"/>
      <c r="U116" s="16"/>
      <c r="V116" s="16"/>
      <c r="W116" s="16"/>
      <c r="X116" s="16"/>
      <c r="Y116" s="16"/>
      <c r="Z116" s="16"/>
      <c r="AA116" s="16"/>
      <c r="AB116" s="16"/>
      <c r="AC116" s="16"/>
      <c r="AD116" s="16"/>
    </row>
    <row r="117" spans="1:30" ht="15.75" customHeight="1">
      <c r="L117" s="16"/>
      <c r="M117" s="16"/>
      <c r="N117" s="16"/>
      <c r="O117" s="16"/>
      <c r="P117" s="735"/>
      <c r="Q117" s="696"/>
      <c r="R117" s="696"/>
      <c r="S117" s="16"/>
      <c r="T117" s="16"/>
      <c r="U117" s="16"/>
      <c r="V117" s="16"/>
      <c r="W117" s="16"/>
      <c r="X117" s="16"/>
      <c r="Y117" s="16"/>
      <c r="Z117" s="16"/>
      <c r="AA117" s="16"/>
      <c r="AB117" s="16"/>
      <c r="AC117" s="16"/>
      <c r="AD117" s="16"/>
    </row>
    <row r="118" spans="1:30" ht="15.75" customHeight="1">
      <c r="L118" s="16"/>
      <c r="M118" s="16"/>
      <c r="N118" s="16"/>
      <c r="O118" s="16"/>
      <c r="P118" s="735"/>
      <c r="Q118" s="696"/>
      <c r="R118" s="696"/>
      <c r="S118" s="16"/>
      <c r="T118" s="16"/>
      <c r="U118" s="16"/>
      <c r="V118" s="16"/>
      <c r="W118" s="16"/>
      <c r="X118" s="16"/>
      <c r="Y118" s="16"/>
      <c r="Z118" s="16"/>
      <c r="AA118" s="16"/>
      <c r="AB118" s="16"/>
      <c r="AC118" s="16"/>
      <c r="AD118" s="16"/>
    </row>
    <row r="119" spans="1:30" ht="15.75" customHeight="1">
      <c r="L119" s="16"/>
      <c r="M119" s="16"/>
      <c r="N119" s="16"/>
      <c r="O119" s="16"/>
      <c r="P119" s="735"/>
      <c r="Q119" s="696"/>
      <c r="R119" s="696"/>
      <c r="S119" s="16"/>
      <c r="T119" s="16"/>
      <c r="U119" s="16"/>
      <c r="V119" s="16"/>
      <c r="W119" s="16"/>
      <c r="X119" s="16"/>
      <c r="Y119" s="16"/>
      <c r="Z119" s="16"/>
      <c r="AA119" s="16"/>
      <c r="AB119" s="16"/>
      <c r="AC119" s="16"/>
      <c r="AD119" s="16"/>
    </row>
    <row r="120" spans="1:30" ht="15.75" customHeight="1">
      <c r="L120" s="16"/>
      <c r="M120" s="16"/>
      <c r="N120" s="16"/>
      <c r="O120" s="16"/>
      <c r="P120" s="735"/>
      <c r="Q120" s="696"/>
      <c r="R120" s="696"/>
      <c r="S120" s="16"/>
      <c r="T120" s="16"/>
      <c r="U120" s="16"/>
      <c r="V120" s="16"/>
      <c r="W120" s="16"/>
      <c r="X120" s="16"/>
      <c r="Y120" s="16"/>
      <c r="Z120" s="16"/>
      <c r="AA120" s="16"/>
      <c r="AB120" s="16"/>
      <c r="AC120" s="16"/>
      <c r="AD120" s="16"/>
    </row>
    <row r="121" spans="1:30" ht="15.75" customHeight="1">
      <c r="H121" s="248"/>
      <c r="I121" s="248"/>
      <c r="J121" s="228"/>
      <c r="K121" s="228"/>
      <c r="L121" s="16"/>
      <c r="M121" s="16"/>
      <c r="N121" s="16"/>
      <c r="O121" s="16"/>
      <c r="P121" s="735"/>
      <c r="Q121" s="696"/>
      <c r="R121" s="696"/>
      <c r="S121" s="16"/>
      <c r="T121" s="16"/>
      <c r="U121" s="16"/>
      <c r="V121" s="16"/>
      <c r="W121" s="16"/>
      <c r="X121" s="16"/>
      <c r="Y121" s="16"/>
      <c r="Z121" s="16"/>
      <c r="AA121" s="16"/>
      <c r="AB121" s="16"/>
      <c r="AC121" s="16"/>
      <c r="AD121" s="16"/>
    </row>
    <row r="122" spans="1:30" ht="15.75" customHeight="1">
      <c r="A122" s="231"/>
      <c r="B122" s="231"/>
      <c r="C122" s="246"/>
      <c r="D122" s="247"/>
      <c r="E122" s="245"/>
      <c r="F122" s="246"/>
      <c r="G122" s="247"/>
      <c r="H122" s="248"/>
      <c r="I122" s="248"/>
      <c r="J122" s="228"/>
      <c r="K122" s="228"/>
      <c r="L122" s="16"/>
      <c r="M122" s="16"/>
      <c r="N122" s="16"/>
      <c r="O122" s="16"/>
      <c r="P122" s="16"/>
      <c r="Q122" s="16"/>
      <c r="R122" s="16"/>
      <c r="S122" s="16"/>
      <c r="T122" s="16"/>
      <c r="U122" s="16"/>
      <c r="V122" s="16"/>
      <c r="W122" s="16"/>
      <c r="X122" s="16"/>
      <c r="Y122" s="16"/>
      <c r="Z122" s="16"/>
      <c r="AA122" s="16"/>
      <c r="AB122" s="16"/>
      <c r="AC122" s="16"/>
      <c r="AD122" s="16"/>
    </row>
    <row r="123" spans="1:30" ht="15.75" customHeight="1">
      <c r="A123" s="231"/>
      <c r="B123" s="16"/>
      <c r="C123" s="246"/>
      <c r="D123" s="247"/>
      <c r="E123" s="245"/>
      <c r="F123" s="246"/>
      <c r="G123" s="247"/>
      <c r="H123" s="228"/>
      <c r="I123" s="228"/>
      <c r="J123" s="228"/>
      <c r="K123" s="228"/>
      <c r="L123" s="16"/>
      <c r="M123" s="735"/>
      <c r="N123" s="696"/>
      <c r="O123" s="696"/>
      <c r="P123" s="735"/>
      <c r="Q123" s="696"/>
      <c r="R123" s="696"/>
      <c r="S123" s="696"/>
      <c r="T123" s="696"/>
      <c r="U123" s="16"/>
      <c r="V123" s="16"/>
      <c r="W123" s="16"/>
      <c r="X123" s="16"/>
      <c r="Y123" s="16"/>
      <c r="Z123" s="16"/>
      <c r="AA123" s="16"/>
      <c r="AB123" s="16"/>
      <c r="AC123" s="16"/>
      <c r="AD123" s="16"/>
    </row>
    <row r="124" spans="1:30" ht="15.75" customHeight="1">
      <c r="A124" s="16"/>
      <c r="B124" s="16"/>
      <c r="C124" s="16"/>
      <c r="D124" s="16"/>
      <c r="E124" s="16"/>
      <c r="F124" s="16"/>
      <c r="G124" s="16"/>
      <c r="H124" s="16"/>
      <c r="I124" s="16"/>
      <c r="J124" s="16"/>
      <c r="K124" s="16"/>
      <c r="L124" s="16"/>
      <c r="M124" s="735"/>
      <c r="N124" s="696"/>
      <c r="O124" s="696"/>
      <c r="P124" s="735"/>
      <c r="Q124" s="696"/>
      <c r="R124" s="696"/>
      <c r="S124" s="696"/>
      <c r="T124" s="696"/>
      <c r="U124" s="16"/>
      <c r="V124" s="16"/>
      <c r="W124" s="16"/>
      <c r="X124" s="16"/>
      <c r="Y124" s="16"/>
      <c r="Z124" s="16"/>
      <c r="AA124" s="16"/>
      <c r="AB124" s="16"/>
      <c r="AC124" s="16"/>
      <c r="AD124" s="16"/>
    </row>
    <row r="125" spans="1:30" ht="15.75" customHeight="1">
      <c r="A125" s="16"/>
      <c r="B125" s="16"/>
      <c r="C125" s="16"/>
      <c r="D125" s="16"/>
      <c r="E125" s="16"/>
      <c r="F125" s="16"/>
      <c r="G125" s="16"/>
      <c r="H125" s="16"/>
      <c r="I125" s="16"/>
      <c r="J125" s="16"/>
      <c r="K125" s="16"/>
      <c r="L125" s="16"/>
      <c r="M125" s="735"/>
      <c r="N125" s="696"/>
      <c r="O125" s="696"/>
      <c r="P125" s="696"/>
      <c r="Q125" s="696"/>
      <c r="R125" s="696"/>
      <c r="S125" s="696"/>
      <c r="T125" s="696"/>
      <c r="U125" s="16"/>
      <c r="V125" s="16"/>
      <c r="W125" s="16"/>
      <c r="X125" s="16"/>
      <c r="Y125" s="16"/>
      <c r="Z125" s="16"/>
      <c r="AA125" s="16"/>
      <c r="AB125" s="16"/>
      <c r="AC125" s="16"/>
      <c r="AD125" s="16"/>
    </row>
    <row r="126" spans="1:30" ht="15.75" customHeight="1">
      <c r="A126" s="16"/>
      <c r="B126" s="16"/>
      <c r="C126" s="16"/>
      <c r="D126" s="16"/>
      <c r="E126" s="16"/>
      <c r="F126" s="16"/>
      <c r="G126" s="16"/>
      <c r="H126" s="16"/>
      <c r="I126" s="16"/>
      <c r="J126" s="16"/>
      <c r="K126" s="16"/>
      <c r="L126" s="16"/>
      <c r="M126" s="735"/>
      <c r="N126" s="696"/>
      <c r="O126" s="696"/>
      <c r="P126" s="696"/>
      <c r="Q126" s="696"/>
      <c r="R126" s="696"/>
      <c r="S126" s="696"/>
      <c r="T126" s="696"/>
      <c r="U126" s="16"/>
      <c r="V126" s="16"/>
      <c r="W126" s="16"/>
      <c r="X126" s="16"/>
      <c r="Y126" s="16"/>
      <c r="Z126" s="16"/>
      <c r="AA126" s="16"/>
      <c r="AB126" s="16"/>
      <c r="AC126" s="16"/>
      <c r="AD126" s="16"/>
    </row>
    <row r="127" spans="1:30" ht="15.75" customHeight="1">
      <c r="A127" s="16"/>
      <c r="B127" s="16"/>
      <c r="C127" s="16"/>
      <c r="D127" s="16"/>
      <c r="E127" s="16"/>
      <c r="F127" s="16"/>
      <c r="G127" s="16"/>
      <c r="H127" s="16"/>
      <c r="I127" s="16"/>
      <c r="J127" s="16"/>
      <c r="K127" s="16"/>
      <c r="L127" s="16"/>
      <c r="M127" s="735"/>
      <c r="N127" s="696"/>
      <c r="O127" s="696"/>
      <c r="P127" s="696"/>
      <c r="Q127" s="696"/>
      <c r="R127" s="696"/>
      <c r="S127" s="696"/>
      <c r="T127" s="696"/>
      <c r="U127" s="16"/>
      <c r="V127" s="16"/>
      <c r="W127" s="16"/>
      <c r="X127" s="16"/>
      <c r="Y127" s="16"/>
      <c r="Z127" s="16"/>
      <c r="AA127" s="16"/>
      <c r="AB127" s="16"/>
      <c r="AC127" s="16"/>
      <c r="AD127" s="16"/>
    </row>
    <row r="128" spans="1:30" ht="15.75" customHeight="1">
      <c r="A128" s="16"/>
      <c r="B128" s="16"/>
      <c r="C128" s="16"/>
      <c r="D128" s="16"/>
      <c r="E128" s="16"/>
      <c r="F128" s="16"/>
      <c r="G128" s="16"/>
      <c r="H128" s="16"/>
      <c r="I128" s="16"/>
      <c r="J128" s="16"/>
      <c r="K128" s="16"/>
      <c r="L128" s="16"/>
      <c r="M128" s="735"/>
      <c r="N128" s="696"/>
      <c r="O128" s="696"/>
      <c r="P128" s="696"/>
      <c r="Q128" s="696"/>
      <c r="R128" s="696"/>
      <c r="S128" s="696"/>
      <c r="T128" s="696"/>
      <c r="U128" s="16"/>
      <c r="V128" s="16"/>
      <c r="W128" s="16"/>
      <c r="X128" s="16"/>
      <c r="Y128" s="16"/>
      <c r="Z128" s="16"/>
      <c r="AA128" s="16"/>
      <c r="AB128" s="16"/>
      <c r="AC128" s="16"/>
      <c r="AD128" s="16"/>
    </row>
    <row r="129" spans="1:30" ht="15.75" customHeight="1">
      <c r="A129" s="16"/>
      <c r="B129" s="16"/>
      <c r="C129" s="16"/>
      <c r="D129" s="16"/>
      <c r="E129" s="16"/>
      <c r="F129" s="16"/>
      <c r="G129" s="16"/>
      <c r="H129" s="16"/>
      <c r="I129" s="16"/>
      <c r="J129" s="16"/>
      <c r="K129" s="16"/>
      <c r="L129" s="16"/>
      <c r="M129" s="735"/>
      <c r="N129" s="696"/>
      <c r="O129" s="696"/>
      <c r="P129" s="696"/>
      <c r="Q129" s="696"/>
      <c r="R129" s="696"/>
      <c r="S129" s="696"/>
      <c r="T129" s="696"/>
      <c r="U129" s="16"/>
      <c r="V129" s="16"/>
      <c r="W129" s="16"/>
      <c r="X129" s="16"/>
      <c r="Y129" s="16"/>
      <c r="Z129" s="16"/>
      <c r="AA129" s="16"/>
      <c r="AB129" s="16"/>
      <c r="AC129" s="16"/>
      <c r="AD129" s="16"/>
    </row>
    <row r="130" spans="1:30" ht="15.75" customHeight="1">
      <c r="A130" s="16"/>
      <c r="B130" s="16"/>
      <c r="C130" s="16"/>
      <c r="D130" s="16"/>
      <c r="E130" s="16"/>
      <c r="F130" s="16"/>
      <c r="G130" s="16"/>
      <c r="H130" s="16"/>
      <c r="I130" s="16"/>
      <c r="J130" s="16"/>
      <c r="K130" s="16"/>
      <c r="L130" s="16"/>
      <c r="M130" s="735"/>
      <c r="N130" s="696"/>
      <c r="O130" s="696"/>
      <c r="P130" s="696"/>
      <c r="Q130" s="696"/>
      <c r="R130" s="696"/>
      <c r="S130" s="696"/>
      <c r="T130" s="696"/>
      <c r="U130" s="16"/>
      <c r="V130" s="16"/>
      <c r="W130" s="16"/>
      <c r="X130" s="16"/>
      <c r="Y130" s="16"/>
      <c r="Z130" s="16"/>
      <c r="AA130" s="16"/>
      <c r="AB130" s="16"/>
      <c r="AC130" s="16"/>
      <c r="AD130" s="16"/>
    </row>
    <row r="131" spans="1:30" ht="15.75" customHeight="1">
      <c r="A131" s="16"/>
      <c r="B131" s="16"/>
      <c r="C131" s="16"/>
      <c r="D131" s="16"/>
      <c r="E131" s="16"/>
      <c r="F131" s="16"/>
      <c r="G131" s="16"/>
      <c r="H131" s="16"/>
      <c r="I131" s="16"/>
      <c r="J131" s="16"/>
      <c r="K131" s="16"/>
      <c r="L131" s="16"/>
      <c r="M131" s="735"/>
      <c r="N131" s="696"/>
      <c r="O131" s="696"/>
      <c r="P131" s="696"/>
      <c r="Q131" s="696"/>
      <c r="R131" s="696"/>
      <c r="S131" s="696"/>
      <c r="T131" s="696"/>
      <c r="U131" s="16"/>
      <c r="V131" s="16"/>
      <c r="W131" s="16"/>
      <c r="X131" s="16"/>
      <c r="Y131" s="16"/>
      <c r="Z131" s="16"/>
      <c r="AA131" s="16"/>
      <c r="AB131" s="16"/>
      <c r="AC131" s="16"/>
      <c r="AD131" s="16"/>
    </row>
    <row r="132" spans="1:30" ht="15.75" customHeight="1">
      <c r="A132" s="16"/>
      <c r="B132" s="16"/>
      <c r="C132" s="16"/>
      <c r="D132" s="16"/>
      <c r="E132" s="16"/>
      <c r="F132" s="16"/>
      <c r="G132" s="16"/>
      <c r="H132" s="16"/>
      <c r="I132" s="16"/>
      <c r="J132" s="16"/>
      <c r="K132" s="16"/>
      <c r="L132" s="16"/>
      <c r="M132" s="735"/>
      <c r="N132" s="696"/>
      <c r="O132" s="696"/>
      <c r="P132" s="696"/>
      <c r="Q132" s="696"/>
      <c r="R132" s="696"/>
      <c r="S132" s="696"/>
      <c r="T132" s="696"/>
      <c r="U132" s="16"/>
      <c r="V132" s="16"/>
      <c r="W132" s="16"/>
      <c r="X132" s="16"/>
      <c r="Y132" s="16"/>
      <c r="Z132" s="16"/>
      <c r="AA132" s="16"/>
      <c r="AB132" s="16"/>
      <c r="AC132" s="16"/>
      <c r="AD132" s="16"/>
    </row>
    <row r="133" spans="1:30" ht="15.75" customHeight="1">
      <c r="A133" s="16"/>
      <c r="B133" s="16"/>
      <c r="C133" s="16"/>
      <c r="D133" s="16"/>
      <c r="E133" s="16"/>
      <c r="F133" s="16"/>
      <c r="G133" s="16"/>
      <c r="H133" s="16"/>
      <c r="I133" s="16"/>
      <c r="J133" s="16"/>
      <c r="K133" s="16"/>
      <c r="L133" s="16"/>
      <c r="M133" s="735"/>
      <c r="N133" s="696"/>
      <c r="O133" s="696"/>
      <c r="P133" s="696"/>
      <c r="Q133" s="696"/>
      <c r="R133" s="696"/>
      <c r="S133" s="696"/>
      <c r="T133" s="696"/>
      <c r="U133" s="16"/>
      <c r="V133" s="16"/>
      <c r="W133" s="16"/>
      <c r="X133" s="16"/>
      <c r="Y133" s="16"/>
      <c r="Z133" s="16"/>
      <c r="AA133" s="16"/>
      <c r="AB133" s="16"/>
      <c r="AC133" s="16"/>
      <c r="AD133" s="16"/>
    </row>
    <row r="134" spans="1:30" ht="15.75" customHeight="1">
      <c r="A134" s="16"/>
      <c r="B134" s="16"/>
      <c r="C134" s="16"/>
      <c r="D134" s="16"/>
      <c r="E134" s="16"/>
      <c r="F134" s="16"/>
      <c r="G134" s="16"/>
      <c r="H134" s="16"/>
      <c r="I134" s="16"/>
      <c r="J134" s="16"/>
      <c r="K134" s="16"/>
      <c r="L134" s="16"/>
      <c r="M134" s="735"/>
      <c r="N134" s="696"/>
      <c r="O134" s="696"/>
      <c r="P134" s="696"/>
      <c r="Q134" s="696"/>
      <c r="R134" s="696"/>
      <c r="S134" s="696"/>
      <c r="T134" s="696"/>
      <c r="U134" s="16"/>
      <c r="V134" s="16"/>
      <c r="W134" s="16"/>
      <c r="X134" s="16"/>
      <c r="Y134" s="16"/>
      <c r="Z134" s="16"/>
      <c r="AA134" s="16"/>
      <c r="AB134" s="16"/>
      <c r="AC134" s="16"/>
      <c r="AD134" s="16"/>
    </row>
    <row r="135" spans="1:30" ht="15.75" customHeight="1">
      <c r="A135" s="16"/>
      <c r="B135" s="16"/>
      <c r="C135" s="16"/>
      <c r="D135" s="16"/>
      <c r="E135" s="16"/>
      <c r="F135" s="16"/>
      <c r="G135" s="16"/>
      <c r="H135" s="16"/>
      <c r="I135" s="16"/>
      <c r="J135" s="16"/>
      <c r="K135" s="16"/>
      <c r="L135" s="16"/>
      <c r="M135" s="735"/>
      <c r="N135" s="696"/>
      <c r="O135" s="696"/>
      <c r="P135" s="696"/>
      <c r="Q135" s="696"/>
      <c r="R135" s="696"/>
      <c r="S135" s="696"/>
      <c r="T135" s="696"/>
      <c r="U135" s="16"/>
      <c r="V135" s="16"/>
      <c r="W135" s="16"/>
      <c r="X135" s="16"/>
      <c r="Y135" s="16"/>
      <c r="Z135" s="16"/>
      <c r="AA135" s="16"/>
      <c r="AB135" s="16"/>
      <c r="AC135" s="16"/>
      <c r="AD135" s="16"/>
    </row>
    <row r="136" spans="1:30" ht="15.75" customHeight="1">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c r="AA136" s="16"/>
      <c r="AB136" s="16"/>
      <c r="AC136" s="16"/>
      <c r="AD136" s="16"/>
    </row>
    <row r="137" spans="1:30" ht="15.75" customHeight="1">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c r="AA137" s="16"/>
      <c r="AB137" s="16"/>
      <c r="AC137" s="16"/>
      <c r="AD137" s="16"/>
    </row>
    <row r="138" spans="1:30" ht="15.75" customHeight="1">
      <c r="A138" s="16"/>
      <c r="B138" s="16"/>
      <c r="C138" s="16"/>
      <c r="D138" s="16"/>
      <c r="E138" s="16"/>
      <c r="F138" s="16"/>
      <c r="G138" s="16"/>
      <c r="H138" s="16"/>
      <c r="I138" s="16"/>
      <c r="J138" s="16"/>
      <c r="K138" s="16"/>
      <c r="L138" s="16"/>
      <c r="M138" s="735"/>
      <c r="N138" s="696"/>
      <c r="O138" s="696"/>
      <c r="P138" s="735"/>
      <c r="Q138" s="696"/>
      <c r="R138" s="696"/>
      <c r="S138" s="696"/>
      <c r="T138" s="696"/>
      <c r="U138" s="16"/>
      <c r="V138" s="16"/>
      <c r="W138" s="16"/>
      <c r="X138" s="16"/>
      <c r="Y138" s="16"/>
      <c r="Z138" s="16"/>
      <c r="AA138" s="16"/>
      <c r="AB138" s="16"/>
      <c r="AC138" s="16"/>
      <c r="AD138" s="16"/>
    </row>
    <row r="139" spans="1:30" ht="15.75" customHeight="1">
      <c r="A139" s="16"/>
      <c r="B139" s="16"/>
      <c r="C139" s="16"/>
      <c r="D139" s="16"/>
      <c r="E139" s="16"/>
      <c r="F139" s="16"/>
      <c r="G139" s="16"/>
      <c r="H139" s="16"/>
      <c r="I139" s="16"/>
      <c r="J139" s="16"/>
      <c r="K139" s="16"/>
      <c r="L139" s="16"/>
      <c r="M139" s="735"/>
      <c r="N139" s="696"/>
      <c r="O139" s="696"/>
      <c r="P139" s="735"/>
      <c r="Q139" s="696"/>
      <c r="R139" s="696"/>
      <c r="S139" s="696"/>
      <c r="T139" s="696"/>
      <c r="U139" s="16"/>
      <c r="V139" s="16"/>
      <c r="W139" s="16"/>
      <c r="X139" s="16"/>
      <c r="Y139" s="16"/>
      <c r="Z139" s="16"/>
      <c r="AA139" s="16"/>
      <c r="AB139" s="16"/>
      <c r="AC139" s="16"/>
      <c r="AD139" s="16"/>
    </row>
    <row r="140" spans="1:30" ht="15.75" customHeight="1">
      <c r="A140" s="16"/>
      <c r="B140" s="16"/>
      <c r="C140" s="16"/>
      <c r="D140" s="16"/>
      <c r="E140" s="16"/>
      <c r="F140" s="16"/>
      <c r="G140" s="16"/>
      <c r="H140" s="16"/>
      <c r="I140" s="16"/>
      <c r="J140" s="16"/>
      <c r="K140" s="16"/>
      <c r="L140" s="16"/>
      <c r="M140" s="735"/>
      <c r="N140" s="696"/>
      <c r="O140" s="696"/>
      <c r="P140" s="696"/>
      <c r="Q140" s="696"/>
      <c r="R140" s="696"/>
      <c r="S140" s="696"/>
      <c r="T140" s="696"/>
      <c r="U140" s="16"/>
      <c r="V140" s="16"/>
      <c r="W140" s="16"/>
      <c r="X140" s="16"/>
      <c r="Y140" s="16"/>
      <c r="Z140" s="16"/>
      <c r="AA140" s="16"/>
      <c r="AB140" s="16"/>
      <c r="AC140" s="16"/>
      <c r="AD140" s="16"/>
    </row>
    <row r="141" spans="1:30" ht="15.75" customHeight="1">
      <c r="A141" s="16"/>
      <c r="B141" s="16"/>
      <c r="C141" s="16"/>
      <c r="D141" s="16"/>
      <c r="E141" s="16"/>
      <c r="F141" s="16"/>
      <c r="G141" s="16"/>
      <c r="H141" s="16"/>
      <c r="I141" s="16"/>
      <c r="J141" s="16"/>
      <c r="K141" s="16"/>
      <c r="L141" s="16"/>
      <c r="M141" s="735"/>
      <c r="N141" s="696"/>
      <c r="O141" s="696"/>
      <c r="P141" s="696"/>
      <c r="Q141" s="696"/>
      <c r="R141" s="696"/>
      <c r="S141" s="696"/>
      <c r="T141" s="696"/>
      <c r="U141" s="16"/>
      <c r="V141" s="16"/>
      <c r="W141" s="16"/>
      <c r="X141" s="16"/>
      <c r="Y141" s="16"/>
      <c r="Z141" s="16"/>
      <c r="AA141" s="16"/>
      <c r="AB141" s="16"/>
      <c r="AC141" s="16"/>
      <c r="AD141" s="16"/>
    </row>
    <row r="142" spans="1:30" ht="15.75" customHeight="1">
      <c r="A142" s="16"/>
      <c r="B142" s="16"/>
      <c r="C142" s="16"/>
      <c r="D142" s="16"/>
      <c r="E142" s="16"/>
      <c r="F142" s="16"/>
      <c r="G142" s="16"/>
      <c r="H142" s="16"/>
      <c r="I142" s="16"/>
      <c r="J142" s="16"/>
      <c r="K142" s="16"/>
      <c r="L142" s="16"/>
      <c r="M142" s="735"/>
      <c r="N142" s="696"/>
      <c r="O142" s="696"/>
      <c r="P142" s="696"/>
      <c r="Q142" s="696"/>
      <c r="R142" s="696"/>
      <c r="S142" s="696"/>
      <c r="T142" s="696"/>
      <c r="U142" s="16"/>
      <c r="V142" s="16"/>
      <c r="W142" s="16"/>
      <c r="X142" s="16"/>
      <c r="Y142" s="16"/>
      <c r="Z142" s="16"/>
      <c r="AA142" s="16"/>
      <c r="AB142" s="16"/>
      <c r="AC142" s="16"/>
      <c r="AD142" s="16"/>
    </row>
    <row r="143" spans="1:30" ht="15.75" customHeight="1">
      <c r="A143" s="16"/>
      <c r="B143" s="16"/>
      <c r="C143" s="16"/>
      <c r="D143" s="16"/>
      <c r="E143" s="16"/>
      <c r="F143" s="16"/>
      <c r="G143" s="16"/>
      <c r="H143" s="16"/>
      <c r="I143" s="16"/>
      <c r="J143" s="16"/>
      <c r="K143" s="16"/>
      <c r="L143" s="16"/>
      <c r="M143" s="735"/>
      <c r="N143" s="696"/>
      <c r="O143" s="696"/>
      <c r="P143" s="696"/>
      <c r="Q143" s="696"/>
      <c r="R143" s="696"/>
      <c r="S143" s="696"/>
      <c r="T143" s="696"/>
      <c r="U143" s="16"/>
      <c r="V143" s="16"/>
      <c r="W143" s="16"/>
      <c r="X143" s="16"/>
      <c r="Y143" s="16"/>
      <c r="Z143" s="16"/>
      <c r="AA143" s="16"/>
      <c r="AB143" s="16"/>
      <c r="AC143" s="16"/>
      <c r="AD143" s="16"/>
    </row>
    <row r="144" spans="1:30" ht="15.75" customHeight="1">
      <c r="A144" s="16"/>
      <c r="B144" s="16"/>
      <c r="C144" s="16"/>
      <c r="D144" s="16"/>
      <c r="E144" s="16"/>
      <c r="F144" s="16"/>
      <c r="G144" s="16"/>
      <c r="H144" s="16"/>
      <c r="I144" s="16"/>
      <c r="J144" s="16"/>
      <c r="K144" s="16"/>
      <c r="L144" s="16"/>
      <c r="M144" s="735"/>
      <c r="N144" s="696"/>
      <c r="O144" s="696"/>
      <c r="P144" s="696"/>
      <c r="Q144" s="696"/>
      <c r="R144" s="696"/>
      <c r="S144" s="696"/>
      <c r="T144" s="696"/>
      <c r="U144" s="16"/>
      <c r="V144" s="16"/>
      <c r="W144" s="16"/>
      <c r="X144" s="16"/>
      <c r="Y144" s="16"/>
      <c r="Z144" s="16"/>
      <c r="AA144" s="16"/>
      <c r="AB144" s="16"/>
      <c r="AC144" s="16"/>
      <c r="AD144" s="16"/>
    </row>
    <row r="145" spans="1:30" ht="15.75" customHeight="1">
      <c r="A145" s="16"/>
      <c r="B145" s="16"/>
      <c r="C145" s="16"/>
      <c r="D145" s="16"/>
      <c r="E145" s="16"/>
      <c r="F145" s="16"/>
      <c r="G145" s="16"/>
      <c r="H145" s="16"/>
      <c r="I145" s="16"/>
      <c r="J145" s="16"/>
      <c r="K145" s="16"/>
      <c r="L145" s="16"/>
      <c r="M145" s="735"/>
      <c r="N145" s="696"/>
      <c r="O145" s="696"/>
      <c r="P145" s="696"/>
      <c r="Q145" s="696"/>
      <c r="R145" s="696"/>
      <c r="S145" s="696"/>
      <c r="T145" s="696"/>
      <c r="U145" s="16"/>
      <c r="V145" s="16"/>
      <c r="W145" s="16"/>
      <c r="X145" s="16"/>
      <c r="Y145" s="16"/>
      <c r="Z145" s="16"/>
      <c r="AA145" s="16"/>
      <c r="AB145" s="16"/>
      <c r="AC145" s="16"/>
      <c r="AD145" s="16"/>
    </row>
    <row r="146" spans="1:30" ht="15.75" customHeight="1">
      <c r="A146" s="16"/>
      <c r="B146" s="16"/>
      <c r="C146" s="16"/>
      <c r="D146" s="16"/>
      <c r="E146" s="16"/>
      <c r="F146" s="16"/>
      <c r="G146" s="16"/>
      <c r="H146" s="16"/>
      <c r="I146" s="16"/>
      <c r="J146" s="16"/>
      <c r="K146" s="16"/>
      <c r="L146" s="16"/>
      <c r="M146" s="735"/>
      <c r="N146" s="696"/>
      <c r="O146" s="696"/>
      <c r="P146" s="696"/>
      <c r="Q146" s="696"/>
      <c r="R146" s="696"/>
      <c r="S146" s="696"/>
      <c r="T146" s="696"/>
      <c r="U146" s="16"/>
      <c r="V146" s="16"/>
      <c r="W146" s="16"/>
      <c r="X146" s="16"/>
      <c r="Y146" s="16"/>
      <c r="Z146" s="16"/>
      <c r="AA146" s="16"/>
      <c r="AB146" s="16"/>
      <c r="AC146" s="16"/>
      <c r="AD146" s="16"/>
    </row>
    <row r="147" spans="1:30" ht="15.75" customHeight="1">
      <c r="A147" s="16"/>
      <c r="B147" s="16"/>
      <c r="C147" s="16"/>
      <c r="D147" s="16"/>
      <c r="E147" s="16"/>
      <c r="F147" s="16"/>
      <c r="G147" s="16"/>
      <c r="H147" s="16"/>
      <c r="I147" s="16"/>
      <c r="J147" s="16"/>
      <c r="K147" s="16"/>
      <c r="L147" s="16"/>
      <c r="M147" s="735"/>
      <c r="N147" s="696"/>
      <c r="O147" s="696"/>
      <c r="P147" s="696"/>
      <c r="Q147" s="696"/>
      <c r="R147" s="696"/>
      <c r="S147" s="696"/>
      <c r="T147" s="696"/>
      <c r="U147" s="16"/>
      <c r="V147" s="16"/>
      <c r="W147" s="16"/>
      <c r="X147" s="16"/>
      <c r="Y147" s="16"/>
      <c r="Z147" s="16"/>
      <c r="AA147" s="16"/>
      <c r="AB147" s="16"/>
      <c r="AC147" s="16"/>
      <c r="AD147" s="16"/>
    </row>
    <row r="148" spans="1:30" ht="15.75" customHeight="1">
      <c r="A148" s="16"/>
      <c r="B148" s="16"/>
      <c r="C148" s="16"/>
      <c r="D148" s="16"/>
      <c r="E148" s="16"/>
      <c r="F148" s="16"/>
      <c r="G148" s="16"/>
      <c r="H148" s="16"/>
      <c r="I148" s="16"/>
      <c r="J148" s="16"/>
      <c r="K148" s="16"/>
      <c r="L148" s="16"/>
      <c r="M148" s="735"/>
      <c r="N148" s="696"/>
      <c r="O148" s="696"/>
      <c r="P148" s="696"/>
      <c r="Q148" s="696"/>
      <c r="R148" s="696"/>
      <c r="S148" s="696"/>
      <c r="T148" s="696"/>
      <c r="U148" s="16"/>
      <c r="V148" s="16"/>
      <c r="W148" s="16"/>
      <c r="X148" s="16"/>
      <c r="Y148" s="16"/>
      <c r="Z148" s="16"/>
      <c r="AA148" s="16"/>
      <c r="AB148" s="16"/>
      <c r="AC148" s="16"/>
      <c r="AD148" s="16"/>
    </row>
    <row r="149" spans="1:30" ht="15.75" customHeight="1">
      <c r="A149" s="16"/>
      <c r="B149" s="16"/>
      <c r="C149" s="16"/>
      <c r="D149" s="16"/>
      <c r="E149" s="16"/>
      <c r="F149" s="16"/>
      <c r="G149" s="16"/>
      <c r="H149" s="16"/>
      <c r="I149" s="16"/>
      <c r="J149" s="16"/>
      <c r="K149" s="16"/>
      <c r="L149" s="16"/>
      <c r="M149" s="735"/>
      <c r="N149" s="696"/>
      <c r="O149" s="696"/>
      <c r="P149" s="696"/>
      <c r="Q149" s="696"/>
      <c r="R149" s="696"/>
      <c r="S149" s="696"/>
      <c r="T149" s="696"/>
      <c r="U149" s="16"/>
      <c r="V149" s="16"/>
      <c r="W149" s="16"/>
      <c r="X149" s="16"/>
      <c r="Y149" s="16"/>
      <c r="Z149" s="16"/>
      <c r="AA149" s="16"/>
      <c r="AB149" s="16"/>
      <c r="AC149" s="16"/>
      <c r="AD149" s="16"/>
    </row>
    <row r="150" spans="1:30" ht="15.75" customHeight="1">
      <c r="A150" s="16"/>
      <c r="B150" s="16"/>
      <c r="C150" s="16"/>
      <c r="D150" s="16"/>
      <c r="E150" s="16"/>
      <c r="F150" s="16"/>
      <c r="G150" s="16"/>
      <c r="H150" s="16"/>
      <c r="I150" s="16"/>
      <c r="J150" s="16"/>
      <c r="K150" s="16"/>
      <c r="L150" s="16"/>
      <c r="M150" s="735"/>
      <c r="N150" s="696"/>
      <c r="O150" s="696"/>
      <c r="P150" s="696"/>
      <c r="Q150" s="696"/>
      <c r="R150" s="696"/>
      <c r="S150" s="696"/>
      <c r="T150" s="696"/>
      <c r="U150" s="16"/>
      <c r="V150" s="16"/>
      <c r="W150" s="16"/>
      <c r="X150" s="16"/>
      <c r="Y150" s="16"/>
      <c r="Z150" s="16"/>
      <c r="AA150" s="16"/>
      <c r="AB150" s="16"/>
      <c r="AC150" s="16"/>
      <c r="AD150" s="16"/>
    </row>
    <row r="151" spans="1:30" ht="15.75" customHeight="1">
      <c r="A151" s="16"/>
      <c r="B151" s="16"/>
      <c r="C151" s="16"/>
      <c r="D151" s="16"/>
      <c r="E151" s="16"/>
      <c r="F151" s="16"/>
      <c r="G151" s="16"/>
      <c r="H151" s="16"/>
      <c r="I151" s="16"/>
      <c r="J151" s="16"/>
      <c r="K151" s="16"/>
      <c r="L151" s="16"/>
      <c r="M151" s="735"/>
      <c r="N151" s="696"/>
      <c r="O151" s="696"/>
      <c r="P151" s="696"/>
      <c r="Q151" s="696"/>
      <c r="R151" s="696"/>
      <c r="S151" s="696"/>
      <c r="T151" s="696"/>
      <c r="U151" s="16"/>
      <c r="V151" s="16"/>
      <c r="W151" s="16"/>
      <c r="X151" s="16"/>
      <c r="Y151" s="16"/>
      <c r="Z151" s="16"/>
      <c r="AA151" s="16"/>
      <c r="AB151" s="16"/>
      <c r="AC151" s="16"/>
      <c r="AD151" s="16"/>
    </row>
    <row r="152" spans="1:30" ht="15.75" customHeight="1">
      <c r="A152" s="16"/>
      <c r="B152" s="16"/>
      <c r="C152" s="16"/>
      <c r="D152" s="16"/>
      <c r="E152" s="16"/>
      <c r="F152" s="16"/>
      <c r="G152" s="16"/>
      <c r="H152" s="16"/>
      <c r="I152" s="16"/>
      <c r="J152" s="16"/>
      <c r="K152" s="16"/>
      <c r="L152" s="16"/>
      <c r="M152" s="735"/>
      <c r="N152" s="696"/>
      <c r="O152" s="696"/>
      <c r="P152" s="696"/>
      <c r="Q152" s="696"/>
      <c r="R152" s="696"/>
      <c r="S152" s="696"/>
      <c r="T152" s="696"/>
      <c r="U152" s="16"/>
      <c r="V152" s="16"/>
      <c r="W152" s="16"/>
      <c r="X152" s="16"/>
      <c r="Y152" s="16"/>
      <c r="Z152" s="16"/>
      <c r="AA152" s="16"/>
      <c r="AB152" s="16"/>
      <c r="AC152" s="16"/>
      <c r="AD152" s="16"/>
    </row>
    <row r="153" spans="1:30" ht="15.75" customHeight="1">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c r="AA153" s="16"/>
      <c r="AB153" s="16"/>
      <c r="AC153" s="16"/>
      <c r="AD153" s="16"/>
    </row>
    <row r="154" spans="1:30" ht="15.75" customHeight="1">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c r="AA154" s="16"/>
      <c r="AB154" s="16"/>
      <c r="AC154" s="16"/>
      <c r="AD154" s="16"/>
    </row>
    <row r="155" spans="1:30" ht="15.75" customHeight="1">
      <c r="A155" s="16"/>
      <c r="B155" s="735"/>
      <c r="C155" s="696"/>
      <c r="D155" s="16"/>
      <c r="E155" s="16"/>
      <c r="F155" s="16"/>
      <c r="G155" s="16"/>
      <c r="H155" s="16"/>
      <c r="I155" s="16"/>
      <c r="J155" s="16"/>
      <c r="K155" s="16"/>
      <c r="L155" s="16"/>
      <c r="M155" s="735"/>
      <c r="N155" s="696"/>
      <c r="O155" s="696"/>
      <c r="P155" s="735"/>
      <c r="Q155" s="696"/>
      <c r="R155" s="696"/>
      <c r="S155" s="696"/>
      <c r="T155" s="696"/>
      <c r="U155" s="16"/>
      <c r="V155" s="16"/>
      <c r="W155" s="16"/>
      <c r="X155" s="16"/>
      <c r="Y155" s="16"/>
      <c r="Z155" s="16"/>
      <c r="AA155" s="16"/>
      <c r="AB155" s="16"/>
      <c r="AC155" s="16"/>
      <c r="AD155" s="16"/>
    </row>
    <row r="156" spans="1:30" ht="15.75" customHeight="1">
      <c r="A156" s="16"/>
      <c r="B156" s="735"/>
      <c r="C156" s="696"/>
      <c r="D156" s="16"/>
      <c r="E156" s="16"/>
      <c r="F156" s="16"/>
      <c r="G156" s="16"/>
      <c r="H156" s="16"/>
      <c r="I156" s="16"/>
      <c r="J156" s="16"/>
      <c r="K156" s="16"/>
      <c r="L156" s="16"/>
      <c r="M156" s="735"/>
      <c r="N156" s="696"/>
      <c r="O156" s="696"/>
      <c r="P156" s="735"/>
      <c r="Q156" s="696"/>
      <c r="R156" s="696"/>
      <c r="S156" s="696"/>
      <c r="T156" s="696"/>
      <c r="U156" s="16"/>
      <c r="V156" s="16"/>
      <c r="W156" s="16"/>
      <c r="X156" s="16"/>
      <c r="Y156" s="16"/>
      <c r="Z156" s="16"/>
      <c r="AA156" s="16"/>
      <c r="AB156" s="16"/>
      <c r="AC156" s="16"/>
      <c r="AD156" s="16"/>
    </row>
    <row r="157" spans="1:30" ht="15.75" customHeight="1">
      <c r="A157" s="16"/>
      <c r="B157" s="735"/>
      <c r="C157" s="696"/>
      <c r="D157" s="16"/>
      <c r="E157" s="16"/>
      <c r="F157" s="16"/>
      <c r="G157" s="16"/>
      <c r="H157" s="16"/>
      <c r="I157" s="16"/>
      <c r="J157" s="16"/>
      <c r="K157" s="16"/>
      <c r="L157" s="16"/>
      <c r="M157" s="735"/>
      <c r="N157" s="696"/>
      <c r="O157" s="696"/>
      <c r="P157" s="696"/>
      <c r="Q157" s="696"/>
      <c r="R157" s="696"/>
      <c r="S157" s="696"/>
      <c r="T157" s="696"/>
      <c r="U157" s="16"/>
      <c r="V157" s="16"/>
      <c r="W157" s="16"/>
      <c r="X157" s="16"/>
      <c r="Y157" s="16"/>
      <c r="Z157" s="16"/>
      <c r="AA157" s="16"/>
      <c r="AB157" s="16"/>
      <c r="AC157" s="16"/>
      <c r="AD157" s="16"/>
    </row>
    <row r="158" spans="1:30" ht="15.75" customHeight="1">
      <c r="A158" s="16"/>
      <c r="B158" s="735"/>
      <c r="C158" s="696"/>
      <c r="D158" s="16"/>
      <c r="E158" s="16"/>
      <c r="F158" s="16"/>
      <c r="G158" s="16"/>
      <c r="H158" s="16"/>
      <c r="I158" s="16"/>
      <c r="J158" s="16"/>
      <c r="K158" s="16"/>
      <c r="L158" s="16"/>
      <c r="M158" s="735"/>
      <c r="N158" s="696"/>
      <c r="O158" s="696"/>
      <c r="P158" s="696"/>
      <c r="Q158" s="696"/>
      <c r="R158" s="696"/>
      <c r="S158" s="696"/>
      <c r="T158" s="696"/>
      <c r="U158" s="16"/>
      <c r="V158" s="16"/>
      <c r="W158" s="16"/>
      <c r="X158" s="16"/>
      <c r="Y158" s="16"/>
      <c r="Z158" s="16"/>
      <c r="AA158" s="16"/>
      <c r="AB158" s="16"/>
      <c r="AC158" s="16"/>
      <c r="AD158" s="16"/>
    </row>
    <row r="159" spans="1:30" ht="15.75" customHeight="1">
      <c r="A159" s="16"/>
      <c r="B159" s="735"/>
      <c r="C159" s="696"/>
      <c r="D159" s="16"/>
      <c r="E159" s="16"/>
      <c r="F159" s="16"/>
      <c r="G159" s="16"/>
      <c r="H159" s="16"/>
      <c r="I159" s="16"/>
      <c r="J159" s="16"/>
      <c r="K159" s="16"/>
      <c r="L159" s="16"/>
      <c r="M159" s="735"/>
      <c r="N159" s="696"/>
      <c r="O159" s="696"/>
      <c r="P159" s="696"/>
      <c r="Q159" s="696"/>
      <c r="R159" s="696"/>
      <c r="S159" s="696"/>
      <c r="T159" s="696"/>
      <c r="U159" s="16"/>
      <c r="V159" s="16"/>
      <c r="W159" s="16"/>
      <c r="X159" s="16"/>
      <c r="Y159" s="16"/>
      <c r="Z159" s="16"/>
      <c r="AA159" s="16"/>
      <c r="AB159" s="16"/>
      <c r="AC159" s="16"/>
      <c r="AD159" s="16"/>
    </row>
    <row r="160" spans="1:30" ht="15.75" customHeight="1">
      <c r="A160" s="16"/>
      <c r="B160" s="735"/>
      <c r="C160" s="696"/>
      <c r="D160" s="16"/>
      <c r="E160" s="16"/>
      <c r="F160" s="16"/>
      <c r="G160" s="16"/>
      <c r="H160" s="16"/>
      <c r="I160" s="16"/>
      <c r="J160" s="16"/>
      <c r="K160" s="16"/>
      <c r="L160" s="16"/>
      <c r="M160" s="735"/>
      <c r="N160" s="696"/>
      <c r="O160" s="696"/>
      <c r="P160" s="696"/>
      <c r="Q160" s="696"/>
      <c r="R160" s="696"/>
      <c r="S160" s="696"/>
      <c r="T160" s="696"/>
      <c r="U160" s="16"/>
      <c r="V160" s="16"/>
      <c r="W160" s="16"/>
      <c r="X160" s="16"/>
      <c r="Y160" s="16"/>
      <c r="Z160" s="16"/>
      <c r="AA160" s="16"/>
      <c r="AB160" s="16"/>
      <c r="AC160" s="16"/>
      <c r="AD160" s="16"/>
    </row>
    <row r="161" spans="1:30" ht="15.75" customHeight="1">
      <c r="A161" s="16"/>
      <c r="B161" s="735"/>
      <c r="C161" s="696"/>
      <c r="D161" s="16"/>
      <c r="E161" s="16"/>
      <c r="F161" s="16"/>
      <c r="G161" s="16"/>
      <c r="H161" s="16"/>
      <c r="I161" s="16"/>
      <c r="J161" s="16"/>
      <c r="K161" s="16"/>
      <c r="L161" s="16"/>
      <c r="M161" s="735"/>
      <c r="N161" s="696"/>
      <c r="O161" s="696"/>
      <c r="P161" s="696"/>
      <c r="Q161" s="696"/>
      <c r="R161" s="696"/>
      <c r="S161" s="696"/>
      <c r="T161" s="696"/>
      <c r="U161" s="16"/>
      <c r="V161" s="16"/>
      <c r="W161" s="16"/>
      <c r="X161" s="16"/>
      <c r="Y161" s="16"/>
      <c r="Z161" s="16"/>
      <c r="AA161" s="16"/>
      <c r="AB161" s="16"/>
      <c r="AC161" s="16"/>
      <c r="AD161" s="16"/>
    </row>
    <row r="162" spans="1:30" ht="15.75" customHeight="1">
      <c r="A162" s="16"/>
      <c r="B162" s="735"/>
      <c r="C162" s="696"/>
      <c r="D162" s="16"/>
      <c r="E162" s="16"/>
      <c r="F162" s="16"/>
      <c r="G162" s="16"/>
      <c r="H162" s="16"/>
      <c r="I162" s="16"/>
      <c r="J162" s="16"/>
      <c r="K162" s="16"/>
      <c r="L162" s="16"/>
      <c r="M162" s="735"/>
      <c r="N162" s="696"/>
      <c r="O162" s="696"/>
      <c r="P162" s="696"/>
      <c r="Q162" s="696"/>
      <c r="R162" s="696"/>
      <c r="S162" s="696"/>
      <c r="T162" s="696"/>
      <c r="U162" s="16"/>
      <c r="V162" s="16"/>
      <c r="W162" s="16"/>
      <c r="X162" s="16"/>
      <c r="Y162" s="16"/>
      <c r="Z162" s="16"/>
      <c r="AA162" s="16"/>
      <c r="AB162" s="16"/>
      <c r="AC162" s="16"/>
      <c r="AD162" s="16"/>
    </row>
    <row r="163" spans="1:30" ht="15.75" customHeight="1">
      <c r="A163" s="16"/>
      <c r="B163" s="735"/>
      <c r="C163" s="696"/>
      <c r="D163" s="16"/>
      <c r="E163" s="16"/>
      <c r="F163" s="16"/>
      <c r="G163" s="16"/>
      <c r="H163" s="16"/>
      <c r="I163" s="16"/>
      <c r="J163" s="16"/>
      <c r="K163" s="16"/>
      <c r="L163" s="16"/>
      <c r="M163" s="735"/>
      <c r="N163" s="696"/>
      <c r="O163" s="696"/>
      <c r="P163" s="696"/>
      <c r="Q163" s="696"/>
      <c r="R163" s="696"/>
      <c r="S163" s="696"/>
      <c r="T163" s="696"/>
      <c r="U163" s="16"/>
      <c r="V163" s="16"/>
      <c r="W163" s="16"/>
      <c r="X163" s="16"/>
      <c r="Y163" s="16"/>
      <c r="Z163" s="16"/>
      <c r="AA163" s="16"/>
      <c r="AB163" s="16"/>
      <c r="AC163" s="16"/>
      <c r="AD163" s="16"/>
    </row>
    <row r="164" spans="1:30" ht="15.75" customHeight="1">
      <c r="A164" s="16"/>
      <c r="B164" s="735"/>
      <c r="C164" s="696"/>
      <c r="D164" s="16"/>
      <c r="E164" s="16"/>
      <c r="F164" s="16"/>
      <c r="G164" s="16"/>
      <c r="H164" s="16"/>
      <c r="I164" s="16"/>
      <c r="J164" s="16"/>
      <c r="K164" s="16"/>
      <c r="L164" s="16"/>
      <c r="M164" s="735"/>
      <c r="N164" s="696"/>
      <c r="O164" s="696"/>
      <c r="P164" s="696"/>
      <c r="Q164" s="696"/>
      <c r="R164" s="696"/>
      <c r="S164" s="696"/>
      <c r="T164" s="696"/>
      <c r="U164" s="16"/>
      <c r="V164" s="16"/>
      <c r="W164" s="16"/>
      <c r="X164" s="16"/>
      <c r="Y164" s="16"/>
      <c r="Z164" s="16"/>
      <c r="AA164" s="16"/>
      <c r="AB164" s="16"/>
      <c r="AC164" s="16"/>
      <c r="AD164" s="16"/>
    </row>
    <row r="165" spans="1:30" ht="15.75" customHeight="1">
      <c r="A165" s="16"/>
      <c r="B165" s="735"/>
      <c r="C165" s="696"/>
      <c r="D165" s="16"/>
      <c r="E165" s="16"/>
      <c r="F165" s="16"/>
      <c r="G165" s="16"/>
      <c r="H165" s="16"/>
      <c r="I165" s="16"/>
      <c r="J165" s="16"/>
      <c r="K165" s="16"/>
      <c r="L165" s="16"/>
      <c r="M165" s="735"/>
      <c r="N165" s="696"/>
      <c r="O165" s="696"/>
      <c r="P165" s="696"/>
      <c r="Q165" s="696"/>
      <c r="R165" s="696"/>
      <c r="S165" s="696"/>
      <c r="T165" s="696"/>
      <c r="U165" s="16"/>
      <c r="V165" s="16"/>
      <c r="W165" s="16"/>
      <c r="X165" s="16"/>
      <c r="Y165" s="16"/>
      <c r="Z165" s="16"/>
      <c r="AA165" s="16"/>
      <c r="AB165" s="16"/>
      <c r="AC165" s="16"/>
      <c r="AD165" s="16"/>
    </row>
    <row r="166" spans="1:30" ht="15.75" customHeight="1">
      <c r="A166" s="16"/>
      <c r="B166" s="735"/>
      <c r="C166" s="696"/>
      <c r="D166" s="16"/>
      <c r="E166" s="16"/>
      <c r="F166" s="16"/>
      <c r="G166" s="16"/>
      <c r="H166" s="16"/>
      <c r="I166" s="16"/>
      <c r="J166" s="16"/>
      <c r="K166" s="16"/>
      <c r="L166" s="16"/>
      <c r="M166" s="735"/>
      <c r="N166" s="696"/>
      <c r="O166" s="696"/>
      <c r="P166" s="696"/>
      <c r="Q166" s="696"/>
      <c r="R166" s="696"/>
      <c r="S166" s="696"/>
      <c r="T166" s="696"/>
      <c r="U166" s="16"/>
      <c r="V166" s="16"/>
      <c r="W166" s="16"/>
      <c r="X166" s="16"/>
      <c r="Y166" s="16"/>
      <c r="Z166" s="16"/>
      <c r="AA166" s="16"/>
      <c r="AB166" s="16"/>
      <c r="AC166" s="16"/>
      <c r="AD166" s="16"/>
    </row>
    <row r="167" spans="1:30" ht="15.75" customHeight="1">
      <c r="A167" s="16"/>
      <c r="B167" s="735"/>
      <c r="C167" s="696"/>
      <c r="D167" s="16"/>
      <c r="E167" s="16"/>
      <c r="F167" s="16"/>
      <c r="G167" s="16"/>
      <c r="H167" s="16"/>
      <c r="I167" s="16"/>
      <c r="J167" s="16"/>
      <c r="K167" s="16"/>
      <c r="L167" s="16"/>
      <c r="M167" s="735"/>
      <c r="N167" s="696"/>
      <c r="O167" s="696"/>
      <c r="P167" s="696"/>
      <c r="Q167" s="696"/>
      <c r="R167" s="696"/>
      <c r="S167" s="696"/>
      <c r="T167" s="696"/>
      <c r="U167" s="16"/>
      <c r="V167" s="16"/>
      <c r="W167" s="16"/>
      <c r="X167" s="16"/>
      <c r="Y167" s="16"/>
      <c r="Z167" s="16"/>
      <c r="AA167" s="16"/>
      <c r="AB167" s="16"/>
      <c r="AC167" s="16"/>
      <c r="AD167" s="16"/>
    </row>
    <row r="168" spans="1:30" ht="15.75" customHeight="1">
      <c r="A168" s="16"/>
      <c r="B168" s="735"/>
      <c r="C168" s="696"/>
      <c r="D168" s="16"/>
      <c r="E168" s="16"/>
      <c r="F168" s="16"/>
      <c r="G168" s="16"/>
      <c r="H168" s="16"/>
      <c r="I168" s="16"/>
      <c r="J168" s="16"/>
      <c r="K168" s="16"/>
      <c r="L168" s="16"/>
      <c r="M168" s="735"/>
      <c r="N168" s="696"/>
      <c r="O168" s="696"/>
      <c r="P168" s="696"/>
      <c r="Q168" s="696"/>
      <c r="R168" s="696"/>
      <c r="S168" s="696"/>
      <c r="T168" s="696"/>
      <c r="U168" s="16"/>
      <c r="V168" s="16"/>
      <c r="W168" s="16"/>
      <c r="X168" s="16"/>
      <c r="Y168" s="16"/>
      <c r="Z168" s="16"/>
      <c r="AA168" s="16"/>
      <c r="AB168" s="16"/>
      <c r="AC168" s="16"/>
      <c r="AD168" s="16"/>
    </row>
    <row r="169" spans="1:30" ht="15.75" customHeight="1">
      <c r="A169" s="16"/>
      <c r="B169" s="735"/>
      <c r="C169" s="696"/>
      <c r="D169" s="16"/>
      <c r="E169" s="16"/>
      <c r="F169" s="16"/>
      <c r="G169" s="16"/>
      <c r="H169" s="16"/>
      <c r="I169" s="16"/>
      <c r="J169" s="16"/>
      <c r="K169" s="16"/>
      <c r="L169" s="16"/>
      <c r="M169" s="735"/>
      <c r="N169" s="696"/>
      <c r="O169" s="696"/>
      <c r="P169" s="696"/>
      <c r="Q169" s="696"/>
      <c r="R169" s="696"/>
      <c r="S169" s="696"/>
      <c r="T169" s="696"/>
      <c r="U169" s="16"/>
      <c r="V169" s="16"/>
      <c r="W169" s="16"/>
      <c r="X169" s="16"/>
      <c r="Y169" s="16"/>
      <c r="Z169" s="16"/>
      <c r="AA169" s="16"/>
      <c r="AB169" s="16"/>
      <c r="AC169" s="16"/>
      <c r="AD169" s="16"/>
    </row>
    <row r="170" spans="1:30" ht="15.75" customHeight="1">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c r="AA170" s="16"/>
      <c r="AB170" s="16"/>
      <c r="AC170" s="16"/>
      <c r="AD170" s="16"/>
    </row>
    <row r="171" spans="1:30" ht="15.75" customHeight="1">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c r="AA171" s="16"/>
      <c r="AB171" s="16"/>
      <c r="AC171" s="16"/>
      <c r="AD171" s="16"/>
    </row>
    <row r="172" spans="1:30" ht="15.75" customHeight="1">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row>
    <row r="173" spans="1:30" ht="15.75" customHeight="1">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c r="AC173" s="16"/>
      <c r="AD173" s="16"/>
    </row>
    <row r="174" spans="1:30" ht="15.75" customHeight="1">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c r="AC174" s="16"/>
      <c r="AD174" s="16"/>
    </row>
    <row r="175" spans="1:30" ht="15.75" customHeight="1">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c r="AA175" s="16"/>
      <c r="AB175" s="16"/>
      <c r="AC175" s="16"/>
      <c r="AD175" s="16"/>
    </row>
    <row r="176" spans="1:30" ht="15.75" customHeight="1">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c r="AD176" s="16"/>
    </row>
    <row r="177" spans="1:30" ht="15.75" customHeight="1">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c r="AD177" s="16"/>
    </row>
    <row r="178" spans="1:30" ht="15.75" customHeight="1">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c r="AA178" s="16"/>
      <c r="AB178" s="16"/>
      <c r="AC178" s="16"/>
      <c r="AD178" s="16"/>
    </row>
    <row r="179" spans="1:30" ht="15.75" customHeight="1">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c r="AD179" s="16"/>
    </row>
    <row r="180" spans="1:30" ht="15.75" customHeight="1">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c r="AD180" s="16"/>
    </row>
    <row r="181" spans="1:30" ht="15.75" customHeight="1">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c r="AD181" s="16"/>
    </row>
    <row r="182" spans="1:30" ht="15.75" customHeight="1">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c r="AD182" s="16"/>
    </row>
    <row r="183" spans="1:30" ht="15.75" customHeight="1">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c r="AD183" s="16"/>
    </row>
    <row r="184" spans="1:30" ht="15.75" customHeight="1">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c r="AD184" s="16"/>
    </row>
    <row r="185" spans="1:30" ht="15.75" customHeight="1">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c r="AD185" s="16"/>
    </row>
    <row r="186" spans="1:30" ht="15.75" customHeight="1">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c r="AD186" s="16"/>
    </row>
    <row r="187" spans="1:30" ht="15.75" customHeight="1">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16"/>
      <c r="AB187" s="16"/>
      <c r="AC187" s="16"/>
      <c r="AD187" s="16"/>
    </row>
    <row r="188" spans="1:30" ht="15.75" customHeight="1">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c r="AD188" s="16"/>
    </row>
    <row r="189" spans="1:30" ht="15.75" customHeight="1">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c r="AD189" s="16"/>
    </row>
    <row r="190" spans="1:30" ht="15.75" customHeight="1">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c r="AD190" s="16"/>
    </row>
    <row r="191" spans="1:30" ht="15.75" customHeight="1">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c r="AD191" s="16"/>
    </row>
    <row r="192" spans="1:30" ht="15.75" customHeight="1">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c r="AD192" s="16"/>
    </row>
    <row r="193" spans="1:30" ht="15.75" customHeight="1">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c r="AA193" s="16"/>
      <c r="AB193" s="16"/>
      <c r="AC193" s="16"/>
      <c r="AD193" s="16"/>
    </row>
    <row r="194" spans="1:30" ht="15.75" customHeight="1">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c r="AA194" s="16"/>
      <c r="AB194" s="16"/>
      <c r="AC194" s="16"/>
      <c r="AD194" s="16"/>
    </row>
    <row r="195" spans="1:30" ht="15.75" customHeight="1">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c r="AA195" s="16"/>
      <c r="AB195" s="16"/>
      <c r="AC195" s="16"/>
      <c r="AD195" s="16"/>
    </row>
    <row r="196" spans="1:30" ht="15.75" customHeight="1">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c r="AA196" s="16"/>
      <c r="AB196" s="16"/>
      <c r="AC196" s="16"/>
      <c r="AD196" s="16"/>
    </row>
    <row r="197" spans="1:30" ht="15.75" customHeight="1">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c r="AD197" s="16"/>
    </row>
    <row r="198" spans="1:30" ht="15.75" customHeight="1">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c r="AD198" s="16"/>
    </row>
    <row r="199" spans="1:30" ht="15.75" customHeight="1">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c r="AA199" s="16"/>
      <c r="AB199" s="16"/>
      <c r="AC199" s="16"/>
      <c r="AD199" s="16"/>
    </row>
    <row r="200" spans="1:30" ht="15.75" customHeight="1">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c r="AA200" s="16"/>
      <c r="AB200" s="16"/>
      <c r="AC200" s="16"/>
      <c r="AD200" s="16"/>
    </row>
    <row r="201" spans="1:30" ht="15.75" customHeight="1">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c r="AD201" s="16"/>
    </row>
    <row r="202" spans="1:30" ht="15.75" customHeight="1">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c r="AD202" s="16"/>
    </row>
    <row r="203" spans="1:30" ht="15.75" customHeight="1">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c r="AA203" s="16"/>
      <c r="AB203" s="16"/>
      <c r="AC203" s="16"/>
      <c r="AD203" s="16"/>
    </row>
    <row r="204" spans="1:30" ht="15.75" customHeight="1">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c r="AA204" s="16"/>
      <c r="AB204" s="16"/>
      <c r="AC204" s="16"/>
      <c r="AD204" s="16"/>
    </row>
    <row r="205" spans="1:30" ht="15.75" customHeight="1">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c r="AD205" s="16"/>
    </row>
    <row r="206" spans="1:30" ht="15.75" customHeight="1">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row>
    <row r="207" spans="1:30" ht="15.75" customHeight="1">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c r="AD207" s="16"/>
    </row>
    <row r="208" spans="1:30" ht="15.75" customHeight="1">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c r="AD208" s="16"/>
    </row>
    <row r="209" spans="1:30" ht="15.75" customHeight="1">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c r="AD209" s="16"/>
    </row>
    <row r="210" spans="1:30" ht="15.75" customHeight="1">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c r="AD210" s="16"/>
    </row>
    <row r="211" spans="1:30" ht="15.75" customHeight="1">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row>
    <row r="212" spans="1:30" ht="15.75" customHeight="1">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c r="AD212" s="16"/>
    </row>
    <row r="213" spans="1:30" ht="15.75" customHeight="1">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c r="AD213" s="16"/>
    </row>
    <row r="214" spans="1:30" ht="15.75" customHeight="1">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row>
    <row r="215" spans="1:30" ht="15.75" customHeight="1">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c r="AD215" s="16"/>
    </row>
    <row r="216" spans="1:30" ht="15.75" customHeight="1">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c r="AD216" s="16"/>
    </row>
    <row r="217" spans="1:30" ht="15.75" customHeight="1">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c r="AD217" s="16"/>
    </row>
    <row r="218" spans="1:30" ht="15.75" customHeight="1">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c r="AD218" s="16"/>
    </row>
    <row r="219" spans="1:30" ht="15.75" customHeight="1">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c r="AD219" s="16"/>
    </row>
    <row r="220" spans="1:30" ht="15.75" customHeight="1">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c r="AD220" s="16"/>
    </row>
    <row r="221" spans="1:30" ht="15.75" customHeight="1">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row>
    <row r="222" spans="1:30" ht="15.75" customHeight="1">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row>
    <row r="223" spans="1:30" ht="15.75" customHeight="1">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c r="AD223" s="16"/>
    </row>
    <row r="224" spans="1:30" ht="15.75" customHeight="1">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c r="AD224" s="16"/>
    </row>
    <row r="225" spans="1:30" ht="15.75" customHeight="1">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16"/>
    </row>
    <row r="226" spans="1:30" ht="15.75" customHeight="1">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row>
    <row r="227" spans="1:30" ht="15.75" customHeight="1">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16"/>
    </row>
    <row r="228" spans="1:30" ht="15.75" customHeight="1">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c r="AD228" s="16"/>
    </row>
    <row r="229" spans="1:30" ht="15.75" customHeight="1">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c r="AD229" s="16"/>
    </row>
    <row r="230" spans="1:30" ht="15.75" customHeight="1">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row>
    <row r="231" spans="1:30" ht="15.75" customHeight="1">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c r="AD231" s="16"/>
    </row>
    <row r="232" spans="1:30" ht="15.75" customHeight="1">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c r="AD232" s="16"/>
    </row>
    <row r="233" spans="1:30" ht="15.75" customHeight="1">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c r="AD233" s="16"/>
    </row>
    <row r="234" spans="1:30" ht="15.75" customHeight="1">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c r="AD234" s="16"/>
    </row>
    <row r="235" spans="1:30" ht="15.75" customHeight="1">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row>
    <row r="236" spans="1:30" ht="15.75" customHeight="1">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c r="AD236" s="16"/>
    </row>
    <row r="237" spans="1:30" ht="15.75" customHeight="1">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c r="AD237" s="16"/>
    </row>
    <row r="238" spans="1:30" ht="15.75" customHeight="1">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c r="AD238" s="16"/>
    </row>
    <row r="239" spans="1:30" ht="15.75" customHeight="1">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c r="AD239" s="16"/>
    </row>
    <row r="240" spans="1:30" ht="15.75" customHeight="1">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c r="AD240" s="16"/>
    </row>
    <row r="241" spans="1:30" ht="15.75" customHeight="1">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c r="AD241" s="16"/>
    </row>
    <row r="242" spans="1:30" ht="15.75" customHeight="1">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c r="AD242" s="16"/>
    </row>
    <row r="243" spans="1:30" ht="15.75" customHeight="1">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c r="AD243" s="16"/>
    </row>
    <row r="244" spans="1:30" ht="15.75" customHeight="1">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16"/>
    </row>
    <row r="245" spans="1:30" ht="15.75" customHeight="1">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c r="AD245" s="16"/>
    </row>
    <row r="246" spans="1:30" ht="15.75" customHeight="1">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row>
    <row r="247" spans="1:30" ht="15.75" customHeight="1">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c r="AD247" s="16"/>
    </row>
    <row r="248" spans="1:30" ht="15.75" customHeight="1">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row>
    <row r="249" spans="1:30" ht="15.75" customHeight="1">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row>
    <row r="250" spans="1:30" ht="15.75" customHeight="1">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c r="AD250" s="16"/>
    </row>
    <row r="251" spans="1:30" ht="15.75" customHeight="1">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row>
    <row r="252" spans="1:30" ht="15.75" customHeight="1">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16"/>
    </row>
    <row r="253" spans="1:30" ht="15.75" customHeight="1">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c r="AD253" s="16"/>
    </row>
    <row r="254" spans="1:30" ht="15.75" customHeight="1">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row>
    <row r="255" spans="1:30" ht="15.75" customHeight="1">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c r="AD255" s="16"/>
    </row>
    <row r="256" spans="1:30" ht="15.75" customHeight="1">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row>
    <row r="257" spans="1:30" ht="15.75" customHeight="1">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c r="AD257" s="16"/>
    </row>
    <row r="258" spans="1:30" ht="15.75" customHeight="1">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c r="AD258" s="16"/>
    </row>
    <row r="259" spans="1:30" ht="15.75" customHeight="1">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row>
    <row r="260" spans="1:30" ht="15.75" customHeight="1">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row>
    <row r="261" spans="1:30" ht="15.75" customHeight="1">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c r="AD261" s="16"/>
    </row>
    <row r="262" spans="1:30" ht="15.75" customHeight="1">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row>
    <row r="263" spans="1:30" ht="15.75" customHeight="1">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row>
    <row r="264" spans="1:30" ht="15.75" customHeight="1">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c r="AD264" s="16"/>
    </row>
    <row r="265" spans="1:30" ht="15.75" customHeight="1">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row>
    <row r="266" spans="1:30" ht="15.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row>
    <row r="267" spans="1:30" ht="15.75" customHeight="1">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row>
    <row r="268" spans="1:30" ht="15.75" customHeight="1">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c r="AD268" s="16"/>
    </row>
    <row r="269" spans="1:30" ht="15.75" customHeight="1">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row>
    <row r="270" spans="1:30" ht="15.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row>
    <row r="271" spans="1:30" ht="15.75" customHeight="1">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c r="AD271" s="16"/>
    </row>
    <row r="272" spans="1:30" ht="15.75" customHeight="1">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c r="AD272" s="16"/>
    </row>
    <row r="273" spans="1:30" ht="15.75" customHeight="1">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c r="AD273" s="16"/>
    </row>
    <row r="274" spans="1:30" ht="15.75" customHeight="1">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c r="AD274" s="16"/>
    </row>
    <row r="275" spans="1:30" ht="15.75" customHeight="1">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c r="AD275" s="16"/>
    </row>
    <row r="276" spans="1:30" ht="15.75" customHeight="1">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row>
    <row r="277" spans="1:30" ht="15.75" customHeight="1">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16"/>
    </row>
    <row r="278" spans="1:30" ht="15.75" customHeight="1">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row>
    <row r="279" spans="1:30" ht="15.75" customHeight="1">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16"/>
    </row>
    <row r="280" spans="1:30" ht="15.75" customHeight="1">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c r="AD280" s="16"/>
    </row>
    <row r="281" spans="1:30" ht="15.75" customHeight="1">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c r="AD281" s="16"/>
    </row>
    <row r="282" spans="1:30" ht="15.75" customHeight="1">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c r="AD282" s="16"/>
    </row>
    <row r="283" spans="1:30" ht="15.75" customHeight="1">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c r="AD283" s="16"/>
    </row>
    <row r="284" spans="1:30" ht="15.75" customHeight="1">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c r="AD284" s="16"/>
    </row>
    <row r="285" spans="1:30" ht="15.75" customHeight="1">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c r="AD285" s="16"/>
    </row>
    <row r="286" spans="1:30" ht="15.75" customHeight="1">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row>
    <row r="287" spans="1:30" ht="15.75" customHeight="1">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row>
    <row r="288" spans="1:30" ht="15.75" customHeight="1">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row>
    <row r="289" spans="1:30" ht="15.75" customHeight="1">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row>
    <row r="290" spans="1:30" ht="15.75" customHeight="1">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row>
    <row r="291" spans="1:30" ht="15.75" customHeight="1">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c r="AD291" s="16"/>
    </row>
    <row r="292" spans="1:30" ht="15.75" customHeight="1">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row>
    <row r="293" spans="1:30" ht="15.75" customHeight="1">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row>
    <row r="294" spans="1:30" ht="15.75" customHeight="1">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row>
    <row r="295" spans="1:30" ht="15.75" customHeight="1">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row>
    <row r="296" spans="1:30" ht="15.75" customHeight="1">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row>
    <row r="297" spans="1:30" ht="15.75" customHeight="1">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row>
    <row r="298" spans="1:30" ht="15.75" customHeight="1">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row>
    <row r="299" spans="1:30" ht="15.75" customHeight="1">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row>
    <row r="300" spans="1:30" ht="15.75" customHeight="1">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row>
    <row r="301" spans="1:30" ht="15.75" customHeight="1">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c r="AD301" s="16"/>
    </row>
    <row r="302" spans="1:30" ht="15.75" customHeight="1">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c r="AD302" s="16"/>
    </row>
    <row r="303" spans="1:30" ht="15.75" customHeight="1">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row>
    <row r="304" spans="1:30" ht="15.75" customHeight="1">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c r="AD304" s="16"/>
    </row>
    <row r="305" spans="1:30" ht="15.75" customHeight="1">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c r="AD305" s="16"/>
    </row>
    <row r="306" spans="1:30" ht="15.75" customHeight="1"/>
    <row r="307" spans="1:30" ht="15.75" customHeight="1"/>
    <row r="308" spans="1:30" ht="15.75" customHeight="1"/>
    <row r="309" spans="1:30" ht="15.75" customHeight="1"/>
    <row r="310" spans="1:30" ht="15.75" customHeight="1"/>
    <row r="311" spans="1:30" ht="15.75" customHeight="1"/>
    <row r="312" spans="1:30" ht="15.75" customHeight="1"/>
    <row r="313" spans="1:30" ht="15.75" customHeight="1"/>
    <row r="314" spans="1:30" ht="15.75" customHeight="1"/>
    <row r="315" spans="1:30" ht="15.75" customHeight="1"/>
    <row r="316" spans="1:30" ht="15.75" customHeight="1"/>
    <row r="317" spans="1:30" ht="15.75" customHeight="1"/>
    <row r="318" spans="1:30" ht="15.75" customHeight="1"/>
    <row r="319" spans="1:30" ht="15.75" customHeight="1"/>
    <row r="320" spans="1:3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99">
    <mergeCell ref="M164:O164"/>
    <mergeCell ref="B168:C168"/>
    <mergeCell ref="M168:O168"/>
    <mergeCell ref="B169:C169"/>
    <mergeCell ref="M169:O169"/>
    <mergeCell ref="B165:C165"/>
    <mergeCell ref="M165:O165"/>
    <mergeCell ref="B166:C166"/>
    <mergeCell ref="M166:O166"/>
    <mergeCell ref="B167:C167"/>
    <mergeCell ref="M167:O167"/>
    <mergeCell ref="M152:O152"/>
    <mergeCell ref="B155:C155"/>
    <mergeCell ref="M155:O155"/>
    <mergeCell ref="M158:O158"/>
    <mergeCell ref="B159:C159"/>
    <mergeCell ref="M159:O159"/>
    <mergeCell ref="P155:T155"/>
    <mergeCell ref="B156:C156"/>
    <mergeCell ref="M156:O156"/>
    <mergeCell ref="P156:T169"/>
    <mergeCell ref="B157:C157"/>
    <mergeCell ref="M157:O157"/>
    <mergeCell ref="B158:C158"/>
    <mergeCell ref="B161:C161"/>
    <mergeCell ref="M161:O161"/>
    <mergeCell ref="B160:C160"/>
    <mergeCell ref="M160:O160"/>
    <mergeCell ref="B162:C162"/>
    <mergeCell ref="M162:O162"/>
    <mergeCell ref="B163:C163"/>
    <mergeCell ref="M163:O163"/>
    <mergeCell ref="B164:C164"/>
    <mergeCell ref="M151:O151"/>
    <mergeCell ref="M138:O138"/>
    <mergeCell ref="P138:T138"/>
    <mergeCell ref="M139:O139"/>
    <mergeCell ref="P139:T152"/>
    <mergeCell ref="M140:O140"/>
    <mergeCell ref="M141:O141"/>
    <mergeCell ref="M142:O142"/>
    <mergeCell ref="M143:O143"/>
    <mergeCell ref="M144:O144"/>
    <mergeCell ref="M145:O145"/>
    <mergeCell ref="M146:O146"/>
    <mergeCell ref="M147:O147"/>
    <mergeCell ref="M148:O148"/>
    <mergeCell ref="M149:O149"/>
    <mergeCell ref="M150:O150"/>
    <mergeCell ref="M135:O135"/>
    <mergeCell ref="P121:R121"/>
    <mergeCell ref="M123:O123"/>
    <mergeCell ref="P123:T123"/>
    <mergeCell ref="M124:O124"/>
    <mergeCell ref="P124:T135"/>
    <mergeCell ref="M125:O125"/>
    <mergeCell ref="M126:O126"/>
    <mergeCell ref="M127:O127"/>
    <mergeCell ref="M128:O128"/>
    <mergeCell ref="M129:O129"/>
    <mergeCell ref="M130:O130"/>
    <mergeCell ref="M131:O131"/>
    <mergeCell ref="M132:O132"/>
    <mergeCell ref="M133:O133"/>
    <mergeCell ref="M134:O134"/>
    <mergeCell ref="P119:R119"/>
    <mergeCell ref="P120:R120"/>
    <mergeCell ref="AG29:AH29"/>
    <mergeCell ref="AI29:AJ29"/>
    <mergeCell ref="AG30:AH40"/>
    <mergeCell ref="AI30:AJ40"/>
    <mergeCell ref="P115:R115"/>
    <mergeCell ref="P70:Q70"/>
    <mergeCell ref="H92:I105"/>
    <mergeCell ref="J92:K105"/>
    <mergeCell ref="P116:R116"/>
    <mergeCell ref="P117:R117"/>
    <mergeCell ref="P118:R118"/>
    <mergeCell ref="H37:J37"/>
    <mergeCell ref="K71:O87"/>
    <mergeCell ref="P71:Q87"/>
    <mergeCell ref="H91:I91"/>
    <mergeCell ref="J91:K91"/>
    <mergeCell ref="K70:O70"/>
    <mergeCell ref="H38:J42"/>
    <mergeCell ref="I45:K45"/>
    <mergeCell ref="I46:K50"/>
    <mergeCell ref="K54:M54"/>
    <mergeCell ref="K55:M67"/>
    <mergeCell ref="A1:C1"/>
    <mergeCell ref="E1:H1"/>
    <mergeCell ref="D7:I7"/>
    <mergeCell ref="D8:I8"/>
    <mergeCell ref="A28:F28"/>
    <mergeCell ref="A30:F30"/>
    <mergeCell ref="A31:F31"/>
    <mergeCell ref="A32:F32"/>
    <mergeCell ref="A34:F34"/>
    <mergeCell ref="A29:F29"/>
  </mergeCells>
  <phoneticPr fontId="31" type="noConversion"/>
  <conditionalFormatting sqref="I55:I66">
    <cfRule type="containsText" dxfId="370" priority="1" operator="containsText" text="5">
      <formula>NOT(ISERROR(SEARCH(("5"),(I55))))</formula>
    </cfRule>
    <cfRule type="containsText" dxfId="369" priority="2" operator="containsText" text="42">
      <formula>NOT(ISERROR(SEARCH(("42"),(I55))))</formula>
    </cfRule>
    <cfRule type="containsText" dxfId="368" priority="3" operator="containsText" text="Please fill in">
      <formula>NOT(ISERROR(SEARCH(("Please fill in"),(I55))))</formula>
    </cfRule>
  </conditionalFormatting>
  <dataValidations count="5">
    <dataValidation type="list" allowBlank="1" showErrorMessage="1" sqref="D47:D50 H58:H67" xr:uid="{02465809-6FD6-425E-BA7A-7CD7002B319E}">
      <formula1>MSG!TypesOfTrainers</formula1>
    </dataValidation>
    <dataValidation type="list" allowBlank="1" showErrorMessage="1" sqref="B9" xr:uid="{B66292AF-C52A-4ED6-AAA3-99D15372DD7C}">
      <formula1>"yes,no,partial"</formula1>
    </dataValidation>
    <dataValidation type="list" allowBlank="1" sqref="G46:G50" xr:uid="{4500CB29-A497-456F-88FA-AB4745C98265}">
      <formula1>"yes,no"</formula1>
    </dataValidation>
    <dataValidation type="list" allowBlank="1" showErrorMessage="1" sqref="D46 H55:H57" xr:uid="{8C63CFC0-2DBC-4569-9202-878348D84724}">
      <formula1>'https://universiteittwente.sharepoint.com/sites/SportsCoordinatorsSUT/Gedeelde documenten/General/(WIP) FAM Sheets - Regulations 2025-28 - Version April 2025.xlsx'!TypesOfTrainers</formula1>
    </dataValidation>
    <dataValidation type="list" allowBlank="1" showErrorMessage="1" sqref="B71:B75" xr:uid="{39212FA6-8191-42AE-8E4D-38E162AB1EAA}">
      <formula1>'https://universiteittwente.sharepoint.com/sites/SportsCoordinatorsSUT/Gedeelde documenten/General/(WIP) FAM Sheets - Regulations 2025-28 - Version April 2025.xlsx'!LocationNames</formula1>
    </dataValidation>
  </dataValidations>
  <pageMargins left="0.7" right="0.7" top="0.75" bottom="0.75" header="0" footer="0"/>
  <pageSetup paperSize="9" orientation="portrait"/>
  <drawing r:id="rId1"/>
  <legacyDrawing r:id="rId2"/>
  <tableParts count="6">
    <tablePart r:id="rId3"/>
    <tablePart r:id="rId4"/>
    <tablePart r:id="rId5"/>
    <tablePart r:id="rId6"/>
    <tablePart r:id="rId7"/>
    <tablePart r:id="rId8"/>
  </tableParts>
  <extLst>
    <ext xmlns:x14="http://schemas.microsoft.com/office/spreadsheetml/2009/9/main" uri="{CCE6A557-97BC-4b89-ADB6-D9C93CAAB3DF}">
      <x14:dataValidations xmlns:xm="http://schemas.microsoft.com/office/excel/2006/main" count="4">
        <x14:dataValidation type="list" allowBlank="1" showInputMessage="1" showErrorMessage="1" xr:uid="{4E57FEA2-0846-407A-B502-51702559EDC1}">
          <x14:formula1>
            <xm:f>Constants!$M$6:$M$7</xm:f>
          </x14:formula1>
          <xm:sqref>B102:B107</xm:sqref>
        </x14:dataValidation>
        <x14:dataValidation type="list" allowBlank="1" showInputMessage="1" showErrorMessage="1" xr:uid="{89FA93D2-2833-4F67-87E3-ED8EF689F9BB}">
          <x14:formula1>
            <xm:f>Constants!$C$55:$C$56</xm:f>
          </x14:formula1>
          <xm:sqref>B12</xm:sqref>
        </x14:dataValidation>
        <x14:dataValidation type="list" allowBlank="1" showErrorMessage="1" xr:uid="{4137FFFD-02B1-4D1C-8320-D76A3C06F160}">
          <x14:formula1>
            <xm:f>Constants!$H$6:$H$13</xm:f>
          </x14:formula1>
          <xm:sqref>B55:B67</xm:sqref>
        </x14:dataValidation>
        <x14:dataValidation type="list" allowBlank="1" showErrorMessage="1" xr:uid="{B38F6817-E48D-4668-8F0E-4037892F77E2}">
          <x14:formula1>
            <xm:f>Constants!$A$2:$AD$2</xm:f>
          </x14:formula1>
          <xm:sqref>B76:B87</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BA969B-090B-7247-AA3B-D993031D433F}">
  <dimension ref="A1:BG1003"/>
  <sheetViews>
    <sheetView topLeftCell="W15" zoomScaleNormal="100" workbookViewId="0">
      <selection activeCell="AF30" sqref="AF30"/>
    </sheetView>
  </sheetViews>
  <sheetFormatPr defaultColWidth="12.625" defaultRowHeight="15" customHeight="1"/>
  <cols>
    <col min="1" max="1" width="36.625" customWidth="1"/>
    <col min="2" max="2" width="28.125" customWidth="1"/>
    <col min="3" max="3" width="21" customWidth="1"/>
    <col min="4" max="4" width="17.5" customWidth="1"/>
    <col min="5" max="5" width="16.125" customWidth="1"/>
    <col min="6" max="6" width="21.5" customWidth="1"/>
    <col min="7" max="7" width="22.625" customWidth="1"/>
    <col min="8" max="8" width="18.625" customWidth="1"/>
    <col min="9" max="9" width="19.625" customWidth="1"/>
    <col min="10" max="10" width="18.875" customWidth="1"/>
    <col min="11" max="11" width="21.625" customWidth="1"/>
    <col min="12" max="12" width="17.375" customWidth="1"/>
    <col min="13" max="13" width="15.125" customWidth="1"/>
    <col min="14" max="14" width="15.625" customWidth="1"/>
    <col min="15" max="15" width="28.5" customWidth="1"/>
    <col min="16" max="16" width="13.125" customWidth="1"/>
    <col min="17" max="17" width="21.875" customWidth="1"/>
    <col min="18" max="18" width="27" customWidth="1"/>
    <col min="19" max="19" width="20.5" customWidth="1"/>
    <col min="20" max="22" width="7.625" customWidth="1"/>
    <col min="23" max="23" width="31.875" customWidth="1"/>
    <col min="24" max="24" width="7.625" customWidth="1"/>
    <col min="25" max="25" width="8.375" customWidth="1"/>
    <col min="26" max="26" width="21.625" customWidth="1"/>
    <col min="27" max="27" width="12" customWidth="1"/>
    <col min="28" max="28" width="16.5" customWidth="1"/>
    <col min="29" max="29" width="6" customWidth="1"/>
    <col min="30" max="30" width="13.625" customWidth="1"/>
  </cols>
  <sheetData>
    <row r="1" spans="1:59" ht="171" customHeight="1">
      <c r="A1" s="703"/>
      <c r="B1" s="704"/>
      <c r="C1" s="705"/>
      <c r="D1" s="16"/>
      <c r="E1" s="572"/>
      <c r="F1" s="704"/>
      <c r="G1" s="704"/>
      <c r="H1" s="705"/>
      <c r="I1" s="16"/>
      <c r="J1" s="16"/>
      <c r="K1" s="16"/>
      <c r="L1" s="16"/>
      <c r="M1" s="16"/>
      <c r="N1" s="16"/>
      <c r="O1" s="16"/>
      <c r="P1" s="16"/>
      <c r="Q1" s="16"/>
      <c r="R1" s="16"/>
      <c r="S1" s="16"/>
      <c r="T1" s="16"/>
      <c r="U1" s="16"/>
      <c r="V1" s="16"/>
      <c r="W1" s="16"/>
      <c r="X1" s="16"/>
      <c r="Y1" s="16"/>
      <c r="Z1" s="16"/>
      <c r="AA1" s="16"/>
      <c r="AB1" s="16"/>
      <c r="AC1" s="16"/>
      <c r="AD1" s="16"/>
    </row>
    <row r="2" spans="1:59">
      <c r="A2" s="58" t="s">
        <v>404</v>
      </c>
      <c r="B2" s="152" t="s">
        <v>405</v>
      </c>
      <c r="C2" s="59"/>
      <c r="D2" s="16"/>
      <c r="E2" s="60" t="s">
        <v>406</v>
      </c>
      <c r="F2" s="153" t="s">
        <v>1390</v>
      </c>
      <c r="G2" s="154"/>
      <c r="H2" s="61"/>
      <c r="I2" s="16"/>
      <c r="J2" s="16"/>
      <c r="K2" s="16"/>
      <c r="L2" s="16"/>
      <c r="M2" s="16"/>
      <c r="N2" s="16"/>
      <c r="O2" s="16"/>
      <c r="P2" s="16"/>
      <c r="Q2" s="16"/>
      <c r="R2" s="16"/>
      <c r="S2" s="16"/>
      <c r="T2" s="16"/>
      <c r="U2" s="16"/>
      <c r="V2" s="16"/>
      <c r="W2" s="16"/>
      <c r="X2" s="16"/>
      <c r="Y2" s="16"/>
      <c r="Z2" s="15"/>
      <c r="AA2" s="15"/>
      <c r="AB2" s="15"/>
      <c r="AC2" s="15"/>
      <c r="AD2" s="16"/>
      <c r="AE2" s="16"/>
      <c r="AF2" s="16"/>
      <c r="AG2" s="16"/>
      <c r="AH2" s="16"/>
      <c r="AI2" s="17"/>
      <c r="AJ2" s="17"/>
      <c r="AK2" s="17"/>
      <c r="AL2" s="17"/>
      <c r="AM2" s="17"/>
      <c r="AN2" s="17"/>
      <c r="AO2" s="17"/>
      <c r="AP2" s="17"/>
      <c r="AQ2" s="17"/>
      <c r="AR2" s="18"/>
      <c r="AS2" s="17"/>
      <c r="AT2" s="17"/>
      <c r="AU2" s="16"/>
      <c r="AV2" s="16"/>
      <c r="AW2" s="16"/>
      <c r="AX2" s="16"/>
      <c r="AY2" s="16"/>
      <c r="AZ2" s="16"/>
      <c r="BA2" s="16"/>
    </row>
    <row r="3" spans="1:59">
      <c r="A3" s="62" t="s">
        <v>408</v>
      </c>
      <c r="B3" s="155">
        <v>4</v>
      </c>
      <c r="C3" s="156"/>
      <c r="D3" s="16"/>
      <c r="E3" s="63" t="s">
        <v>409</v>
      </c>
      <c r="F3" s="189">
        <v>45790</v>
      </c>
      <c r="G3" s="158"/>
      <c r="H3" s="159"/>
      <c r="I3" s="16"/>
      <c r="J3" s="16"/>
      <c r="K3" s="16"/>
      <c r="L3" s="16"/>
      <c r="M3" s="16"/>
      <c r="N3" s="16"/>
      <c r="O3" s="16"/>
      <c r="P3" s="16"/>
      <c r="Q3" s="16"/>
      <c r="R3" s="16"/>
      <c r="S3" s="16"/>
      <c r="T3" s="16"/>
      <c r="U3" s="16"/>
      <c r="V3" s="16"/>
      <c r="W3" s="16"/>
      <c r="X3" s="16"/>
      <c r="Y3" s="16"/>
      <c r="Z3" s="16"/>
      <c r="AA3" s="16"/>
      <c r="AB3" s="16"/>
      <c r="AC3" s="16"/>
      <c r="AD3" s="16"/>
    </row>
    <row r="4" spans="1:59">
      <c r="A4" s="160" t="s">
        <v>410</v>
      </c>
      <c r="B4" s="161">
        <v>45812</v>
      </c>
      <c r="C4" s="162"/>
      <c r="D4" s="16"/>
      <c r="E4" s="163"/>
      <c r="F4" s="164"/>
      <c r="G4" s="165"/>
      <c r="H4" s="166"/>
      <c r="I4" s="16"/>
      <c r="J4" s="16"/>
      <c r="K4" s="16"/>
      <c r="L4" s="16"/>
      <c r="M4" s="16"/>
      <c r="N4" s="16"/>
      <c r="O4" s="16"/>
      <c r="P4" s="16"/>
      <c r="Q4" s="16"/>
      <c r="R4" s="16"/>
      <c r="S4" s="16"/>
      <c r="T4" s="16"/>
      <c r="U4" s="16"/>
      <c r="V4" s="16"/>
      <c r="W4" s="16"/>
      <c r="X4" s="16"/>
      <c r="Y4" s="16"/>
      <c r="Z4" s="16"/>
      <c r="AA4" s="16"/>
      <c r="AB4" s="16"/>
      <c r="AC4" s="16"/>
      <c r="AD4" s="16"/>
    </row>
    <row r="5" spans="1:59">
      <c r="A5" s="167" t="s">
        <v>411</v>
      </c>
      <c r="B5" s="168"/>
      <c r="C5" s="167"/>
      <c r="D5" s="16"/>
      <c r="E5" s="169" t="s">
        <v>412</v>
      </c>
      <c r="F5" s="169"/>
      <c r="G5" s="158"/>
      <c r="H5" s="169"/>
      <c r="I5" s="16"/>
      <c r="J5" s="16"/>
      <c r="K5" s="16"/>
      <c r="L5" s="16"/>
      <c r="M5" s="16"/>
      <c r="N5" s="16"/>
      <c r="O5" s="16"/>
      <c r="P5" s="16"/>
      <c r="Q5" s="16"/>
      <c r="R5" s="16"/>
      <c r="S5" s="16"/>
      <c r="T5" s="16"/>
      <c r="U5" s="16"/>
      <c r="V5" s="16"/>
      <c r="W5" s="16"/>
      <c r="X5" s="16"/>
      <c r="Y5" s="16"/>
      <c r="Z5" s="16"/>
      <c r="AA5" s="16"/>
      <c r="AB5" s="16"/>
      <c r="AC5" s="16"/>
      <c r="AD5" s="16"/>
    </row>
    <row r="6" spans="1:59">
      <c r="A6" s="15"/>
      <c r="B6" s="64"/>
      <c r="C6" s="16"/>
      <c r="D6" s="16"/>
      <c r="E6" s="16"/>
      <c r="F6" s="16"/>
      <c r="G6" s="16"/>
      <c r="H6" s="16"/>
      <c r="I6" s="16"/>
      <c r="J6" s="64"/>
      <c r="K6" s="16"/>
      <c r="L6" s="16"/>
      <c r="M6" s="16"/>
      <c r="N6" s="16"/>
      <c r="O6" s="16"/>
      <c r="P6" s="16"/>
      <c r="Q6" s="16"/>
      <c r="R6" s="16"/>
      <c r="S6" s="16"/>
      <c r="T6" s="16"/>
      <c r="U6" s="16"/>
      <c r="V6" s="16"/>
      <c r="W6" s="16"/>
      <c r="X6" s="16"/>
      <c r="Y6" s="16"/>
      <c r="Z6" s="16"/>
      <c r="AA6" s="16"/>
      <c r="AB6" s="16"/>
      <c r="AC6" s="16"/>
      <c r="AD6" s="16"/>
    </row>
    <row r="7" spans="1:59">
      <c r="A7" s="170" t="s">
        <v>413</v>
      </c>
      <c r="B7" s="59">
        <v>34</v>
      </c>
      <c r="C7" s="16"/>
      <c r="D7" s="573" t="s">
        <v>414</v>
      </c>
      <c r="E7" s="701"/>
      <c r="F7" s="701"/>
      <c r="G7" s="701"/>
      <c r="H7" s="701"/>
      <c r="I7" s="701"/>
      <c r="J7" s="16"/>
      <c r="K7" s="16"/>
      <c r="L7" s="16"/>
      <c r="M7" s="16"/>
      <c r="N7" s="16"/>
      <c r="O7" s="16"/>
      <c r="P7" s="16"/>
      <c r="Q7" s="16"/>
      <c r="R7" s="16"/>
      <c r="S7" s="16"/>
      <c r="T7" s="16"/>
      <c r="U7" s="16"/>
      <c r="V7" s="16"/>
      <c r="W7" s="16"/>
      <c r="X7" s="16"/>
      <c r="Y7" s="16"/>
      <c r="Z7" s="16"/>
      <c r="AA7" s="16"/>
      <c r="AB7" s="16"/>
      <c r="AC7" s="16"/>
      <c r="AD7" s="16"/>
    </row>
    <row r="8" spans="1:59" ht="14.25" customHeight="1">
      <c r="A8" s="171" t="s">
        <v>415</v>
      </c>
      <c r="B8" s="172">
        <f ca="1">M21-M17</f>
        <v>2244.4304957974182</v>
      </c>
      <c r="C8" s="16" t="s">
        <v>416</v>
      </c>
      <c r="D8" s="574" t="s">
        <v>417</v>
      </c>
      <c r="E8" s="704"/>
      <c r="F8" s="704"/>
      <c r="G8" s="704"/>
      <c r="H8" s="704"/>
      <c r="I8" s="704"/>
      <c r="J8" s="16"/>
      <c r="K8" s="16"/>
      <c r="L8" s="16"/>
      <c r="M8" s="16"/>
      <c r="N8" s="16"/>
      <c r="O8" s="16"/>
      <c r="P8" s="16"/>
      <c r="Q8" s="16"/>
      <c r="R8" s="16"/>
      <c r="S8" s="16"/>
      <c r="T8" s="16"/>
      <c r="U8" s="16"/>
      <c r="V8" s="16"/>
      <c r="W8" s="16"/>
      <c r="X8" s="16"/>
      <c r="Y8" s="16"/>
      <c r="Z8" s="16"/>
      <c r="AA8" s="16"/>
      <c r="AB8" s="16"/>
      <c r="AC8" s="16"/>
    </row>
    <row r="9" spans="1:59">
      <c r="A9" s="65" t="s">
        <v>418</v>
      </c>
      <c r="B9" s="173" t="s">
        <v>419</v>
      </c>
      <c r="C9" s="16"/>
      <c r="D9" s="16"/>
      <c r="E9" s="17"/>
      <c r="F9" s="17"/>
      <c r="G9" s="17"/>
      <c r="H9" s="17"/>
      <c r="I9" s="17"/>
      <c r="J9" s="17"/>
      <c r="K9" s="17"/>
      <c r="L9" s="17"/>
      <c r="M9" s="17"/>
      <c r="N9" s="17"/>
      <c r="O9" s="17"/>
      <c r="P9" s="17"/>
      <c r="Q9" s="16"/>
      <c r="R9" s="17"/>
      <c r="S9" s="17"/>
      <c r="T9" s="17"/>
      <c r="U9" s="17"/>
      <c r="V9" s="17"/>
      <c r="W9" s="17"/>
      <c r="X9" s="17"/>
      <c r="Y9" s="17"/>
      <c r="Z9" s="17"/>
      <c r="AA9" s="17"/>
      <c r="AB9" s="17"/>
      <c r="AC9" s="17"/>
      <c r="AD9" s="18" t="s">
        <v>242</v>
      </c>
    </row>
    <row r="10" spans="1:59">
      <c r="A10" s="174" t="s">
        <v>420</v>
      </c>
      <c r="B10" s="66">
        <f>COUNTA(A38:A42)</f>
        <v>2</v>
      </c>
      <c r="C10" s="16"/>
      <c r="D10" s="16"/>
      <c r="E10" s="17"/>
      <c r="F10" s="17"/>
      <c r="G10" s="17"/>
      <c r="H10" s="17"/>
      <c r="I10" s="17"/>
      <c r="J10" s="17"/>
      <c r="K10" s="17"/>
      <c r="L10" s="17"/>
      <c r="M10" s="17"/>
      <c r="N10" s="17"/>
      <c r="O10" s="17"/>
      <c r="P10" s="17"/>
      <c r="Q10" s="16"/>
      <c r="R10" s="17"/>
      <c r="S10" s="17"/>
      <c r="T10" s="17"/>
      <c r="U10" s="17"/>
      <c r="V10" s="17"/>
      <c r="W10" s="17"/>
      <c r="X10" s="17"/>
      <c r="Y10" s="17"/>
      <c r="Z10" s="17"/>
      <c r="AA10" s="17"/>
      <c r="AB10" s="17"/>
      <c r="AC10" s="17"/>
      <c r="AD10" s="18"/>
    </row>
    <row r="11" spans="1:59">
      <c r="A11" s="171" t="s">
        <v>421</v>
      </c>
      <c r="B11" s="238">
        <f>SUM(B38:B42)</f>
        <v>37</v>
      </c>
      <c r="C11" s="16"/>
      <c r="D11" s="16"/>
      <c r="E11" s="17"/>
      <c r="F11" s="17"/>
      <c r="G11" s="17"/>
      <c r="H11" s="17"/>
      <c r="I11" s="17"/>
      <c r="J11" s="17"/>
      <c r="K11" s="17"/>
      <c r="L11" s="17"/>
      <c r="M11" s="17"/>
      <c r="N11" s="17"/>
      <c r="O11" s="17"/>
      <c r="P11" s="17"/>
      <c r="Q11" s="16"/>
      <c r="R11" s="17"/>
      <c r="S11" s="17"/>
      <c r="T11" s="17"/>
      <c r="U11" s="17"/>
      <c r="V11" s="17"/>
      <c r="W11" s="17"/>
      <c r="X11" s="17"/>
      <c r="Y11" s="17"/>
      <c r="Z11" s="17"/>
      <c r="AA11" s="17"/>
      <c r="AB11" s="17"/>
      <c r="AC11" s="17"/>
      <c r="AD11" s="18"/>
    </row>
    <row r="12" spans="1:59">
      <c r="A12" s="239" t="s">
        <v>422</v>
      </c>
      <c r="B12" s="240" t="s">
        <v>319</v>
      </c>
      <c r="C12" s="16"/>
      <c r="D12" s="16"/>
      <c r="E12" s="17"/>
      <c r="F12" s="17"/>
      <c r="G12" s="17"/>
      <c r="H12" s="17"/>
      <c r="I12" s="17"/>
      <c r="J12" s="17"/>
      <c r="K12" s="17"/>
      <c r="L12" s="17"/>
      <c r="M12" s="17"/>
      <c r="N12" s="17"/>
      <c r="O12" s="17"/>
      <c r="P12" s="17"/>
      <c r="Q12" s="16"/>
      <c r="R12" s="17"/>
      <c r="S12" s="17"/>
      <c r="T12" s="17"/>
      <c r="U12" s="17"/>
      <c r="V12" s="17"/>
      <c r="W12" s="17"/>
      <c r="X12" s="17"/>
      <c r="Y12" s="17"/>
      <c r="Z12" s="17"/>
      <c r="AA12" s="17"/>
      <c r="AB12" s="17"/>
      <c r="AC12" s="17"/>
      <c r="AD12" s="18"/>
    </row>
    <row r="13" spans="1:59">
      <c r="A13" s="16"/>
      <c r="B13" s="16"/>
      <c r="C13" s="16"/>
      <c r="D13" s="16"/>
      <c r="E13" s="17"/>
      <c r="F13" s="17"/>
      <c r="G13" s="17"/>
      <c r="H13" s="17"/>
      <c r="I13" s="17"/>
      <c r="J13" s="17"/>
      <c r="K13" s="17"/>
      <c r="L13" s="17"/>
      <c r="M13" s="17"/>
      <c r="N13" s="17"/>
      <c r="O13" s="17"/>
      <c r="P13" s="17"/>
      <c r="Q13" s="16"/>
      <c r="R13" s="17"/>
      <c r="S13" s="17"/>
      <c r="T13" s="17"/>
      <c r="U13" s="17"/>
      <c r="V13" s="17"/>
      <c r="W13" s="17"/>
      <c r="X13" s="17"/>
      <c r="Y13" s="17"/>
      <c r="Z13" s="17"/>
      <c r="AA13" s="17"/>
      <c r="AB13" s="17"/>
      <c r="AC13" s="17"/>
      <c r="AD13" s="17" t="str" cm="1">
        <f t="array" ref="AD13:BF14">Constants!A2:AC3</f>
        <v>SC1</v>
      </c>
      <c r="AE13" s="17" t="str">
        <v>SC1 - Half</v>
      </c>
      <c r="AF13" s="17" t="str">
        <v>SC2</v>
      </c>
      <c r="AG13" s="17" t="str">
        <v>SC2 - Half</v>
      </c>
      <c r="AH13" s="17" t="str">
        <v>SC3</v>
      </c>
      <c r="AI13" s="17" t="str">
        <v>SC4</v>
      </c>
      <c r="AJ13" s="17" t="str">
        <v>SC5</v>
      </c>
      <c r="AK13" s="17" t="str">
        <v>SC6</v>
      </c>
      <c r="AL13" s="17" t="str">
        <v>Dojo</v>
      </c>
      <c r="AM13" s="17" t="str">
        <v>Boulder Wall</v>
      </c>
      <c r="AN13" s="17" t="str">
        <v>Climbing Wall</v>
      </c>
      <c r="AO13" s="17" t="str">
        <v>Artificial Hockey field</v>
      </c>
      <c r="AP13" s="17" t="str">
        <v>Artificial Hockey field - Half</v>
      </c>
      <c r="AQ13" s="17" t="str">
        <v>Artificial Soccer field</v>
      </c>
      <c r="AR13" s="17" t="str">
        <v>Artificial Soccer field - Half</v>
      </c>
      <c r="AS13" s="17" t="str">
        <v>Basketball</v>
      </c>
      <c r="AT13" s="17" t="str">
        <v>Bastille field</v>
      </c>
      <c r="AU13" s="17" t="str">
        <v>Beach fields</v>
      </c>
      <c r="AV13" s="17" t="str">
        <v>Shooting range</v>
      </c>
      <c r="AW13" s="17" t="str">
        <v>Multi/Lacrosse field</v>
      </c>
      <c r="AX13" s="17" t="str">
        <v>Multi/Lacrosse field - Half</v>
      </c>
      <c r="AY13" s="17" t="str">
        <v>Bootcamp field</v>
      </c>
      <c r="AZ13" s="17" t="str">
        <v>Multi/Baseball field</v>
      </c>
      <c r="BA13" s="17" t="str">
        <v>Tennis court</v>
      </c>
      <c r="BB13" s="17" t="str">
        <v>Utrack</v>
      </c>
      <c r="BC13" s="22" t="str">
        <v>Verreveld</v>
      </c>
      <c r="BD13" s="22" t="str">
        <v>Wsc</v>
      </c>
      <c r="BE13" s="22" t="str">
        <v>Indoor pool</v>
      </c>
      <c r="BF13" s="22" t="str">
        <v>Outdoor pool</v>
      </c>
      <c r="BG13" s="22"/>
    </row>
    <row r="14" spans="1:59" ht="15.95" thickBot="1">
      <c r="A14" s="175" t="s">
        <v>423</v>
      </c>
      <c r="B14" s="16"/>
      <c r="C14" s="16"/>
      <c r="D14" s="16"/>
      <c r="E14" s="16"/>
      <c r="F14" s="16"/>
      <c r="G14" s="175" t="s">
        <v>424</v>
      </c>
      <c r="I14" s="17"/>
      <c r="J14" s="17"/>
      <c r="K14" s="176" t="s">
        <v>425</v>
      </c>
      <c r="L14" s="17"/>
      <c r="M14" s="176" t="s">
        <v>426</v>
      </c>
      <c r="N14" s="17"/>
      <c r="O14" s="17"/>
      <c r="P14" s="17"/>
      <c r="Q14" s="17"/>
      <c r="R14" s="17"/>
      <c r="S14" s="16"/>
      <c r="T14" s="17"/>
      <c r="U14" s="17"/>
      <c r="V14" s="17"/>
      <c r="W14" s="17"/>
      <c r="X14" s="17"/>
      <c r="Y14" s="17"/>
      <c r="Z14" s="17"/>
      <c r="AA14" s="17"/>
      <c r="AB14" s="17"/>
      <c r="AC14" s="17"/>
      <c r="AD14" s="19">
        <v>67.5</v>
      </c>
      <c r="AE14" s="19">
        <v>35</v>
      </c>
      <c r="AF14" s="19">
        <v>67.5</v>
      </c>
      <c r="AG14" s="19">
        <v>35</v>
      </c>
      <c r="AH14" s="19">
        <v>40</v>
      </c>
      <c r="AI14" s="19">
        <v>40</v>
      </c>
      <c r="AJ14" s="19">
        <v>35</v>
      </c>
      <c r="AK14" s="19">
        <v>35</v>
      </c>
      <c r="AL14" s="19">
        <v>40</v>
      </c>
      <c r="AM14" s="19">
        <v>27.5</v>
      </c>
      <c r="AN14" s="19">
        <v>45</v>
      </c>
      <c r="AO14" s="19">
        <v>75</v>
      </c>
      <c r="AP14" s="19">
        <v>40</v>
      </c>
      <c r="AQ14" s="19">
        <v>75</v>
      </c>
      <c r="AR14" s="19">
        <v>40</v>
      </c>
      <c r="AS14" s="19">
        <v>30</v>
      </c>
      <c r="AT14" s="19">
        <v>50</v>
      </c>
      <c r="AU14" s="19">
        <v>75</v>
      </c>
      <c r="AV14" s="19">
        <v>40</v>
      </c>
      <c r="AW14" s="19">
        <v>75</v>
      </c>
      <c r="AX14" s="19">
        <v>40</v>
      </c>
      <c r="AY14" s="19">
        <v>50</v>
      </c>
      <c r="AZ14" s="19">
        <v>65</v>
      </c>
      <c r="BA14" s="19">
        <v>35</v>
      </c>
      <c r="BB14" s="19">
        <v>45</v>
      </c>
      <c r="BC14" s="19">
        <v>50</v>
      </c>
      <c r="BD14" s="19">
        <v>0</v>
      </c>
      <c r="BE14" s="19">
        <v>65</v>
      </c>
      <c r="BF14" s="20">
        <v>70</v>
      </c>
      <c r="BG14" s="20"/>
    </row>
    <row r="15" spans="1:59" ht="15.95" thickTop="1">
      <c r="A15" s="67"/>
      <c r="B15" s="68" t="str">
        <f>Constants!H6</f>
        <v>Performance training</v>
      </c>
      <c r="C15" s="68" t="str">
        <f>Constants!H7</f>
        <v>Performance coaching</v>
      </c>
      <c r="D15" s="68" t="str">
        <f>Constants!H8</f>
        <v>Dangerous</v>
      </c>
      <c r="E15" s="69" t="str">
        <f>Constants!H9</f>
        <v>Recreational</v>
      </c>
      <c r="F15" s="69" t="s">
        <v>290</v>
      </c>
      <c r="G15" s="70"/>
      <c r="H15" s="71" t="s">
        <v>427</v>
      </c>
      <c r="I15" s="72" t="s">
        <v>272</v>
      </c>
      <c r="J15" s="70" t="s">
        <v>5</v>
      </c>
      <c r="K15" s="72" t="s">
        <v>428</v>
      </c>
      <c r="L15" s="70" t="s">
        <v>429</v>
      </c>
      <c r="M15" s="73" cm="1">
        <f t="array" ref="M15">(SUM(IF($D$46:$D$50="PT",($F$46:$F$50)/1.5+IF($G$46:$G$50="yes",1)))+SUM(IF($D$46:$D$50="Extern",($F$46:$F$50)/1.5+IF($G$46:$G$50="yes",1)))+SUM(IF($D$46:$D$50="PT-ZZP",($F$46:$F$50)/1.5+IF($G$46:$G$50="yes",1))))*Constants!B10</f>
        <v>0</v>
      </c>
      <c r="N15" s="17"/>
      <c r="O15" s="17"/>
      <c r="P15" s="17"/>
      <c r="Q15" s="17"/>
      <c r="R15" s="16"/>
      <c r="S15" s="17"/>
      <c r="T15" s="17"/>
      <c r="U15" s="17"/>
      <c r="V15" s="17"/>
      <c r="W15" s="17"/>
      <c r="X15" s="17"/>
      <c r="Y15" s="17"/>
      <c r="Z15" s="17"/>
      <c r="AA15" s="17"/>
      <c r="AB15" s="17"/>
      <c r="AC15" s="17"/>
      <c r="AD15" s="16">
        <f t="shared" ref="AD15:BF15" si="0">SUMIF($B$71:$B$88,AD13,$F$71:$F$88)</f>
        <v>0</v>
      </c>
      <c r="AE15" s="16">
        <f t="shared" si="0"/>
        <v>0</v>
      </c>
      <c r="AF15" s="16">
        <f t="shared" si="0"/>
        <v>0</v>
      </c>
      <c r="AG15" s="16">
        <f t="shared" si="0"/>
        <v>0</v>
      </c>
      <c r="AH15" s="16">
        <f t="shared" si="0"/>
        <v>0</v>
      </c>
      <c r="AI15" s="16">
        <f t="shared" si="0"/>
        <v>0</v>
      </c>
      <c r="AJ15" s="16">
        <f t="shared" si="0"/>
        <v>0</v>
      </c>
      <c r="AK15" s="16">
        <f t="shared" si="0"/>
        <v>0</v>
      </c>
      <c r="AL15" s="16">
        <f t="shared" si="0"/>
        <v>0</v>
      </c>
      <c r="AM15" s="16">
        <f t="shared" si="0"/>
        <v>0</v>
      </c>
      <c r="AN15" s="16">
        <f t="shared" si="0"/>
        <v>0</v>
      </c>
      <c r="AO15" s="16">
        <f t="shared" si="0"/>
        <v>0</v>
      </c>
      <c r="AP15" s="16">
        <f t="shared" si="0"/>
        <v>0</v>
      </c>
      <c r="AQ15" s="16">
        <f t="shared" si="0"/>
        <v>0</v>
      </c>
      <c r="AR15" s="16">
        <f t="shared" si="0"/>
        <v>0</v>
      </c>
      <c r="AS15" s="16">
        <f t="shared" si="0"/>
        <v>0</v>
      </c>
      <c r="AT15" s="16">
        <f t="shared" si="0"/>
        <v>0</v>
      </c>
      <c r="AU15" s="16">
        <f t="shared" si="0"/>
        <v>0</v>
      </c>
      <c r="AV15" s="16">
        <f t="shared" si="0"/>
        <v>0</v>
      </c>
      <c r="AW15" s="16">
        <f t="shared" si="0"/>
        <v>196</v>
      </c>
      <c r="AX15" s="16">
        <f t="shared" si="0"/>
        <v>0</v>
      </c>
      <c r="AY15" s="16">
        <f t="shared" si="0"/>
        <v>0</v>
      </c>
      <c r="AZ15" s="16">
        <f t="shared" si="0"/>
        <v>0</v>
      </c>
      <c r="BA15" s="16">
        <f t="shared" si="0"/>
        <v>0</v>
      </c>
      <c r="BB15" s="16">
        <f t="shared" si="0"/>
        <v>0</v>
      </c>
      <c r="BC15" s="16">
        <f t="shared" si="0"/>
        <v>0</v>
      </c>
      <c r="BD15" s="16">
        <f t="shared" si="0"/>
        <v>0</v>
      </c>
      <c r="BE15" s="16">
        <f t="shared" si="0"/>
        <v>0</v>
      </c>
      <c r="BF15" s="16">
        <f t="shared" si="0"/>
        <v>0</v>
      </c>
    </row>
    <row r="16" spans="1:59">
      <c r="A16" s="74" t="str">
        <f>Constants!E6</f>
        <v>PT</v>
      </c>
      <c r="B16" s="16">
        <f>SUMIFS(Phoenix!$F$55:$F$67,Phoenix!$B$55:$B$67, B$15,Phoenix!$H$55:$H$67,$A16)*(1+Constants!$B$7)</f>
        <v>0</v>
      </c>
      <c r="C16" s="16">
        <f>SUMIFS(Phoenix!$F$55:$F$67,Phoenix!$B$55:$B$67, C$15,Phoenix!$H$55:$H$67,$A16)</f>
        <v>0</v>
      </c>
      <c r="D16" s="16">
        <f>SUMIFS(Phoenix!$F$55:$F$67,Phoenix!$B$55:$B$67, D$15,Phoenix!$H$55:$H$67,$A16)*(1+Constants!$B$7)</f>
        <v>0</v>
      </c>
      <c r="E16" s="16">
        <f>SUMIFS(Phoenix!$F$55:$F$67,Phoenix!$B$55:$B$67, E$15,Phoenix!$H$55:$H$67,$A16)*(1+Constants!$B$7)</f>
        <v>0</v>
      </c>
      <c r="F16" s="16">
        <f>SUMIFS(Phoenix!$F$55:$F$67,Phoenix!$B$55:$B$67, F$15,Phoenix!$H$55:$H$67,$A16)*(1+Constants!$B$7)</f>
        <v>0</v>
      </c>
      <c r="G16" s="74" t="s">
        <v>430</v>
      </c>
      <c r="H16" s="16">
        <f>SUMIF(Phoenix!$B$71:$B$89,"&lt;&gt;External",Phoenix!$F$71:$F$89)</f>
        <v>196</v>
      </c>
      <c r="I16" s="75">
        <f>SUMIF(Phoenix!$B$71:$B$89,"External",Phoenix!$F$71:$F$89)</f>
        <v>0</v>
      </c>
      <c r="J16" s="234">
        <f>SUM($F$92:$F$105)</f>
        <v>382.67166666666662</v>
      </c>
      <c r="K16" s="76">
        <f>IF(OR(ISBLANK(B7),ISBLANK(B9)), "ERROR",MAX(MIN(J16,B7*Constants!B15)-Constants!B14*B7,0)*IF(B9="yes",Constants!B16,IF(B9="no",Constants!B17,0)))</f>
        <v>34.137333333333302</v>
      </c>
      <c r="L16" s="77" t="s">
        <v>360</v>
      </c>
      <c r="M16" s="76">
        <f>E16*Constants!B6+E17*Constants!B8+E22+E21</f>
        <v>0</v>
      </c>
      <c r="N16" s="17"/>
      <c r="O16" s="17"/>
      <c r="P16" s="17"/>
      <c r="Q16" s="17"/>
      <c r="R16" s="16"/>
      <c r="S16" s="17"/>
      <c r="T16" s="17"/>
      <c r="U16" s="17"/>
      <c r="V16" s="17"/>
      <c r="W16" s="17"/>
      <c r="X16" s="17"/>
      <c r="Y16" s="17"/>
      <c r="Z16" s="17"/>
      <c r="AA16" s="17"/>
      <c r="AB16" s="17"/>
      <c r="AC16" s="17"/>
      <c r="AD16" s="19">
        <f t="shared" ref="AD16:BF16" si="1">AD14*AD15</f>
        <v>0</v>
      </c>
      <c r="AE16" s="19">
        <f t="shared" si="1"/>
        <v>0</v>
      </c>
      <c r="AF16" s="19">
        <f t="shared" si="1"/>
        <v>0</v>
      </c>
      <c r="AG16" s="19">
        <f t="shared" si="1"/>
        <v>0</v>
      </c>
      <c r="AH16" s="19">
        <f t="shared" si="1"/>
        <v>0</v>
      </c>
      <c r="AI16" s="19">
        <f t="shared" si="1"/>
        <v>0</v>
      </c>
      <c r="AJ16" s="19">
        <f t="shared" si="1"/>
        <v>0</v>
      </c>
      <c r="AK16" s="19">
        <f t="shared" si="1"/>
        <v>0</v>
      </c>
      <c r="AL16" s="19">
        <f t="shared" si="1"/>
        <v>0</v>
      </c>
      <c r="AM16" s="19">
        <f t="shared" si="1"/>
        <v>0</v>
      </c>
      <c r="AN16" s="19">
        <f t="shared" si="1"/>
        <v>0</v>
      </c>
      <c r="AO16" s="19">
        <f t="shared" si="1"/>
        <v>0</v>
      </c>
      <c r="AP16" s="19">
        <f t="shared" si="1"/>
        <v>0</v>
      </c>
      <c r="AQ16" s="19">
        <f t="shared" si="1"/>
        <v>0</v>
      </c>
      <c r="AR16" s="19">
        <f t="shared" si="1"/>
        <v>0</v>
      </c>
      <c r="AS16" s="19">
        <f t="shared" si="1"/>
        <v>0</v>
      </c>
      <c r="AT16" s="19">
        <f t="shared" si="1"/>
        <v>0</v>
      </c>
      <c r="AU16" s="19">
        <f t="shared" si="1"/>
        <v>0</v>
      </c>
      <c r="AV16" s="19">
        <f t="shared" si="1"/>
        <v>0</v>
      </c>
      <c r="AW16" s="19">
        <f t="shared" si="1"/>
        <v>14700</v>
      </c>
      <c r="AX16" s="19">
        <f t="shared" si="1"/>
        <v>0</v>
      </c>
      <c r="AY16" s="19">
        <f t="shared" si="1"/>
        <v>0</v>
      </c>
      <c r="AZ16" s="19">
        <f t="shared" si="1"/>
        <v>0</v>
      </c>
      <c r="BA16" s="19">
        <f t="shared" si="1"/>
        <v>0</v>
      </c>
      <c r="BB16" s="19">
        <f t="shared" si="1"/>
        <v>0</v>
      </c>
      <c r="BC16" s="19">
        <f t="shared" si="1"/>
        <v>0</v>
      </c>
      <c r="BD16" s="19">
        <f t="shared" si="1"/>
        <v>0</v>
      </c>
      <c r="BE16" s="19">
        <f t="shared" si="1"/>
        <v>0</v>
      </c>
      <c r="BF16" s="19">
        <f t="shared" si="1"/>
        <v>0</v>
      </c>
    </row>
    <row r="17" spans="1:36">
      <c r="A17" s="74" t="str">
        <f>Constants!E7</f>
        <v>PT-V</v>
      </c>
      <c r="B17" s="16">
        <f>SUMIFS(Phoenix!$F$55:$F$67,Phoenix!$B$55:$B$67, B$15,Phoenix!$H$55:$H$67,$A17)*(1+Constants!$B$9)</f>
        <v>0</v>
      </c>
      <c r="C17" s="16">
        <f>SUMIFS(Phoenix!$F$55:$F$67,Phoenix!$B$55:$B$67, C$15,Phoenix!$H$55:$H$67,$A17)</f>
        <v>0</v>
      </c>
      <c r="D17" s="16">
        <f>SUMIFS(Phoenix!$F$55:$F$67,Phoenix!$B$55:$B$67, D$15,Phoenix!$H$55:$H$67,$A17)*(1+Constants!$B$9)</f>
        <v>0</v>
      </c>
      <c r="E17" s="16">
        <f>SUMIFS(Phoenix!$F$55:$F$67,Phoenix!$B$55:$B$67, E$15,Phoenix!$H$55:$H$67,$A17)*(1+Constants!$B$9)</f>
        <v>0</v>
      </c>
      <c r="F17" s="16">
        <f>SUMIFS(Phoenix!$F$55:$F$67,Phoenix!$B$55:$B$67, F$15,Phoenix!$H$55:$H$67,$A17)</f>
        <v>0</v>
      </c>
      <c r="G17" s="74" t="s">
        <v>38</v>
      </c>
      <c r="H17" s="78">
        <f>SUM(AD16:BZ16)</f>
        <v>14700</v>
      </c>
      <c r="I17" s="76" cm="1">
        <f t="array" ref="I17">SUM(IF($B$71:$B$87="External",$F$71:$F$87*$H$71:$H$87,0))</f>
        <v>0</v>
      </c>
      <c r="J17" s="79"/>
      <c r="K17" s="80"/>
      <c r="L17" s="77" t="s">
        <v>63</v>
      </c>
      <c r="M17" s="76">
        <f>J16-K16</f>
        <v>348.53433333333334</v>
      </c>
      <c r="N17" s="17"/>
      <c r="O17" s="17"/>
      <c r="P17" s="17"/>
      <c r="Q17" s="17"/>
      <c r="R17" s="16"/>
      <c r="S17" s="17"/>
      <c r="T17" s="17"/>
      <c r="U17" s="17"/>
      <c r="V17" s="17"/>
      <c r="W17" s="17"/>
      <c r="X17" s="17"/>
      <c r="Y17" s="17"/>
      <c r="Z17" s="17"/>
      <c r="AA17" s="17"/>
      <c r="AB17" s="17"/>
      <c r="AC17" s="17"/>
      <c r="AD17" s="17"/>
      <c r="AE17" s="17"/>
    </row>
    <row r="18" spans="1:36">
      <c r="A18" s="74" t="str">
        <f>Constants!E8</f>
        <v>PT-ZZP</v>
      </c>
      <c r="B18" s="16">
        <f>SUMIFS(Phoenix!$F$55:$F$67,Phoenix!$B$55:$B$67, B$15,Phoenix!$H$55:$H$67,$A18)*(1+Constants!$B$7)</f>
        <v>0</v>
      </c>
      <c r="C18" s="16">
        <f>SUMIFS(Phoenix!$F$55:$F$67,Phoenix!$B$55:$B$67, C$15,Phoenix!$H$55:$H$67,$A18)</f>
        <v>0</v>
      </c>
      <c r="D18" s="16">
        <f>SUMIFS(Phoenix!$F$55:$F$67,Phoenix!$B$55:$B$67, D$15,Phoenix!$H$55:$H$67,$A18)*(1+Constants!$B$7)</f>
        <v>0</v>
      </c>
      <c r="E18" s="16">
        <f>SUMIFS(Phoenix!$F$55:$F$67,Phoenix!$B$55:$B$67, E$15,Phoenix!$H$55:$H$67,$A18)*(1+Constants!$B$7)</f>
        <v>0</v>
      </c>
      <c r="F18" s="16">
        <f>SUMIFS(Phoenix!$F$55:$F$67,Phoenix!$B$55:$B$67, F$15,Phoenix!$H$55:$H$67,$A18)*(1+Constants!$B$7)</f>
        <v>0</v>
      </c>
      <c r="G18" s="74"/>
      <c r="H18" s="78"/>
      <c r="I18" s="76"/>
      <c r="J18" s="79"/>
      <c r="K18" s="80"/>
      <c r="L18" s="77" t="s">
        <v>60</v>
      </c>
      <c r="M18" s="76" t="str">
        <f>IF(I17-Constants!I17*$B$7&gt;0,$I$17-Constants!I17*$B$7,"-")</f>
        <v>-</v>
      </c>
      <c r="N18" s="17"/>
      <c r="O18" s="17"/>
      <c r="P18" s="17"/>
      <c r="Q18" s="17"/>
      <c r="R18" s="16"/>
      <c r="S18" s="17"/>
      <c r="T18" s="17"/>
      <c r="U18" s="17"/>
      <c r="V18" s="17"/>
      <c r="W18" s="17"/>
      <c r="X18" s="17"/>
      <c r="Y18" s="17"/>
      <c r="Z18" s="17"/>
      <c r="AA18" s="17"/>
      <c r="AB18" s="17"/>
      <c r="AC18" s="17"/>
      <c r="AD18" s="17"/>
      <c r="AE18" s="17"/>
    </row>
    <row r="19" spans="1:36">
      <c r="A19" s="74" t="str">
        <f>Constants!E9</f>
        <v>RT</v>
      </c>
      <c r="B19" s="16">
        <f>SUMIFS(Phoenix!$F$55:$F$67,Phoenix!$B$55:$B$67, B$15,Phoenix!$H$55:$H$67,$A19)</f>
        <v>0</v>
      </c>
      <c r="C19" s="16">
        <f>SUMIFS(Phoenix!$F$55:$F$67,Phoenix!$B$55:$B$67, C$15,Phoenix!$H$55:$H$67,$A19)</f>
        <v>0</v>
      </c>
      <c r="D19" s="16">
        <f>SUMIFS(Phoenix!$F$55:$F$67,Phoenix!$B$55:$B$67, D$15,Phoenix!$H$55:$H$67,$A19)</f>
        <v>0</v>
      </c>
      <c r="E19" s="16">
        <f>SUMIFS(Phoenix!$F$55:$F$67,Phoenix!$B$55:$B$67, E$15,Phoenix!$H$55:$H$67,$A19)</f>
        <v>336</v>
      </c>
      <c r="F19" s="16">
        <f>SUMIFS(Phoenix!$F$55:$F$67,Phoenix!$B$55:$B$67, F$15,Phoenix!$H$55:$H$67,$A19)</f>
        <v>0</v>
      </c>
      <c r="G19" s="74" t="s">
        <v>396</v>
      </c>
      <c r="H19" s="78"/>
      <c r="I19" s="76">
        <f>IF(B7*Constants!I17&lt;I17,B7*Constants!I17,I17)</f>
        <v>0</v>
      </c>
      <c r="J19" s="79"/>
      <c r="K19" s="80"/>
      <c r="L19" s="77" t="s">
        <v>431</v>
      </c>
      <c r="M19" s="255">
        <f ca="1">Constants!C31*B7+Data!L24</f>
        <v>2244.4304957974182</v>
      </c>
      <c r="N19" s="17"/>
      <c r="O19" s="17"/>
      <c r="P19" s="17"/>
      <c r="Q19" s="17"/>
      <c r="R19" s="16"/>
      <c r="S19" s="17"/>
      <c r="T19" s="17"/>
      <c r="U19" s="17"/>
      <c r="V19" s="17"/>
      <c r="W19" s="17"/>
      <c r="X19" s="17"/>
      <c r="Y19" s="17"/>
      <c r="Z19" s="17"/>
      <c r="AA19" s="17"/>
      <c r="AB19" s="17"/>
      <c r="AC19" s="17"/>
      <c r="AD19" s="17"/>
      <c r="AE19" s="17"/>
    </row>
    <row r="20" spans="1:36">
      <c r="A20" s="74" t="str">
        <f>Constants!E10</f>
        <v>Extern</v>
      </c>
      <c r="B20" s="16">
        <f>SUMIFS(Phoenix!$F$55:$F$67,Phoenix!$B$55:$B$67, B$15,Phoenix!$H$55:$H$67,$A20)</f>
        <v>0</v>
      </c>
      <c r="C20" s="16">
        <f>SUMIFS(Phoenix!$F$55:$F$67,Phoenix!$B$55:$B$67, C$15,Phoenix!$H$55:$H$67,$A20)</f>
        <v>0</v>
      </c>
      <c r="D20" s="16">
        <f>SUMIFS(Phoenix!$F$55:$F$67,Phoenix!$B$55:$B$67, D$15,Phoenix!$H$55:$H$67,$A20)</f>
        <v>0</v>
      </c>
      <c r="E20" s="16">
        <f>SUMIFS(Phoenix!$F$55:$F$67,Phoenix!$B$55:$B$67, E$15,Phoenix!$H$55:$H$67,$A20)</f>
        <v>0</v>
      </c>
      <c r="F20" s="16">
        <f>SUMIFS(Phoenix!$F$55:$F$67,Phoenix!$B$55:$B$67, F$15,Phoenix!$H$55:$H$67,$A20)</f>
        <v>0</v>
      </c>
      <c r="G20" s="81"/>
      <c r="H20" s="16"/>
      <c r="I20" s="75"/>
      <c r="J20" s="79"/>
      <c r="K20" s="82"/>
      <c r="L20" s="83"/>
      <c r="M20" s="84"/>
      <c r="N20" s="17"/>
      <c r="O20" s="17"/>
      <c r="P20" s="17"/>
      <c r="Q20" s="17"/>
      <c r="R20" s="16"/>
      <c r="S20" s="17"/>
      <c r="T20" s="17"/>
      <c r="U20" s="17"/>
      <c r="V20" s="17"/>
      <c r="W20" s="17"/>
      <c r="X20" s="17"/>
      <c r="Y20" s="17"/>
      <c r="Z20" s="17"/>
      <c r="AA20" s="17"/>
      <c r="AB20" s="17"/>
      <c r="AC20" s="17"/>
      <c r="AD20" s="17"/>
      <c r="AE20" s="17"/>
    </row>
    <row r="21" spans="1:36">
      <c r="A21" s="74" t="str">
        <f>CONCATENATE(A18," Costs")</f>
        <v>PT-ZZP Costs</v>
      </c>
      <c r="B21" s="78">
        <f t="array" ref="B21">SUM(IF(Phoenix!$B$55:$B$67=B$15,IF(Phoenix!$H$55:$H$67="PT-ZZP",Phoenix!$F$55:$F$67*Phoenix!$I$55:$I$67*(1+Constants!$B$7),0),0))</f>
        <v>0</v>
      </c>
      <c r="C21" s="78">
        <f t="array" ref="C21">SUM(IF(Phoenix!$B$55:$B$67=C$15,IF(Phoenix!$H$55:$H$67="PT-ZZP",Phoenix!$F$55:$F$67*Phoenix!$I$55:$I$67,0),0))</f>
        <v>0</v>
      </c>
      <c r="D21" s="78">
        <f t="array" ref="D21">SUM(IF(Phoenix!$B$55:$B$67=D$15,IF(Phoenix!$H$55:$H$67="PT-ZZP",Phoenix!$F$55:$F$67*Phoenix!$I$55:$I$67*(1+Constants!$B$7),0),0))</f>
        <v>0</v>
      </c>
      <c r="E21" s="78">
        <f t="array" ref="E21">SUM(IF(Phoenix!$B$55:$B$67=E$15,IF(Phoenix!$H$55:$H$67="PT-ZZP",Phoenix!$F$55:$F$67*Phoenix!$I$55:$I$67*(1+Constants!$B$7),0),0))</f>
        <v>0</v>
      </c>
      <c r="F21" s="78">
        <f t="array" ref="F21">SUM(IF(Phoenix!$B$55:$B$67=F$15,IF(Phoenix!$H$55:$H$67="PT-ZZP",Phoenix!$F$55:$F$67*Phoenix!$I$55:$I$67*(1+Constants!$B$7),0),0))</f>
        <v>0</v>
      </c>
      <c r="G21" s="81"/>
      <c r="H21" s="16"/>
      <c r="I21" s="75"/>
      <c r="J21" s="79"/>
      <c r="K21" s="82"/>
      <c r="L21" s="77" t="s">
        <v>5</v>
      </c>
      <c r="M21" s="76">
        <f ca="1">SUM(M15:M20)</f>
        <v>2592.9648291307517</v>
      </c>
      <c r="N21" s="17"/>
      <c r="O21" s="17"/>
      <c r="P21" s="17"/>
      <c r="Q21" s="17"/>
      <c r="R21" s="16"/>
      <c r="S21" s="17"/>
      <c r="T21" s="17"/>
      <c r="U21" s="17"/>
      <c r="V21" s="17"/>
      <c r="W21" s="17"/>
      <c r="X21" s="17"/>
      <c r="Y21" s="17"/>
      <c r="Z21" s="17"/>
      <c r="AA21" s="17"/>
      <c r="AB21" s="17"/>
      <c r="AC21" s="17"/>
      <c r="AD21" s="17"/>
      <c r="AE21" s="17"/>
    </row>
    <row r="22" spans="1:36" ht="15.75" customHeight="1" thickBot="1">
      <c r="A22" s="74" t="str">
        <f>CONCATENATE(A20," Costs")</f>
        <v>Extern Costs</v>
      </c>
      <c r="B22" s="78">
        <f t="array" ref="B22">SUM(IF(Phoenix!$B$55:$B$67=B$15,IF(Phoenix!$H$55:$H$67="Extern",Phoenix!$F$55:$F$67*Phoenix!$I$55:$I$67,0),0))</f>
        <v>0</v>
      </c>
      <c r="C22" s="78">
        <f t="array" ref="C22">SUM(IF(Phoenix!$B$55:$B$67=C$15,IF(Phoenix!$H$55:$H$67="Extern",Phoenix!$F$55:$F$67*Phoenix!$I$55:$I$67,0),0))</f>
        <v>0</v>
      </c>
      <c r="D22" s="78">
        <f t="array" ref="D22">SUM(IF(Phoenix!$B$55:$B$67=D$15,IF(Phoenix!$H$55:$H$67="Extern",Phoenix!$F$55:$F$67*Phoenix!$I$55:$I$67,0),0))</f>
        <v>0</v>
      </c>
      <c r="E22" s="78">
        <f t="array" ref="E22">SUM(IF(Phoenix!$B$55:$B$67=E$15,IF(Phoenix!$H$55:$H$67="Extern",Phoenix!$F$55:$F$67*Phoenix!$I$55:$I$67,0),0))</f>
        <v>0</v>
      </c>
      <c r="F22" s="76">
        <f t="array" ref="F22">SUM(IF(Phoenix!$B$55:$B$67=F$15,IF(Phoenix!$H$55:$H$67="Extern",Phoenix!$F$55:$F$67*Phoenix!$I$55:$I$67,0),0))</f>
        <v>0</v>
      </c>
      <c r="G22" s="85"/>
      <c r="H22" s="177"/>
      <c r="I22" s="86"/>
      <c r="J22" s="87"/>
      <c r="K22" s="88"/>
      <c r="L22" s="87"/>
      <c r="M22" s="88"/>
      <c r="N22" s="17"/>
      <c r="O22" s="17"/>
      <c r="P22" s="17"/>
      <c r="Q22" s="17"/>
      <c r="R22" s="16"/>
      <c r="S22" s="17"/>
      <c r="T22" s="17"/>
      <c r="U22" s="17"/>
      <c r="V22" s="17"/>
      <c r="W22" s="17"/>
      <c r="X22" s="17"/>
      <c r="Y22" s="17"/>
      <c r="Z22" s="17"/>
      <c r="AA22" s="17"/>
      <c r="AB22" s="17"/>
      <c r="AC22" s="17"/>
      <c r="AD22" s="17"/>
      <c r="AE22" s="17"/>
    </row>
    <row r="23" spans="1:36" ht="15" customHeight="1" thickTop="1">
      <c r="A23" s="74" t="s">
        <v>432</v>
      </c>
      <c r="B23" s="78"/>
      <c r="C23" s="78"/>
      <c r="D23" s="78"/>
      <c r="E23" s="78"/>
      <c r="F23" s="76">
        <f t="array" ref="F23">SUMIFS(Phoenix!$F$55:$F$67,Phoenix!$B$55:$B$67,"Mentorship",Phoenix!$H$55:$H$67,"PT-V")*Constants!B8+SUMIFS(Phoenix!$F$55:$F$67,Phoenix!$B$55:$B$67,"Mentorship",Phoenix!$H$55:$H$67,"PT")*Constants!B6+SUMPRODUCT(IF(Phoenix!$B$55:$B$67="Mentorship",IF(Phoenix!$H$55:$H$67="PT-ZZP",Phoenix!$F$55:$F$67*Phoenix!$I$55:$I$67,0)))</f>
        <v>0</v>
      </c>
    </row>
    <row r="24" spans="1:36" ht="15" customHeight="1" thickBot="1">
      <c r="A24" s="89" t="s">
        <v>433</v>
      </c>
      <c r="B24" s="178"/>
      <c r="C24" s="178"/>
      <c r="D24" s="178"/>
      <c r="E24" s="178">
        <f>SUMIF(Phoenix!$B$55:$B$67,"External Trainer Course",Phoenix!$I$55:$I$67)</f>
        <v>0</v>
      </c>
      <c r="F24" s="90"/>
    </row>
    <row r="25" spans="1:36" ht="15.75" customHeight="1" thickTop="1">
      <c r="A25" s="16"/>
      <c r="B25" s="16"/>
      <c r="C25" s="16"/>
      <c r="D25" s="16"/>
      <c r="E25" s="17"/>
      <c r="F25" s="17"/>
      <c r="G25" s="17"/>
      <c r="H25" s="17"/>
      <c r="I25" s="17"/>
      <c r="J25" s="17"/>
      <c r="K25" s="17"/>
      <c r="L25" s="17"/>
      <c r="M25" s="17"/>
      <c r="N25" s="17"/>
      <c r="O25" s="17"/>
      <c r="P25" s="17"/>
      <c r="Q25" s="16"/>
      <c r="R25" s="17"/>
      <c r="S25" s="17"/>
      <c r="T25" s="17"/>
      <c r="U25" s="17"/>
      <c r="V25" s="17"/>
      <c r="W25" s="17"/>
      <c r="X25" s="17"/>
      <c r="Y25" s="17"/>
      <c r="Z25" s="17"/>
      <c r="AA25" s="17"/>
      <c r="AB25" s="17"/>
      <c r="AC25" s="17"/>
      <c r="AD25" s="17"/>
    </row>
    <row r="26" spans="1:36" ht="15.75" customHeight="1">
      <c r="A26" s="16"/>
      <c r="B26" s="16"/>
      <c r="C26" s="16"/>
      <c r="D26" s="16"/>
      <c r="E26" s="17"/>
      <c r="F26" s="17"/>
      <c r="G26" s="17"/>
      <c r="H26" s="17"/>
      <c r="I26" s="17"/>
      <c r="J26" s="17"/>
      <c r="K26" s="17"/>
      <c r="L26" s="17"/>
      <c r="M26" s="17"/>
      <c r="N26" s="17"/>
      <c r="O26" s="17"/>
      <c r="P26" s="17"/>
      <c r="Q26" s="16"/>
      <c r="R26" s="17"/>
      <c r="S26" s="17"/>
      <c r="T26" s="17"/>
      <c r="U26" s="17"/>
      <c r="V26" s="17"/>
      <c r="W26" s="17"/>
      <c r="X26" s="17"/>
      <c r="Y26" s="17"/>
      <c r="Z26" s="17"/>
      <c r="AA26" s="17"/>
      <c r="AB26" s="17"/>
      <c r="AC26" s="17"/>
      <c r="AD26" s="17"/>
    </row>
    <row r="27" spans="1:36" ht="15.75" customHeight="1" thickBot="1">
      <c r="A27" s="91" t="s">
        <v>434</v>
      </c>
      <c r="B27" s="17"/>
      <c r="C27" s="17"/>
      <c r="D27" s="17"/>
      <c r="E27" s="17"/>
      <c r="F27" s="17"/>
      <c r="G27" s="92"/>
      <c r="H27" s="19"/>
      <c r="I27" s="17"/>
      <c r="J27" s="17"/>
      <c r="K27" s="17"/>
      <c r="L27" s="17"/>
      <c r="M27" s="17"/>
      <c r="N27" s="17"/>
      <c r="O27" s="17"/>
      <c r="P27" s="17"/>
      <c r="Q27" s="16"/>
      <c r="R27" s="17"/>
      <c r="S27" s="17"/>
      <c r="T27" s="17"/>
      <c r="U27" s="17"/>
      <c r="V27" s="17"/>
      <c r="W27" s="17"/>
      <c r="X27" s="17"/>
      <c r="Y27" s="17"/>
      <c r="Z27" s="17"/>
      <c r="AA27" s="17"/>
      <c r="AB27" s="17"/>
      <c r="AC27" s="17"/>
      <c r="AD27" s="17"/>
    </row>
    <row r="28" spans="1:36" ht="15.75" customHeight="1" thickTop="1" thickBot="1">
      <c r="A28" s="706" t="s">
        <v>435</v>
      </c>
      <c r="B28" s="707"/>
      <c r="C28" s="707"/>
      <c r="D28" s="707"/>
      <c r="E28" s="707"/>
      <c r="F28" s="708"/>
      <c r="G28" s="15"/>
      <c r="H28" s="17"/>
      <c r="I28" s="17"/>
      <c r="J28" s="17"/>
      <c r="K28" s="17"/>
      <c r="L28" s="17"/>
      <c r="M28" s="17"/>
      <c r="N28" s="17"/>
      <c r="O28" s="17"/>
      <c r="P28" s="17"/>
      <c r="Q28" s="16"/>
      <c r="R28" s="17"/>
      <c r="S28" s="17"/>
      <c r="T28" s="17"/>
      <c r="U28" s="17"/>
      <c r="V28" s="17"/>
      <c r="W28" s="17"/>
      <c r="X28" s="17"/>
      <c r="Y28" s="17"/>
      <c r="Z28" s="17"/>
      <c r="AA28" s="17"/>
      <c r="AB28" s="17"/>
      <c r="AC28" s="17"/>
      <c r="AD28" s="242" t="s">
        <v>436</v>
      </c>
      <c r="AE28" s="16"/>
      <c r="AF28" s="128"/>
      <c r="AG28" s="51"/>
      <c r="AH28" s="51"/>
      <c r="AI28" s="51"/>
      <c r="AJ28" s="51"/>
    </row>
    <row r="29" spans="1:36" ht="15.75" customHeight="1" thickBot="1">
      <c r="A29" s="709" t="s">
        <v>437</v>
      </c>
      <c r="B29" s="696"/>
      <c r="C29" s="696"/>
      <c r="D29" s="696"/>
      <c r="E29" s="696"/>
      <c r="F29" s="710"/>
      <c r="G29" s="17"/>
      <c r="H29" s="17"/>
      <c r="I29" s="17"/>
      <c r="J29" s="17"/>
      <c r="K29" s="17"/>
      <c r="L29" s="17"/>
      <c r="M29" s="17"/>
      <c r="N29" s="17"/>
      <c r="O29" s="17"/>
      <c r="P29" s="17"/>
      <c r="Q29" s="16"/>
      <c r="R29" s="17"/>
      <c r="S29" s="17"/>
      <c r="T29" s="17"/>
      <c r="U29" s="17"/>
      <c r="V29" s="17"/>
      <c r="W29" s="17"/>
      <c r="X29" s="17"/>
      <c r="Y29" s="17"/>
      <c r="Z29" s="17"/>
      <c r="AA29" s="17"/>
      <c r="AB29" s="17"/>
      <c r="AC29" s="17"/>
      <c r="AD29" s="243" t="s">
        <v>438</v>
      </c>
      <c r="AE29" s="243" t="s">
        <v>439</v>
      </c>
      <c r="AF29" s="243" t="s">
        <v>440</v>
      </c>
      <c r="AG29" s="711" t="s">
        <v>441</v>
      </c>
      <c r="AH29" s="712"/>
      <c r="AI29" s="711" t="s">
        <v>434</v>
      </c>
      <c r="AJ29" s="712"/>
    </row>
    <row r="30" spans="1:36" ht="15.75" customHeight="1" thickBot="1">
      <c r="A30" s="709" t="s">
        <v>442</v>
      </c>
      <c r="B30" s="696"/>
      <c r="C30" s="696"/>
      <c r="D30" s="696"/>
      <c r="E30" s="696"/>
      <c r="F30" s="710"/>
      <c r="G30" s="17"/>
      <c r="H30" s="17"/>
      <c r="I30" s="17"/>
      <c r="J30" s="17"/>
      <c r="K30" s="17"/>
      <c r="L30" s="17"/>
      <c r="M30" s="17"/>
      <c r="N30" s="17"/>
      <c r="O30" s="17"/>
      <c r="P30" s="17"/>
      <c r="Q30" s="16"/>
      <c r="R30" s="17"/>
      <c r="S30" s="17"/>
      <c r="T30" s="17"/>
      <c r="U30" s="17"/>
      <c r="V30" s="17"/>
      <c r="W30" s="17"/>
      <c r="X30" s="17"/>
      <c r="Y30" s="17"/>
      <c r="Z30" s="17"/>
      <c r="AA30" s="17"/>
      <c r="AB30" s="17"/>
      <c r="AC30" s="17"/>
      <c r="AD30" s="244" t="str">
        <f>IF($B$12="individual",Constants!F55,Constants!L55)</f>
        <v>member count</v>
      </c>
      <c r="AE30" s="244">
        <f>B7</f>
        <v>34</v>
      </c>
      <c r="AF30" s="269">
        <f>IF(AE30&gt;=301,5,IF(AE30&gt;=176,4,IF(AE30&gt;=101,3,IF(AE30&gt;=51,2,1))))</f>
        <v>1</v>
      </c>
      <c r="AG30" s="560"/>
      <c r="AH30" s="560"/>
      <c r="AI30" s="560" t="s">
        <v>443</v>
      </c>
      <c r="AJ30" s="560"/>
    </row>
    <row r="31" spans="1:36" ht="15" customHeight="1" thickBot="1">
      <c r="A31" s="709" t="s">
        <v>444</v>
      </c>
      <c r="B31" s="696"/>
      <c r="C31" s="696"/>
      <c r="D31" s="696"/>
      <c r="E31" s="696"/>
      <c r="F31" s="710"/>
      <c r="G31" s="17"/>
      <c r="H31" s="17"/>
      <c r="I31" s="17"/>
      <c r="J31" s="17"/>
      <c r="K31" s="17"/>
      <c r="L31" s="17"/>
      <c r="M31" s="17"/>
      <c r="N31" s="17"/>
      <c r="O31" s="17"/>
      <c r="P31" s="17"/>
      <c r="Q31" s="16"/>
      <c r="R31" s="17"/>
      <c r="S31" s="17"/>
      <c r="T31" s="17"/>
      <c r="U31" s="17"/>
      <c r="V31" s="17"/>
      <c r="W31" s="17"/>
      <c r="X31" s="17"/>
      <c r="Y31" s="17"/>
      <c r="Z31" s="17"/>
      <c r="AA31" s="17"/>
      <c r="AB31" s="17"/>
      <c r="AC31" s="17"/>
      <c r="AD31" s="244" t="str">
        <f>IF($B$12="individual",Constants!F56,Constants!L56)</f>
        <v>number of trainings per week</v>
      </c>
      <c r="AE31" s="244" cm="1">
        <f t="array" ref="AE31">SUMPRODUCT(C55:C67*D55:D67)/42</f>
        <v>4</v>
      </c>
      <c r="AF31" s="270">
        <f>IF(AE31&gt;=4,3,IF(AE31&gt;=3,2,IF(AE31&gt;=2,1,0)))</f>
        <v>3</v>
      </c>
      <c r="AG31" s="560"/>
      <c r="AH31" s="560"/>
      <c r="AI31" s="560"/>
      <c r="AJ31" s="560"/>
    </row>
    <row r="32" spans="1:36" ht="15.75" customHeight="1" thickBot="1">
      <c r="A32" s="709" t="s">
        <v>445</v>
      </c>
      <c r="B32" s="696"/>
      <c r="C32" s="696"/>
      <c r="D32" s="696"/>
      <c r="E32" s="696"/>
      <c r="F32" s="710"/>
      <c r="G32" s="17"/>
      <c r="H32" s="16"/>
      <c r="I32" s="16"/>
      <c r="J32" s="16"/>
      <c r="K32" s="17"/>
      <c r="L32" s="17"/>
      <c r="M32" s="17"/>
      <c r="N32" s="17"/>
      <c r="O32" s="17"/>
      <c r="P32" s="17"/>
      <c r="Q32" s="16"/>
      <c r="R32" s="17"/>
      <c r="S32" s="17"/>
      <c r="T32" s="17"/>
      <c r="U32" s="17"/>
      <c r="V32" s="17"/>
      <c r="W32" s="17"/>
      <c r="X32" s="17"/>
      <c r="Y32" s="17"/>
      <c r="Z32" s="17"/>
      <c r="AA32" s="17"/>
      <c r="AB32" s="17"/>
      <c r="AC32" s="17"/>
      <c r="AD32" s="244" t="str">
        <f>IF($B$12="individual",Constants!F57,Constants!L57)</f>
        <v>number of trainings weeks per year</v>
      </c>
      <c r="AE32" s="252">
        <f>MAX(C55:C67)</f>
        <v>42</v>
      </c>
      <c r="AF32" s="250">
        <f>IF(AE32&gt;=40,3,IF(AE32&gt;=35,2,1))</f>
        <v>3</v>
      </c>
      <c r="AG32" s="560"/>
      <c r="AH32" s="560"/>
      <c r="AI32" s="560"/>
      <c r="AJ32" s="560"/>
    </row>
    <row r="33" spans="1:58" ht="15.75" customHeight="1" thickBot="1">
      <c r="A33" s="93" t="s">
        <v>446</v>
      </c>
      <c r="F33" s="94"/>
      <c r="G33" s="17"/>
      <c r="H33" s="16"/>
      <c r="I33" s="16"/>
      <c r="J33" s="16"/>
      <c r="K33" s="17"/>
      <c r="L33" s="17"/>
      <c r="M33" s="17"/>
      <c r="N33" s="17"/>
      <c r="O33" s="17"/>
      <c r="P33" s="17"/>
      <c r="Q33" s="16"/>
      <c r="R33" s="17"/>
      <c r="S33" s="17"/>
      <c r="T33" s="17"/>
      <c r="U33" s="17"/>
      <c r="V33" s="17"/>
      <c r="W33" s="17"/>
      <c r="X33" s="17"/>
      <c r="Y33" s="17"/>
      <c r="Z33" s="17"/>
      <c r="AA33" s="17"/>
      <c r="AB33" s="17"/>
      <c r="AC33" s="17"/>
      <c r="AD33" s="244" t="str">
        <f>IF($B$12="individual",Constants!F58,Constants!L58)</f>
        <v>number of training hours by RT / PT-V</v>
      </c>
      <c r="AE33" s="251">
        <f>(SUMIF(H55:H67,"RT",F55:F67)+SUMIF(H55:H67,"PT-V",F55:F67))/SUM(F55:F67)</f>
        <v>1</v>
      </c>
      <c r="AF33" s="270">
        <f>IF(AE33&gt;0.9,3,IF(AE33&gt;0.6,2,IF(AE33&gt;0.3,1,0)))</f>
        <v>3</v>
      </c>
      <c r="AG33" s="560"/>
      <c r="AH33" s="560"/>
      <c r="AI33" s="560"/>
      <c r="AJ33" s="560"/>
    </row>
    <row r="34" spans="1:58" ht="15.75" customHeight="1" thickBot="1">
      <c r="A34" s="713" t="s">
        <v>447</v>
      </c>
      <c r="B34" s="714"/>
      <c r="C34" s="714"/>
      <c r="D34" s="714"/>
      <c r="E34" s="714"/>
      <c r="F34" s="715"/>
      <c r="G34" s="17"/>
      <c r="H34" s="16"/>
      <c r="I34" s="16"/>
      <c r="J34" s="16"/>
      <c r="K34" s="17"/>
      <c r="L34" s="17"/>
      <c r="M34" s="17"/>
      <c r="N34" s="17"/>
      <c r="O34" s="17"/>
      <c r="P34" s="17"/>
      <c r="Q34" s="16"/>
      <c r="R34" s="17"/>
      <c r="S34" s="17"/>
      <c r="T34" s="17"/>
      <c r="U34" s="17"/>
      <c r="V34" s="17"/>
      <c r="W34" s="17"/>
      <c r="X34" s="17"/>
      <c r="Y34" s="17"/>
      <c r="Z34" s="17"/>
      <c r="AA34" s="17"/>
      <c r="AB34" s="17"/>
      <c r="AC34" s="17"/>
      <c r="AD34" s="244" t="str">
        <f>IF($B$12="individual",Constants!F59,Constants!L59)</f>
        <v>number of training groups / teams</v>
      </c>
      <c r="AE34" s="244">
        <f>B10</f>
        <v>2</v>
      </c>
      <c r="AF34" s="271">
        <f>IF(AE34&gt;9,3,IF(AE34&gt;4,2,IF(AE34&gt;2,1,0)))</f>
        <v>0</v>
      </c>
      <c r="AG34" s="560"/>
      <c r="AH34" s="560"/>
      <c r="AI34" s="560"/>
      <c r="AJ34" s="560"/>
    </row>
    <row r="35" spans="1:58" ht="15.75" customHeight="1" thickTop="1" thickBot="1">
      <c r="A35" s="16"/>
      <c r="G35" s="17"/>
      <c r="H35" s="16"/>
      <c r="I35" s="16"/>
      <c r="J35" s="16"/>
      <c r="K35" s="17"/>
      <c r="L35" s="17"/>
      <c r="M35" s="17"/>
      <c r="N35" s="17"/>
      <c r="O35" s="17"/>
      <c r="P35" s="17"/>
      <c r="Q35" s="16"/>
      <c r="R35" s="17"/>
      <c r="S35" s="17"/>
      <c r="T35" s="17"/>
      <c r="U35" s="17"/>
      <c r="V35" s="17"/>
      <c r="W35" s="17"/>
      <c r="X35" s="17"/>
      <c r="Y35" s="17"/>
      <c r="Z35" s="17"/>
      <c r="AA35" s="17"/>
      <c r="AB35" s="17"/>
      <c r="AC35" s="17"/>
      <c r="AD35" s="244" t="str">
        <f>IF($B$12="individual",Constants!F60,Constants!L60)</f>
        <v>number of competitions organised</v>
      </c>
      <c r="AE35" s="249">
        <v>1</v>
      </c>
      <c r="AF35" s="271">
        <f>IF(AE35&gt;=4,5,IF(AE35&gt;=2,3,IF(AE35&gt;=1,1,0)))</f>
        <v>1</v>
      </c>
      <c r="AG35" s="560"/>
      <c r="AH35" s="560"/>
      <c r="AI35" s="560"/>
      <c r="AJ35" s="560"/>
    </row>
    <row r="36" spans="1:58" ht="15.75" customHeight="1" thickBot="1">
      <c r="A36" s="179" t="s">
        <v>448</v>
      </c>
      <c r="B36" s="16"/>
      <c r="C36" s="16"/>
      <c r="D36" s="16"/>
      <c r="E36" s="16"/>
      <c r="F36" s="16"/>
      <c r="G36" s="16"/>
      <c r="H36" s="16"/>
      <c r="I36" s="16"/>
      <c r="J36" s="16"/>
      <c r="K36" s="16"/>
      <c r="L36" s="16"/>
      <c r="M36" s="16"/>
      <c r="N36" s="16"/>
      <c r="O36" s="16"/>
      <c r="P36" s="16"/>
      <c r="Q36" s="16"/>
      <c r="R36" s="16"/>
      <c r="S36" s="16"/>
      <c r="T36" s="16"/>
      <c r="U36" s="16"/>
      <c r="V36" s="16"/>
      <c r="W36" s="16"/>
      <c r="X36" s="16"/>
      <c r="Y36" s="16"/>
      <c r="Z36" s="16"/>
      <c r="AA36" s="16"/>
      <c r="AB36" s="18"/>
      <c r="AC36" s="16"/>
      <c r="AD36" s="244" t="str">
        <f>IF($B$12="individual",Constants!F61,Constants!L61)</f>
        <v>number of social activities</v>
      </c>
      <c r="AE36" s="249">
        <v>25</v>
      </c>
      <c r="AF36" s="271">
        <f>IF(AE36&gt;=20,2,IF(AE36&gt;=10,1,0))</f>
        <v>2</v>
      </c>
      <c r="AG36" s="560"/>
      <c r="AH36" s="560"/>
      <c r="AI36" s="560"/>
      <c r="AJ36" s="560"/>
    </row>
    <row r="37" spans="1:58" ht="15" customHeight="1" thickTop="1" thickBot="1">
      <c r="A37" s="258" t="s">
        <v>449</v>
      </c>
      <c r="B37" s="259" t="s">
        <v>450</v>
      </c>
      <c r="C37" s="258" t="s">
        <v>451</v>
      </c>
      <c r="D37" s="258" t="s">
        <v>452</v>
      </c>
      <c r="E37" s="258" t="s">
        <v>453</v>
      </c>
      <c r="F37" s="258" t="s">
        <v>454</v>
      </c>
      <c r="G37" s="259" t="s">
        <v>455</v>
      </c>
      <c r="H37" s="561" t="s">
        <v>456</v>
      </c>
      <c r="I37" s="716"/>
      <c r="J37" s="717"/>
      <c r="K37" s="98"/>
      <c r="L37" s="98"/>
      <c r="M37" s="98"/>
      <c r="N37" s="98"/>
      <c r="O37" s="98"/>
      <c r="P37" s="98"/>
      <c r="Q37" s="98"/>
      <c r="R37" s="98"/>
      <c r="S37" s="98"/>
      <c r="T37" s="98"/>
      <c r="U37" s="96"/>
      <c r="V37" s="96"/>
      <c r="W37" s="96"/>
      <c r="X37" s="96"/>
      <c r="Y37" s="99"/>
      <c r="Z37" s="96"/>
      <c r="AA37" s="96"/>
      <c r="AB37" s="100"/>
      <c r="AC37" s="100"/>
      <c r="AD37" s="244" t="str">
        <f>IF($B$12="individual",Constants!F62,Constants!L62)</f>
        <v>number of bar days</v>
      </c>
      <c r="AE37" s="249">
        <v>10</v>
      </c>
      <c r="AF37" s="271">
        <f>IF(AE37&gt;=15,2,IF(AE37&gt;=8,1,0))</f>
        <v>1</v>
      </c>
      <c r="AG37" s="560"/>
      <c r="AH37" s="560"/>
      <c r="AI37" s="560"/>
      <c r="AJ37" s="560"/>
      <c r="AK37" s="100"/>
      <c r="AL37" s="100"/>
      <c r="AM37" s="100"/>
      <c r="AN37" s="100"/>
      <c r="AO37" s="100"/>
      <c r="AP37" s="100"/>
      <c r="AQ37" s="100"/>
      <c r="AR37" s="100"/>
      <c r="AS37" s="100"/>
      <c r="AT37" s="100"/>
      <c r="AU37" s="100"/>
      <c r="AV37" s="100"/>
      <c r="AW37" s="100"/>
      <c r="AX37" s="100"/>
      <c r="AY37" s="100"/>
      <c r="AZ37" s="100"/>
      <c r="BA37" s="100"/>
      <c r="BB37" s="100"/>
      <c r="BC37" s="100"/>
      <c r="BD37" s="100"/>
      <c r="BE37" s="100"/>
      <c r="BF37" s="100"/>
    </row>
    <row r="38" spans="1:58" ht="14.25" customHeight="1" thickTop="1" thickBot="1">
      <c r="A38" s="312" t="s">
        <v>1391</v>
      </c>
      <c r="B38" s="323">
        <v>20</v>
      </c>
      <c r="C38" s="312">
        <v>2</v>
      </c>
      <c r="D38" s="312">
        <v>42</v>
      </c>
      <c r="E38" s="312" t="s">
        <v>1392</v>
      </c>
      <c r="F38" s="324" t="s">
        <v>1331</v>
      </c>
      <c r="G38" s="323"/>
      <c r="H38" s="618"/>
      <c r="I38" s="741"/>
      <c r="J38" s="742"/>
      <c r="K38" s="16"/>
      <c r="L38" s="16"/>
      <c r="M38" s="16"/>
      <c r="N38" s="16"/>
      <c r="O38" s="16"/>
      <c r="P38" s="16"/>
      <c r="Q38" s="16"/>
      <c r="R38" s="16"/>
      <c r="S38" s="16"/>
      <c r="T38" s="16"/>
      <c r="U38" s="16"/>
      <c r="V38" s="16"/>
      <c r="W38" s="16"/>
      <c r="X38" s="16"/>
      <c r="Y38" s="17"/>
      <c r="Z38" s="16"/>
      <c r="AA38" s="16"/>
      <c r="AD38" s="244" t="str">
        <f>IF($B$12="individual",Constants!F63,Constants!L63)</f>
        <v>own bar / extra location</v>
      </c>
      <c r="AE38" s="249">
        <v>0</v>
      </c>
      <c r="AF38" s="271">
        <f>IF(AE38&gt;=15,2,IF(AE38&gt;=8,1,0))</f>
        <v>0</v>
      </c>
      <c r="AG38" s="560"/>
      <c r="AH38" s="560"/>
      <c r="AI38" s="560"/>
      <c r="AJ38" s="560"/>
    </row>
    <row r="39" spans="1:58" ht="14.25" customHeight="1" thickBot="1">
      <c r="A39" s="312" t="s">
        <v>1393</v>
      </c>
      <c r="B39" s="323">
        <v>17</v>
      </c>
      <c r="C39" s="312">
        <v>2</v>
      </c>
      <c r="D39" s="312">
        <v>42</v>
      </c>
      <c r="E39" s="328" t="s">
        <v>55</v>
      </c>
      <c r="F39" s="327" t="s">
        <v>1331</v>
      </c>
      <c r="G39" s="325"/>
      <c r="H39" s="743"/>
      <c r="I39" s="744"/>
      <c r="J39" s="745"/>
      <c r="K39" s="16"/>
      <c r="L39" s="16"/>
      <c r="M39" s="16"/>
      <c r="N39" s="16"/>
      <c r="O39" s="16"/>
      <c r="P39" s="16"/>
      <c r="Q39" s="16"/>
      <c r="R39" s="16"/>
      <c r="S39" s="16"/>
      <c r="T39" s="16"/>
      <c r="U39" s="16"/>
      <c r="V39" s="16"/>
      <c r="W39" s="16"/>
      <c r="X39" s="16"/>
      <c r="Y39" s="17"/>
      <c r="Z39" s="16"/>
      <c r="AA39" s="16"/>
      <c r="AD39" s="244" t="str">
        <f>IF($B$12="individual",Constants!F65,Constants!L64)</f>
        <v>number of facilities used</v>
      </c>
      <c r="AE39" s="249">
        <v>1</v>
      </c>
      <c r="AF39" s="273">
        <f>IF(B12="individual", IF(AE39&gt;10, 5, IF(AE39&gt;6, 3, IF(AE39&gt;2, 1, 0))), IF(AE39&gt;3, 3, IF(AE39&gt;1, 2, 1)))</f>
        <v>1</v>
      </c>
      <c r="AG39" s="560"/>
      <c r="AH39" s="560"/>
      <c r="AI39" s="560"/>
      <c r="AJ39" s="560"/>
    </row>
    <row r="40" spans="1:58" ht="15.75" customHeight="1" thickBot="1">
      <c r="A40" s="231"/>
      <c r="B40" s="232"/>
      <c r="C40" s="231"/>
      <c r="D40" s="232"/>
      <c r="E40" s="245"/>
      <c r="F40" s="261"/>
      <c r="G40" s="231"/>
      <c r="H40" s="743"/>
      <c r="I40" s="744"/>
      <c r="J40" s="745"/>
      <c r="K40" s="16"/>
      <c r="L40" s="16"/>
      <c r="M40" s="16"/>
      <c r="N40" s="16"/>
      <c r="O40" s="16"/>
      <c r="P40" s="16"/>
      <c r="Q40" s="16"/>
      <c r="R40" s="16"/>
      <c r="S40" s="16"/>
      <c r="T40" s="16"/>
      <c r="U40" s="16"/>
      <c r="V40" s="16"/>
      <c r="W40" s="16"/>
      <c r="X40" s="16"/>
      <c r="Y40" s="16"/>
      <c r="Z40" s="16"/>
      <c r="AA40" s="16"/>
      <c r="AD40" s="231" t="str">
        <f>IF($B$12="individual",Constants!F64,Constants!L65)</f>
        <v>ratio of competing teams / training teams</v>
      </c>
      <c r="AE40" s="231">
        <f>IF(AD40="n/a","",COUNTA(A46:A50)/COUNTA(A38:A42))</f>
        <v>0</v>
      </c>
      <c r="AF40" s="272">
        <f>IF(B12="group", IF(AE40&gt;0.15, 5, IF(AE40&gt;0.1, 3, IF(AE40&gt;0.05, 1, 0))), " ")</f>
        <v>0</v>
      </c>
      <c r="AG40" s="560"/>
      <c r="AH40" s="560"/>
      <c r="AI40" s="560"/>
      <c r="AJ40" s="560"/>
    </row>
    <row r="41" spans="1:58" ht="15.75" customHeight="1" thickBot="1">
      <c r="A41" s="231"/>
      <c r="B41" s="232"/>
      <c r="C41" s="231"/>
      <c r="D41" s="232"/>
      <c r="E41" s="245"/>
      <c r="F41" s="261"/>
      <c r="G41" s="231"/>
      <c r="H41" s="743"/>
      <c r="I41" s="744"/>
      <c r="J41" s="745"/>
      <c r="K41" s="16"/>
      <c r="L41" s="16"/>
      <c r="M41" s="16"/>
      <c r="N41" s="16"/>
      <c r="O41" s="16"/>
      <c r="P41" s="16"/>
      <c r="Q41" s="16"/>
      <c r="R41" s="16"/>
      <c r="S41" s="16"/>
      <c r="T41" s="16"/>
      <c r="U41" s="16"/>
      <c r="V41" s="16"/>
      <c r="W41" s="16"/>
      <c r="X41" s="16"/>
      <c r="Y41" s="16"/>
      <c r="Z41" s="16"/>
      <c r="AA41" s="16"/>
      <c r="AD41" s="16"/>
      <c r="AE41" s="275" t="s">
        <v>461</v>
      </c>
      <c r="AF41" s="277">
        <f>SUM(AF30:AF40)</f>
        <v>15</v>
      </c>
      <c r="AG41" s="247"/>
      <c r="AH41" s="245"/>
      <c r="AI41" s="246"/>
      <c r="AJ41" s="247"/>
    </row>
    <row r="42" spans="1:58" ht="15.75" customHeight="1" thickBot="1">
      <c r="A42" s="231"/>
      <c r="B42" s="326"/>
      <c r="C42" s="245"/>
      <c r="D42" s="232"/>
      <c r="E42" s="261"/>
      <c r="F42" s="261"/>
      <c r="G42" s="231"/>
      <c r="H42" s="746"/>
      <c r="I42" s="747"/>
      <c r="J42" s="748"/>
      <c r="K42" s="16"/>
      <c r="L42" s="16"/>
      <c r="M42" s="16"/>
      <c r="N42" s="16"/>
      <c r="O42" s="16"/>
      <c r="P42" s="16"/>
      <c r="Q42" s="16"/>
      <c r="R42" s="16"/>
      <c r="S42" s="16"/>
      <c r="T42" s="16"/>
      <c r="U42" s="16"/>
      <c r="V42" s="16"/>
      <c r="W42" s="16"/>
      <c r="X42" s="16"/>
      <c r="Y42" s="16"/>
      <c r="Z42" s="16"/>
      <c r="AA42" s="16"/>
    </row>
    <row r="43" spans="1:58" ht="15.75" customHeight="1" thickTop="1">
      <c r="A43" s="18"/>
      <c r="B43" s="18"/>
      <c r="C43" s="18"/>
      <c r="D43" s="18"/>
      <c r="E43" s="18"/>
      <c r="F43" s="18"/>
      <c r="G43" s="17"/>
      <c r="H43" s="17"/>
      <c r="I43" s="17"/>
      <c r="J43" s="17"/>
      <c r="K43" s="17"/>
      <c r="L43" s="17"/>
      <c r="M43" s="17"/>
      <c r="N43" s="17"/>
      <c r="O43" s="17"/>
      <c r="P43" s="17"/>
      <c r="Q43" s="16"/>
      <c r="R43" s="17"/>
      <c r="S43" s="17"/>
      <c r="T43" s="17"/>
      <c r="U43" s="17"/>
      <c r="V43" s="17"/>
      <c r="W43" s="17"/>
      <c r="X43" s="17"/>
      <c r="Y43" s="17"/>
      <c r="Z43" s="17"/>
      <c r="AA43" s="17"/>
      <c r="AB43" s="17"/>
      <c r="AC43" s="17"/>
      <c r="AD43" s="17"/>
    </row>
    <row r="44" spans="1:58" ht="15.75" customHeight="1" thickBot="1">
      <c r="A44" s="179" t="s">
        <v>462</v>
      </c>
      <c r="B44" s="169"/>
      <c r="C44" s="16"/>
      <c r="D44" s="16"/>
      <c r="E44" s="16"/>
      <c r="F44" s="16"/>
      <c r="G44" s="16"/>
      <c r="H44" s="16"/>
      <c r="I44" s="16"/>
      <c r="J44" s="16"/>
      <c r="K44" s="16"/>
      <c r="L44" s="16"/>
      <c r="M44" s="16"/>
      <c r="N44" s="16"/>
      <c r="O44" s="16"/>
      <c r="P44" s="16"/>
      <c r="Q44" s="16"/>
      <c r="R44" s="16"/>
      <c r="S44" s="16"/>
      <c r="T44" s="16"/>
      <c r="U44" s="16"/>
      <c r="V44" s="16"/>
      <c r="W44" s="16"/>
      <c r="X44" s="16"/>
      <c r="Y44" s="16"/>
      <c r="Z44" s="16"/>
      <c r="AA44" s="16"/>
      <c r="AB44" s="18"/>
      <c r="AC44" s="16"/>
      <c r="AD44" s="16"/>
    </row>
    <row r="45" spans="1:58" ht="15" customHeight="1" thickTop="1" thickBot="1">
      <c r="A45" s="258" t="s">
        <v>449</v>
      </c>
      <c r="B45" s="259" t="s">
        <v>450</v>
      </c>
      <c r="C45" s="258" t="s">
        <v>463</v>
      </c>
      <c r="D45" s="258" t="s">
        <v>464</v>
      </c>
      <c r="E45" s="258" t="s">
        <v>465</v>
      </c>
      <c r="F45" s="258" t="s">
        <v>466</v>
      </c>
      <c r="G45" s="258" t="s">
        <v>467</v>
      </c>
      <c r="H45" s="259" t="s">
        <v>455</v>
      </c>
      <c r="I45" s="561" t="s">
        <v>456</v>
      </c>
      <c r="J45" s="716"/>
      <c r="K45" s="717"/>
      <c r="L45" s="98"/>
      <c r="M45" s="98"/>
      <c r="N45" s="98"/>
      <c r="O45" s="98"/>
      <c r="P45" s="98"/>
      <c r="Q45" s="98"/>
      <c r="R45" s="98"/>
      <c r="S45" s="98"/>
      <c r="T45" s="98"/>
      <c r="U45" s="98"/>
      <c r="V45" s="96"/>
      <c r="W45" s="96"/>
      <c r="X45" s="96"/>
      <c r="Y45" s="96"/>
      <c r="Z45" s="99"/>
      <c r="AA45" s="96"/>
      <c r="AB45" s="96"/>
      <c r="AC45" s="100"/>
      <c r="AD45" s="100"/>
      <c r="AE45" s="100"/>
      <c r="AF45" s="100"/>
      <c r="AG45" s="100"/>
      <c r="AH45" s="100"/>
      <c r="AI45" s="100"/>
      <c r="AJ45" s="100"/>
      <c r="AK45" s="100"/>
      <c r="AL45" s="100"/>
      <c r="AM45" s="100"/>
      <c r="AN45" s="100"/>
      <c r="AO45" s="100"/>
      <c r="AP45" s="100"/>
      <c r="AQ45" s="100"/>
      <c r="AR45" s="100"/>
      <c r="AS45" s="100"/>
      <c r="AT45" s="100"/>
      <c r="AU45" s="100"/>
      <c r="AV45" s="100"/>
      <c r="AW45" s="100"/>
      <c r="AX45" s="100"/>
      <c r="AY45" s="100"/>
      <c r="AZ45" s="100"/>
      <c r="BA45" s="100"/>
      <c r="BB45" s="100"/>
      <c r="BC45" s="100"/>
      <c r="BD45" s="100"/>
      <c r="BE45" s="100"/>
      <c r="BF45" s="100"/>
    </row>
    <row r="46" spans="1:58" ht="14.25" customHeight="1" thickTop="1">
      <c r="A46" s="312"/>
      <c r="B46" s="323"/>
      <c r="C46" s="312"/>
      <c r="D46" s="312"/>
      <c r="E46" s="327"/>
      <c r="F46" s="327"/>
      <c r="G46" s="323"/>
      <c r="H46" s="323"/>
      <c r="I46" s="618"/>
      <c r="J46" s="741"/>
      <c r="K46" s="742"/>
      <c r="L46" s="16"/>
      <c r="M46" s="16"/>
      <c r="N46" s="16"/>
      <c r="O46" s="16"/>
      <c r="P46" s="16"/>
      <c r="Q46" s="16"/>
      <c r="R46" s="16"/>
      <c r="S46" s="16"/>
      <c r="T46" s="16"/>
      <c r="U46" s="16"/>
      <c r="V46" s="16"/>
      <c r="W46" s="16"/>
      <c r="X46" s="16"/>
      <c r="Y46" s="16"/>
      <c r="Z46" s="17"/>
      <c r="AA46" s="16"/>
      <c r="AB46" s="16"/>
    </row>
    <row r="47" spans="1:58" ht="14.25" customHeight="1">
      <c r="A47" s="312"/>
      <c r="B47" s="323"/>
      <c r="C47" s="312"/>
      <c r="D47" s="312"/>
      <c r="E47" s="328"/>
      <c r="F47" s="327"/>
      <c r="G47" s="323"/>
      <c r="H47" s="323"/>
      <c r="I47" s="743"/>
      <c r="J47" s="744"/>
      <c r="K47" s="745"/>
      <c r="L47" s="16"/>
      <c r="M47" s="16"/>
      <c r="N47" s="16"/>
      <c r="O47" s="16"/>
      <c r="P47" s="16"/>
      <c r="Q47" s="16"/>
      <c r="R47" s="16"/>
      <c r="S47" s="16"/>
      <c r="T47" s="16"/>
      <c r="U47" s="16"/>
      <c r="V47" s="16"/>
      <c r="W47" s="16"/>
      <c r="X47" s="16"/>
      <c r="Y47" s="16"/>
      <c r="Z47" s="17"/>
      <c r="AA47" s="16"/>
      <c r="AB47" s="16"/>
    </row>
    <row r="48" spans="1:58" ht="15.75" customHeight="1">
      <c r="A48" s="323"/>
      <c r="B48" s="323"/>
      <c r="C48" s="323"/>
      <c r="D48" s="312"/>
      <c r="E48" s="328"/>
      <c r="F48" s="327"/>
      <c r="G48" s="329"/>
      <c r="H48" s="323"/>
      <c r="I48" s="743"/>
      <c r="J48" s="744"/>
      <c r="K48" s="745"/>
      <c r="L48" s="16"/>
      <c r="M48" s="16"/>
      <c r="N48" s="16"/>
      <c r="O48" s="16"/>
      <c r="P48" s="16"/>
      <c r="Q48" s="16"/>
      <c r="R48" s="16"/>
      <c r="S48" s="16"/>
      <c r="T48" s="16"/>
      <c r="U48" s="16"/>
      <c r="V48" s="16"/>
      <c r="W48" s="16"/>
      <c r="X48" s="16"/>
      <c r="Y48" s="16"/>
      <c r="Z48" s="16"/>
      <c r="AA48" s="16"/>
      <c r="AB48" s="16"/>
    </row>
    <row r="49" spans="1:30" ht="15.75" customHeight="1">
      <c r="A49" s="231"/>
      <c r="B49" s="232"/>
      <c r="C49" s="231"/>
      <c r="D49" s="269"/>
      <c r="E49" s="245"/>
      <c r="F49" s="261"/>
      <c r="G49" s="263"/>
      <c r="H49" s="231"/>
      <c r="I49" s="743"/>
      <c r="J49" s="744"/>
      <c r="K49" s="745"/>
      <c r="L49" s="16"/>
      <c r="M49" s="16"/>
      <c r="N49" s="16"/>
      <c r="O49" s="16"/>
      <c r="P49" s="16"/>
      <c r="Q49" s="16"/>
      <c r="R49" s="16"/>
      <c r="S49" s="16"/>
      <c r="T49" s="16"/>
      <c r="U49" s="16"/>
      <c r="V49" s="16"/>
      <c r="W49" s="16"/>
      <c r="X49" s="16"/>
      <c r="Y49" s="16"/>
      <c r="Z49" s="16"/>
      <c r="AA49" s="16"/>
      <c r="AB49" s="16"/>
    </row>
    <row r="50" spans="1:30" ht="15.75" customHeight="1" thickBot="1">
      <c r="A50" s="231"/>
      <c r="B50" s="326"/>
      <c r="C50" s="245"/>
      <c r="D50" s="245"/>
      <c r="E50" s="261"/>
      <c r="F50" s="261"/>
      <c r="G50" s="263"/>
      <c r="H50" s="231"/>
      <c r="I50" s="746"/>
      <c r="J50" s="747"/>
      <c r="K50" s="748"/>
      <c r="L50" s="16"/>
      <c r="M50" s="16"/>
      <c r="N50" s="16"/>
      <c r="O50" s="16"/>
      <c r="P50" s="16"/>
      <c r="Q50" s="16"/>
      <c r="R50" s="16"/>
      <c r="S50" s="16"/>
      <c r="T50" s="16"/>
      <c r="U50" s="16"/>
      <c r="V50" s="16"/>
      <c r="W50" s="16"/>
      <c r="X50" s="16"/>
      <c r="Y50" s="16"/>
      <c r="Z50" s="16"/>
      <c r="AA50" s="16"/>
      <c r="AB50" s="16"/>
    </row>
    <row r="51" spans="1:30" ht="15.75" customHeight="1" thickTop="1">
      <c r="A51" s="15"/>
      <c r="B51" s="16"/>
      <c r="C51" s="16"/>
      <c r="D51" s="16"/>
      <c r="E51" s="16"/>
      <c r="F51" s="16"/>
      <c r="G51" s="16"/>
      <c r="H51" s="16"/>
      <c r="I51" s="16"/>
      <c r="J51" s="16"/>
      <c r="K51" s="16"/>
      <c r="L51" s="16"/>
      <c r="M51" s="16"/>
      <c r="N51" s="16"/>
      <c r="O51" s="16"/>
      <c r="P51" s="16"/>
      <c r="Q51" s="16"/>
      <c r="R51" s="16"/>
      <c r="S51" s="16"/>
      <c r="T51" s="16"/>
      <c r="U51" s="16"/>
      <c r="V51" s="16"/>
      <c r="W51" s="16"/>
      <c r="X51" s="16"/>
      <c r="Y51" s="16"/>
      <c r="Z51" s="16"/>
      <c r="AA51" s="16"/>
      <c r="AB51" s="16"/>
      <c r="AC51" s="16"/>
      <c r="AD51" s="16"/>
    </row>
    <row r="52" spans="1:30" ht="15.75" customHeight="1">
      <c r="A52" s="15"/>
      <c r="B52" s="16"/>
      <c r="C52" s="16"/>
      <c r="D52" s="16"/>
      <c r="E52" s="16"/>
      <c r="F52" s="16"/>
      <c r="G52" s="16"/>
      <c r="H52" s="16"/>
      <c r="I52" s="16"/>
      <c r="J52" s="16"/>
      <c r="K52" s="16"/>
      <c r="L52" s="16"/>
      <c r="M52" s="16"/>
      <c r="N52" s="16"/>
      <c r="O52" s="16"/>
      <c r="P52" s="16"/>
      <c r="Q52" s="16"/>
      <c r="W52" s="16"/>
      <c r="X52" s="16"/>
      <c r="Y52" s="16"/>
      <c r="Z52" s="16"/>
      <c r="AA52" s="16"/>
      <c r="AB52" s="16"/>
      <c r="AC52" s="16"/>
      <c r="AD52" s="16"/>
    </row>
    <row r="53" spans="1:30" ht="15.75" customHeight="1" thickBot="1">
      <c r="A53" s="186" t="s">
        <v>475</v>
      </c>
      <c r="B53" s="231"/>
      <c r="C53" s="231"/>
      <c r="D53" s="231"/>
      <c r="E53" s="231"/>
      <c r="F53" s="231"/>
      <c r="G53" s="231"/>
      <c r="H53" s="231"/>
      <c r="I53" s="231"/>
      <c r="J53" s="231"/>
      <c r="K53" s="16"/>
      <c r="L53" s="16"/>
      <c r="M53" s="16"/>
      <c r="N53" s="16"/>
      <c r="O53" s="16"/>
      <c r="P53" s="16"/>
      <c r="Q53" s="16"/>
      <c r="W53" s="16"/>
      <c r="X53" s="16"/>
      <c r="Y53" s="16"/>
      <c r="Z53" s="16"/>
      <c r="AA53" s="16"/>
      <c r="AB53" s="16"/>
      <c r="AC53" s="16"/>
      <c r="AD53" s="16"/>
    </row>
    <row r="54" spans="1:30" ht="15.75" customHeight="1" thickTop="1" thickBot="1">
      <c r="A54" s="230" t="s">
        <v>476</v>
      </c>
      <c r="B54" s="230" t="s">
        <v>477</v>
      </c>
      <c r="C54" s="230" t="s">
        <v>478</v>
      </c>
      <c r="D54" s="230" t="s">
        <v>479</v>
      </c>
      <c r="E54" s="230" t="s">
        <v>480</v>
      </c>
      <c r="F54" s="230" t="s">
        <v>481</v>
      </c>
      <c r="G54" s="230" t="s">
        <v>482</v>
      </c>
      <c r="H54" s="230" t="s">
        <v>453</v>
      </c>
      <c r="I54" s="230" t="s">
        <v>483</v>
      </c>
      <c r="J54" s="230" t="s">
        <v>484</v>
      </c>
      <c r="K54" s="721" t="s">
        <v>485</v>
      </c>
      <c r="L54" s="716"/>
      <c r="M54" s="722"/>
      <c r="N54" s="15"/>
      <c r="O54" s="16"/>
      <c r="P54" s="16"/>
      <c r="Q54" s="16"/>
      <c r="W54" s="16"/>
      <c r="X54" s="16"/>
      <c r="Y54" s="16"/>
      <c r="Z54" s="16"/>
      <c r="AA54" s="16"/>
      <c r="AB54" s="16"/>
    </row>
    <row r="55" spans="1:30" ht="15" customHeight="1" thickTop="1">
      <c r="A55" s="319" t="s">
        <v>1391</v>
      </c>
      <c r="B55" s="319" t="s">
        <v>287</v>
      </c>
      <c r="C55" s="327">
        <v>42</v>
      </c>
      <c r="D55" s="319">
        <v>2</v>
      </c>
      <c r="E55" s="319">
        <v>4</v>
      </c>
      <c r="F55" s="231">
        <f>Table_4168278[[#This Row],['# Weeks]]*Table_4168278[[#This Row],[Total hours/week]]</f>
        <v>168</v>
      </c>
      <c r="G55" s="330" t="s">
        <v>1394</v>
      </c>
      <c r="H55" s="319" t="s">
        <v>55</v>
      </c>
      <c r="I55" s="331"/>
      <c r="J55" s="231"/>
      <c r="K55" s="564"/>
      <c r="L55" s="741"/>
      <c r="M55" s="742"/>
      <c r="N55" s="16"/>
      <c r="O55" s="16"/>
      <c r="P55" s="16"/>
      <c r="Q55" s="16"/>
      <c r="W55" s="16"/>
      <c r="X55" s="16"/>
      <c r="Y55" s="16"/>
      <c r="Z55" s="16"/>
      <c r="AA55" s="16"/>
      <c r="AB55" s="16"/>
    </row>
    <row r="56" spans="1:30" ht="15.75" customHeight="1">
      <c r="A56" s="231" t="s">
        <v>1393</v>
      </c>
      <c r="B56" s="319" t="s">
        <v>287</v>
      </c>
      <c r="C56" s="327">
        <v>42</v>
      </c>
      <c r="D56" s="319">
        <v>2</v>
      </c>
      <c r="E56" s="319">
        <v>4</v>
      </c>
      <c r="F56" s="231">
        <f>Table_4168278[[#This Row],['# Weeks]]*Table_4168278[[#This Row],[Total hours/week]]</f>
        <v>168</v>
      </c>
      <c r="G56" s="330" t="s">
        <v>1395</v>
      </c>
      <c r="H56" s="319" t="s">
        <v>55</v>
      </c>
      <c r="I56" s="331"/>
      <c r="J56" s="231"/>
      <c r="K56" s="749"/>
      <c r="L56" s="744"/>
      <c r="M56" s="745"/>
      <c r="N56" s="16"/>
      <c r="O56" s="16"/>
      <c r="P56" s="16"/>
      <c r="Q56" s="16"/>
      <c r="W56" s="16"/>
      <c r="X56" s="16"/>
      <c r="Y56" s="16"/>
      <c r="Z56" s="16"/>
      <c r="AA56" s="16"/>
      <c r="AB56" s="16"/>
    </row>
    <row r="57" spans="1:30" ht="14.25" customHeight="1">
      <c r="A57" s="231"/>
      <c r="B57" s="319"/>
      <c r="C57" s="231"/>
      <c r="D57" s="231"/>
      <c r="E57" s="231"/>
      <c r="F57" s="231">
        <f>Table_4168278[[#This Row],['# Weeks]]*Table_4168278[[#This Row],[Total hours/week]]</f>
        <v>0</v>
      </c>
      <c r="G57" s="248"/>
      <c r="H57" s="319"/>
      <c r="I57" s="331"/>
      <c r="J57" s="231"/>
      <c r="K57" s="749"/>
      <c r="L57" s="744"/>
      <c r="M57" s="745"/>
      <c r="N57" s="16"/>
      <c r="O57" s="16"/>
      <c r="P57" s="16"/>
      <c r="Q57" s="16"/>
      <c r="W57" s="16"/>
      <c r="X57" s="16"/>
      <c r="Y57" s="16"/>
      <c r="Z57" s="16"/>
      <c r="AA57" s="16"/>
      <c r="AB57" s="16"/>
    </row>
    <row r="58" spans="1:30" ht="15.75" customHeight="1">
      <c r="A58" s="319"/>
      <c r="B58" s="319"/>
      <c r="C58" s="231"/>
      <c r="D58" s="231"/>
      <c r="E58" s="231"/>
      <c r="F58" s="231">
        <f>Table_4168278[[#This Row],['# Weeks]]*Table_4168278[[#This Row],[Total hours/week]]</f>
        <v>0</v>
      </c>
      <c r="G58" s="231"/>
      <c r="H58" s="319"/>
      <c r="I58" s="331"/>
      <c r="J58" s="231"/>
      <c r="K58" s="749"/>
      <c r="L58" s="744"/>
      <c r="M58" s="745"/>
      <c r="N58" s="16"/>
      <c r="O58" s="16"/>
      <c r="P58" s="16"/>
      <c r="Q58" s="16"/>
      <c r="W58" s="16"/>
      <c r="X58" s="16"/>
      <c r="Y58" s="16"/>
      <c r="Z58" s="16"/>
      <c r="AA58" s="16"/>
      <c r="AB58" s="16"/>
    </row>
    <row r="59" spans="1:30" ht="15.75" customHeight="1">
      <c r="A59" s="319"/>
      <c r="B59" s="319"/>
      <c r="C59" s="231"/>
      <c r="D59" s="231"/>
      <c r="E59" s="231"/>
      <c r="F59" s="231">
        <f>Table_4168278[[#This Row],['# Weeks]]*Table_4168278[[#This Row],[Total hours/week]]</f>
        <v>0</v>
      </c>
      <c r="G59" s="231"/>
      <c r="H59" s="319"/>
      <c r="I59" s="331"/>
      <c r="J59" s="231"/>
      <c r="K59" s="749"/>
      <c r="L59" s="744"/>
      <c r="M59" s="745"/>
      <c r="N59" s="16"/>
      <c r="O59" s="16"/>
      <c r="P59" s="16"/>
      <c r="Q59" s="16"/>
      <c r="W59" s="16"/>
      <c r="X59" s="16"/>
      <c r="Y59" s="16"/>
      <c r="Z59" s="16"/>
      <c r="AA59" s="16"/>
      <c r="AB59" s="16"/>
    </row>
    <row r="60" spans="1:30" ht="15.75" customHeight="1">
      <c r="A60" s="319"/>
      <c r="B60" s="319"/>
      <c r="C60" s="231"/>
      <c r="D60" s="231"/>
      <c r="E60" s="231"/>
      <c r="F60" s="231">
        <f>Table_4168278[[#This Row],['# Weeks]]*Table_4168278[[#This Row],[Total hours/week]]</f>
        <v>0</v>
      </c>
      <c r="G60" s="319"/>
      <c r="H60" s="319"/>
      <c r="I60" s="331"/>
      <c r="J60" s="231"/>
      <c r="K60" s="749"/>
      <c r="L60" s="744"/>
      <c r="M60" s="745"/>
      <c r="N60" s="16"/>
      <c r="O60" s="16"/>
      <c r="P60" s="16"/>
      <c r="Q60" s="16"/>
      <c r="W60" s="16"/>
      <c r="X60" s="16"/>
      <c r="Y60" s="16"/>
      <c r="Z60" s="16"/>
      <c r="AA60" s="16"/>
      <c r="AB60" s="16"/>
    </row>
    <row r="61" spans="1:30" ht="15.75" customHeight="1">
      <c r="A61" s="319"/>
      <c r="B61" s="319"/>
      <c r="C61" s="231"/>
      <c r="D61" s="231"/>
      <c r="E61" s="231"/>
      <c r="F61" s="231">
        <f>Table_4168278[[#This Row],['# Weeks]]*Table_4168278[[#This Row],[Total hours/week]]</f>
        <v>0</v>
      </c>
      <c r="G61" s="319"/>
      <c r="H61" s="319"/>
      <c r="I61" s="331"/>
      <c r="J61" s="231"/>
      <c r="K61" s="749"/>
      <c r="L61" s="744"/>
      <c r="M61" s="745"/>
      <c r="N61" s="16"/>
      <c r="O61" s="16"/>
      <c r="P61" s="16"/>
      <c r="Q61" s="16"/>
      <c r="W61" s="16"/>
      <c r="X61" s="16"/>
      <c r="Y61" s="16"/>
      <c r="Z61" s="16"/>
      <c r="AA61" s="16"/>
      <c r="AB61" s="16"/>
    </row>
    <row r="62" spans="1:30" ht="15.75" customHeight="1">
      <c r="A62" s="319"/>
      <c r="B62" s="319"/>
      <c r="C62" s="261"/>
      <c r="D62" s="261"/>
      <c r="E62" s="261"/>
      <c r="F62" s="262">
        <f>Table_4168278[[#This Row],['# Weeks]]*Table_4168278[[#This Row],[Total hours/week]]</f>
        <v>0</v>
      </c>
      <c r="G62" s="319"/>
      <c r="H62" s="319"/>
      <c r="I62" s="331"/>
      <c r="J62" s="231"/>
      <c r="K62" s="749"/>
      <c r="L62" s="744"/>
      <c r="M62" s="745"/>
      <c r="N62" s="16"/>
      <c r="O62" s="16"/>
      <c r="P62" s="16"/>
      <c r="Q62" s="16"/>
      <c r="W62" s="16"/>
      <c r="X62" s="16"/>
      <c r="Y62" s="16"/>
      <c r="Z62" s="16"/>
      <c r="AA62" s="16"/>
      <c r="AB62" s="16"/>
    </row>
    <row r="63" spans="1:30" ht="15.75" customHeight="1">
      <c r="A63" s="319"/>
      <c r="B63" s="319"/>
      <c r="C63" s="261"/>
      <c r="D63" s="261"/>
      <c r="E63" s="261"/>
      <c r="F63" s="262">
        <f>Table_4168278[[#This Row],['# Weeks]]*Table_4168278[[#This Row],[Total hours/week]]</f>
        <v>0</v>
      </c>
      <c r="G63" s="319"/>
      <c r="H63" s="319"/>
      <c r="I63" s="331"/>
      <c r="J63" s="231"/>
      <c r="K63" s="749"/>
      <c r="L63" s="744"/>
      <c r="M63" s="745"/>
      <c r="N63" s="16"/>
      <c r="O63" s="16"/>
      <c r="P63" s="16"/>
      <c r="Q63" s="16"/>
      <c r="W63" s="16"/>
      <c r="X63" s="16"/>
      <c r="Y63" s="16"/>
      <c r="Z63" s="16"/>
      <c r="AA63" s="16"/>
      <c r="AB63" s="16"/>
    </row>
    <row r="64" spans="1:30" ht="15.75" customHeight="1">
      <c r="A64" s="231"/>
      <c r="B64" s="319"/>
      <c r="C64" s="232"/>
      <c r="D64" s="232"/>
      <c r="E64" s="261"/>
      <c r="F64" s="262">
        <f>Table_4168278[[#This Row],['# Weeks]]*Table_4168278[[#This Row],[Total hours/week]]</f>
        <v>0</v>
      </c>
      <c r="G64" s="231"/>
      <c r="H64" s="319"/>
      <c r="I64" s="331"/>
      <c r="J64" s="231"/>
      <c r="K64" s="749"/>
      <c r="L64" s="744"/>
      <c r="M64" s="745"/>
      <c r="N64" s="16"/>
      <c r="O64" s="16"/>
      <c r="P64" s="16"/>
      <c r="Q64" s="16"/>
      <c r="W64" s="16"/>
      <c r="X64" s="16"/>
      <c r="Y64" s="16"/>
      <c r="Z64" s="16"/>
      <c r="AA64" s="16"/>
      <c r="AB64" s="16"/>
    </row>
    <row r="65" spans="1:30" ht="15.75" customHeight="1">
      <c r="A65" s="231"/>
      <c r="B65" s="319"/>
      <c r="C65" s="232"/>
      <c r="D65" s="232"/>
      <c r="E65" s="261"/>
      <c r="F65" s="262">
        <f>Table_4168278[[#This Row],['# Weeks]]*Table_4168278[[#This Row],[Total hours/week]]</f>
        <v>0</v>
      </c>
      <c r="G65" s="231"/>
      <c r="H65" s="319"/>
      <c r="I65" s="331"/>
      <c r="J65" s="231"/>
      <c r="K65" s="749"/>
      <c r="L65" s="744"/>
      <c r="M65" s="745"/>
      <c r="N65" s="16"/>
      <c r="O65" s="16"/>
      <c r="P65" s="16"/>
      <c r="Q65" s="16"/>
      <c r="W65" s="16"/>
      <c r="X65" s="16"/>
      <c r="Y65" s="16"/>
      <c r="Z65" s="16"/>
      <c r="AA65" s="16"/>
      <c r="AB65" s="16"/>
    </row>
    <row r="66" spans="1:30" ht="15.75" customHeight="1">
      <c r="A66" s="231"/>
      <c r="B66" s="319"/>
      <c r="C66" s="232"/>
      <c r="D66" s="232"/>
      <c r="E66" s="261"/>
      <c r="F66" s="262">
        <f>Table_4168278[[#This Row],['# Weeks]]*Table_4168278[[#This Row],[Total hours/week]]</f>
        <v>0</v>
      </c>
      <c r="G66" s="231"/>
      <c r="H66" s="319"/>
      <c r="I66" s="331"/>
      <c r="J66" s="231"/>
      <c r="K66" s="749"/>
      <c r="L66" s="744"/>
      <c r="M66" s="745"/>
      <c r="N66" s="16"/>
      <c r="O66" s="16"/>
      <c r="P66" s="16"/>
      <c r="Q66" s="16"/>
      <c r="W66" s="16"/>
      <c r="X66" s="16"/>
      <c r="Y66" s="16"/>
      <c r="Z66" s="16"/>
      <c r="AA66" s="16"/>
      <c r="AB66" s="16"/>
    </row>
    <row r="67" spans="1:30" ht="15.75" customHeight="1" thickBot="1">
      <c r="A67" s="231"/>
      <c r="B67" s="319"/>
      <c r="C67" s="245"/>
      <c r="D67" s="232"/>
      <c r="E67" s="261"/>
      <c r="F67" s="262">
        <f>Table_4168278[[#This Row],['# Weeks]]*Table_4168278[[#This Row],[Total hours/week]]</f>
        <v>0</v>
      </c>
      <c r="G67" s="263"/>
      <c r="H67" s="263"/>
      <c r="I67" s="264"/>
      <c r="J67" s="231"/>
      <c r="K67" s="746"/>
      <c r="L67" s="747"/>
      <c r="M67" s="748"/>
      <c r="N67" s="16"/>
      <c r="O67" s="16"/>
      <c r="P67" s="16"/>
      <c r="Q67" s="16"/>
      <c r="W67" s="16"/>
      <c r="X67" s="16"/>
      <c r="Y67" s="16"/>
      <c r="Z67" s="16"/>
      <c r="AA67" s="16"/>
      <c r="AB67" s="16"/>
    </row>
    <row r="68" spans="1:30" ht="15.75" customHeight="1" thickTop="1">
      <c r="A68" s="16"/>
      <c r="B68" s="16"/>
      <c r="C68" s="16"/>
      <c r="D68" s="16"/>
      <c r="E68" s="16"/>
      <c r="F68" s="16"/>
      <c r="G68" s="16"/>
      <c r="H68" s="16"/>
      <c r="I68" s="16"/>
      <c r="J68" s="16"/>
      <c r="K68" s="16"/>
      <c r="L68" s="16"/>
      <c r="M68" s="16"/>
      <c r="N68" s="16"/>
      <c r="O68" s="16"/>
      <c r="P68" s="16"/>
      <c r="Q68" s="16"/>
      <c r="W68" s="16"/>
      <c r="X68" s="16"/>
      <c r="Y68" s="16"/>
      <c r="Z68" s="16"/>
      <c r="AA68" s="16"/>
      <c r="AB68" s="16"/>
      <c r="AC68" s="16"/>
      <c r="AD68" s="16"/>
    </row>
    <row r="69" spans="1:30" ht="15.75" customHeight="1" thickBot="1">
      <c r="A69" s="186" t="s">
        <v>499</v>
      </c>
      <c r="B69" s="231"/>
      <c r="C69" s="231"/>
      <c r="D69" s="231"/>
      <c r="E69" s="231"/>
      <c r="F69" s="231"/>
      <c r="G69" s="231"/>
      <c r="H69" s="231"/>
      <c r="I69" s="231"/>
      <c r="J69" s="231"/>
      <c r="K69" s="123"/>
      <c r="L69" s="123"/>
      <c r="M69" s="16"/>
      <c r="N69" s="16"/>
      <c r="O69" s="16"/>
      <c r="P69" s="16"/>
      <c r="Q69" s="16"/>
      <c r="W69" s="16"/>
      <c r="X69" s="16"/>
      <c r="Y69" s="16"/>
      <c r="Z69" s="16"/>
      <c r="AA69" s="16"/>
      <c r="AB69" s="16"/>
      <c r="AC69" s="16"/>
      <c r="AD69" s="16"/>
    </row>
    <row r="70" spans="1:30" ht="15.75" customHeight="1" thickTop="1" thickBot="1">
      <c r="A70" s="230" t="s">
        <v>476</v>
      </c>
      <c r="B70" s="230" t="s">
        <v>500</v>
      </c>
      <c r="C70" s="230" t="s">
        <v>501</v>
      </c>
      <c r="D70" s="230" t="s">
        <v>502</v>
      </c>
      <c r="E70" s="230" t="s">
        <v>503</v>
      </c>
      <c r="F70" s="230" t="s">
        <v>504</v>
      </c>
      <c r="G70" s="230" t="s">
        <v>505</v>
      </c>
      <c r="H70" s="230" t="s">
        <v>506</v>
      </c>
      <c r="I70" s="230" t="s">
        <v>507</v>
      </c>
      <c r="J70" s="230" t="s">
        <v>508</v>
      </c>
      <c r="K70" s="561" t="s">
        <v>441</v>
      </c>
      <c r="L70" s="561"/>
      <c r="M70" s="561"/>
      <c r="N70" s="561"/>
      <c r="O70" s="570"/>
      <c r="P70" s="726" t="s">
        <v>434</v>
      </c>
      <c r="Q70" s="727"/>
      <c r="R70" s="16"/>
      <c r="S70" s="16"/>
      <c r="V70" s="16"/>
      <c r="W70" s="16"/>
      <c r="X70" s="16"/>
      <c r="Y70" s="16"/>
      <c r="Z70" s="16"/>
      <c r="AA70" s="16"/>
    </row>
    <row r="71" spans="1:30" ht="15.75" customHeight="1" thickTop="1">
      <c r="A71" s="327" t="s">
        <v>1396</v>
      </c>
      <c r="B71" s="323" t="s">
        <v>262</v>
      </c>
      <c r="C71" s="323" t="s">
        <v>1097</v>
      </c>
      <c r="D71" s="327">
        <v>2</v>
      </c>
      <c r="E71" s="328">
        <v>42</v>
      </c>
      <c r="F71" s="326">
        <f>Phoenix!$D71*Phoenix!$E71</f>
        <v>84</v>
      </c>
      <c r="G71" s="328">
        <v>3</v>
      </c>
      <c r="H71" s="332">
        <f>IF($B71= "","-",IF($B71= "External","Specify location tariff", INDEX(Constants!$3:$3,MATCH($B71,Constants!$2:$2,0))))</f>
        <v>75</v>
      </c>
      <c r="I71" s="333">
        <f t="shared" ref="I71:I87" si="2">IF($H71="-","-",IF($H71="Specify location tariff","-",$H71*$F71))</f>
        <v>6300</v>
      </c>
      <c r="J71" s="247"/>
      <c r="K71" s="610"/>
      <c r="L71" s="611"/>
      <c r="M71" s="611"/>
      <c r="N71" s="611"/>
      <c r="O71" s="612"/>
      <c r="P71" s="564" t="s">
        <v>511</v>
      </c>
      <c r="Q71" s="565"/>
      <c r="R71" s="16"/>
      <c r="S71" s="16"/>
      <c r="V71" s="16"/>
      <c r="W71" s="16"/>
      <c r="X71" s="16"/>
      <c r="Y71" s="16"/>
      <c r="Z71" s="16"/>
      <c r="AA71" s="16"/>
    </row>
    <row r="72" spans="1:30" ht="15.75" customHeight="1">
      <c r="A72" s="323" t="s">
        <v>1397</v>
      </c>
      <c r="B72" s="323" t="s">
        <v>262</v>
      </c>
      <c r="C72" s="323" t="s">
        <v>1100</v>
      </c>
      <c r="D72" s="327">
        <v>2</v>
      </c>
      <c r="E72" s="328">
        <v>42</v>
      </c>
      <c r="F72" s="326">
        <f>Phoenix!$D72*Phoenix!$E72</f>
        <v>84</v>
      </c>
      <c r="G72" s="328">
        <v>4</v>
      </c>
      <c r="H72" s="332">
        <f>IF($B72= "","-",IF($B72= "External","Specify location tariff", INDEX(Constants!$3:$3,MATCH($B72,Constants!$2:$2,0))))</f>
        <v>75</v>
      </c>
      <c r="I72" s="333">
        <f t="shared" si="2"/>
        <v>6300</v>
      </c>
      <c r="J72" s="247"/>
      <c r="K72" s="613"/>
      <c r="L72" s="562"/>
      <c r="M72" s="562"/>
      <c r="N72" s="562"/>
      <c r="O72" s="614"/>
      <c r="P72" s="566"/>
      <c r="Q72" s="567"/>
      <c r="R72" s="16"/>
      <c r="S72" s="16"/>
      <c r="V72" s="16"/>
      <c r="W72" s="16"/>
      <c r="X72" s="16"/>
      <c r="Y72" s="16"/>
      <c r="Z72" s="16"/>
      <c r="AA72" s="16"/>
    </row>
    <row r="73" spans="1:30" ht="15.75" customHeight="1">
      <c r="A73" s="327" t="s">
        <v>1398</v>
      </c>
      <c r="B73" s="323" t="s">
        <v>262</v>
      </c>
      <c r="C73" s="323" t="s">
        <v>1399</v>
      </c>
      <c r="D73" s="327">
        <v>7</v>
      </c>
      <c r="E73" s="328">
        <v>2</v>
      </c>
      <c r="F73" s="326">
        <f>Phoenix!$D73*Phoenix!$E73</f>
        <v>14</v>
      </c>
      <c r="G73" s="328">
        <v>0</v>
      </c>
      <c r="H73" s="332">
        <f>IF($B73= "","-",IF($B73= "External","Specify location tariff", INDEX(Constants!$3:$3,MATCH($B73,Constants!$2:$2,0))))</f>
        <v>75</v>
      </c>
      <c r="I73" s="333">
        <f t="shared" si="2"/>
        <v>1050</v>
      </c>
      <c r="J73" s="247"/>
      <c r="K73" s="613"/>
      <c r="L73" s="562"/>
      <c r="M73" s="562"/>
      <c r="N73" s="562"/>
      <c r="O73" s="614"/>
      <c r="P73" s="566"/>
      <c r="Q73" s="567"/>
      <c r="R73" s="16"/>
      <c r="S73" s="16"/>
      <c r="V73" s="16"/>
      <c r="W73" s="16"/>
      <c r="X73" s="16"/>
      <c r="Y73" s="16"/>
      <c r="Z73" s="16"/>
      <c r="AA73" s="16"/>
    </row>
    <row r="74" spans="1:30" ht="15.75" customHeight="1">
      <c r="A74" s="323" t="s">
        <v>1400</v>
      </c>
      <c r="B74" s="323" t="s">
        <v>262</v>
      </c>
      <c r="C74" s="323" t="s">
        <v>1399</v>
      </c>
      <c r="D74" s="327">
        <v>7</v>
      </c>
      <c r="E74" s="328">
        <v>2</v>
      </c>
      <c r="F74" s="326">
        <f>Phoenix!$D74*Phoenix!$E74</f>
        <v>14</v>
      </c>
      <c r="G74" s="328">
        <v>0</v>
      </c>
      <c r="H74" s="332">
        <f>IF($B74= "","-",IF($B74= "External","Specify location tariff", INDEX(Constants!$3:$3,MATCH($B74,Constants!$2:$2,0))))</f>
        <v>75</v>
      </c>
      <c r="I74" s="333">
        <f t="shared" si="2"/>
        <v>1050</v>
      </c>
      <c r="J74" s="247"/>
      <c r="K74" s="613"/>
      <c r="L74" s="562"/>
      <c r="M74" s="562"/>
      <c r="N74" s="562"/>
      <c r="O74" s="614"/>
      <c r="P74" s="566"/>
      <c r="Q74" s="567"/>
      <c r="R74" s="16"/>
      <c r="S74" s="16"/>
      <c r="V74" s="16"/>
      <c r="W74" s="16"/>
      <c r="X74" s="16"/>
      <c r="Y74" s="16"/>
      <c r="Z74" s="16"/>
      <c r="AA74" s="16"/>
    </row>
    <row r="75" spans="1:30" ht="15.75" customHeight="1">
      <c r="A75" s="231"/>
      <c r="B75" s="231"/>
      <c r="C75" s="232"/>
      <c r="D75" s="261"/>
      <c r="E75" s="245"/>
      <c r="F75" s="326">
        <f>Phoenix!$D75*Phoenix!$E75</f>
        <v>0</v>
      </c>
      <c r="G75" s="245"/>
      <c r="H75" s="332" t="str">
        <f>IF($B75= "","-",IF($B75= "External","Specify location tariff", INDEX(Constants!$3:$3,MATCH($B75,Constants!$2:$2,0))))</f>
        <v>-</v>
      </c>
      <c r="I75" s="333" t="str">
        <f t="shared" si="2"/>
        <v>-</v>
      </c>
      <c r="J75" s="247"/>
      <c r="K75" s="613"/>
      <c r="L75" s="562"/>
      <c r="M75" s="562"/>
      <c r="N75" s="562"/>
      <c r="O75" s="614"/>
      <c r="P75" s="566"/>
      <c r="Q75" s="567"/>
      <c r="R75" s="16"/>
      <c r="S75" s="16"/>
      <c r="V75" s="16"/>
      <c r="W75" s="16"/>
      <c r="X75" s="16"/>
      <c r="Y75" s="16"/>
      <c r="Z75" s="16"/>
      <c r="AA75" s="16"/>
    </row>
    <row r="76" spans="1:30" ht="15.75" customHeight="1">
      <c r="A76" s="231"/>
      <c r="B76" s="231"/>
      <c r="C76" s="232"/>
      <c r="D76" s="261"/>
      <c r="E76" s="245"/>
      <c r="F76" s="326">
        <f>Phoenix!$D76*Phoenix!$E76</f>
        <v>0</v>
      </c>
      <c r="G76" s="245"/>
      <c r="H76" s="332" t="str">
        <f>IF($B76= "","-",IF($B76= "External","Specify location tariff", INDEX(Constants!$3:$3,MATCH($B76,Constants!$2:$2,0))))</f>
        <v>-</v>
      </c>
      <c r="I76" s="333" t="str">
        <f t="shared" si="2"/>
        <v>-</v>
      </c>
      <c r="J76" s="247"/>
      <c r="K76" s="613"/>
      <c r="L76" s="562"/>
      <c r="M76" s="562"/>
      <c r="N76" s="562"/>
      <c r="O76" s="614"/>
      <c r="P76" s="566"/>
      <c r="Q76" s="567"/>
      <c r="R76" s="16"/>
      <c r="S76" s="16"/>
      <c r="V76" s="16"/>
      <c r="W76" s="16"/>
      <c r="X76" s="16"/>
      <c r="Y76" s="16"/>
      <c r="Z76" s="16"/>
      <c r="AA76" s="16"/>
    </row>
    <row r="77" spans="1:30" ht="15.75" customHeight="1">
      <c r="A77" s="231"/>
      <c r="B77" s="231"/>
      <c r="C77" s="232"/>
      <c r="D77" s="261"/>
      <c r="E77" s="245"/>
      <c r="F77" s="326">
        <f>Phoenix!$D77*Phoenix!$E77</f>
        <v>0</v>
      </c>
      <c r="G77" s="245"/>
      <c r="H77" s="332" t="str">
        <f>IF($B77= "","-",IF($B77= "External","Specify location tariff", INDEX(Constants!$3:$3,MATCH($B77,Constants!$2:$2,0))))</f>
        <v>-</v>
      </c>
      <c r="I77" s="333" t="str">
        <f t="shared" si="2"/>
        <v>-</v>
      </c>
      <c r="J77" s="247"/>
      <c r="K77" s="613"/>
      <c r="L77" s="562"/>
      <c r="M77" s="562"/>
      <c r="N77" s="562"/>
      <c r="O77" s="614"/>
      <c r="P77" s="566"/>
      <c r="Q77" s="567"/>
      <c r="R77" s="16"/>
      <c r="S77" s="16"/>
      <c r="V77" s="16"/>
      <c r="W77" s="16"/>
      <c r="X77" s="16"/>
      <c r="Y77" s="16"/>
      <c r="Z77" s="16"/>
      <c r="AA77" s="16"/>
    </row>
    <row r="78" spans="1:30" ht="15.75" customHeight="1">
      <c r="A78" s="231"/>
      <c r="B78" s="231"/>
      <c r="C78" s="232"/>
      <c r="D78" s="261"/>
      <c r="E78" s="245"/>
      <c r="F78" s="326">
        <f>Phoenix!$D78*Phoenix!$E78</f>
        <v>0</v>
      </c>
      <c r="G78" s="245"/>
      <c r="H78" s="332" t="str">
        <f>IF($B78= "","-",IF($B78= "External","Specify location tariff", INDEX(Constants!$3:$3,MATCH($B78,Constants!$2:$2,0))))</f>
        <v>-</v>
      </c>
      <c r="I78" s="333" t="str">
        <f t="shared" si="2"/>
        <v>-</v>
      </c>
      <c r="J78" s="247"/>
      <c r="K78" s="613"/>
      <c r="L78" s="562"/>
      <c r="M78" s="562"/>
      <c r="N78" s="562"/>
      <c r="O78" s="614"/>
      <c r="P78" s="566"/>
      <c r="Q78" s="567"/>
      <c r="R78" s="16"/>
      <c r="S78" s="16"/>
      <c r="V78" s="16"/>
      <c r="W78" s="16"/>
      <c r="X78" s="16"/>
      <c r="Y78" s="16"/>
      <c r="Z78" s="16"/>
      <c r="AA78" s="16"/>
    </row>
    <row r="79" spans="1:30" ht="15.75" customHeight="1">
      <c r="A79" s="231"/>
      <c r="B79" s="231"/>
      <c r="C79" s="232"/>
      <c r="D79" s="261"/>
      <c r="E79" s="245"/>
      <c r="F79" s="326">
        <f>Phoenix!$D79*Phoenix!$E79</f>
        <v>0</v>
      </c>
      <c r="G79" s="245"/>
      <c r="H79" s="332" t="str">
        <f>IF($B79= "","-",IF($B79= "External","Specify location tariff", INDEX(Constants!$3:$3,MATCH($B79,Constants!$2:$2,0))))</f>
        <v>-</v>
      </c>
      <c r="I79" s="333" t="str">
        <f t="shared" si="2"/>
        <v>-</v>
      </c>
      <c r="J79" s="247"/>
      <c r="K79" s="613"/>
      <c r="L79" s="562"/>
      <c r="M79" s="562"/>
      <c r="N79" s="562"/>
      <c r="O79" s="614"/>
      <c r="P79" s="566"/>
      <c r="Q79" s="567"/>
      <c r="R79" s="16"/>
      <c r="S79" s="16"/>
      <c r="V79" s="16"/>
      <c r="W79" s="16"/>
      <c r="X79" s="16"/>
      <c r="Y79" s="16"/>
      <c r="Z79" s="16"/>
      <c r="AA79" s="16"/>
    </row>
    <row r="80" spans="1:30" ht="15.75" customHeight="1">
      <c r="A80" s="231"/>
      <c r="B80" s="231"/>
      <c r="C80" s="232"/>
      <c r="D80" s="261"/>
      <c r="E80" s="245"/>
      <c r="F80" s="326">
        <f>Phoenix!$D80*Phoenix!$E80</f>
        <v>0</v>
      </c>
      <c r="G80" s="245"/>
      <c r="H80" s="332" t="str">
        <f>IF($B80= "","-",IF($B80= "External","Specify location tariff", INDEX(Constants!$3:$3,MATCH($B80,Constants!$2:$2,0))))</f>
        <v>-</v>
      </c>
      <c r="I80" s="333" t="str">
        <f t="shared" si="2"/>
        <v>-</v>
      </c>
      <c r="J80" s="247"/>
      <c r="K80" s="613"/>
      <c r="L80" s="562"/>
      <c r="M80" s="562"/>
      <c r="N80" s="562"/>
      <c r="O80" s="614"/>
      <c r="P80" s="566"/>
      <c r="Q80" s="567"/>
      <c r="R80" s="16"/>
      <c r="S80" s="16"/>
      <c r="V80" s="16"/>
      <c r="W80" s="16"/>
      <c r="X80" s="16"/>
      <c r="Y80" s="16"/>
      <c r="Z80" s="16"/>
      <c r="AA80" s="16"/>
    </row>
    <row r="81" spans="1:30" ht="15.75" customHeight="1">
      <c r="A81" s="231"/>
      <c r="B81" s="231"/>
      <c r="C81" s="232"/>
      <c r="D81" s="261"/>
      <c r="E81" s="245"/>
      <c r="F81" s="326">
        <f>Phoenix!$D81*Phoenix!$E81</f>
        <v>0</v>
      </c>
      <c r="G81" s="245"/>
      <c r="H81" s="332" t="str">
        <f>IF($B81= "","-",IF($B81= "External","Specify location tariff", INDEX(Constants!$3:$3,MATCH($B81,Constants!$2:$2,0))))</f>
        <v>-</v>
      </c>
      <c r="I81" s="333" t="str">
        <f t="shared" si="2"/>
        <v>-</v>
      </c>
      <c r="J81" s="247"/>
      <c r="K81" s="613"/>
      <c r="L81" s="562"/>
      <c r="M81" s="562"/>
      <c r="N81" s="562"/>
      <c r="O81" s="614"/>
      <c r="P81" s="566"/>
      <c r="Q81" s="567"/>
      <c r="R81" s="16"/>
      <c r="S81" s="16"/>
      <c r="V81" s="16"/>
      <c r="W81" s="16"/>
      <c r="X81" s="16"/>
      <c r="Y81" s="16"/>
      <c r="Z81" s="16"/>
      <c r="AA81" s="16"/>
    </row>
    <row r="82" spans="1:30" ht="15.75" customHeight="1">
      <c r="A82" s="231"/>
      <c r="B82" s="231"/>
      <c r="C82" s="232"/>
      <c r="D82" s="261"/>
      <c r="E82" s="245"/>
      <c r="F82" s="326">
        <f>Phoenix!$D82*Phoenix!$E82</f>
        <v>0</v>
      </c>
      <c r="G82" s="245"/>
      <c r="H82" s="332" t="str">
        <f>IF($B82= "","-",IF($B82= "External","Specify location tariff", INDEX(Constants!$3:$3,MATCH($B82,Constants!$2:$2,0))))</f>
        <v>-</v>
      </c>
      <c r="I82" s="333" t="str">
        <f t="shared" si="2"/>
        <v>-</v>
      </c>
      <c r="J82" s="247"/>
      <c r="K82" s="613"/>
      <c r="L82" s="562"/>
      <c r="M82" s="562"/>
      <c r="N82" s="562"/>
      <c r="O82" s="614"/>
      <c r="P82" s="566"/>
      <c r="Q82" s="567"/>
      <c r="R82" s="16"/>
      <c r="S82" s="16"/>
      <c r="V82" s="16"/>
      <c r="W82" s="16"/>
      <c r="X82" s="16"/>
      <c r="Y82" s="16"/>
      <c r="Z82" s="16"/>
      <c r="AA82" s="16"/>
    </row>
    <row r="83" spans="1:30" ht="15.75" customHeight="1">
      <c r="A83" s="231"/>
      <c r="B83" s="231"/>
      <c r="C83" s="232"/>
      <c r="D83" s="261"/>
      <c r="E83" s="245"/>
      <c r="F83" s="326">
        <f>Phoenix!$D83*Phoenix!$E83</f>
        <v>0</v>
      </c>
      <c r="G83" s="245"/>
      <c r="H83" s="332" t="str">
        <f>IF($B83= "","-",IF($B83= "External","Specify location tariff", INDEX(Constants!$3:$3,MATCH($B83,Constants!$2:$2,0))))</f>
        <v>-</v>
      </c>
      <c r="I83" s="333" t="str">
        <f t="shared" si="2"/>
        <v>-</v>
      </c>
      <c r="J83" s="247"/>
      <c r="K83" s="613"/>
      <c r="L83" s="562"/>
      <c r="M83" s="562"/>
      <c r="N83" s="562"/>
      <c r="O83" s="614"/>
      <c r="P83" s="566"/>
      <c r="Q83" s="567"/>
      <c r="R83" s="16"/>
      <c r="S83" s="16"/>
      <c r="V83" s="16"/>
      <c r="W83" s="16"/>
      <c r="X83" s="16"/>
      <c r="Y83" s="16"/>
      <c r="Z83" s="16"/>
      <c r="AA83" s="16"/>
    </row>
    <row r="84" spans="1:30" ht="15.75" customHeight="1">
      <c r="A84" s="231"/>
      <c r="B84" s="231"/>
      <c r="C84" s="232"/>
      <c r="D84" s="261"/>
      <c r="E84" s="245"/>
      <c r="F84" s="326">
        <f>Phoenix!$D84*Phoenix!$E84</f>
        <v>0</v>
      </c>
      <c r="G84" s="245"/>
      <c r="H84" s="332" t="str">
        <f>IF($B84= "","-",IF($B84= "External","Specify location tariff", INDEX(Constants!$3:$3,MATCH($B84,Constants!$2:$2,0))))</f>
        <v>-</v>
      </c>
      <c r="I84" s="333" t="str">
        <f t="shared" si="2"/>
        <v>-</v>
      </c>
      <c r="J84" s="247"/>
      <c r="K84" s="613"/>
      <c r="L84" s="562"/>
      <c r="M84" s="562"/>
      <c r="N84" s="562"/>
      <c r="O84" s="614"/>
      <c r="P84" s="566"/>
      <c r="Q84" s="567"/>
      <c r="R84" s="16"/>
      <c r="S84" s="16"/>
      <c r="V84" s="16"/>
      <c r="W84" s="16"/>
      <c r="X84" s="16"/>
      <c r="Y84" s="16"/>
      <c r="Z84" s="16"/>
      <c r="AA84" s="16"/>
    </row>
    <row r="85" spans="1:30" ht="15.75" customHeight="1">
      <c r="A85" s="231"/>
      <c r="B85" s="231"/>
      <c r="C85" s="232"/>
      <c r="D85" s="261"/>
      <c r="E85" s="245"/>
      <c r="F85" s="326">
        <f>Phoenix!$D85*Phoenix!$E85</f>
        <v>0</v>
      </c>
      <c r="G85" s="245"/>
      <c r="H85" s="332" t="str">
        <f>IF($B85= "","-",IF($B85= "External","Specify location tariff", INDEX(Constants!$3:$3,MATCH($B85,Constants!$2:$2,0))))</f>
        <v>-</v>
      </c>
      <c r="I85" s="333" t="str">
        <f t="shared" si="2"/>
        <v>-</v>
      </c>
      <c r="J85" s="247"/>
      <c r="K85" s="613"/>
      <c r="L85" s="562"/>
      <c r="M85" s="562"/>
      <c r="N85" s="562"/>
      <c r="O85" s="614"/>
      <c r="P85" s="566"/>
      <c r="Q85" s="567"/>
      <c r="R85" s="16"/>
      <c r="S85" s="16"/>
      <c r="V85" s="16"/>
      <c r="W85" s="16"/>
      <c r="X85" s="16"/>
      <c r="Y85" s="16"/>
      <c r="Z85" s="16"/>
      <c r="AA85" s="16"/>
    </row>
    <row r="86" spans="1:30" ht="15.75" customHeight="1">
      <c r="A86" s="231"/>
      <c r="B86" s="231"/>
      <c r="C86" s="232"/>
      <c r="D86" s="261"/>
      <c r="E86" s="245"/>
      <c r="F86" s="326">
        <f>Phoenix!$D86*Phoenix!$E86</f>
        <v>0</v>
      </c>
      <c r="G86" s="245"/>
      <c r="H86" s="332" t="str">
        <f>IF($B86= "","-",IF($B86= "External","Specify location tariff", INDEX(Constants!$3:$3,MATCH($B86,Constants!$2:$2,0))))</f>
        <v>-</v>
      </c>
      <c r="I86" s="333" t="str">
        <f t="shared" si="2"/>
        <v>-</v>
      </c>
      <c r="J86" s="247"/>
      <c r="K86" s="613"/>
      <c r="L86" s="562"/>
      <c r="M86" s="562"/>
      <c r="N86" s="562"/>
      <c r="O86" s="614"/>
      <c r="P86" s="566"/>
      <c r="Q86" s="567"/>
      <c r="R86" s="16"/>
      <c r="S86" s="16"/>
      <c r="V86" s="16"/>
      <c r="W86" s="16"/>
      <c r="X86" s="16"/>
      <c r="Y86" s="16"/>
      <c r="Z86" s="16"/>
      <c r="AA86" s="16"/>
    </row>
    <row r="87" spans="1:30" ht="15.75" customHeight="1" thickBot="1">
      <c r="A87" s="231"/>
      <c r="B87" s="231"/>
      <c r="C87" s="232"/>
      <c r="D87" s="261"/>
      <c r="E87" s="245"/>
      <c r="F87" s="326">
        <f>Phoenix!$D87*Phoenix!$E87</f>
        <v>0</v>
      </c>
      <c r="G87" s="245"/>
      <c r="H87" s="332" t="str">
        <f>IF($B87= "","-",IF($B87= "External","Specify location tariff", INDEX(Constants!$3:$3,MATCH($B87,Constants!$2:$2,0))))</f>
        <v>-</v>
      </c>
      <c r="I87" s="333" t="str">
        <f t="shared" si="2"/>
        <v>-</v>
      </c>
      <c r="J87" s="247"/>
      <c r="K87" s="615"/>
      <c r="L87" s="616"/>
      <c r="M87" s="616"/>
      <c r="N87" s="616"/>
      <c r="O87" s="617"/>
      <c r="P87" s="568"/>
      <c r="Q87" s="569"/>
      <c r="R87" s="16"/>
      <c r="S87" s="16"/>
      <c r="V87" s="16"/>
      <c r="W87" s="16"/>
      <c r="X87" s="16"/>
      <c r="Y87" s="16"/>
      <c r="Z87" s="16"/>
      <c r="AA87" s="16"/>
    </row>
    <row r="88" spans="1:30" ht="15.75" customHeight="1" thickTop="1">
      <c r="A88" s="15"/>
      <c r="B88" s="16"/>
      <c r="C88" s="16"/>
      <c r="D88" s="16"/>
      <c r="E88" s="16"/>
      <c r="F88" s="16"/>
      <c r="G88" s="16"/>
      <c r="H88" s="16"/>
      <c r="I88" s="16"/>
      <c r="J88" s="16"/>
      <c r="K88" s="16"/>
      <c r="L88" s="16"/>
      <c r="M88" s="16"/>
      <c r="N88" s="16"/>
      <c r="O88" s="16"/>
      <c r="P88" s="16"/>
      <c r="Q88" s="16"/>
      <c r="R88" s="16"/>
      <c r="S88" s="16"/>
      <c r="T88" s="16"/>
      <c r="U88" s="16"/>
      <c r="V88" s="16"/>
      <c r="W88" s="16"/>
      <c r="X88" s="16"/>
      <c r="Y88" s="16"/>
      <c r="Z88" s="16"/>
      <c r="AA88" s="16"/>
      <c r="AB88" s="16"/>
      <c r="AC88" s="16"/>
      <c r="AD88" s="16"/>
    </row>
    <row r="89" spans="1:30" ht="15.75" customHeight="1">
      <c r="A89" s="15"/>
      <c r="B89" s="16"/>
      <c r="C89" s="16"/>
      <c r="D89" s="16"/>
      <c r="E89" s="16"/>
      <c r="F89" s="16"/>
      <c r="G89" s="16"/>
      <c r="H89" s="16"/>
      <c r="I89" s="16"/>
      <c r="J89" s="16"/>
      <c r="K89" s="16"/>
      <c r="L89" s="16"/>
      <c r="M89" s="16"/>
      <c r="N89" s="16"/>
      <c r="O89" s="16"/>
      <c r="P89" s="16"/>
      <c r="Q89" s="16"/>
      <c r="R89" s="16"/>
      <c r="S89" s="16"/>
      <c r="T89" s="16"/>
      <c r="U89" s="16"/>
      <c r="V89" s="16"/>
      <c r="W89" s="16"/>
      <c r="X89" s="16"/>
      <c r="Y89" s="16"/>
      <c r="Z89" s="16"/>
      <c r="AA89" s="16"/>
      <c r="AB89" s="16"/>
      <c r="AC89" s="16"/>
      <c r="AD89" s="16"/>
    </row>
    <row r="90" spans="1:30" ht="15.75" customHeight="1" thickBot="1">
      <c r="A90" s="186" t="s">
        <v>519</v>
      </c>
      <c r="B90" s="16"/>
      <c r="C90" s="128"/>
      <c r="D90" s="51"/>
      <c r="E90" s="51"/>
      <c r="F90" s="51"/>
      <c r="G90" s="51"/>
      <c r="H90" s="51"/>
      <c r="I90" s="51"/>
      <c r="J90" s="51"/>
      <c r="K90" s="51"/>
      <c r="L90" s="232"/>
      <c r="M90" s="231"/>
      <c r="N90" s="16"/>
      <c r="O90" s="16"/>
      <c r="P90" s="16"/>
      <c r="Q90" s="16"/>
      <c r="R90" s="16"/>
      <c r="S90" s="16"/>
      <c r="T90" s="16"/>
      <c r="U90" s="16"/>
      <c r="V90" s="16"/>
      <c r="W90" s="16"/>
      <c r="X90" s="16"/>
      <c r="Y90" s="16"/>
      <c r="Z90" s="16"/>
      <c r="AA90" s="16"/>
      <c r="AB90" s="16"/>
      <c r="AC90" s="16"/>
      <c r="AD90" s="16"/>
    </row>
    <row r="91" spans="1:30" ht="15" customHeight="1" thickTop="1" thickBot="1">
      <c r="A91" s="230" t="s">
        <v>438</v>
      </c>
      <c r="B91" s="230" t="s">
        <v>439</v>
      </c>
      <c r="C91" s="230" t="s">
        <v>520</v>
      </c>
      <c r="D91" s="230" t="s">
        <v>521</v>
      </c>
      <c r="E91" s="230" t="s">
        <v>522</v>
      </c>
      <c r="F91" s="230" t="s">
        <v>523</v>
      </c>
      <c r="G91" s="230" t="s">
        <v>508</v>
      </c>
      <c r="H91" s="721" t="s">
        <v>441</v>
      </c>
      <c r="I91" s="728"/>
      <c r="J91" s="729" t="s">
        <v>434</v>
      </c>
      <c r="K91" s="730"/>
      <c r="L91" s="16"/>
      <c r="M91" s="16"/>
      <c r="N91" s="16"/>
      <c r="O91" s="16"/>
      <c r="P91" s="117"/>
      <c r="Q91" s="15"/>
      <c r="R91" s="16"/>
      <c r="S91" s="130"/>
      <c r="T91" s="16"/>
      <c r="U91" s="16"/>
      <c r="V91" s="16"/>
      <c r="W91" s="241"/>
      <c r="X91" s="16"/>
      <c r="Y91" s="16"/>
      <c r="Z91" s="16"/>
      <c r="AA91" s="16"/>
      <c r="AB91" s="16"/>
    </row>
    <row r="92" spans="1:30" ht="14.25" customHeight="1" thickTop="1">
      <c r="A92" s="244" t="s">
        <v>1401</v>
      </c>
      <c r="B92" s="244" t="s">
        <v>687</v>
      </c>
      <c r="C92" s="339">
        <v>199.95</v>
      </c>
      <c r="D92" s="338">
        <v>4</v>
      </c>
      <c r="E92" s="338">
        <v>2</v>
      </c>
      <c r="F92" s="246">
        <f>IF(Table_6170280[[#This Row],[Item]]="",0,Table_6170280[[#This Row],[Amount]]*Table_6170280[[#This Row],[Purchase / Running costs]]/Table_6170280[[#This Row],[Depreciation period]])</f>
        <v>99.974999999999994</v>
      </c>
      <c r="G92" s="247"/>
      <c r="H92" s="653"/>
      <c r="I92" s="750"/>
      <c r="J92" s="628" t="s">
        <v>526</v>
      </c>
      <c r="K92" s="730"/>
      <c r="L92" s="16"/>
      <c r="M92" s="16"/>
      <c r="N92" s="16"/>
      <c r="O92" s="16"/>
      <c r="P92" s="16"/>
      <c r="Q92" s="133"/>
      <c r="R92" s="16"/>
      <c r="S92" s="16"/>
      <c r="T92" s="16"/>
      <c r="U92" s="16"/>
      <c r="V92" s="16"/>
      <c r="W92" s="16"/>
      <c r="X92" s="16"/>
      <c r="Y92" s="16"/>
      <c r="Z92" s="16"/>
      <c r="AA92" s="16"/>
      <c r="AB92" s="16"/>
    </row>
    <row r="93" spans="1:30" ht="15.75" customHeight="1">
      <c r="A93" s="244" t="s">
        <v>1402</v>
      </c>
      <c r="B93" s="244" t="s">
        <v>687</v>
      </c>
      <c r="C93" s="331">
        <v>50</v>
      </c>
      <c r="D93" s="338">
        <v>4</v>
      </c>
      <c r="E93" s="338">
        <v>10</v>
      </c>
      <c r="F93" s="246">
        <f>IF(Table_6170280[[#This Row],[Item]]="",0,Table_6170280[[#This Row],[Amount]]*Table_6170280[[#This Row],[Purchase / Running costs]]/Table_6170280[[#This Row],[Depreciation period]])</f>
        <v>125</v>
      </c>
      <c r="G93" s="247"/>
      <c r="H93" s="744"/>
      <c r="I93" s="751"/>
      <c r="J93" s="702"/>
      <c r="K93" s="732"/>
      <c r="L93" s="16"/>
      <c r="M93" s="16"/>
      <c r="N93" s="16"/>
      <c r="O93" s="16"/>
      <c r="P93" s="16"/>
      <c r="Q93" s="16"/>
      <c r="R93" s="16"/>
      <c r="S93" s="16"/>
      <c r="T93" s="16"/>
      <c r="U93" s="16"/>
      <c r="V93" s="16"/>
      <c r="W93" s="16"/>
      <c r="X93" s="16"/>
      <c r="Y93" s="16"/>
      <c r="Z93" s="16"/>
      <c r="AA93" s="16"/>
      <c r="AB93" s="16"/>
    </row>
    <row r="94" spans="1:30" ht="15.75" customHeight="1">
      <c r="A94" s="231" t="s">
        <v>1366</v>
      </c>
      <c r="B94" s="231" t="s">
        <v>687</v>
      </c>
      <c r="C94" s="246">
        <v>25</v>
      </c>
      <c r="D94" s="381">
        <v>5</v>
      </c>
      <c r="E94" s="381">
        <v>1</v>
      </c>
      <c r="F94" s="246">
        <f>IF(Table_6170280[[#This Row],[Item]]="",0,Table_6170280[[#This Row],[Amount]]*Table_6170280[[#This Row],[Purchase / Running costs]]/Table_6170280[[#This Row],[Depreciation period]])</f>
        <v>5</v>
      </c>
      <c r="G94" s="247"/>
      <c r="H94" s="744"/>
      <c r="I94" s="751"/>
      <c r="J94" s="702"/>
      <c r="K94" s="732"/>
      <c r="L94" s="16"/>
      <c r="M94" s="16"/>
      <c r="N94" s="16"/>
      <c r="O94" s="16"/>
      <c r="P94" s="16"/>
      <c r="Q94" s="16"/>
      <c r="R94" s="16"/>
      <c r="S94" s="16"/>
      <c r="T94" s="16"/>
      <c r="U94" s="16"/>
      <c r="V94" s="16"/>
      <c r="W94" s="16"/>
      <c r="X94" s="16"/>
      <c r="Y94" s="16"/>
      <c r="Z94" s="16"/>
      <c r="AA94" s="16"/>
      <c r="AB94" s="16"/>
    </row>
    <row r="95" spans="1:30" ht="15.75" customHeight="1">
      <c r="A95" s="231" t="s">
        <v>1403</v>
      </c>
      <c r="B95" s="231" t="s">
        <v>699</v>
      </c>
      <c r="C95" s="246">
        <v>51.95</v>
      </c>
      <c r="D95" s="381">
        <v>3</v>
      </c>
      <c r="E95" s="381">
        <v>1</v>
      </c>
      <c r="F95" s="246">
        <f>IF(Table_6170280[[#This Row],[Item]]="",0,Table_6170280[[#This Row],[Amount]]*Table_6170280[[#This Row],[Purchase / Running costs]]/Table_6170280[[#This Row],[Depreciation period]])</f>
        <v>17.316666666666666</v>
      </c>
      <c r="G95" s="247"/>
      <c r="H95" s="744"/>
      <c r="I95" s="751"/>
      <c r="J95" s="702"/>
      <c r="K95" s="732"/>
      <c r="L95" s="16"/>
      <c r="M95" s="16"/>
      <c r="N95" s="16"/>
      <c r="O95" s="16"/>
      <c r="P95" s="16"/>
      <c r="Q95" s="16"/>
      <c r="R95" s="16"/>
      <c r="S95" s="16"/>
      <c r="T95" s="16"/>
      <c r="U95" s="16"/>
      <c r="V95" s="16"/>
      <c r="W95" s="16"/>
      <c r="X95" s="16"/>
      <c r="Y95" s="16"/>
      <c r="Z95" s="16"/>
      <c r="AA95" s="16"/>
      <c r="AB95" s="16"/>
    </row>
    <row r="96" spans="1:30" ht="15.75" customHeight="1">
      <c r="A96" s="231" t="s">
        <v>1404</v>
      </c>
      <c r="B96" s="231" t="s">
        <v>687</v>
      </c>
      <c r="C96" s="246">
        <v>127.95</v>
      </c>
      <c r="D96" s="381">
        <v>5</v>
      </c>
      <c r="E96" s="381">
        <v>2</v>
      </c>
      <c r="F96" s="246">
        <f>IF(Table_6170280[[#This Row],[Item]]="",0,Table_6170280[[#This Row],[Amount]]*Table_6170280[[#This Row],[Purchase / Running costs]]/Table_6170280[[#This Row],[Depreciation period]])</f>
        <v>51.18</v>
      </c>
      <c r="G96" s="247"/>
      <c r="H96" s="744"/>
      <c r="I96" s="751"/>
      <c r="J96" s="702"/>
      <c r="K96" s="732"/>
      <c r="L96" s="16"/>
      <c r="M96" s="16"/>
      <c r="N96" s="16"/>
      <c r="O96" s="16"/>
      <c r="P96" s="16"/>
      <c r="Q96" s="16"/>
      <c r="R96" s="16"/>
      <c r="S96" s="16"/>
      <c r="T96" s="16"/>
      <c r="U96" s="16"/>
      <c r="V96" s="16"/>
      <c r="W96" s="16"/>
      <c r="X96" s="16"/>
      <c r="Y96" s="16"/>
      <c r="Z96" s="16"/>
      <c r="AA96" s="16"/>
      <c r="AB96" s="16"/>
    </row>
    <row r="97" spans="1:30" ht="15.75" customHeight="1">
      <c r="A97" s="231" t="s">
        <v>1405</v>
      </c>
      <c r="B97" s="231" t="s">
        <v>687</v>
      </c>
      <c r="C97" s="246">
        <v>24.95</v>
      </c>
      <c r="D97" s="381">
        <v>5</v>
      </c>
      <c r="E97" s="381">
        <v>2</v>
      </c>
      <c r="F97" s="246">
        <f>IF(Table_6170280[[#This Row],[Item]]="",0,Table_6170280[[#This Row],[Amount]]*Table_6170280[[#This Row],[Purchase / Running costs]]/Table_6170280[[#This Row],[Depreciation period]])</f>
        <v>9.98</v>
      </c>
      <c r="G97" s="247"/>
      <c r="H97" s="744"/>
      <c r="I97" s="751"/>
      <c r="J97" s="702"/>
      <c r="K97" s="732"/>
      <c r="L97" s="16"/>
      <c r="M97" s="16"/>
      <c r="N97" s="16"/>
      <c r="O97" s="16"/>
      <c r="P97" s="16"/>
      <c r="Q97" s="16"/>
      <c r="R97" s="16"/>
      <c r="S97" s="16"/>
      <c r="T97" s="16"/>
      <c r="U97" s="16"/>
      <c r="V97" s="16"/>
      <c r="W97" s="16"/>
      <c r="X97" s="16"/>
      <c r="Y97" s="16"/>
      <c r="Z97" s="16"/>
      <c r="AA97" s="16"/>
      <c r="AB97" s="16"/>
    </row>
    <row r="98" spans="1:30" ht="15.75" customHeight="1">
      <c r="A98" s="231" t="s">
        <v>1406</v>
      </c>
      <c r="B98" s="231" t="s">
        <v>687</v>
      </c>
      <c r="C98" s="246">
        <v>100.95</v>
      </c>
      <c r="D98" s="381">
        <v>5</v>
      </c>
      <c r="E98" s="381">
        <v>2</v>
      </c>
      <c r="F98" s="246">
        <f>IF(Table_6170280[[#This Row],[Item]]="",0,Table_6170280[[#This Row],[Amount]]*Table_6170280[[#This Row],[Purchase / Running costs]]/Table_6170280[[#This Row],[Depreciation period]])</f>
        <v>40.380000000000003</v>
      </c>
      <c r="G98" s="247"/>
      <c r="H98" s="744"/>
      <c r="I98" s="751"/>
      <c r="J98" s="702"/>
      <c r="K98" s="732"/>
      <c r="L98" s="16"/>
      <c r="M98" s="16"/>
      <c r="N98" s="16"/>
      <c r="O98" s="16"/>
      <c r="P98" s="16"/>
      <c r="Q98" s="16"/>
      <c r="R98" s="16"/>
      <c r="S98" s="16"/>
      <c r="T98" s="16"/>
      <c r="U98" s="16"/>
      <c r="V98" s="16"/>
      <c r="W98" s="16"/>
      <c r="X98" s="16"/>
      <c r="Y98" s="16"/>
      <c r="Z98" s="16"/>
      <c r="AA98" s="16"/>
      <c r="AB98" s="16"/>
    </row>
    <row r="99" spans="1:30" ht="15.75" customHeight="1">
      <c r="A99" s="231" t="s">
        <v>1407</v>
      </c>
      <c r="B99" s="231" t="s">
        <v>687</v>
      </c>
      <c r="C99" s="246">
        <v>75.95</v>
      </c>
      <c r="D99" s="381">
        <v>5</v>
      </c>
      <c r="E99" s="381">
        <v>1</v>
      </c>
      <c r="F99" s="246">
        <f>IF(Table_6170280[[#This Row],[Item]]="",0,Table_6170280[[#This Row],[Amount]]*Table_6170280[[#This Row],[Purchase / Running costs]]/Table_6170280[[#This Row],[Depreciation period]])</f>
        <v>15.190000000000001</v>
      </c>
      <c r="G99" s="247"/>
      <c r="H99" s="744"/>
      <c r="I99" s="751"/>
      <c r="J99" s="702"/>
      <c r="K99" s="732"/>
      <c r="L99" s="16"/>
      <c r="M99" s="16"/>
      <c r="N99" s="16"/>
      <c r="O99" s="16"/>
      <c r="P99" s="16"/>
      <c r="Q99" s="16"/>
      <c r="R99" s="16"/>
      <c r="S99" s="16"/>
      <c r="T99" s="16"/>
      <c r="U99" s="16"/>
      <c r="V99" s="16"/>
      <c r="W99" s="16"/>
      <c r="X99" s="16"/>
      <c r="Y99" s="16"/>
      <c r="Z99" s="16"/>
      <c r="AA99" s="16"/>
      <c r="AB99" s="16"/>
    </row>
    <row r="100" spans="1:30" ht="15.75" customHeight="1">
      <c r="A100" s="231" t="s">
        <v>1408</v>
      </c>
      <c r="B100" s="231" t="s">
        <v>687</v>
      </c>
      <c r="C100" s="246">
        <v>55.95</v>
      </c>
      <c r="D100" s="381">
        <v>3</v>
      </c>
      <c r="E100" s="381">
        <v>1</v>
      </c>
      <c r="F100" s="246">
        <f>IF(Table_6170280[[#This Row],[Item]]="",0,Table_6170280[[#This Row],[Amount]]*Table_6170280[[#This Row],[Purchase / Running costs]]/Table_6170280[[#This Row],[Depreciation period]])</f>
        <v>18.650000000000002</v>
      </c>
      <c r="G100" s="247"/>
      <c r="H100" s="744"/>
      <c r="I100" s="751"/>
      <c r="J100" s="702"/>
      <c r="K100" s="732"/>
      <c r="L100" s="16"/>
      <c r="M100" s="16"/>
      <c r="N100" s="16"/>
      <c r="O100" s="16"/>
      <c r="P100" s="16"/>
      <c r="Q100" s="16"/>
      <c r="R100" s="16"/>
      <c r="S100" s="16"/>
      <c r="T100" s="16"/>
      <c r="U100" s="16"/>
      <c r="V100" s="16"/>
      <c r="W100" s="16"/>
      <c r="X100" s="16"/>
      <c r="Y100" s="16"/>
      <c r="Z100" s="16"/>
      <c r="AA100" s="16"/>
      <c r="AB100" s="16"/>
    </row>
    <row r="101" spans="1:30" ht="15.75" customHeight="1">
      <c r="A101" s="231"/>
      <c r="B101" s="244"/>
      <c r="C101" s="246">
        <v>0</v>
      </c>
      <c r="D101" s="247"/>
      <c r="E101" s="245"/>
      <c r="F101" s="246">
        <f>IF(Table_6170280[[#This Row],[Item]]="",0,Table_6170280[[#This Row],[Amount]]*Table_6170280[[#This Row],[Purchase / Running costs]]/Table_6170280[[#This Row],[Depreciation period]])</f>
        <v>0</v>
      </c>
      <c r="G101" s="247"/>
      <c r="H101" s="744"/>
      <c r="I101" s="751"/>
      <c r="J101" s="702"/>
      <c r="K101" s="732"/>
      <c r="L101" s="16"/>
      <c r="M101" s="16"/>
      <c r="N101" s="16"/>
      <c r="O101" s="16"/>
      <c r="P101" s="16"/>
      <c r="Q101" s="16"/>
      <c r="R101" s="16"/>
      <c r="S101" s="16"/>
      <c r="T101" s="16"/>
      <c r="U101" s="16"/>
      <c r="V101" s="16"/>
      <c r="W101" s="16"/>
      <c r="X101" s="16"/>
      <c r="Y101" s="16"/>
      <c r="Z101" s="16"/>
      <c r="AA101" s="16"/>
      <c r="AB101" s="16"/>
    </row>
    <row r="102" spans="1:30" ht="15.75" customHeight="1">
      <c r="A102" s="231"/>
      <c r="B102" s="244"/>
      <c r="C102" s="246">
        <v>0</v>
      </c>
      <c r="D102" s="247"/>
      <c r="E102" s="245"/>
      <c r="F102" s="246">
        <f>IF(Table_6170280[[#This Row],[Item]]="",0,Table_6170280[[#This Row],[Amount]]*Table_6170280[[#This Row],[Purchase / Running costs]]/Table_6170280[[#This Row],[Depreciation period]])</f>
        <v>0</v>
      </c>
      <c r="G102" s="247"/>
      <c r="H102" s="744"/>
      <c r="I102" s="751"/>
      <c r="J102" s="702"/>
      <c r="K102" s="732"/>
      <c r="L102" s="16"/>
      <c r="M102" s="16"/>
      <c r="N102" s="16"/>
      <c r="O102" s="16"/>
      <c r="P102" s="16"/>
      <c r="Q102" s="16"/>
      <c r="R102" s="16"/>
      <c r="S102" s="16"/>
      <c r="T102" s="16"/>
      <c r="U102" s="16"/>
      <c r="V102" s="16"/>
      <c r="W102" s="16"/>
      <c r="X102" s="16"/>
      <c r="Y102" s="16"/>
      <c r="Z102" s="16"/>
      <c r="AA102" s="16"/>
      <c r="AB102" s="16"/>
    </row>
    <row r="103" spans="1:30" ht="15.75" customHeight="1">
      <c r="A103" s="231"/>
      <c r="B103" s="244"/>
      <c r="C103" s="246">
        <v>0</v>
      </c>
      <c r="D103" s="247"/>
      <c r="E103" s="245"/>
      <c r="F103" s="246">
        <f>IF(Table_6170280[[#This Row],[Item]]="",0,Table_6170280[[#This Row],[Amount]]*Table_6170280[[#This Row],[Purchase / Running costs]]/Table_6170280[[#This Row],[Depreciation period]])</f>
        <v>0</v>
      </c>
      <c r="G103" s="247"/>
      <c r="H103" s="744"/>
      <c r="I103" s="751"/>
      <c r="J103" s="702"/>
      <c r="K103" s="732"/>
      <c r="L103" s="16"/>
      <c r="M103" s="16"/>
      <c r="N103" s="16"/>
      <c r="O103" s="16"/>
      <c r="P103" s="16"/>
      <c r="Q103" s="16"/>
      <c r="R103" s="16"/>
      <c r="S103" s="16"/>
      <c r="T103" s="16"/>
      <c r="U103" s="16"/>
      <c r="V103" s="16"/>
      <c r="W103" s="16"/>
      <c r="X103" s="16"/>
      <c r="Y103" s="16"/>
      <c r="Z103" s="16"/>
      <c r="AA103" s="16"/>
      <c r="AB103" s="16"/>
    </row>
    <row r="104" spans="1:30" ht="15.75" customHeight="1">
      <c r="A104" s="231"/>
      <c r="B104" s="244"/>
      <c r="C104" s="246">
        <v>0</v>
      </c>
      <c r="D104" s="247"/>
      <c r="E104" s="245"/>
      <c r="F104" s="246">
        <f>IF(Table_6170280[[#This Row],[Item]]="",0,Table_6170280[[#This Row],[Amount]]*Table_6170280[[#This Row],[Purchase / Running costs]]/Table_6170280[[#This Row],[Depreciation period]])</f>
        <v>0</v>
      </c>
      <c r="G104" s="247"/>
      <c r="H104" s="744"/>
      <c r="I104" s="751"/>
      <c r="J104" s="702"/>
      <c r="K104" s="732"/>
      <c r="L104" s="16"/>
      <c r="M104" s="16"/>
      <c r="N104" s="16"/>
      <c r="O104" s="16"/>
      <c r="P104" s="16"/>
      <c r="Q104" s="16"/>
      <c r="R104" s="16"/>
      <c r="S104" s="16"/>
      <c r="T104" s="16"/>
      <c r="U104" s="16"/>
      <c r="V104" s="16"/>
      <c r="W104" s="16"/>
      <c r="X104" s="16"/>
      <c r="Y104" s="16"/>
      <c r="Z104" s="16"/>
      <c r="AA104" s="16"/>
      <c r="AB104" s="16"/>
    </row>
    <row r="105" spans="1:30" ht="15.75" customHeight="1" thickBot="1">
      <c r="A105" s="231"/>
      <c r="B105" s="244"/>
      <c r="C105" s="246">
        <v>0</v>
      </c>
      <c r="D105" s="247"/>
      <c r="E105" s="245"/>
      <c r="F105" s="246">
        <f>IF(Table_6170280[[#This Row],[Item]]="",0,Table_6170280[[#This Row],[Amount]]*Table_6170280[[#This Row],[Purchase / Running costs]]/Table_6170280[[#This Row],[Depreciation period]])</f>
        <v>0</v>
      </c>
      <c r="G105" s="247"/>
      <c r="H105" s="747"/>
      <c r="I105" s="748"/>
      <c r="J105" s="752"/>
      <c r="K105" s="734"/>
      <c r="L105" s="16"/>
      <c r="M105" s="16"/>
      <c r="N105" s="16"/>
      <c r="O105" s="16"/>
      <c r="P105" s="16"/>
      <c r="Q105" s="16"/>
      <c r="R105" s="16"/>
      <c r="S105" s="16"/>
      <c r="T105" s="16"/>
      <c r="U105" s="16"/>
      <c r="V105" s="16"/>
      <c r="W105" s="16"/>
      <c r="X105" s="16"/>
      <c r="Y105" s="16"/>
      <c r="Z105" s="16"/>
      <c r="AA105" s="16"/>
      <c r="AB105" s="16"/>
    </row>
    <row r="106" spans="1:30" ht="15.75" customHeight="1" thickTop="1">
      <c r="A106" s="15"/>
      <c r="B106" s="131"/>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c r="AD106" s="16"/>
    </row>
    <row r="107" spans="1:30" ht="15.75" customHeight="1">
      <c r="A107" s="15"/>
      <c r="B107" s="131"/>
      <c r="C107" s="16"/>
      <c r="D107" s="16"/>
      <c r="E107" s="16"/>
      <c r="F107" s="16"/>
      <c r="G107" s="16"/>
      <c r="I107" s="16"/>
      <c r="J107" s="16"/>
      <c r="K107" s="16"/>
      <c r="L107" s="16"/>
      <c r="M107" s="16"/>
      <c r="N107" s="16"/>
      <c r="O107" s="16"/>
      <c r="P107" s="16"/>
      <c r="Q107" s="16"/>
      <c r="R107" s="16"/>
      <c r="S107" s="16"/>
      <c r="T107" s="16"/>
      <c r="U107" s="16"/>
      <c r="V107" s="16"/>
      <c r="W107" s="16"/>
      <c r="X107" s="16"/>
      <c r="Y107" s="16"/>
      <c r="Z107" s="16"/>
      <c r="AA107" s="16"/>
      <c r="AB107" s="16"/>
      <c r="AC107" s="16"/>
      <c r="AD107" s="16"/>
    </row>
    <row r="108" spans="1:30" ht="15.75" customHeight="1">
      <c r="H108" s="51"/>
      <c r="I108" s="51"/>
      <c r="J108" s="51"/>
      <c r="K108" s="51"/>
      <c r="L108" s="16"/>
      <c r="M108" s="16"/>
      <c r="N108" s="16"/>
      <c r="O108" s="16"/>
      <c r="P108" s="16"/>
      <c r="Q108" s="16"/>
      <c r="R108" s="16"/>
      <c r="S108" s="16"/>
      <c r="T108" s="16"/>
      <c r="U108" s="16"/>
      <c r="V108" s="16"/>
      <c r="W108" s="16"/>
      <c r="X108" s="16"/>
      <c r="Y108" s="16"/>
      <c r="Z108" s="16"/>
      <c r="AA108" s="16"/>
      <c r="AB108" s="16"/>
      <c r="AC108" s="16"/>
      <c r="AD108" s="16"/>
    </row>
    <row r="109" spans="1:30" ht="15.75" customHeight="1">
      <c r="L109" s="16"/>
      <c r="M109" s="16"/>
      <c r="N109" s="16"/>
      <c r="O109" s="16"/>
      <c r="P109" s="16"/>
      <c r="Q109" s="16"/>
      <c r="R109" s="16"/>
      <c r="S109" s="16"/>
      <c r="T109" s="16"/>
      <c r="U109" s="16"/>
      <c r="V109" s="16"/>
      <c r="W109" s="16"/>
      <c r="X109" s="16"/>
      <c r="Y109" s="16"/>
      <c r="Z109" s="16"/>
      <c r="AA109" s="16"/>
      <c r="AB109" s="16"/>
      <c r="AC109" s="16"/>
      <c r="AD109" s="16"/>
    </row>
    <row r="110" spans="1:30" ht="15.75" customHeight="1">
      <c r="L110" s="16"/>
      <c r="M110" s="16"/>
      <c r="N110" s="16"/>
      <c r="O110" s="16"/>
      <c r="P110" s="16"/>
      <c r="Q110" s="16"/>
      <c r="R110" s="16"/>
      <c r="S110" s="16"/>
      <c r="T110" s="16"/>
      <c r="U110" s="16"/>
      <c r="V110" s="16"/>
      <c r="W110" s="16"/>
      <c r="X110" s="16"/>
      <c r="Y110" s="16"/>
      <c r="Z110" s="16"/>
      <c r="AA110" s="16"/>
      <c r="AB110" s="16"/>
      <c r="AC110" s="16"/>
      <c r="AD110" s="16"/>
    </row>
    <row r="111" spans="1:30" ht="15.75" customHeight="1">
      <c r="L111" s="16"/>
      <c r="M111" s="16"/>
      <c r="N111" s="16"/>
      <c r="O111" s="16"/>
      <c r="P111" s="16"/>
      <c r="Q111" s="16"/>
      <c r="R111" s="16"/>
      <c r="S111" s="16"/>
      <c r="T111" s="16"/>
      <c r="U111" s="16"/>
      <c r="V111" s="16"/>
      <c r="W111" s="16"/>
      <c r="X111" s="16"/>
      <c r="Y111" s="16"/>
      <c r="Z111" s="16"/>
      <c r="AA111" s="16"/>
      <c r="AB111" s="16"/>
      <c r="AC111" s="16"/>
      <c r="AD111" s="16"/>
    </row>
    <row r="112" spans="1:30" ht="15.75" customHeight="1">
      <c r="L112" s="16"/>
      <c r="M112" s="16"/>
      <c r="N112" s="16"/>
      <c r="O112" s="16"/>
      <c r="P112" s="16"/>
      <c r="Q112" s="16"/>
      <c r="R112" s="16"/>
      <c r="S112" s="16"/>
      <c r="T112" s="16"/>
      <c r="U112" s="16"/>
      <c r="V112" s="16"/>
      <c r="W112" s="16"/>
      <c r="X112" s="16"/>
      <c r="Y112" s="16"/>
      <c r="Z112" s="16"/>
      <c r="AA112" s="16"/>
      <c r="AB112" s="16"/>
      <c r="AC112" s="16"/>
      <c r="AD112" s="16"/>
    </row>
    <row r="113" spans="1:30" ht="15.75" customHeight="1">
      <c r="L113" s="16"/>
      <c r="M113" s="16"/>
      <c r="N113" s="16"/>
      <c r="O113" s="16"/>
      <c r="P113" s="16"/>
      <c r="Q113" s="16"/>
      <c r="R113" s="16"/>
      <c r="S113" s="16"/>
      <c r="T113" s="16"/>
      <c r="U113" s="16"/>
      <c r="V113" s="16"/>
      <c r="W113" s="16"/>
      <c r="X113" s="16"/>
      <c r="Y113" s="16"/>
      <c r="Z113" s="16"/>
      <c r="AA113" s="16"/>
      <c r="AB113" s="16"/>
      <c r="AC113" s="16"/>
      <c r="AD113" s="16"/>
    </row>
    <row r="114" spans="1:30" ht="15.75" customHeight="1">
      <c r="L114" s="16"/>
      <c r="M114" s="16"/>
      <c r="N114" s="16"/>
      <c r="O114" s="16"/>
      <c r="P114" s="16"/>
      <c r="Q114" s="16"/>
      <c r="R114" s="16"/>
      <c r="S114" s="16"/>
      <c r="T114" s="16"/>
      <c r="U114" s="16"/>
      <c r="V114" s="16"/>
      <c r="W114" s="16"/>
      <c r="X114" s="16"/>
      <c r="Y114" s="16"/>
      <c r="Z114" s="16"/>
      <c r="AA114" s="16"/>
      <c r="AB114" s="16"/>
      <c r="AC114" s="16"/>
      <c r="AD114" s="16"/>
    </row>
    <row r="115" spans="1:30" ht="15.75" customHeight="1">
      <c r="L115" s="16"/>
      <c r="M115" s="16"/>
      <c r="N115" s="16"/>
      <c r="O115" s="16"/>
      <c r="P115" s="735"/>
      <c r="Q115" s="696"/>
      <c r="R115" s="696"/>
      <c r="S115" s="16"/>
      <c r="T115" s="16"/>
      <c r="U115" s="16"/>
      <c r="V115" s="16"/>
      <c r="W115" s="16"/>
      <c r="X115" s="16"/>
      <c r="Y115" s="16"/>
      <c r="Z115" s="16"/>
      <c r="AA115" s="16"/>
      <c r="AB115" s="16"/>
      <c r="AC115" s="16"/>
      <c r="AD115" s="16"/>
    </row>
    <row r="116" spans="1:30" ht="15.75" customHeight="1">
      <c r="L116" s="16"/>
      <c r="M116" s="16"/>
      <c r="N116" s="16"/>
      <c r="O116" s="16"/>
      <c r="P116" s="735"/>
      <c r="Q116" s="696"/>
      <c r="R116" s="696"/>
      <c r="S116" s="16"/>
      <c r="T116" s="16"/>
      <c r="U116" s="16"/>
      <c r="V116" s="16"/>
      <c r="W116" s="16"/>
      <c r="X116" s="16"/>
      <c r="Y116" s="16"/>
      <c r="Z116" s="16"/>
      <c r="AA116" s="16"/>
      <c r="AB116" s="16"/>
      <c r="AC116" s="16"/>
      <c r="AD116" s="16"/>
    </row>
    <row r="117" spans="1:30" ht="15.75" customHeight="1">
      <c r="L117" s="16"/>
      <c r="M117" s="16"/>
      <c r="N117" s="16"/>
      <c r="O117" s="16"/>
      <c r="P117" s="735"/>
      <c r="Q117" s="696"/>
      <c r="R117" s="696"/>
      <c r="S117" s="16"/>
      <c r="T117" s="16"/>
      <c r="U117" s="16"/>
      <c r="V117" s="16"/>
      <c r="W117" s="16"/>
      <c r="X117" s="16"/>
      <c r="Y117" s="16"/>
      <c r="Z117" s="16"/>
      <c r="AA117" s="16"/>
      <c r="AB117" s="16"/>
      <c r="AC117" s="16"/>
      <c r="AD117" s="16"/>
    </row>
    <row r="118" spans="1:30" ht="15.75" customHeight="1">
      <c r="L118" s="16"/>
      <c r="M118" s="16"/>
      <c r="N118" s="16"/>
      <c r="O118" s="16"/>
      <c r="P118" s="735"/>
      <c r="Q118" s="696"/>
      <c r="R118" s="696"/>
      <c r="S118" s="16"/>
      <c r="T118" s="16"/>
      <c r="U118" s="16"/>
      <c r="V118" s="16"/>
      <c r="W118" s="16"/>
      <c r="X118" s="16"/>
      <c r="Y118" s="16"/>
      <c r="Z118" s="16"/>
      <c r="AA118" s="16"/>
      <c r="AB118" s="16"/>
      <c r="AC118" s="16"/>
      <c r="AD118" s="16"/>
    </row>
    <row r="119" spans="1:30" ht="15.75" customHeight="1">
      <c r="L119" s="16"/>
      <c r="M119" s="16"/>
      <c r="N119" s="16"/>
      <c r="O119" s="16"/>
      <c r="P119" s="735"/>
      <c r="Q119" s="696"/>
      <c r="R119" s="696"/>
      <c r="S119" s="16"/>
      <c r="T119" s="16"/>
      <c r="U119" s="16"/>
      <c r="V119" s="16"/>
      <c r="W119" s="16"/>
      <c r="X119" s="16"/>
      <c r="Y119" s="16"/>
      <c r="Z119" s="16"/>
      <c r="AA119" s="16"/>
      <c r="AB119" s="16"/>
      <c r="AC119" s="16"/>
      <c r="AD119" s="16"/>
    </row>
    <row r="120" spans="1:30" ht="15.75" customHeight="1">
      <c r="L120" s="16"/>
      <c r="M120" s="16"/>
      <c r="N120" s="16"/>
      <c r="O120" s="16"/>
      <c r="P120" s="735"/>
      <c r="Q120" s="696"/>
      <c r="R120" s="696"/>
      <c r="S120" s="16"/>
      <c r="T120" s="16"/>
      <c r="U120" s="16"/>
      <c r="V120" s="16"/>
      <c r="W120" s="16"/>
      <c r="X120" s="16"/>
      <c r="Y120" s="16"/>
      <c r="Z120" s="16"/>
      <c r="AA120" s="16"/>
      <c r="AB120" s="16"/>
      <c r="AC120" s="16"/>
      <c r="AD120" s="16"/>
    </row>
    <row r="121" spans="1:30" ht="15.75" customHeight="1">
      <c r="H121" s="248"/>
      <c r="I121" s="248"/>
      <c r="J121" s="228"/>
      <c r="K121" s="228"/>
      <c r="L121" s="16"/>
      <c r="M121" s="16"/>
      <c r="N121" s="16"/>
      <c r="O121" s="16"/>
      <c r="P121" s="735"/>
      <c r="Q121" s="696"/>
      <c r="R121" s="696"/>
      <c r="S121" s="16"/>
      <c r="T121" s="16"/>
      <c r="U121" s="16"/>
      <c r="V121" s="16"/>
      <c r="W121" s="16"/>
      <c r="X121" s="16"/>
      <c r="Y121" s="16"/>
      <c r="Z121" s="16"/>
      <c r="AA121" s="16"/>
      <c r="AB121" s="16"/>
      <c r="AC121" s="16"/>
      <c r="AD121" s="16"/>
    </row>
    <row r="122" spans="1:30" ht="15.75" customHeight="1">
      <c r="A122" s="231"/>
      <c r="B122" s="231"/>
      <c r="C122" s="246"/>
      <c r="D122" s="247"/>
      <c r="E122" s="245"/>
      <c r="F122" s="246"/>
      <c r="G122" s="247"/>
      <c r="H122" s="248"/>
      <c r="I122" s="248"/>
      <c r="J122" s="228"/>
      <c r="K122" s="228"/>
      <c r="L122" s="16"/>
      <c r="M122" s="16"/>
      <c r="N122" s="16"/>
      <c r="O122" s="16"/>
      <c r="P122" s="16"/>
      <c r="Q122" s="16"/>
      <c r="R122" s="16"/>
      <c r="S122" s="16"/>
      <c r="T122" s="16"/>
      <c r="U122" s="16"/>
      <c r="V122" s="16"/>
      <c r="W122" s="16"/>
      <c r="X122" s="16"/>
      <c r="Y122" s="16"/>
      <c r="Z122" s="16"/>
      <c r="AA122" s="16"/>
      <c r="AB122" s="16"/>
      <c r="AC122" s="16"/>
      <c r="AD122" s="16"/>
    </row>
    <row r="123" spans="1:30" ht="15.75" customHeight="1">
      <c r="A123" s="231"/>
      <c r="B123" s="16"/>
      <c r="C123" s="246"/>
      <c r="D123" s="247"/>
      <c r="E123" s="245"/>
      <c r="F123" s="246"/>
      <c r="G123" s="247"/>
      <c r="H123" s="228"/>
      <c r="I123" s="228"/>
      <c r="J123" s="228"/>
      <c r="K123" s="228"/>
      <c r="L123" s="16"/>
      <c r="M123" s="735"/>
      <c r="N123" s="696"/>
      <c r="O123" s="696"/>
      <c r="P123" s="735"/>
      <c r="Q123" s="696"/>
      <c r="R123" s="696"/>
      <c r="S123" s="696"/>
      <c r="T123" s="696"/>
      <c r="U123" s="16"/>
      <c r="V123" s="16"/>
      <c r="W123" s="16"/>
      <c r="X123" s="16"/>
      <c r="Y123" s="16"/>
      <c r="Z123" s="16"/>
      <c r="AA123" s="16"/>
      <c r="AB123" s="16"/>
      <c r="AC123" s="16"/>
      <c r="AD123" s="16"/>
    </row>
    <row r="124" spans="1:30" ht="15.75" customHeight="1">
      <c r="A124" s="16"/>
      <c r="B124" s="16"/>
      <c r="C124" s="16"/>
      <c r="D124" s="16"/>
      <c r="E124" s="16"/>
      <c r="F124" s="16"/>
      <c r="G124" s="16"/>
      <c r="H124" s="16"/>
      <c r="I124" s="16"/>
      <c r="J124" s="16"/>
      <c r="K124" s="16"/>
      <c r="L124" s="16"/>
      <c r="M124" s="735"/>
      <c r="N124" s="696"/>
      <c r="O124" s="696"/>
      <c r="P124" s="735"/>
      <c r="Q124" s="696"/>
      <c r="R124" s="696"/>
      <c r="S124" s="696"/>
      <c r="T124" s="696"/>
      <c r="U124" s="16"/>
      <c r="V124" s="16"/>
      <c r="W124" s="16"/>
      <c r="X124" s="16"/>
      <c r="Y124" s="16"/>
      <c r="Z124" s="16"/>
      <c r="AA124" s="16"/>
      <c r="AB124" s="16"/>
      <c r="AC124" s="16"/>
      <c r="AD124" s="16"/>
    </row>
    <row r="125" spans="1:30" ht="15.75" customHeight="1">
      <c r="A125" s="16"/>
      <c r="B125" s="16"/>
      <c r="C125" s="16"/>
      <c r="D125" s="16"/>
      <c r="E125" s="16"/>
      <c r="F125" s="16"/>
      <c r="G125" s="16"/>
      <c r="H125" s="16"/>
      <c r="I125" s="16"/>
      <c r="J125" s="16"/>
      <c r="K125" s="16"/>
      <c r="L125" s="16"/>
      <c r="M125" s="735"/>
      <c r="N125" s="696"/>
      <c r="O125" s="696"/>
      <c r="P125" s="696"/>
      <c r="Q125" s="696"/>
      <c r="R125" s="696"/>
      <c r="S125" s="696"/>
      <c r="T125" s="696"/>
      <c r="U125" s="16"/>
      <c r="V125" s="16"/>
      <c r="W125" s="16"/>
      <c r="X125" s="16"/>
      <c r="Y125" s="16"/>
      <c r="Z125" s="16"/>
      <c r="AA125" s="16"/>
      <c r="AB125" s="16"/>
      <c r="AC125" s="16"/>
      <c r="AD125" s="16"/>
    </row>
    <row r="126" spans="1:30" ht="15.75" customHeight="1">
      <c r="A126" s="16"/>
      <c r="B126" s="16"/>
      <c r="C126" s="16"/>
      <c r="D126" s="16"/>
      <c r="E126" s="16"/>
      <c r="F126" s="16"/>
      <c r="G126" s="16"/>
      <c r="H126" s="16"/>
      <c r="I126" s="16"/>
      <c r="J126" s="16"/>
      <c r="K126" s="16"/>
      <c r="L126" s="16"/>
      <c r="M126" s="735"/>
      <c r="N126" s="696"/>
      <c r="O126" s="696"/>
      <c r="P126" s="696"/>
      <c r="Q126" s="696"/>
      <c r="R126" s="696"/>
      <c r="S126" s="696"/>
      <c r="T126" s="696"/>
      <c r="U126" s="16"/>
      <c r="V126" s="16"/>
      <c r="W126" s="16"/>
      <c r="X126" s="16"/>
      <c r="Y126" s="16"/>
      <c r="Z126" s="16"/>
      <c r="AA126" s="16"/>
      <c r="AB126" s="16"/>
      <c r="AC126" s="16"/>
      <c r="AD126" s="16"/>
    </row>
    <row r="127" spans="1:30" ht="15.75" customHeight="1">
      <c r="A127" s="16"/>
      <c r="B127" s="16"/>
      <c r="C127" s="16"/>
      <c r="D127" s="16"/>
      <c r="E127" s="16"/>
      <c r="F127" s="16"/>
      <c r="G127" s="16"/>
      <c r="H127" s="16"/>
      <c r="I127" s="16"/>
      <c r="J127" s="16"/>
      <c r="K127" s="16"/>
      <c r="L127" s="16"/>
      <c r="M127" s="735"/>
      <c r="N127" s="696"/>
      <c r="O127" s="696"/>
      <c r="P127" s="696"/>
      <c r="Q127" s="696"/>
      <c r="R127" s="696"/>
      <c r="S127" s="696"/>
      <c r="T127" s="696"/>
      <c r="U127" s="16"/>
      <c r="V127" s="16"/>
      <c r="W127" s="16"/>
      <c r="X127" s="16"/>
      <c r="Y127" s="16"/>
      <c r="Z127" s="16"/>
      <c r="AA127" s="16"/>
      <c r="AB127" s="16"/>
      <c r="AC127" s="16"/>
      <c r="AD127" s="16"/>
    </row>
    <row r="128" spans="1:30" ht="15.75" customHeight="1">
      <c r="A128" s="16"/>
      <c r="B128" s="16"/>
      <c r="C128" s="16"/>
      <c r="D128" s="16"/>
      <c r="E128" s="16"/>
      <c r="F128" s="16"/>
      <c r="G128" s="16"/>
      <c r="H128" s="16"/>
      <c r="I128" s="16"/>
      <c r="J128" s="16"/>
      <c r="K128" s="16"/>
      <c r="L128" s="16"/>
      <c r="M128" s="735"/>
      <c r="N128" s="696"/>
      <c r="O128" s="696"/>
      <c r="P128" s="696"/>
      <c r="Q128" s="696"/>
      <c r="R128" s="696"/>
      <c r="S128" s="696"/>
      <c r="T128" s="696"/>
      <c r="U128" s="16"/>
      <c r="V128" s="16"/>
      <c r="W128" s="16"/>
      <c r="X128" s="16"/>
      <c r="Y128" s="16"/>
      <c r="Z128" s="16"/>
      <c r="AA128" s="16"/>
      <c r="AB128" s="16"/>
      <c r="AC128" s="16"/>
      <c r="AD128" s="16"/>
    </row>
    <row r="129" spans="1:30" ht="15.75" customHeight="1">
      <c r="A129" s="16"/>
      <c r="B129" s="16"/>
      <c r="C129" s="16"/>
      <c r="D129" s="16"/>
      <c r="E129" s="16"/>
      <c r="F129" s="16"/>
      <c r="G129" s="16"/>
      <c r="H129" s="16"/>
      <c r="I129" s="16"/>
      <c r="J129" s="16"/>
      <c r="K129" s="16"/>
      <c r="L129" s="16"/>
      <c r="M129" s="735"/>
      <c r="N129" s="696"/>
      <c r="O129" s="696"/>
      <c r="P129" s="696"/>
      <c r="Q129" s="696"/>
      <c r="R129" s="696"/>
      <c r="S129" s="696"/>
      <c r="T129" s="696"/>
      <c r="U129" s="16"/>
      <c r="V129" s="16"/>
      <c r="W129" s="16"/>
      <c r="X129" s="16"/>
      <c r="Y129" s="16"/>
      <c r="Z129" s="16"/>
      <c r="AA129" s="16"/>
      <c r="AB129" s="16"/>
      <c r="AC129" s="16"/>
      <c r="AD129" s="16"/>
    </row>
    <row r="130" spans="1:30" ht="15.75" customHeight="1">
      <c r="A130" s="16"/>
      <c r="B130" s="16"/>
      <c r="C130" s="16"/>
      <c r="D130" s="16"/>
      <c r="E130" s="16"/>
      <c r="F130" s="16"/>
      <c r="G130" s="16"/>
      <c r="H130" s="16"/>
      <c r="I130" s="16"/>
      <c r="J130" s="16"/>
      <c r="K130" s="16"/>
      <c r="L130" s="16"/>
      <c r="M130" s="735"/>
      <c r="N130" s="696"/>
      <c r="O130" s="696"/>
      <c r="P130" s="696"/>
      <c r="Q130" s="696"/>
      <c r="R130" s="696"/>
      <c r="S130" s="696"/>
      <c r="T130" s="696"/>
      <c r="U130" s="16"/>
      <c r="V130" s="16"/>
      <c r="W130" s="16"/>
      <c r="X130" s="16"/>
      <c r="Y130" s="16"/>
      <c r="Z130" s="16"/>
      <c r="AA130" s="16"/>
      <c r="AB130" s="16"/>
      <c r="AC130" s="16"/>
      <c r="AD130" s="16"/>
    </row>
    <row r="131" spans="1:30" ht="15.75" customHeight="1">
      <c r="A131" s="16"/>
      <c r="B131" s="16"/>
      <c r="C131" s="16"/>
      <c r="D131" s="16"/>
      <c r="E131" s="16"/>
      <c r="F131" s="16"/>
      <c r="G131" s="16"/>
      <c r="H131" s="16"/>
      <c r="I131" s="16"/>
      <c r="J131" s="16"/>
      <c r="K131" s="16"/>
      <c r="L131" s="16"/>
      <c r="M131" s="735"/>
      <c r="N131" s="696"/>
      <c r="O131" s="696"/>
      <c r="P131" s="696"/>
      <c r="Q131" s="696"/>
      <c r="R131" s="696"/>
      <c r="S131" s="696"/>
      <c r="T131" s="696"/>
      <c r="U131" s="16"/>
      <c r="V131" s="16"/>
      <c r="W131" s="16"/>
      <c r="X131" s="16"/>
      <c r="Y131" s="16"/>
      <c r="Z131" s="16"/>
      <c r="AA131" s="16"/>
      <c r="AB131" s="16"/>
      <c r="AC131" s="16"/>
      <c r="AD131" s="16"/>
    </row>
    <row r="132" spans="1:30" ht="15.75" customHeight="1">
      <c r="A132" s="16"/>
      <c r="B132" s="16"/>
      <c r="C132" s="16"/>
      <c r="D132" s="16"/>
      <c r="E132" s="16"/>
      <c r="F132" s="16"/>
      <c r="G132" s="16"/>
      <c r="H132" s="16"/>
      <c r="I132" s="16"/>
      <c r="J132" s="16"/>
      <c r="K132" s="16"/>
      <c r="L132" s="16"/>
      <c r="M132" s="735"/>
      <c r="N132" s="696"/>
      <c r="O132" s="696"/>
      <c r="P132" s="696"/>
      <c r="Q132" s="696"/>
      <c r="R132" s="696"/>
      <c r="S132" s="696"/>
      <c r="T132" s="696"/>
      <c r="U132" s="16"/>
      <c r="V132" s="16"/>
      <c r="W132" s="16"/>
      <c r="X132" s="16"/>
      <c r="Y132" s="16"/>
      <c r="Z132" s="16"/>
      <c r="AA132" s="16"/>
      <c r="AB132" s="16"/>
      <c r="AC132" s="16"/>
      <c r="AD132" s="16"/>
    </row>
    <row r="133" spans="1:30" ht="15.75" customHeight="1">
      <c r="A133" s="16"/>
      <c r="B133" s="16"/>
      <c r="C133" s="16"/>
      <c r="D133" s="16"/>
      <c r="E133" s="16"/>
      <c r="F133" s="16"/>
      <c r="G133" s="16"/>
      <c r="H133" s="16"/>
      <c r="I133" s="16"/>
      <c r="J133" s="16"/>
      <c r="K133" s="16"/>
      <c r="L133" s="16"/>
      <c r="M133" s="735"/>
      <c r="N133" s="696"/>
      <c r="O133" s="696"/>
      <c r="P133" s="696"/>
      <c r="Q133" s="696"/>
      <c r="R133" s="696"/>
      <c r="S133" s="696"/>
      <c r="T133" s="696"/>
      <c r="U133" s="16"/>
      <c r="V133" s="16"/>
      <c r="W133" s="16"/>
      <c r="X133" s="16"/>
      <c r="Y133" s="16"/>
      <c r="Z133" s="16"/>
      <c r="AA133" s="16"/>
      <c r="AB133" s="16"/>
      <c r="AC133" s="16"/>
      <c r="AD133" s="16"/>
    </row>
    <row r="134" spans="1:30" ht="15.75" customHeight="1">
      <c r="A134" s="16"/>
      <c r="B134" s="16"/>
      <c r="C134" s="16"/>
      <c r="D134" s="16"/>
      <c r="E134" s="16"/>
      <c r="F134" s="16"/>
      <c r="G134" s="16"/>
      <c r="H134" s="16"/>
      <c r="I134" s="16"/>
      <c r="J134" s="16"/>
      <c r="K134" s="16"/>
      <c r="L134" s="16"/>
      <c r="M134" s="735"/>
      <c r="N134" s="696"/>
      <c r="O134" s="696"/>
      <c r="P134" s="696"/>
      <c r="Q134" s="696"/>
      <c r="R134" s="696"/>
      <c r="S134" s="696"/>
      <c r="T134" s="696"/>
      <c r="U134" s="16"/>
      <c r="V134" s="16"/>
      <c r="W134" s="16"/>
      <c r="X134" s="16"/>
      <c r="Y134" s="16"/>
      <c r="Z134" s="16"/>
      <c r="AA134" s="16"/>
      <c r="AB134" s="16"/>
      <c r="AC134" s="16"/>
      <c r="AD134" s="16"/>
    </row>
    <row r="135" spans="1:30" ht="15.75" customHeight="1">
      <c r="A135" s="16"/>
      <c r="B135" s="16"/>
      <c r="C135" s="16"/>
      <c r="D135" s="16"/>
      <c r="E135" s="16"/>
      <c r="F135" s="16"/>
      <c r="G135" s="16"/>
      <c r="H135" s="16"/>
      <c r="I135" s="16"/>
      <c r="J135" s="16"/>
      <c r="K135" s="16"/>
      <c r="L135" s="16"/>
      <c r="M135" s="735"/>
      <c r="N135" s="696"/>
      <c r="O135" s="696"/>
      <c r="P135" s="696"/>
      <c r="Q135" s="696"/>
      <c r="R135" s="696"/>
      <c r="S135" s="696"/>
      <c r="T135" s="696"/>
      <c r="U135" s="16"/>
      <c r="V135" s="16"/>
      <c r="W135" s="16"/>
      <c r="X135" s="16"/>
      <c r="Y135" s="16"/>
      <c r="Z135" s="16"/>
      <c r="AA135" s="16"/>
      <c r="AB135" s="16"/>
      <c r="AC135" s="16"/>
      <c r="AD135" s="16"/>
    </row>
    <row r="136" spans="1:30" ht="15.75" customHeight="1">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c r="AA136" s="16"/>
      <c r="AB136" s="16"/>
      <c r="AC136" s="16"/>
      <c r="AD136" s="16"/>
    </row>
    <row r="137" spans="1:30" ht="15.75" customHeight="1">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c r="AA137" s="16"/>
      <c r="AB137" s="16"/>
      <c r="AC137" s="16"/>
      <c r="AD137" s="16"/>
    </row>
    <row r="138" spans="1:30" ht="15.75" customHeight="1">
      <c r="A138" s="16"/>
      <c r="B138" s="16"/>
      <c r="C138" s="16"/>
      <c r="D138" s="16"/>
      <c r="E138" s="16"/>
      <c r="F138" s="16"/>
      <c r="G138" s="16"/>
      <c r="H138" s="16"/>
      <c r="I138" s="16"/>
      <c r="J138" s="16"/>
      <c r="K138" s="16"/>
      <c r="L138" s="16"/>
      <c r="M138" s="735"/>
      <c r="N138" s="696"/>
      <c r="O138" s="696"/>
      <c r="P138" s="735"/>
      <c r="Q138" s="696"/>
      <c r="R138" s="696"/>
      <c r="S138" s="696"/>
      <c r="T138" s="696"/>
      <c r="U138" s="16"/>
      <c r="V138" s="16"/>
      <c r="W138" s="16"/>
      <c r="X138" s="16"/>
      <c r="Y138" s="16"/>
      <c r="Z138" s="16"/>
      <c r="AA138" s="16"/>
      <c r="AB138" s="16"/>
      <c r="AC138" s="16"/>
      <c r="AD138" s="16"/>
    </row>
    <row r="139" spans="1:30" ht="15.75" customHeight="1">
      <c r="A139" s="16"/>
      <c r="B139" s="16"/>
      <c r="C139" s="16"/>
      <c r="D139" s="16"/>
      <c r="E139" s="16"/>
      <c r="F139" s="16"/>
      <c r="G139" s="16"/>
      <c r="H139" s="16"/>
      <c r="I139" s="16"/>
      <c r="J139" s="16"/>
      <c r="K139" s="16"/>
      <c r="L139" s="16"/>
      <c r="M139" s="735"/>
      <c r="N139" s="696"/>
      <c r="O139" s="696"/>
      <c r="P139" s="735"/>
      <c r="Q139" s="696"/>
      <c r="R139" s="696"/>
      <c r="S139" s="696"/>
      <c r="T139" s="696"/>
      <c r="U139" s="16"/>
      <c r="V139" s="16"/>
      <c r="W139" s="16"/>
      <c r="X139" s="16"/>
      <c r="Y139" s="16"/>
      <c r="Z139" s="16"/>
      <c r="AA139" s="16"/>
      <c r="AB139" s="16"/>
      <c r="AC139" s="16"/>
      <c r="AD139" s="16"/>
    </row>
    <row r="140" spans="1:30" ht="15.75" customHeight="1">
      <c r="A140" s="16"/>
      <c r="B140" s="16"/>
      <c r="C140" s="16"/>
      <c r="D140" s="16"/>
      <c r="E140" s="16"/>
      <c r="F140" s="16"/>
      <c r="G140" s="16"/>
      <c r="H140" s="16"/>
      <c r="I140" s="16"/>
      <c r="J140" s="16"/>
      <c r="K140" s="16"/>
      <c r="L140" s="16"/>
      <c r="M140" s="735"/>
      <c r="N140" s="696"/>
      <c r="O140" s="696"/>
      <c r="P140" s="696"/>
      <c r="Q140" s="696"/>
      <c r="R140" s="696"/>
      <c r="S140" s="696"/>
      <c r="T140" s="696"/>
      <c r="U140" s="16"/>
      <c r="V140" s="16"/>
      <c r="W140" s="16"/>
      <c r="X140" s="16"/>
      <c r="Y140" s="16"/>
      <c r="Z140" s="16"/>
      <c r="AA140" s="16"/>
      <c r="AB140" s="16"/>
      <c r="AC140" s="16"/>
      <c r="AD140" s="16"/>
    </row>
    <row r="141" spans="1:30" ht="15.75" customHeight="1">
      <c r="A141" s="16"/>
      <c r="B141" s="16"/>
      <c r="C141" s="16"/>
      <c r="D141" s="16"/>
      <c r="E141" s="16"/>
      <c r="F141" s="16"/>
      <c r="G141" s="16"/>
      <c r="H141" s="16"/>
      <c r="I141" s="16"/>
      <c r="J141" s="16"/>
      <c r="K141" s="16"/>
      <c r="L141" s="16"/>
      <c r="M141" s="735"/>
      <c r="N141" s="696"/>
      <c r="O141" s="696"/>
      <c r="P141" s="696"/>
      <c r="Q141" s="696"/>
      <c r="R141" s="696"/>
      <c r="S141" s="696"/>
      <c r="T141" s="696"/>
      <c r="U141" s="16"/>
      <c r="V141" s="16"/>
      <c r="W141" s="16"/>
      <c r="X141" s="16"/>
      <c r="Y141" s="16"/>
      <c r="Z141" s="16"/>
      <c r="AA141" s="16"/>
      <c r="AB141" s="16"/>
      <c r="AC141" s="16"/>
      <c r="AD141" s="16"/>
    </row>
    <row r="142" spans="1:30" ht="15.75" customHeight="1">
      <c r="A142" s="16"/>
      <c r="B142" s="16"/>
      <c r="C142" s="16"/>
      <c r="D142" s="16"/>
      <c r="E142" s="16"/>
      <c r="F142" s="16"/>
      <c r="G142" s="16"/>
      <c r="H142" s="16"/>
      <c r="I142" s="16"/>
      <c r="J142" s="16"/>
      <c r="K142" s="16"/>
      <c r="L142" s="16"/>
      <c r="M142" s="735"/>
      <c r="N142" s="696"/>
      <c r="O142" s="696"/>
      <c r="P142" s="696"/>
      <c r="Q142" s="696"/>
      <c r="R142" s="696"/>
      <c r="S142" s="696"/>
      <c r="T142" s="696"/>
      <c r="U142" s="16"/>
      <c r="V142" s="16"/>
      <c r="W142" s="16"/>
      <c r="X142" s="16"/>
      <c r="Y142" s="16"/>
      <c r="Z142" s="16"/>
      <c r="AA142" s="16"/>
      <c r="AB142" s="16"/>
      <c r="AC142" s="16"/>
      <c r="AD142" s="16"/>
    </row>
    <row r="143" spans="1:30" ht="15.75" customHeight="1">
      <c r="A143" s="16"/>
      <c r="B143" s="16"/>
      <c r="C143" s="16"/>
      <c r="D143" s="16"/>
      <c r="E143" s="16"/>
      <c r="F143" s="16"/>
      <c r="G143" s="16"/>
      <c r="H143" s="16"/>
      <c r="I143" s="16"/>
      <c r="J143" s="16"/>
      <c r="K143" s="16"/>
      <c r="L143" s="16"/>
      <c r="M143" s="735"/>
      <c r="N143" s="696"/>
      <c r="O143" s="696"/>
      <c r="P143" s="696"/>
      <c r="Q143" s="696"/>
      <c r="R143" s="696"/>
      <c r="S143" s="696"/>
      <c r="T143" s="696"/>
      <c r="U143" s="16"/>
      <c r="V143" s="16"/>
      <c r="W143" s="16"/>
      <c r="X143" s="16"/>
      <c r="Y143" s="16"/>
      <c r="Z143" s="16"/>
      <c r="AA143" s="16"/>
      <c r="AB143" s="16"/>
      <c r="AC143" s="16"/>
      <c r="AD143" s="16"/>
    </row>
    <row r="144" spans="1:30" ht="15.75" customHeight="1">
      <c r="A144" s="16"/>
      <c r="B144" s="16"/>
      <c r="C144" s="16"/>
      <c r="D144" s="16"/>
      <c r="E144" s="16"/>
      <c r="F144" s="16"/>
      <c r="G144" s="16"/>
      <c r="H144" s="16"/>
      <c r="I144" s="16"/>
      <c r="J144" s="16"/>
      <c r="K144" s="16"/>
      <c r="L144" s="16"/>
      <c r="M144" s="735"/>
      <c r="N144" s="696"/>
      <c r="O144" s="696"/>
      <c r="P144" s="696"/>
      <c r="Q144" s="696"/>
      <c r="R144" s="696"/>
      <c r="S144" s="696"/>
      <c r="T144" s="696"/>
      <c r="U144" s="16"/>
      <c r="V144" s="16"/>
      <c r="W144" s="16"/>
      <c r="X144" s="16"/>
      <c r="Y144" s="16"/>
      <c r="Z144" s="16"/>
      <c r="AA144" s="16"/>
      <c r="AB144" s="16"/>
      <c r="AC144" s="16"/>
      <c r="AD144" s="16"/>
    </row>
    <row r="145" spans="1:30" ht="15.75" customHeight="1">
      <c r="A145" s="16"/>
      <c r="B145" s="16"/>
      <c r="C145" s="16"/>
      <c r="D145" s="16"/>
      <c r="E145" s="16"/>
      <c r="F145" s="16"/>
      <c r="G145" s="16"/>
      <c r="H145" s="16"/>
      <c r="I145" s="16"/>
      <c r="J145" s="16"/>
      <c r="K145" s="16"/>
      <c r="L145" s="16"/>
      <c r="M145" s="735"/>
      <c r="N145" s="696"/>
      <c r="O145" s="696"/>
      <c r="P145" s="696"/>
      <c r="Q145" s="696"/>
      <c r="R145" s="696"/>
      <c r="S145" s="696"/>
      <c r="T145" s="696"/>
      <c r="U145" s="16"/>
      <c r="V145" s="16"/>
      <c r="W145" s="16"/>
      <c r="X145" s="16"/>
      <c r="Y145" s="16"/>
      <c r="Z145" s="16"/>
      <c r="AA145" s="16"/>
      <c r="AB145" s="16"/>
      <c r="AC145" s="16"/>
      <c r="AD145" s="16"/>
    </row>
    <row r="146" spans="1:30" ht="15.75" customHeight="1">
      <c r="A146" s="16"/>
      <c r="B146" s="16"/>
      <c r="C146" s="16"/>
      <c r="D146" s="16"/>
      <c r="E146" s="16"/>
      <c r="F146" s="16"/>
      <c r="G146" s="16"/>
      <c r="H146" s="16"/>
      <c r="I146" s="16"/>
      <c r="J146" s="16"/>
      <c r="K146" s="16"/>
      <c r="L146" s="16"/>
      <c r="M146" s="735"/>
      <c r="N146" s="696"/>
      <c r="O146" s="696"/>
      <c r="P146" s="696"/>
      <c r="Q146" s="696"/>
      <c r="R146" s="696"/>
      <c r="S146" s="696"/>
      <c r="T146" s="696"/>
      <c r="U146" s="16"/>
      <c r="V146" s="16"/>
      <c r="W146" s="16"/>
      <c r="X146" s="16"/>
      <c r="Y146" s="16"/>
      <c r="Z146" s="16"/>
      <c r="AA146" s="16"/>
      <c r="AB146" s="16"/>
      <c r="AC146" s="16"/>
      <c r="AD146" s="16"/>
    </row>
    <row r="147" spans="1:30" ht="15.75" customHeight="1">
      <c r="A147" s="16"/>
      <c r="B147" s="16"/>
      <c r="C147" s="16"/>
      <c r="D147" s="16"/>
      <c r="E147" s="16"/>
      <c r="F147" s="16"/>
      <c r="G147" s="16"/>
      <c r="H147" s="16"/>
      <c r="I147" s="16"/>
      <c r="J147" s="16"/>
      <c r="K147" s="16"/>
      <c r="L147" s="16"/>
      <c r="M147" s="735"/>
      <c r="N147" s="696"/>
      <c r="O147" s="696"/>
      <c r="P147" s="696"/>
      <c r="Q147" s="696"/>
      <c r="R147" s="696"/>
      <c r="S147" s="696"/>
      <c r="T147" s="696"/>
      <c r="U147" s="16"/>
      <c r="V147" s="16"/>
      <c r="W147" s="16"/>
      <c r="X147" s="16"/>
      <c r="Y147" s="16"/>
      <c r="Z147" s="16"/>
      <c r="AA147" s="16"/>
      <c r="AB147" s="16"/>
      <c r="AC147" s="16"/>
      <c r="AD147" s="16"/>
    </row>
    <row r="148" spans="1:30" ht="15.75" customHeight="1">
      <c r="A148" s="16"/>
      <c r="B148" s="16"/>
      <c r="C148" s="16"/>
      <c r="D148" s="16"/>
      <c r="E148" s="16"/>
      <c r="F148" s="16"/>
      <c r="G148" s="16"/>
      <c r="H148" s="16"/>
      <c r="I148" s="16"/>
      <c r="J148" s="16"/>
      <c r="K148" s="16"/>
      <c r="L148" s="16"/>
      <c r="M148" s="735"/>
      <c r="N148" s="696"/>
      <c r="O148" s="696"/>
      <c r="P148" s="696"/>
      <c r="Q148" s="696"/>
      <c r="R148" s="696"/>
      <c r="S148" s="696"/>
      <c r="T148" s="696"/>
      <c r="U148" s="16"/>
      <c r="V148" s="16"/>
      <c r="W148" s="16"/>
      <c r="X148" s="16"/>
      <c r="Y148" s="16"/>
      <c r="Z148" s="16"/>
      <c r="AA148" s="16"/>
      <c r="AB148" s="16"/>
      <c r="AC148" s="16"/>
      <c r="AD148" s="16"/>
    </row>
    <row r="149" spans="1:30" ht="15.75" customHeight="1">
      <c r="A149" s="16"/>
      <c r="B149" s="16"/>
      <c r="C149" s="16"/>
      <c r="D149" s="16"/>
      <c r="E149" s="16"/>
      <c r="F149" s="16"/>
      <c r="G149" s="16"/>
      <c r="H149" s="16"/>
      <c r="I149" s="16"/>
      <c r="J149" s="16"/>
      <c r="K149" s="16"/>
      <c r="L149" s="16"/>
      <c r="M149" s="735"/>
      <c r="N149" s="696"/>
      <c r="O149" s="696"/>
      <c r="P149" s="696"/>
      <c r="Q149" s="696"/>
      <c r="R149" s="696"/>
      <c r="S149" s="696"/>
      <c r="T149" s="696"/>
      <c r="U149" s="16"/>
      <c r="V149" s="16"/>
      <c r="W149" s="16"/>
      <c r="X149" s="16"/>
      <c r="Y149" s="16"/>
      <c r="Z149" s="16"/>
      <c r="AA149" s="16"/>
      <c r="AB149" s="16"/>
      <c r="AC149" s="16"/>
      <c r="AD149" s="16"/>
    </row>
    <row r="150" spans="1:30" ht="15.75" customHeight="1">
      <c r="A150" s="16"/>
      <c r="B150" s="16"/>
      <c r="C150" s="16"/>
      <c r="D150" s="16"/>
      <c r="E150" s="16"/>
      <c r="F150" s="16"/>
      <c r="G150" s="16"/>
      <c r="H150" s="16"/>
      <c r="I150" s="16"/>
      <c r="J150" s="16"/>
      <c r="K150" s="16"/>
      <c r="L150" s="16"/>
      <c r="M150" s="735"/>
      <c r="N150" s="696"/>
      <c r="O150" s="696"/>
      <c r="P150" s="696"/>
      <c r="Q150" s="696"/>
      <c r="R150" s="696"/>
      <c r="S150" s="696"/>
      <c r="T150" s="696"/>
      <c r="U150" s="16"/>
      <c r="V150" s="16"/>
      <c r="W150" s="16"/>
      <c r="X150" s="16"/>
      <c r="Y150" s="16"/>
      <c r="Z150" s="16"/>
      <c r="AA150" s="16"/>
      <c r="AB150" s="16"/>
      <c r="AC150" s="16"/>
      <c r="AD150" s="16"/>
    </row>
    <row r="151" spans="1:30" ht="15.75" customHeight="1">
      <c r="A151" s="16"/>
      <c r="B151" s="16"/>
      <c r="C151" s="16"/>
      <c r="D151" s="16"/>
      <c r="E151" s="16"/>
      <c r="F151" s="16"/>
      <c r="G151" s="16"/>
      <c r="H151" s="16"/>
      <c r="I151" s="16"/>
      <c r="J151" s="16"/>
      <c r="K151" s="16"/>
      <c r="L151" s="16"/>
      <c r="M151" s="735"/>
      <c r="N151" s="696"/>
      <c r="O151" s="696"/>
      <c r="P151" s="696"/>
      <c r="Q151" s="696"/>
      <c r="R151" s="696"/>
      <c r="S151" s="696"/>
      <c r="T151" s="696"/>
      <c r="U151" s="16"/>
      <c r="V151" s="16"/>
      <c r="W151" s="16"/>
      <c r="X151" s="16"/>
      <c r="Y151" s="16"/>
      <c r="Z151" s="16"/>
      <c r="AA151" s="16"/>
      <c r="AB151" s="16"/>
      <c r="AC151" s="16"/>
      <c r="AD151" s="16"/>
    </row>
    <row r="152" spans="1:30" ht="15.75" customHeight="1">
      <c r="A152" s="16"/>
      <c r="B152" s="16"/>
      <c r="C152" s="16"/>
      <c r="D152" s="16"/>
      <c r="E152" s="16"/>
      <c r="F152" s="16"/>
      <c r="G152" s="16"/>
      <c r="H152" s="16"/>
      <c r="I152" s="16"/>
      <c r="J152" s="16"/>
      <c r="K152" s="16"/>
      <c r="L152" s="16"/>
      <c r="M152" s="735"/>
      <c r="N152" s="696"/>
      <c r="O152" s="696"/>
      <c r="P152" s="696"/>
      <c r="Q152" s="696"/>
      <c r="R152" s="696"/>
      <c r="S152" s="696"/>
      <c r="T152" s="696"/>
      <c r="U152" s="16"/>
      <c r="V152" s="16"/>
      <c r="W152" s="16"/>
      <c r="X152" s="16"/>
      <c r="Y152" s="16"/>
      <c r="Z152" s="16"/>
      <c r="AA152" s="16"/>
      <c r="AB152" s="16"/>
      <c r="AC152" s="16"/>
      <c r="AD152" s="16"/>
    </row>
    <row r="153" spans="1:30" ht="15.75" customHeight="1">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c r="AA153" s="16"/>
      <c r="AB153" s="16"/>
      <c r="AC153" s="16"/>
      <c r="AD153" s="16"/>
    </row>
    <row r="154" spans="1:30" ht="15.75" customHeight="1">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c r="AA154" s="16"/>
      <c r="AB154" s="16"/>
      <c r="AC154" s="16"/>
      <c r="AD154" s="16"/>
    </row>
    <row r="155" spans="1:30" ht="15.75" customHeight="1">
      <c r="A155" s="16"/>
      <c r="B155" s="735"/>
      <c r="C155" s="696"/>
      <c r="D155" s="16"/>
      <c r="E155" s="16"/>
      <c r="F155" s="16"/>
      <c r="G155" s="16"/>
      <c r="H155" s="16"/>
      <c r="I155" s="16"/>
      <c r="J155" s="16"/>
      <c r="K155" s="16"/>
      <c r="L155" s="16"/>
      <c r="M155" s="735"/>
      <c r="N155" s="696"/>
      <c r="O155" s="696"/>
      <c r="P155" s="735"/>
      <c r="Q155" s="696"/>
      <c r="R155" s="696"/>
      <c r="S155" s="696"/>
      <c r="T155" s="696"/>
      <c r="U155" s="16"/>
      <c r="V155" s="16"/>
      <c r="W155" s="16"/>
      <c r="X155" s="16"/>
      <c r="Y155" s="16"/>
      <c r="Z155" s="16"/>
      <c r="AA155" s="16"/>
      <c r="AB155" s="16"/>
      <c r="AC155" s="16"/>
      <c r="AD155" s="16"/>
    </row>
    <row r="156" spans="1:30" ht="15.75" customHeight="1">
      <c r="A156" s="16"/>
      <c r="B156" s="735"/>
      <c r="C156" s="696"/>
      <c r="D156" s="16"/>
      <c r="E156" s="16"/>
      <c r="F156" s="16"/>
      <c r="G156" s="16"/>
      <c r="H156" s="16"/>
      <c r="I156" s="16"/>
      <c r="J156" s="16"/>
      <c r="K156" s="16"/>
      <c r="L156" s="16"/>
      <c r="M156" s="735"/>
      <c r="N156" s="696"/>
      <c r="O156" s="696"/>
      <c r="P156" s="735"/>
      <c r="Q156" s="696"/>
      <c r="R156" s="696"/>
      <c r="S156" s="696"/>
      <c r="T156" s="696"/>
      <c r="U156" s="16"/>
      <c r="V156" s="16"/>
      <c r="W156" s="16"/>
      <c r="X156" s="16"/>
      <c r="Y156" s="16"/>
      <c r="Z156" s="16"/>
      <c r="AA156" s="16"/>
      <c r="AB156" s="16"/>
      <c r="AC156" s="16"/>
      <c r="AD156" s="16"/>
    </row>
    <row r="157" spans="1:30" ht="15.75" customHeight="1">
      <c r="A157" s="16"/>
      <c r="B157" s="735"/>
      <c r="C157" s="696"/>
      <c r="D157" s="16"/>
      <c r="E157" s="16"/>
      <c r="F157" s="16"/>
      <c r="G157" s="16"/>
      <c r="H157" s="16"/>
      <c r="I157" s="16"/>
      <c r="J157" s="16"/>
      <c r="K157" s="16"/>
      <c r="L157" s="16"/>
      <c r="M157" s="735"/>
      <c r="N157" s="696"/>
      <c r="O157" s="696"/>
      <c r="P157" s="696"/>
      <c r="Q157" s="696"/>
      <c r="R157" s="696"/>
      <c r="S157" s="696"/>
      <c r="T157" s="696"/>
      <c r="U157" s="16"/>
      <c r="V157" s="16"/>
      <c r="W157" s="16"/>
      <c r="X157" s="16"/>
      <c r="Y157" s="16"/>
      <c r="Z157" s="16"/>
      <c r="AA157" s="16"/>
      <c r="AB157" s="16"/>
      <c r="AC157" s="16"/>
      <c r="AD157" s="16"/>
    </row>
    <row r="158" spans="1:30" ht="15.75" customHeight="1">
      <c r="A158" s="16"/>
      <c r="B158" s="735"/>
      <c r="C158" s="696"/>
      <c r="D158" s="16"/>
      <c r="E158" s="16"/>
      <c r="F158" s="16"/>
      <c r="G158" s="16"/>
      <c r="H158" s="16"/>
      <c r="I158" s="16"/>
      <c r="J158" s="16"/>
      <c r="K158" s="16"/>
      <c r="L158" s="16"/>
      <c r="M158" s="735"/>
      <c r="N158" s="696"/>
      <c r="O158" s="696"/>
      <c r="P158" s="696"/>
      <c r="Q158" s="696"/>
      <c r="R158" s="696"/>
      <c r="S158" s="696"/>
      <c r="T158" s="696"/>
      <c r="U158" s="16"/>
      <c r="V158" s="16"/>
      <c r="W158" s="16"/>
      <c r="X158" s="16"/>
      <c r="Y158" s="16"/>
      <c r="Z158" s="16"/>
      <c r="AA158" s="16"/>
      <c r="AB158" s="16"/>
      <c r="AC158" s="16"/>
      <c r="AD158" s="16"/>
    </row>
    <row r="159" spans="1:30" ht="15.75" customHeight="1">
      <c r="A159" s="16"/>
      <c r="B159" s="735"/>
      <c r="C159" s="696"/>
      <c r="D159" s="16"/>
      <c r="E159" s="16"/>
      <c r="F159" s="16"/>
      <c r="G159" s="16"/>
      <c r="H159" s="16"/>
      <c r="I159" s="16"/>
      <c r="J159" s="16"/>
      <c r="K159" s="16"/>
      <c r="L159" s="16"/>
      <c r="M159" s="735"/>
      <c r="N159" s="696"/>
      <c r="O159" s="696"/>
      <c r="P159" s="696"/>
      <c r="Q159" s="696"/>
      <c r="R159" s="696"/>
      <c r="S159" s="696"/>
      <c r="T159" s="696"/>
      <c r="U159" s="16"/>
      <c r="V159" s="16"/>
      <c r="W159" s="16"/>
      <c r="X159" s="16"/>
      <c r="Y159" s="16"/>
      <c r="Z159" s="16"/>
      <c r="AA159" s="16"/>
      <c r="AB159" s="16"/>
      <c r="AC159" s="16"/>
      <c r="AD159" s="16"/>
    </row>
    <row r="160" spans="1:30" ht="15.75" customHeight="1">
      <c r="A160" s="16"/>
      <c r="B160" s="735"/>
      <c r="C160" s="696"/>
      <c r="D160" s="16"/>
      <c r="E160" s="16"/>
      <c r="F160" s="16"/>
      <c r="G160" s="16"/>
      <c r="H160" s="16"/>
      <c r="I160" s="16"/>
      <c r="J160" s="16"/>
      <c r="K160" s="16"/>
      <c r="L160" s="16"/>
      <c r="M160" s="735"/>
      <c r="N160" s="696"/>
      <c r="O160" s="696"/>
      <c r="P160" s="696"/>
      <c r="Q160" s="696"/>
      <c r="R160" s="696"/>
      <c r="S160" s="696"/>
      <c r="T160" s="696"/>
      <c r="U160" s="16"/>
      <c r="V160" s="16"/>
      <c r="W160" s="16"/>
      <c r="X160" s="16"/>
      <c r="Y160" s="16"/>
      <c r="Z160" s="16"/>
      <c r="AA160" s="16"/>
      <c r="AB160" s="16"/>
      <c r="AC160" s="16"/>
      <c r="AD160" s="16"/>
    </row>
    <row r="161" spans="1:30" ht="15.75" customHeight="1">
      <c r="A161" s="16"/>
      <c r="B161" s="735"/>
      <c r="C161" s="696"/>
      <c r="D161" s="16"/>
      <c r="E161" s="16"/>
      <c r="F161" s="16"/>
      <c r="G161" s="16"/>
      <c r="H161" s="16"/>
      <c r="I161" s="16"/>
      <c r="J161" s="16"/>
      <c r="K161" s="16"/>
      <c r="L161" s="16"/>
      <c r="M161" s="735"/>
      <c r="N161" s="696"/>
      <c r="O161" s="696"/>
      <c r="P161" s="696"/>
      <c r="Q161" s="696"/>
      <c r="R161" s="696"/>
      <c r="S161" s="696"/>
      <c r="T161" s="696"/>
      <c r="U161" s="16"/>
      <c r="V161" s="16"/>
      <c r="W161" s="16"/>
      <c r="X161" s="16"/>
      <c r="Y161" s="16"/>
      <c r="Z161" s="16"/>
      <c r="AA161" s="16"/>
      <c r="AB161" s="16"/>
      <c r="AC161" s="16"/>
      <c r="AD161" s="16"/>
    </row>
    <row r="162" spans="1:30" ht="15.75" customHeight="1">
      <c r="A162" s="16"/>
      <c r="B162" s="735"/>
      <c r="C162" s="696"/>
      <c r="D162" s="16"/>
      <c r="E162" s="16"/>
      <c r="F162" s="16"/>
      <c r="G162" s="16"/>
      <c r="H162" s="16"/>
      <c r="I162" s="16"/>
      <c r="J162" s="16"/>
      <c r="K162" s="16"/>
      <c r="L162" s="16"/>
      <c r="M162" s="735"/>
      <c r="N162" s="696"/>
      <c r="O162" s="696"/>
      <c r="P162" s="696"/>
      <c r="Q162" s="696"/>
      <c r="R162" s="696"/>
      <c r="S162" s="696"/>
      <c r="T162" s="696"/>
      <c r="U162" s="16"/>
      <c r="V162" s="16"/>
      <c r="W162" s="16"/>
      <c r="X162" s="16"/>
      <c r="Y162" s="16"/>
      <c r="Z162" s="16"/>
      <c r="AA162" s="16"/>
      <c r="AB162" s="16"/>
      <c r="AC162" s="16"/>
      <c r="AD162" s="16"/>
    </row>
    <row r="163" spans="1:30" ht="15.75" customHeight="1">
      <c r="A163" s="16"/>
      <c r="B163" s="735"/>
      <c r="C163" s="696"/>
      <c r="D163" s="16"/>
      <c r="E163" s="16"/>
      <c r="F163" s="16"/>
      <c r="G163" s="16"/>
      <c r="H163" s="16"/>
      <c r="I163" s="16"/>
      <c r="J163" s="16"/>
      <c r="K163" s="16"/>
      <c r="L163" s="16"/>
      <c r="M163" s="735"/>
      <c r="N163" s="696"/>
      <c r="O163" s="696"/>
      <c r="P163" s="696"/>
      <c r="Q163" s="696"/>
      <c r="R163" s="696"/>
      <c r="S163" s="696"/>
      <c r="T163" s="696"/>
      <c r="U163" s="16"/>
      <c r="V163" s="16"/>
      <c r="W163" s="16"/>
      <c r="X163" s="16"/>
      <c r="Y163" s="16"/>
      <c r="Z163" s="16"/>
      <c r="AA163" s="16"/>
      <c r="AB163" s="16"/>
      <c r="AC163" s="16"/>
      <c r="AD163" s="16"/>
    </row>
    <row r="164" spans="1:30" ht="15.75" customHeight="1">
      <c r="A164" s="16"/>
      <c r="B164" s="735"/>
      <c r="C164" s="696"/>
      <c r="D164" s="16"/>
      <c r="E164" s="16"/>
      <c r="F164" s="16"/>
      <c r="G164" s="16"/>
      <c r="H164" s="16"/>
      <c r="I164" s="16"/>
      <c r="J164" s="16"/>
      <c r="K164" s="16"/>
      <c r="L164" s="16"/>
      <c r="M164" s="735"/>
      <c r="N164" s="696"/>
      <c r="O164" s="696"/>
      <c r="P164" s="696"/>
      <c r="Q164" s="696"/>
      <c r="R164" s="696"/>
      <c r="S164" s="696"/>
      <c r="T164" s="696"/>
      <c r="U164" s="16"/>
      <c r="V164" s="16"/>
      <c r="W164" s="16"/>
      <c r="X164" s="16"/>
      <c r="Y164" s="16"/>
      <c r="Z164" s="16"/>
      <c r="AA164" s="16"/>
      <c r="AB164" s="16"/>
      <c r="AC164" s="16"/>
      <c r="AD164" s="16"/>
    </row>
    <row r="165" spans="1:30" ht="15.75" customHeight="1">
      <c r="A165" s="16"/>
      <c r="B165" s="735"/>
      <c r="C165" s="696"/>
      <c r="D165" s="16"/>
      <c r="E165" s="16"/>
      <c r="F165" s="16"/>
      <c r="G165" s="16"/>
      <c r="H165" s="16"/>
      <c r="I165" s="16"/>
      <c r="J165" s="16"/>
      <c r="K165" s="16"/>
      <c r="L165" s="16"/>
      <c r="M165" s="735"/>
      <c r="N165" s="696"/>
      <c r="O165" s="696"/>
      <c r="P165" s="696"/>
      <c r="Q165" s="696"/>
      <c r="R165" s="696"/>
      <c r="S165" s="696"/>
      <c r="T165" s="696"/>
      <c r="U165" s="16"/>
      <c r="V165" s="16"/>
      <c r="W165" s="16"/>
      <c r="X165" s="16"/>
      <c r="Y165" s="16"/>
      <c r="Z165" s="16"/>
      <c r="AA165" s="16"/>
      <c r="AB165" s="16"/>
      <c r="AC165" s="16"/>
      <c r="AD165" s="16"/>
    </row>
    <row r="166" spans="1:30" ht="15.75" customHeight="1">
      <c r="A166" s="16"/>
      <c r="B166" s="735"/>
      <c r="C166" s="696"/>
      <c r="D166" s="16"/>
      <c r="E166" s="16"/>
      <c r="F166" s="16"/>
      <c r="G166" s="16"/>
      <c r="H166" s="16"/>
      <c r="I166" s="16"/>
      <c r="J166" s="16"/>
      <c r="K166" s="16"/>
      <c r="L166" s="16"/>
      <c r="M166" s="735"/>
      <c r="N166" s="696"/>
      <c r="O166" s="696"/>
      <c r="P166" s="696"/>
      <c r="Q166" s="696"/>
      <c r="R166" s="696"/>
      <c r="S166" s="696"/>
      <c r="T166" s="696"/>
      <c r="U166" s="16"/>
      <c r="V166" s="16"/>
      <c r="W166" s="16"/>
      <c r="X166" s="16"/>
      <c r="Y166" s="16"/>
      <c r="Z166" s="16"/>
      <c r="AA166" s="16"/>
      <c r="AB166" s="16"/>
      <c r="AC166" s="16"/>
      <c r="AD166" s="16"/>
    </row>
    <row r="167" spans="1:30" ht="15.75" customHeight="1">
      <c r="A167" s="16"/>
      <c r="B167" s="735"/>
      <c r="C167" s="696"/>
      <c r="D167" s="16"/>
      <c r="E167" s="16"/>
      <c r="F167" s="16"/>
      <c r="G167" s="16"/>
      <c r="H167" s="16"/>
      <c r="I167" s="16"/>
      <c r="J167" s="16"/>
      <c r="K167" s="16"/>
      <c r="L167" s="16"/>
      <c r="M167" s="735"/>
      <c r="N167" s="696"/>
      <c r="O167" s="696"/>
      <c r="P167" s="696"/>
      <c r="Q167" s="696"/>
      <c r="R167" s="696"/>
      <c r="S167" s="696"/>
      <c r="T167" s="696"/>
      <c r="U167" s="16"/>
      <c r="V167" s="16"/>
      <c r="W167" s="16"/>
      <c r="X167" s="16"/>
      <c r="Y167" s="16"/>
      <c r="Z167" s="16"/>
      <c r="AA167" s="16"/>
      <c r="AB167" s="16"/>
      <c r="AC167" s="16"/>
      <c r="AD167" s="16"/>
    </row>
    <row r="168" spans="1:30" ht="15.75" customHeight="1">
      <c r="A168" s="16"/>
      <c r="B168" s="735"/>
      <c r="C168" s="696"/>
      <c r="D168" s="16"/>
      <c r="E168" s="16"/>
      <c r="F168" s="16"/>
      <c r="G168" s="16"/>
      <c r="H168" s="16"/>
      <c r="I168" s="16"/>
      <c r="J168" s="16"/>
      <c r="K168" s="16"/>
      <c r="L168" s="16"/>
      <c r="M168" s="735"/>
      <c r="N168" s="696"/>
      <c r="O168" s="696"/>
      <c r="P168" s="696"/>
      <c r="Q168" s="696"/>
      <c r="R168" s="696"/>
      <c r="S168" s="696"/>
      <c r="T168" s="696"/>
      <c r="U168" s="16"/>
      <c r="V168" s="16"/>
      <c r="W168" s="16"/>
      <c r="X168" s="16"/>
      <c r="Y168" s="16"/>
      <c r="Z168" s="16"/>
      <c r="AA168" s="16"/>
      <c r="AB168" s="16"/>
      <c r="AC168" s="16"/>
      <c r="AD168" s="16"/>
    </row>
    <row r="169" spans="1:30" ht="15.75" customHeight="1">
      <c r="A169" s="16"/>
      <c r="B169" s="735"/>
      <c r="C169" s="696"/>
      <c r="D169" s="16"/>
      <c r="E169" s="16"/>
      <c r="F169" s="16"/>
      <c r="G169" s="16"/>
      <c r="H169" s="16"/>
      <c r="I169" s="16"/>
      <c r="J169" s="16"/>
      <c r="K169" s="16"/>
      <c r="L169" s="16"/>
      <c r="M169" s="735"/>
      <c r="N169" s="696"/>
      <c r="O169" s="696"/>
      <c r="P169" s="696"/>
      <c r="Q169" s="696"/>
      <c r="R169" s="696"/>
      <c r="S169" s="696"/>
      <c r="T169" s="696"/>
      <c r="U169" s="16"/>
      <c r="V169" s="16"/>
      <c r="W169" s="16"/>
      <c r="X169" s="16"/>
      <c r="Y169" s="16"/>
      <c r="Z169" s="16"/>
      <c r="AA169" s="16"/>
      <c r="AB169" s="16"/>
      <c r="AC169" s="16"/>
      <c r="AD169" s="16"/>
    </row>
    <row r="170" spans="1:30" ht="15.75" customHeight="1">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c r="AA170" s="16"/>
      <c r="AB170" s="16"/>
      <c r="AC170" s="16"/>
      <c r="AD170" s="16"/>
    </row>
    <row r="171" spans="1:30" ht="15.75" customHeight="1">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c r="AA171" s="16"/>
      <c r="AB171" s="16"/>
      <c r="AC171" s="16"/>
      <c r="AD171" s="16"/>
    </row>
    <row r="172" spans="1:30" ht="15.75" customHeight="1">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row>
    <row r="173" spans="1:30" ht="15.75" customHeight="1">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c r="AC173" s="16"/>
      <c r="AD173" s="16"/>
    </row>
    <row r="174" spans="1:30" ht="15.75" customHeight="1">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c r="AC174" s="16"/>
      <c r="AD174" s="16"/>
    </row>
    <row r="175" spans="1:30" ht="15.75" customHeight="1">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c r="AA175" s="16"/>
      <c r="AB175" s="16"/>
      <c r="AC175" s="16"/>
      <c r="AD175" s="16"/>
    </row>
    <row r="176" spans="1:30" ht="15.75" customHeight="1">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c r="AD176" s="16"/>
    </row>
    <row r="177" spans="1:30" ht="15.75" customHeight="1">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c r="AD177" s="16"/>
    </row>
    <row r="178" spans="1:30" ht="15.75" customHeight="1">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c r="AA178" s="16"/>
      <c r="AB178" s="16"/>
      <c r="AC178" s="16"/>
      <c r="AD178" s="16"/>
    </row>
    <row r="179" spans="1:30" ht="15.75" customHeight="1">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c r="AD179" s="16"/>
    </row>
    <row r="180" spans="1:30" ht="15.75" customHeight="1">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c r="AD180" s="16"/>
    </row>
    <row r="181" spans="1:30" ht="15.75" customHeight="1">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c r="AD181" s="16"/>
    </row>
    <row r="182" spans="1:30" ht="15.75" customHeight="1">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c r="AD182" s="16"/>
    </row>
    <row r="183" spans="1:30" ht="15.75" customHeight="1">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c r="AD183" s="16"/>
    </row>
    <row r="184" spans="1:30" ht="15.75" customHeight="1">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c r="AD184" s="16"/>
    </row>
    <row r="185" spans="1:30" ht="15.75" customHeight="1">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c r="AD185" s="16"/>
    </row>
    <row r="186" spans="1:30" ht="15.75" customHeight="1">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c r="AD186" s="16"/>
    </row>
    <row r="187" spans="1:30" ht="15.75" customHeight="1">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16"/>
      <c r="AB187" s="16"/>
      <c r="AC187" s="16"/>
      <c r="AD187" s="16"/>
    </row>
    <row r="188" spans="1:30" ht="15.75" customHeight="1">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c r="AD188" s="16"/>
    </row>
    <row r="189" spans="1:30" ht="15.75" customHeight="1">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c r="AD189" s="16"/>
    </row>
    <row r="190" spans="1:30" ht="15.75" customHeight="1">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c r="AD190" s="16"/>
    </row>
    <row r="191" spans="1:30" ht="15.75" customHeight="1">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c r="AD191" s="16"/>
    </row>
    <row r="192" spans="1:30" ht="15.75" customHeight="1">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c r="AD192" s="16"/>
    </row>
    <row r="193" spans="1:30" ht="15.75" customHeight="1">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c r="AA193" s="16"/>
      <c r="AB193" s="16"/>
      <c r="AC193" s="16"/>
      <c r="AD193" s="16"/>
    </row>
    <row r="194" spans="1:30" ht="15.75" customHeight="1">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c r="AA194" s="16"/>
      <c r="AB194" s="16"/>
      <c r="AC194" s="16"/>
      <c r="AD194" s="16"/>
    </row>
    <row r="195" spans="1:30" ht="15.75" customHeight="1">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c r="AA195" s="16"/>
      <c r="AB195" s="16"/>
      <c r="AC195" s="16"/>
      <c r="AD195" s="16"/>
    </row>
    <row r="196" spans="1:30" ht="15.75" customHeight="1">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c r="AA196" s="16"/>
      <c r="AB196" s="16"/>
      <c r="AC196" s="16"/>
      <c r="AD196" s="16"/>
    </row>
    <row r="197" spans="1:30" ht="15.75" customHeight="1">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c r="AD197" s="16"/>
    </row>
    <row r="198" spans="1:30" ht="15.75" customHeight="1">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c r="AD198" s="16"/>
    </row>
    <row r="199" spans="1:30" ht="15.75" customHeight="1">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c r="AA199" s="16"/>
      <c r="AB199" s="16"/>
      <c r="AC199" s="16"/>
      <c r="AD199" s="16"/>
    </row>
    <row r="200" spans="1:30" ht="15.75" customHeight="1">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c r="AA200" s="16"/>
      <c r="AB200" s="16"/>
      <c r="AC200" s="16"/>
      <c r="AD200" s="16"/>
    </row>
    <row r="201" spans="1:30" ht="15.75" customHeight="1">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c r="AD201" s="16"/>
    </row>
    <row r="202" spans="1:30" ht="15.75" customHeight="1">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c r="AD202" s="16"/>
    </row>
    <row r="203" spans="1:30" ht="15.75" customHeight="1">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c r="AA203" s="16"/>
      <c r="AB203" s="16"/>
      <c r="AC203" s="16"/>
      <c r="AD203" s="16"/>
    </row>
    <row r="204" spans="1:30" ht="15.75" customHeight="1">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c r="AA204" s="16"/>
      <c r="AB204" s="16"/>
      <c r="AC204" s="16"/>
      <c r="AD204" s="16"/>
    </row>
    <row r="205" spans="1:30" ht="15.75" customHeight="1">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c r="AD205" s="16"/>
    </row>
    <row r="206" spans="1:30" ht="15.75" customHeight="1">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row>
    <row r="207" spans="1:30" ht="15.75" customHeight="1">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c r="AD207" s="16"/>
    </row>
    <row r="208" spans="1:30" ht="15.75" customHeight="1">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c r="AD208" s="16"/>
    </row>
    <row r="209" spans="1:30" ht="15.75" customHeight="1">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c r="AD209" s="16"/>
    </row>
    <row r="210" spans="1:30" ht="15.75" customHeight="1">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c r="AD210" s="16"/>
    </row>
    <row r="211" spans="1:30" ht="15.75" customHeight="1">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row>
    <row r="212" spans="1:30" ht="15.75" customHeight="1">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c r="AD212" s="16"/>
    </row>
    <row r="213" spans="1:30" ht="15.75" customHeight="1">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c r="AD213" s="16"/>
    </row>
    <row r="214" spans="1:30" ht="15.75" customHeight="1">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row>
    <row r="215" spans="1:30" ht="15.75" customHeight="1">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c r="AD215" s="16"/>
    </row>
    <row r="216" spans="1:30" ht="15.75" customHeight="1">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c r="AD216" s="16"/>
    </row>
    <row r="217" spans="1:30" ht="15.75" customHeight="1">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c r="AD217" s="16"/>
    </row>
    <row r="218" spans="1:30" ht="15.75" customHeight="1">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c r="AD218" s="16"/>
    </row>
    <row r="219" spans="1:30" ht="15.75" customHeight="1">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c r="AD219" s="16"/>
    </row>
    <row r="220" spans="1:30" ht="15.75" customHeight="1">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c r="AD220" s="16"/>
    </row>
    <row r="221" spans="1:30" ht="15.75" customHeight="1">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row>
    <row r="222" spans="1:30" ht="15.75" customHeight="1">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row>
    <row r="223" spans="1:30" ht="15.75" customHeight="1">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c r="AD223" s="16"/>
    </row>
    <row r="224" spans="1:30" ht="15.75" customHeight="1">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c r="AD224" s="16"/>
    </row>
    <row r="225" spans="1:30" ht="15.75" customHeight="1">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16"/>
    </row>
    <row r="226" spans="1:30" ht="15.75" customHeight="1">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row>
    <row r="227" spans="1:30" ht="15.75" customHeight="1">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16"/>
    </row>
    <row r="228" spans="1:30" ht="15.75" customHeight="1">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c r="AD228" s="16"/>
    </row>
    <row r="229" spans="1:30" ht="15.75" customHeight="1">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c r="AD229" s="16"/>
    </row>
    <row r="230" spans="1:30" ht="15.75" customHeight="1">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row>
    <row r="231" spans="1:30" ht="15.75" customHeight="1">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c r="AD231" s="16"/>
    </row>
    <row r="232" spans="1:30" ht="15.75" customHeight="1">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c r="AD232" s="16"/>
    </row>
    <row r="233" spans="1:30" ht="15.75" customHeight="1">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c r="AD233" s="16"/>
    </row>
    <row r="234" spans="1:30" ht="15.75" customHeight="1">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c r="AD234" s="16"/>
    </row>
    <row r="235" spans="1:30" ht="15.75" customHeight="1">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row>
    <row r="236" spans="1:30" ht="15.75" customHeight="1">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c r="AD236" s="16"/>
    </row>
    <row r="237" spans="1:30" ht="15.75" customHeight="1">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c r="AD237" s="16"/>
    </row>
    <row r="238" spans="1:30" ht="15.75" customHeight="1">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c r="AD238" s="16"/>
    </row>
    <row r="239" spans="1:30" ht="15.75" customHeight="1">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c r="AD239" s="16"/>
    </row>
    <row r="240" spans="1:30" ht="15.75" customHeight="1">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c r="AD240" s="16"/>
    </row>
    <row r="241" spans="1:30" ht="15.75" customHeight="1">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c r="AD241" s="16"/>
    </row>
    <row r="242" spans="1:30" ht="15.75" customHeight="1">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c r="AD242" s="16"/>
    </row>
    <row r="243" spans="1:30" ht="15.75" customHeight="1">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c r="AD243" s="16"/>
    </row>
    <row r="244" spans="1:30" ht="15.75" customHeight="1">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16"/>
    </row>
    <row r="245" spans="1:30" ht="15.75" customHeight="1">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c r="AD245" s="16"/>
    </row>
    <row r="246" spans="1:30" ht="15.75" customHeight="1">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row>
    <row r="247" spans="1:30" ht="15.75" customHeight="1">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c r="AD247" s="16"/>
    </row>
    <row r="248" spans="1:30" ht="15.75" customHeight="1">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row>
    <row r="249" spans="1:30" ht="15.75" customHeight="1">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row>
    <row r="250" spans="1:30" ht="15.75" customHeight="1">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c r="AD250" s="16"/>
    </row>
    <row r="251" spans="1:30" ht="15.75" customHeight="1">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row>
    <row r="252" spans="1:30" ht="15.75" customHeight="1">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16"/>
    </row>
    <row r="253" spans="1:30" ht="15.75" customHeight="1">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c r="AD253" s="16"/>
    </row>
    <row r="254" spans="1:30" ht="15.75" customHeight="1">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row>
    <row r="255" spans="1:30" ht="15.75" customHeight="1">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c r="AD255" s="16"/>
    </row>
    <row r="256" spans="1:30" ht="15.75" customHeight="1">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row>
    <row r="257" spans="1:30" ht="15.75" customHeight="1">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c r="AD257" s="16"/>
    </row>
    <row r="258" spans="1:30" ht="15.75" customHeight="1">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c r="AD258" s="16"/>
    </row>
    <row r="259" spans="1:30" ht="15.75" customHeight="1">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row>
    <row r="260" spans="1:30" ht="15.75" customHeight="1">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row>
    <row r="261" spans="1:30" ht="15.75" customHeight="1">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c r="AD261" s="16"/>
    </row>
    <row r="262" spans="1:30" ht="15.75" customHeight="1">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row>
    <row r="263" spans="1:30" ht="15.75" customHeight="1">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row>
    <row r="264" spans="1:30" ht="15.75" customHeight="1">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c r="AD264" s="16"/>
    </row>
    <row r="265" spans="1:30" ht="15.75" customHeight="1">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row>
    <row r="266" spans="1:30" ht="15.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row>
    <row r="267" spans="1:30" ht="15.75" customHeight="1">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row>
    <row r="268" spans="1:30" ht="15.75" customHeight="1">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c r="AD268" s="16"/>
    </row>
    <row r="269" spans="1:30" ht="15.75" customHeight="1">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row>
    <row r="270" spans="1:30" ht="15.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row>
    <row r="271" spans="1:30" ht="15.75" customHeight="1">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c r="AD271" s="16"/>
    </row>
    <row r="272" spans="1:30" ht="15.75" customHeight="1">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c r="AD272" s="16"/>
    </row>
    <row r="273" spans="1:30" ht="15.75" customHeight="1">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c r="AD273" s="16"/>
    </row>
    <row r="274" spans="1:30" ht="15.75" customHeight="1">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c r="AD274" s="16"/>
    </row>
    <row r="275" spans="1:30" ht="15.75" customHeight="1">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c r="AD275" s="16"/>
    </row>
    <row r="276" spans="1:30" ht="15.75" customHeight="1">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row>
    <row r="277" spans="1:30" ht="15.75" customHeight="1">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16"/>
    </row>
    <row r="278" spans="1:30" ht="15.75" customHeight="1">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row>
    <row r="279" spans="1:30" ht="15.75" customHeight="1">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16"/>
    </row>
    <row r="280" spans="1:30" ht="15.75" customHeight="1">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c r="AD280" s="16"/>
    </row>
    <row r="281" spans="1:30" ht="15.75" customHeight="1">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c r="AD281" s="16"/>
    </row>
    <row r="282" spans="1:30" ht="15.75" customHeight="1">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c r="AD282" s="16"/>
    </row>
    <row r="283" spans="1:30" ht="15.75" customHeight="1">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c r="AD283" s="16"/>
    </row>
    <row r="284" spans="1:30" ht="15.75" customHeight="1">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c r="AD284" s="16"/>
    </row>
    <row r="285" spans="1:30" ht="15.75" customHeight="1">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c r="AD285" s="16"/>
    </row>
    <row r="286" spans="1:30" ht="15.75" customHeight="1">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row>
    <row r="287" spans="1:30" ht="15.75" customHeight="1">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row>
    <row r="288" spans="1:30" ht="15.75" customHeight="1">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row>
    <row r="289" spans="1:30" ht="15.75" customHeight="1">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row>
    <row r="290" spans="1:30" ht="15.75" customHeight="1">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row>
    <row r="291" spans="1:30" ht="15.75" customHeight="1">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c r="AD291" s="16"/>
    </row>
    <row r="292" spans="1:30" ht="15.75" customHeight="1">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row>
    <row r="293" spans="1:30" ht="15.75" customHeight="1">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row>
    <row r="294" spans="1:30" ht="15.75" customHeight="1">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row>
    <row r="295" spans="1:30" ht="15.75" customHeight="1">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row>
    <row r="296" spans="1:30" ht="15.75" customHeight="1">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row>
    <row r="297" spans="1:30" ht="15.75" customHeight="1">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row>
    <row r="298" spans="1:30" ht="15.75" customHeight="1">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row>
    <row r="299" spans="1:30" ht="15.75" customHeight="1">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row>
    <row r="300" spans="1:30" ht="15.75" customHeight="1">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row>
    <row r="301" spans="1:30" ht="15.75" customHeight="1">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c r="AD301" s="16"/>
    </row>
    <row r="302" spans="1:30" ht="15.75" customHeight="1">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c r="AD302" s="16"/>
    </row>
    <row r="303" spans="1:30" ht="15.75" customHeight="1">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row>
    <row r="304" spans="1:30" ht="15.75" customHeight="1">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c r="AD304" s="16"/>
    </row>
    <row r="305" spans="1:30" ht="15.75" customHeight="1">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c r="AD305" s="16"/>
    </row>
    <row r="306" spans="1:30" ht="15.75" customHeight="1"/>
    <row r="307" spans="1:30" ht="15.75" customHeight="1"/>
    <row r="308" spans="1:30" ht="15.75" customHeight="1"/>
    <row r="309" spans="1:30" ht="15.75" customHeight="1"/>
    <row r="310" spans="1:30" ht="15.75" customHeight="1"/>
    <row r="311" spans="1:30" ht="15.75" customHeight="1"/>
    <row r="312" spans="1:30" ht="15.75" customHeight="1"/>
    <row r="313" spans="1:30" ht="15.75" customHeight="1"/>
    <row r="314" spans="1:30" ht="15.75" customHeight="1"/>
    <row r="315" spans="1:30" ht="15.75" customHeight="1"/>
    <row r="316" spans="1:30" ht="15.75" customHeight="1"/>
    <row r="317" spans="1:30" ht="15.75" customHeight="1"/>
    <row r="318" spans="1:30" ht="15.75" customHeight="1"/>
    <row r="319" spans="1:30" ht="15.75" customHeight="1"/>
    <row r="320" spans="1:3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99">
    <mergeCell ref="K55:M67"/>
    <mergeCell ref="A30:F30"/>
    <mergeCell ref="A31:F31"/>
    <mergeCell ref="A32:F32"/>
    <mergeCell ref="A34:F34"/>
    <mergeCell ref="A29:F29"/>
    <mergeCell ref="A1:C1"/>
    <mergeCell ref="E1:H1"/>
    <mergeCell ref="D7:I7"/>
    <mergeCell ref="D8:I8"/>
    <mergeCell ref="A28:F28"/>
    <mergeCell ref="H92:I105"/>
    <mergeCell ref="J92:K105"/>
    <mergeCell ref="AG29:AH29"/>
    <mergeCell ref="AI29:AJ29"/>
    <mergeCell ref="AG30:AH40"/>
    <mergeCell ref="AI30:AJ40"/>
    <mergeCell ref="H37:J37"/>
    <mergeCell ref="K71:O87"/>
    <mergeCell ref="P71:Q87"/>
    <mergeCell ref="H91:I91"/>
    <mergeCell ref="J91:K91"/>
    <mergeCell ref="K70:O70"/>
    <mergeCell ref="H38:J42"/>
    <mergeCell ref="I45:K45"/>
    <mergeCell ref="I46:K50"/>
    <mergeCell ref="K54:M54"/>
    <mergeCell ref="P115:R115"/>
    <mergeCell ref="P70:Q70"/>
    <mergeCell ref="P116:R116"/>
    <mergeCell ref="P117:R117"/>
    <mergeCell ref="P118:R118"/>
    <mergeCell ref="P119:R119"/>
    <mergeCell ref="P120:R120"/>
    <mergeCell ref="M135:O135"/>
    <mergeCell ref="P121:R121"/>
    <mergeCell ref="M123:O123"/>
    <mergeCell ref="P123:T123"/>
    <mergeCell ref="M124:O124"/>
    <mergeCell ref="P124:T135"/>
    <mergeCell ref="M125:O125"/>
    <mergeCell ref="M126:O126"/>
    <mergeCell ref="M127:O127"/>
    <mergeCell ref="M128:O128"/>
    <mergeCell ref="M129:O129"/>
    <mergeCell ref="M130:O130"/>
    <mergeCell ref="M131:O131"/>
    <mergeCell ref="M132:O132"/>
    <mergeCell ref="M133:O133"/>
    <mergeCell ref="M134:O134"/>
    <mergeCell ref="M151:O151"/>
    <mergeCell ref="M138:O138"/>
    <mergeCell ref="P138:T138"/>
    <mergeCell ref="M139:O139"/>
    <mergeCell ref="P139:T152"/>
    <mergeCell ref="M140:O140"/>
    <mergeCell ref="M141:O141"/>
    <mergeCell ref="M142:O142"/>
    <mergeCell ref="M143:O143"/>
    <mergeCell ref="M144:O144"/>
    <mergeCell ref="M145:O145"/>
    <mergeCell ref="M146:O146"/>
    <mergeCell ref="M147:O147"/>
    <mergeCell ref="M148:O148"/>
    <mergeCell ref="M149:O149"/>
    <mergeCell ref="M150:O150"/>
    <mergeCell ref="P155:T155"/>
    <mergeCell ref="B156:C156"/>
    <mergeCell ref="M156:O156"/>
    <mergeCell ref="P156:T169"/>
    <mergeCell ref="B157:C157"/>
    <mergeCell ref="M157:O157"/>
    <mergeCell ref="B158:C158"/>
    <mergeCell ref="B161:C161"/>
    <mergeCell ref="M161:O161"/>
    <mergeCell ref="B160:C160"/>
    <mergeCell ref="M160:O160"/>
    <mergeCell ref="B162:C162"/>
    <mergeCell ref="M162:O162"/>
    <mergeCell ref="B163:C163"/>
    <mergeCell ref="M163:O163"/>
    <mergeCell ref="B164:C164"/>
    <mergeCell ref="M152:O152"/>
    <mergeCell ref="B155:C155"/>
    <mergeCell ref="M155:O155"/>
    <mergeCell ref="M158:O158"/>
    <mergeCell ref="B159:C159"/>
    <mergeCell ref="M159:O159"/>
    <mergeCell ref="M164:O164"/>
    <mergeCell ref="B168:C168"/>
    <mergeCell ref="M168:O168"/>
    <mergeCell ref="B169:C169"/>
    <mergeCell ref="M169:O169"/>
    <mergeCell ref="B165:C165"/>
    <mergeCell ref="M165:O165"/>
    <mergeCell ref="B166:C166"/>
    <mergeCell ref="M166:O166"/>
    <mergeCell ref="B167:C167"/>
    <mergeCell ref="M167:O167"/>
  </mergeCells>
  <conditionalFormatting sqref="I55:I66">
    <cfRule type="containsText" dxfId="351" priority="1" operator="containsText" text="5">
      <formula>NOT(ISERROR(SEARCH(("5"),(I55))))</formula>
    </cfRule>
    <cfRule type="containsText" dxfId="350" priority="2" operator="containsText" text="42">
      <formula>NOT(ISERROR(SEARCH(("42"),(I55))))</formula>
    </cfRule>
    <cfRule type="containsText" dxfId="349" priority="3" operator="containsText" text="Please fill in">
      <formula>NOT(ISERROR(SEARCH(("Please fill in"),(I55))))</formula>
    </cfRule>
  </conditionalFormatting>
  <dataValidations count="6">
    <dataValidation type="list" allowBlank="1" showErrorMessage="1" sqref="D46:D50 H57:H67" xr:uid="{1D64B994-9E74-FA48-A745-0CBB0581AE3F}">
      <formula1>Phoenix!TypesOfTrainers</formula1>
    </dataValidation>
    <dataValidation type="list" allowBlank="1" showErrorMessage="1" sqref="B9" xr:uid="{76359BEF-FE19-CD4B-9B1E-71D8437AE5AA}">
      <formula1>"yes,no,partial"</formula1>
    </dataValidation>
    <dataValidation type="list" allowBlank="1" sqref="G46:G50" xr:uid="{31726D3F-6AC5-0542-A805-B520E1BDB82A}">
      <formula1>"yes,no"</formula1>
    </dataValidation>
    <dataValidation type="list" allowBlank="1" showErrorMessage="1" sqref="B71:B74" xr:uid="{1F02DE32-814D-424E-BC2B-63E49FC328FD}">
      <formula1>'https://universiteittwente.sharepoint.com/sites/SportsCoordinatorsSUT/Gedeelde documenten/General/(WIP) FAM Sheets - Regulations 2025-28 - Version April 2025.xlsx'!LocationNames</formula1>
    </dataValidation>
    <dataValidation type="list" allowBlank="1" showErrorMessage="1" sqref="B55:B56" xr:uid="{8DF6D855-0A76-264C-B6E2-85DC150B0E86}">
      <formula1>'https://universiteittwente.sharepoint.com/sites/SportsCoordinatorsSUT/Gedeelde documenten/General/(WIP) FAM Sheets - Regulations 2025-28 - Version April 2025.xlsx'!TypesOfTraining</formula1>
    </dataValidation>
    <dataValidation type="list" allowBlank="1" showErrorMessage="1" sqref="H55:H56" xr:uid="{2EAB4E61-BE8C-0F4D-A301-5DC1E2EFA254}">
      <formula1>'https://universiteittwente.sharepoint.com/sites/SportsCoordinatorsSUT/Gedeelde documenten/General/(WIP) FAM Sheets - Regulations 2025-28 - Version April 2025.xlsx'!TypesOfTrainers</formula1>
    </dataValidation>
  </dataValidations>
  <pageMargins left="0.7" right="0.7" top="0.75" bottom="0.75" header="0" footer="0"/>
  <pageSetup paperSize="9" orientation="portrait"/>
  <ignoredErrors>
    <ignoredError sqref="F92 F93:F100" calculatedColumn="1"/>
  </ignoredErrors>
  <drawing r:id="rId1"/>
  <legacyDrawing r:id="rId2"/>
  <tableParts count="6">
    <tablePart r:id="rId3"/>
    <tablePart r:id="rId4"/>
    <tablePart r:id="rId5"/>
    <tablePart r:id="rId6"/>
    <tablePart r:id="rId7"/>
    <tablePart r:id="rId8"/>
  </tableParts>
  <extLst>
    <ext xmlns:x14="http://schemas.microsoft.com/office/spreadsheetml/2009/9/main" uri="{CCE6A557-97BC-4b89-ADB6-D9C93CAAB3DF}">
      <x14:dataValidations xmlns:xm="http://schemas.microsoft.com/office/excel/2006/main" count="4">
        <x14:dataValidation type="list" allowBlank="1" showInputMessage="1" showErrorMessage="1" xr:uid="{4F83425F-C17F-124C-845C-120B920BC4EB}">
          <x14:formula1>
            <xm:f>Constants!$M$6:$M$7</xm:f>
          </x14:formula1>
          <xm:sqref>B101:B107</xm:sqref>
        </x14:dataValidation>
        <x14:dataValidation type="list" allowBlank="1" showInputMessage="1" showErrorMessage="1" xr:uid="{AB6059EC-E920-F346-BA14-9926E05ABFC7}">
          <x14:formula1>
            <xm:f>Constants!$C$55:$C$56</xm:f>
          </x14:formula1>
          <xm:sqref>B12</xm:sqref>
        </x14:dataValidation>
        <x14:dataValidation type="list" allowBlank="1" showErrorMessage="1" xr:uid="{6ECD80AA-8A18-AB4A-AD50-64023CD7DE82}">
          <x14:formula1>
            <xm:f>Constants!$H$6:$H$13</xm:f>
          </x14:formula1>
          <xm:sqref>B57:B67</xm:sqref>
        </x14:dataValidation>
        <x14:dataValidation type="list" allowBlank="1" showErrorMessage="1" xr:uid="{C94CDE6E-A9B6-0344-9CFD-6F331A1C911F}">
          <x14:formula1>
            <xm:f>Constants!$A$2:$AD$2</xm:f>
          </x14:formula1>
          <xm:sqref>B75:B87</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66D04-59D5-4BA9-B62E-77F6986FC774}">
  <dimension ref="A1:BG1058"/>
  <sheetViews>
    <sheetView topLeftCell="X23" workbookViewId="0">
      <selection activeCell="AF30" sqref="AF30"/>
    </sheetView>
  </sheetViews>
  <sheetFormatPr defaultColWidth="12.625" defaultRowHeight="15" customHeight="1"/>
  <cols>
    <col min="1" max="1" width="36.625" customWidth="1"/>
    <col min="2" max="2" width="28.125" customWidth="1"/>
    <col min="3" max="3" width="21" customWidth="1"/>
    <col min="4" max="4" width="17.5" customWidth="1"/>
    <col min="5" max="5" width="16.125" customWidth="1"/>
    <col min="6" max="6" width="21.5" customWidth="1"/>
    <col min="7" max="7" width="22.625" customWidth="1"/>
    <col min="8" max="8" width="18.625" customWidth="1"/>
    <col min="9" max="9" width="19.625" customWidth="1"/>
    <col min="10" max="10" width="18.875" customWidth="1"/>
    <col min="11" max="11" width="21.625" customWidth="1"/>
    <col min="12" max="12" width="17.375" customWidth="1"/>
    <col min="13" max="13" width="15.125" customWidth="1"/>
    <col min="14" max="14" width="15.625" customWidth="1"/>
    <col min="15" max="15" width="28.5" customWidth="1"/>
    <col min="16" max="16" width="13.125" customWidth="1"/>
    <col min="17" max="17" width="21.875" customWidth="1"/>
    <col min="18" max="18" width="27" customWidth="1"/>
    <col min="19" max="19" width="20.5" customWidth="1"/>
    <col min="20" max="22" width="7.625" customWidth="1"/>
    <col min="23" max="23" width="31.875" customWidth="1"/>
    <col min="24" max="24" width="7.625" customWidth="1"/>
    <col min="25" max="25" width="8.375" customWidth="1"/>
    <col min="26" max="26" width="21.625" customWidth="1"/>
    <col min="27" max="27" width="12" customWidth="1"/>
    <col min="28" max="28" width="16.5" customWidth="1"/>
    <col min="29" max="29" width="6" customWidth="1"/>
    <col min="30" max="30" width="13.625" customWidth="1"/>
  </cols>
  <sheetData>
    <row r="1" spans="1:59" ht="171" customHeight="1">
      <c r="A1" s="703"/>
      <c r="B1" s="704"/>
      <c r="C1" s="705"/>
      <c r="D1" s="16"/>
      <c r="E1" s="572" t="s">
        <v>353</v>
      </c>
      <c r="F1" s="704"/>
      <c r="G1" s="704"/>
      <c r="H1" s="705"/>
      <c r="I1" s="16"/>
      <c r="J1" s="16"/>
      <c r="K1" s="16"/>
      <c r="L1" s="16"/>
      <c r="M1" s="16"/>
      <c r="N1" s="16"/>
      <c r="O1" s="16"/>
      <c r="P1" s="16"/>
      <c r="Q1" s="16"/>
      <c r="R1" s="16"/>
      <c r="S1" s="16"/>
      <c r="T1" s="16"/>
      <c r="U1" s="16"/>
      <c r="V1" s="16"/>
      <c r="W1" s="16"/>
      <c r="X1" s="16"/>
      <c r="Y1" s="16"/>
      <c r="Z1" s="16"/>
      <c r="AA1" s="16"/>
      <c r="AB1" s="16"/>
      <c r="AC1" s="16"/>
      <c r="AD1" s="16"/>
    </row>
    <row r="2" spans="1:59">
      <c r="A2" s="58" t="s">
        <v>404</v>
      </c>
      <c r="B2" s="152" t="s">
        <v>716</v>
      </c>
      <c r="C2" s="59"/>
      <c r="D2" s="16"/>
      <c r="E2" s="60" t="s">
        <v>406</v>
      </c>
      <c r="F2" s="153"/>
      <c r="G2" s="154"/>
      <c r="H2" s="61"/>
      <c r="I2" s="16"/>
      <c r="J2" s="16"/>
      <c r="K2" s="16"/>
      <c r="L2" s="16"/>
      <c r="M2" s="16"/>
      <c r="N2" s="16"/>
      <c r="O2" s="16"/>
      <c r="P2" s="16"/>
      <c r="Q2" s="16"/>
      <c r="R2" s="16"/>
      <c r="S2" s="16"/>
      <c r="T2" s="16"/>
      <c r="U2" s="16"/>
      <c r="V2" s="16"/>
      <c r="W2" s="16"/>
      <c r="X2" s="16"/>
      <c r="Y2" s="16"/>
      <c r="Z2" s="15"/>
      <c r="AA2" s="15"/>
      <c r="AB2" s="15"/>
      <c r="AC2" s="15"/>
      <c r="AD2" s="16"/>
      <c r="AE2" s="16"/>
      <c r="AF2" s="16"/>
      <c r="AG2" s="16"/>
      <c r="AH2" s="16"/>
      <c r="AI2" s="17"/>
      <c r="AJ2" s="17"/>
      <c r="AK2" s="17"/>
      <c r="AL2" s="17"/>
      <c r="AM2" s="17"/>
      <c r="AN2" s="17"/>
      <c r="AO2" s="17"/>
      <c r="AP2" s="17"/>
      <c r="AQ2" s="17"/>
      <c r="AR2" s="18"/>
      <c r="AS2" s="17"/>
      <c r="AT2" s="17"/>
      <c r="AU2" s="16"/>
      <c r="AV2" s="16"/>
      <c r="AW2" s="16"/>
      <c r="AX2" s="16"/>
      <c r="AY2" s="16"/>
      <c r="AZ2" s="16"/>
      <c r="BA2" s="16"/>
    </row>
    <row r="3" spans="1:59">
      <c r="A3" s="62" t="s">
        <v>408</v>
      </c>
      <c r="B3" s="155">
        <v>5</v>
      </c>
      <c r="C3" s="156"/>
      <c r="D3" s="16"/>
      <c r="E3" s="63" t="s">
        <v>409</v>
      </c>
      <c r="F3" s="157"/>
      <c r="G3" s="158"/>
      <c r="H3" s="159"/>
      <c r="I3" s="16"/>
      <c r="J3" s="16"/>
      <c r="K3" s="16"/>
      <c r="L3" s="16"/>
      <c r="M3" s="16"/>
      <c r="N3" s="16"/>
      <c r="O3" s="16"/>
      <c r="P3" s="16"/>
      <c r="Q3" s="16"/>
      <c r="R3" s="16"/>
      <c r="S3" s="16"/>
      <c r="T3" s="16"/>
      <c r="U3" s="16"/>
      <c r="V3" s="16"/>
      <c r="W3" s="16"/>
      <c r="X3" s="16"/>
      <c r="Y3" s="16"/>
      <c r="Z3" s="16"/>
      <c r="AA3" s="16"/>
      <c r="AB3" s="16"/>
      <c r="AC3" s="16"/>
      <c r="AD3" s="16"/>
    </row>
    <row r="4" spans="1:59">
      <c r="A4" s="160" t="s">
        <v>410</v>
      </c>
      <c r="B4" s="161">
        <v>45812</v>
      </c>
      <c r="C4" s="162"/>
      <c r="D4" s="16"/>
      <c r="E4" s="163"/>
      <c r="F4" s="164"/>
      <c r="G4" s="165"/>
      <c r="H4" s="166"/>
      <c r="I4" s="16"/>
      <c r="J4" s="16"/>
      <c r="K4" s="16"/>
      <c r="L4" s="16"/>
      <c r="M4" s="16"/>
      <c r="N4" s="16"/>
      <c r="O4" s="16"/>
      <c r="P4" s="16"/>
      <c r="Q4" s="16"/>
      <c r="R4" s="16"/>
      <c r="S4" s="16"/>
      <c r="T4" s="16"/>
      <c r="U4" s="16"/>
      <c r="V4" s="16"/>
      <c r="W4" s="16"/>
      <c r="X4" s="16"/>
      <c r="Y4" s="16"/>
      <c r="Z4" s="16"/>
      <c r="AA4" s="16"/>
      <c r="AB4" s="16"/>
      <c r="AC4" s="16"/>
      <c r="AD4" s="16"/>
    </row>
    <row r="5" spans="1:59">
      <c r="A5" s="167" t="s">
        <v>411</v>
      </c>
      <c r="B5" s="168"/>
      <c r="C5" s="167"/>
      <c r="D5" s="16"/>
      <c r="E5" s="169" t="s">
        <v>412</v>
      </c>
      <c r="F5" s="169"/>
      <c r="G5" s="158"/>
      <c r="H5" s="169"/>
      <c r="I5" s="16"/>
      <c r="J5" s="16"/>
      <c r="K5" s="16"/>
      <c r="L5" s="16"/>
      <c r="M5" s="16"/>
      <c r="N5" s="16"/>
      <c r="O5" s="16"/>
      <c r="P5" s="16"/>
      <c r="Q5" s="16"/>
      <c r="R5" s="16"/>
      <c r="S5" s="16"/>
      <c r="T5" s="16"/>
      <c r="U5" s="16"/>
      <c r="V5" s="16"/>
      <c r="W5" s="16"/>
      <c r="X5" s="16"/>
      <c r="Y5" s="16"/>
      <c r="Z5" s="16"/>
      <c r="AA5" s="16"/>
      <c r="AB5" s="16"/>
      <c r="AC5" s="16"/>
      <c r="AD5" s="16"/>
    </row>
    <row r="6" spans="1:59">
      <c r="A6" s="15"/>
      <c r="B6" s="64"/>
      <c r="C6" s="16"/>
      <c r="D6" s="16"/>
      <c r="E6" s="16"/>
      <c r="F6" s="16"/>
      <c r="G6" s="16"/>
      <c r="H6" s="16"/>
      <c r="I6" s="16"/>
      <c r="J6" s="64"/>
      <c r="K6" s="16"/>
      <c r="L6" s="16"/>
      <c r="M6" s="16"/>
      <c r="N6" s="16"/>
      <c r="O6" s="16"/>
      <c r="P6" s="16"/>
      <c r="Q6" s="16"/>
      <c r="R6" s="16"/>
      <c r="S6" s="16"/>
      <c r="T6" s="16"/>
      <c r="U6" s="16"/>
      <c r="V6" s="16"/>
      <c r="W6" s="16"/>
      <c r="X6" s="16"/>
      <c r="Y6" s="16"/>
      <c r="Z6" s="16"/>
      <c r="AA6" s="16"/>
      <c r="AB6" s="16"/>
      <c r="AC6" s="16"/>
      <c r="AD6" s="16"/>
    </row>
    <row r="7" spans="1:59">
      <c r="A7" s="170" t="s">
        <v>413</v>
      </c>
      <c r="B7" s="59">
        <v>85</v>
      </c>
      <c r="C7" s="16"/>
      <c r="D7" s="573" t="s">
        <v>414</v>
      </c>
      <c r="E7" s="701"/>
      <c r="F7" s="701"/>
      <c r="G7" s="701"/>
      <c r="H7" s="701"/>
      <c r="I7" s="701"/>
      <c r="J7" s="16"/>
      <c r="K7" s="16"/>
      <c r="L7" s="16"/>
      <c r="M7" s="16"/>
      <c r="N7" s="16"/>
      <c r="O7" s="16"/>
      <c r="P7" s="16"/>
      <c r="Q7" s="16"/>
      <c r="R7" s="16"/>
      <c r="S7" s="16"/>
      <c r="T7" s="16"/>
      <c r="U7" s="16"/>
      <c r="V7" s="16"/>
      <c r="W7" s="16"/>
      <c r="X7" s="16"/>
      <c r="Y7" s="16"/>
      <c r="Z7" s="16"/>
      <c r="AA7" s="16"/>
      <c r="AB7" s="16"/>
      <c r="AC7" s="16"/>
      <c r="AD7" s="16"/>
    </row>
    <row r="8" spans="1:59" ht="14.25" customHeight="1">
      <c r="A8" s="171" t="s">
        <v>415</v>
      </c>
      <c r="B8" s="172">
        <f ca="1">M21-M17</f>
        <v>4851.2428534118644</v>
      </c>
      <c r="C8" s="16" t="s">
        <v>416</v>
      </c>
      <c r="D8" s="574" t="s">
        <v>417</v>
      </c>
      <c r="E8" s="704"/>
      <c r="F8" s="704"/>
      <c r="G8" s="704"/>
      <c r="H8" s="704"/>
      <c r="I8" s="704"/>
      <c r="J8" s="16"/>
      <c r="K8" s="16"/>
      <c r="L8" s="16"/>
      <c r="M8" s="16"/>
      <c r="N8" s="16"/>
      <c r="O8" s="16"/>
      <c r="P8" s="16"/>
      <c r="Q8" s="16"/>
      <c r="R8" s="16"/>
      <c r="S8" s="16"/>
      <c r="T8" s="16"/>
      <c r="U8" s="16"/>
      <c r="V8" s="16"/>
      <c r="W8" s="16"/>
      <c r="X8" s="16"/>
      <c r="Y8" s="16"/>
      <c r="Z8" s="16"/>
      <c r="AA8" s="16"/>
      <c r="AB8" s="16"/>
      <c r="AC8" s="16"/>
    </row>
    <row r="9" spans="1:59">
      <c r="A9" s="65" t="s">
        <v>418</v>
      </c>
      <c r="B9" s="173" t="s">
        <v>419</v>
      </c>
      <c r="C9" s="16"/>
      <c r="D9" s="16"/>
      <c r="E9" s="17"/>
      <c r="F9" s="17"/>
      <c r="G9" s="17"/>
      <c r="H9" s="17"/>
      <c r="I9" s="17"/>
      <c r="J9" s="17"/>
      <c r="K9" s="17"/>
      <c r="L9" s="17"/>
      <c r="M9" s="17"/>
      <c r="N9" s="17"/>
      <c r="O9" s="17"/>
      <c r="P9" s="17"/>
      <c r="Q9" s="16"/>
      <c r="R9" s="17"/>
      <c r="S9" s="17"/>
      <c r="T9" s="17"/>
      <c r="U9" s="17"/>
      <c r="V9" s="17"/>
      <c r="W9" s="17"/>
      <c r="X9" s="17"/>
      <c r="Y9" s="17"/>
      <c r="Z9" s="17"/>
      <c r="AA9" s="17"/>
      <c r="AB9" s="17"/>
      <c r="AC9" s="17"/>
      <c r="AD9" s="18" t="s">
        <v>242</v>
      </c>
    </row>
    <row r="10" spans="1:59">
      <c r="A10" s="174" t="s">
        <v>420</v>
      </c>
      <c r="B10" s="66">
        <f>COUNTA(A38:A42)+COUNTA(A46:A50)</f>
        <v>1</v>
      </c>
      <c r="C10" s="16"/>
      <c r="D10" s="16"/>
      <c r="E10" s="17"/>
      <c r="F10" s="17"/>
      <c r="G10" s="17"/>
      <c r="H10" s="17"/>
      <c r="I10" s="17"/>
      <c r="J10" s="17"/>
      <c r="K10" s="17"/>
      <c r="L10" s="17"/>
      <c r="M10" s="17"/>
      <c r="N10" s="17"/>
      <c r="O10" s="17"/>
      <c r="P10" s="17"/>
      <c r="Q10" s="16"/>
      <c r="R10" s="17"/>
      <c r="S10" s="17"/>
      <c r="T10" s="17"/>
      <c r="U10" s="17"/>
      <c r="V10" s="17"/>
      <c r="W10" s="17"/>
      <c r="X10" s="17"/>
      <c r="Y10" s="17"/>
      <c r="Z10" s="17"/>
      <c r="AA10" s="17"/>
      <c r="AB10" s="17"/>
      <c r="AC10" s="17"/>
      <c r="AD10" s="18"/>
    </row>
    <row r="11" spans="1:59">
      <c r="A11" s="171" t="s">
        <v>421</v>
      </c>
      <c r="B11" s="238">
        <f>SUM(B38:B42)+SUM(B46:B50)</f>
        <v>95</v>
      </c>
      <c r="C11" s="16"/>
      <c r="D11" s="16"/>
      <c r="E11" s="17"/>
      <c r="F11" s="17"/>
      <c r="G11" s="17"/>
      <c r="H11" s="17"/>
      <c r="I11" s="17"/>
      <c r="J11" s="17"/>
      <c r="K11" s="17"/>
      <c r="L11" s="17"/>
      <c r="M11" s="17"/>
      <c r="N11" s="17"/>
      <c r="O11" s="17"/>
      <c r="P11" s="17"/>
      <c r="Q11" s="16"/>
      <c r="R11" s="17"/>
      <c r="S11" s="17"/>
      <c r="T11" s="17"/>
      <c r="U11" s="17"/>
      <c r="V11" s="17"/>
      <c r="W11" s="17"/>
      <c r="X11" s="17"/>
      <c r="Y11" s="17"/>
      <c r="Z11" s="17"/>
      <c r="AA11" s="17"/>
      <c r="AB11" s="17"/>
      <c r="AC11" s="17"/>
      <c r="AD11" s="18"/>
    </row>
    <row r="12" spans="1:59">
      <c r="A12" s="239" t="s">
        <v>422</v>
      </c>
      <c r="B12" s="240" t="s">
        <v>319</v>
      </c>
      <c r="C12" s="16"/>
      <c r="D12" s="16"/>
      <c r="E12" s="17"/>
      <c r="F12" s="17"/>
      <c r="G12" s="17"/>
      <c r="H12" s="17"/>
      <c r="I12" s="17"/>
      <c r="J12" s="17"/>
      <c r="K12" s="17"/>
      <c r="L12" s="17"/>
      <c r="M12" s="17"/>
      <c r="N12" s="17"/>
      <c r="O12" s="17"/>
      <c r="P12" s="17"/>
      <c r="Q12" s="16"/>
      <c r="R12" s="17"/>
      <c r="S12" s="17"/>
      <c r="T12" s="17"/>
      <c r="U12" s="17"/>
      <c r="V12" s="17"/>
      <c r="W12" s="17"/>
      <c r="X12" s="17"/>
      <c r="Y12" s="17"/>
      <c r="Z12" s="17"/>
      <c r="AA12" s="17"/>
      <c r="AB12" s="17"/>
      <c r="AC12" s="17"/>
      <c r="AD12" s="18"/>
    </row>
    <row r="13" spans="1:59">
      <c r="A13" s="16"/>
      <c r="B13" s="16"/>
      <c r="C13" s="16"/>
      <c r="D13" s="16"/>
      <c r="E13" s="17"/>
      <c r="F13" s="17"/>
      <c r="G13" s="17"/>
      <c r="H13" s="17"/>
      <c r="I13" s="17"/>
      <c r="J13" s="17"/>
      <c r="K13" s="17"/>
      <c r="L13" s="17"/>
      <c r="M13" s="17"/>
      <c r="N13" s="17"/>
      <c r="O13" s="17"/>
      <c r="P13" s="17"/>
      <c r="Q13" s="16"/>
      <c r="R13" s="17"/>
      <c r="S13" s="17"/>
      <c r="T13" s="17"/>
      <c r="U13" s="17"/>
      <c r="V13" s="17"/>
      <c r="W13" s="17"/>
      <c r="X13" s="17"/>
      <c r="Y13" s="17"/>
      <c r="Z13" s="17"/>
      <c r="AA13" s="17"/>
      <c r="AB13" s="17"/>
      <c r="AC13" s="17"/>
      <c r="AD13" s="17" t="str" cm="1">
        <f t="array" ref="AD13:BF14">Constants!A2:AC3</f>
        <v>SC1</v>
      </c>
      <c r="AE13" s="17" t="str">
        <v>SC1 - Half</v>
      </c>
      <c r="AF13" s="17" t="str">
        <v>SC2</v>
      </c>
      <c r="AG13" s="17" t="str">
        <v>SC2 - Half</v>
      </c>
      <c r="AH13" s="17" t="str">
        <v>SC3</v>
      </c>
      <c r="AI13" s="17" t="str">
        <v>SC4</v>
      </c>
      <c r="AJ13" s="17" t="str">
        <v>SC5</v>
      </c>
      <c r="AK13" s="17" t="str">
        <v>SC6</v>
      </c>
      <c r="AL13" s="17" t="str">
        <v>Dojo</v>
      </c>
      <c r="AM13" s="17" t="str">
        <v>Boulder Wall</v>
      </c>
      <c r="AN13" s="17" t="str">
        <v>Climbing Wall</v>
      </c>
      <c r="AO13" s="17" t="str">
        <v>Artificial Hockey field</v>
      </c>
      <c r="AP13" s="17" t="str">
        <v>Artificial Hockey field - Half</v>
      </c>
      <c r="AQ13" s="17" t="str">
        <v>Artificial Soccer field</v>
      </c>
      <c r="AR13" s="17" t="str">
        <v>Artificial Soccer field - Half</v>
      </c>
      <c r="AS13" s="17" t="str">
        <v>Basketball</v>
      </c>
      <c r="AT13" s="17" t="str">
        <v>Bastille field</v>
      </c>
      <c r="AU13" s="17" t="str">
        <v>Beach fields</v>
      </c>
      <c r="AV13" s="17" t="str">
        <v>Shooting range</v>
      </c>
      <c r="AW13" s="17" t="str">
        <v>Multi/Lacrosse field</v>
      </c>
      <c r="AX13" s="17" t="str">
        <v>Multi/Lacrosse field - Half</v>
      </c>
      <c r="AY13" s="17" t="str">
        <v>Bootcamp field</v>
      </c>
      <c r="AZ13" s="17" t="str">
        <v>Multi/Baseball field</v>
      </c>
      <c r="BA13" s="17" t="str">
        <v>Tennis court</v>
      </c>
      <c r="BB13" s="17" t="str">
        <v>Utrack</v>
      </c>
      <c r="BC13" s="22" t="str">
        <v>Verreveld</v>
      </c>
      <c r="BD13" s="22" t="str">
        <v>Wsc</v>
      </c>
      <c r="BE13" s="22" t="str">
        <v>Indoor pool</v>
      </c>
      <c r="BF13" s="22" t="str">
        <v>Outdoor pool</v>
      </c>
      <c r="BG13" s="22"/>
    </row>
    <row r="14" spans="1:59">
      <c r="A14" s="175" t="s">
        <v>423</v>
      </c>
      <c r="B14" s="16"/>
      <c r="C14" s="16"/>
      <c r="D14" s="16"/>
      <c r="E14" s="16"/>
      <c r="F14" s="16"/>
      <c r="G14" s="175" t="s">
        <v>424</v>
      </c>
      <c r="I14" s="17"/>
      <c r="J14" s="17"/>
      <c r="K14" s="176" t="s">
        <v>425</v>
      </c>
      <c r="L14" s="17"/>
      <c r="M14" s="176" t="s">
        <v>426</v>
      </c>
      <c r="N14" s="17"/>
      <c r="O14" s="17"/>
      <c r="P14" s="17"/>
      <c r="Q14" s="17"/>
      <c r="R14" s="17"/>
      <c r="S14" s="16"/>
      <c r="T14" s="17"/>
      <c r="U14" s="17"/>
      <c r="V14" s="17"/>
      <c r="W14" s="17"/>
      <c r="X14" s="17"/>
      <c r="Y14" s="17"/>
      <c r="Z14" s="17"/>
      <c r="AA14" s="17"/>
      <c r="AB14" s="17"/>
      <c r="AC14" s="17"/>
      <c r="AD14" s="19">
        <v>67.5</v>
      </c>
      <c r="AE14" s="19">
        <v>35</v>
      </c>
      <c r="AF14" s="19">
        <v>67.5</v>
      </c>
      <c r="AG14" s="19">
        <v>35</v>
      </c>
      <c r="AH14" s="19">
        <v>40</v>
      </c>
      <c r="AI14" s="19">
        <v>40</v>
      </c>
      <c r="AJ14" s="19">
        <v>35</v>
      </c>
      <c r="AK14" s="19">
        <v>35</v>
      </c>
      <c r="AL14" s="19">
        <v>40</v>
      </c>
      <c r="AM14" s="19">
        <v>27.5</v>
      </c>
      <c r="AN14" s="19">
        <v>45</v>
      </c>
      <c r="AO14" s="19">
        <v>75</v>
      </c>
      <c r="AP14" s="19">
        <v>40</v>
      </c>
      <c r="AQ14" s="19">
        <v>75</v>
      </c>
      <c r="AR14" s="19">
        <v>40</v>
      </c>
      <c r="AS14" s="19">
        <v>30</v>
      </c>
      <c r="AT14" s="19">
        <v>50</v>
      </c>
      <c r="AU14" s="19">
        <v>75</v>
      </c>
      <c r="AV14" s="19">
        <v>40</v>
      </c>
      <c r="AW14" s="19">
        <v>75</v>
      </c>
      <c r="AX14" s="19">
        <v>40</v>
      </c>
      <c r="AY14" s="19">
        <v>50</v>
      </c>
      <c r="AZ14" s="19">
        <v>65</v>
      </c>
      <c r="BA14" s="19">
        <v>35</v>
      </c>
      <c r="BB14" s="19">
        <v>45</v>
      </c>
      <c r="BC14" s="19">
        <v>50</v>
      </c>
      <c r="BD14" s="19">
        <v>0</v>
      </c>
      <c r="BE14" s="19">
        <v>65</v>
      </c>
      <c r="BF14" s="20">
        <v>70</v>
      </c>
      <c r="BG14" s="20"/>
    </row>
    <row r="15" spans="1:59">
      <c r="A15" s="67"/>
      <c r="B15" s="68" t="str">
        <f>Constants!H6</f>
        <v>Performance training</v>
      </c>
      <c r="C15" s="68" t="str">
        <f>Constants!H7</f>
        <v>Performance coaching</v>
      </c>
      <c r="D15" s="68" t="str">
        <f>Constants!H8</f>
        <v>Dangerous</v>
      </c>
      <c r="E15" s="69" t="str">
        <f>Constants!H9</f>
        <v>Recreational</v>
      </c>
      <c r="F15" s="69" t="s">
        <v>290</v>
      </c>
      <c r="G15" s="70"/>
      <c r="H15" s="71" t="s">
        <v>427</v>
      </c>
      <c r="I15" s="72" t="s">
        <v>272</v>
      </c>
      <c r="J15" s="70" t="s">
        <v>5</v>
      </c>
      <c r="K15" s="72" t="s">
        <v>428</v>
      </c>
      <c r="L15" s="70" t="s">
        <v>429</v>
      </c>
      <c r="M15" s="73" cm="1">
        <f t="array" ref="M15">(SUM(IF($D$46:$D$50="PT",($F$46:$F$50)/1.5+IF($G$46:$G$50="yes",1)))+SUM(IF($D$46:$D$50="Extern",($F$46:$F$50)/1.5+IF($G$46:$G$50="yes",1)))+SUM(IF($D$46:$D$50="PT-ZZP",($F$46:$F$50)/1.5+IF($G$46:$G$50="yes",1))))*Constants!B10</f>
        <v>0</v>
      </c>
      <c r="N15" s="17"/>
      <c r="O15" s="17"/>
      <c r="P15" s="17"/>
      <c r="Q15" s="17"/>
      <c r="R15" s="16"/>
      <c r="S15" s="17"/>
      <c r="T15" s="17"/>
      <c r="U15" s="17"/>
      <c r="V15" s="17"/>
      <c r="W15" s="17"/>
      <c r="X15" s="17"/>
      <c r="Y15" s="17"/>
      <c r="Z15" s="17"/>
      <c r="AA15" s="17"/>
      <c r="AB15" s="17"/>
      <c r="AC15" s="17"/>
      <c r="AD15" s="16">
        <f t="shared" ref="AD15:BF15" si="0">SUMIF($B$84:$B$101,AD13,$F$84:$F$101)</f>
        <v>0</v>
      </c>
      <c r="AE15" s="16">
        <f t="shared" si="0"/>
        <v>0</v>
      </c>
      <c r="AF15" s="16">
        <f t="shared" si="0"/>
        <v>0</v>
      </c>
      <c r="AG15" s="16">
        <f t="shared" si="0"/>
        <v>0</v>
      </c>
      <c r="AH15" s="16">
        <f t="shared" si="0"/>
        <v>0</v>
      </c>
      <c r="AI15" s="16">
        <f t="shared" si="0"/>
        <v>0</v>
      </c>
      <c r="AJ15" s="16">
        <f t="shared" si="0"/>
        <v>0</v>
      </c>
      <c r="AK15" s="16">
        <f t="shared" si="0"/>
        <v>0</v>
      </c>
      <c r="AL15" s="16">
        <f t="shared" si="0"/>
        <v>0</v>
      </c>
      <c r="AM15" s="16">
        <f t="shared" si="0"/>
        <v>0</v>
      </c>
      <c r="AN15" s="16">
        <f t="shared" si="0"/>
        <v>0</v>
      </c>
      <c r="AO15" s="16">
        <f t="shared" si="0"/>
        <v>0</v>
      </c>
      <c r="AP15" s="16">
        <f t="shared" si="0"/>
        <v>0</v>
      </c>
      <c r="AQ15" s="16">
        <f t="shared" si="0"/>
        <v>0</v>
      </c>
      <c r="AR15" s="16">
        <f t="shared" si="0"/>
        <v>0</v>
      </c>
      <c r="AS15" s="16">
        <f t="shared" si="0"/>
        <v>0</v>
      </c>
      <c r="AT15" s="16">
        <f t="shared" si="0"/>
        <v>0</v>
      </c>
      <c r="AU15" s="16">
        <f t="shared" si="0"/>
        <v>0</v>
      </c>
      <c r="AV15" s="16">
        <f t="shared" si="0"/>
        <v>0</v>
      </c>
      <c r="AW15" s="16">
        <f t="shared" si="0"/>
        <v>0</v>
      </c>
      <c r="AX15" s="16">
        <f t="shared" si="0"/>
        <v>0</v>
      </c>
      <c r="AY15" s="16">
        <f t="shared" si="0"/>
        <v>0</v>
      </c>
      <c r="AZ15" s="16">
        <f t="shared" si="0"/>
        <v>0</v>
      </c>
      <c r="BA15" s="16">
        <f t="shared" si="0"/>
        <v>0</v>
      </c>
      <c r="BB15" s="16">
        <f t="shared" si="0"/>
        <v>0</v>
      </c>
      <c r="BC15" s="16">
        <f t="shared" si="0"/>
        <v>0</v>
      </c>
      <c r="BD15" s="16">
        <f t="shared" si="0"/>
        <v>0</v>
      </c>
      <c r="BE15" s="16">
        <f t="shared" si="0"/>
        <v>15</v>
      </c>
      <c r="BF15" s="16">
        <f t="shared" si="0"/>
        <v>39</v>
      </c>
    </row>
    <row r="16" spans="1:59">
      <c r="A16" s="74" t="str">
        <f>Constants!E6</f>
        <v>PT</v>
      </c>
      <c r="B16">
        <f>SUMIFS('Piranha Duiken'!$F$55:$F$80,'Piranha Duiken'!$B$55:$B$80, B$15,'Piranha Duiken'!$H$55:$H$80,$A16)*(1+Constants!$B$7)</f>
        <v>0</v>
      </c>
      <c r="C16">
        <f>SUMIFS('Piranha Duiken'!$F$55:$F$80,'Piranha Duiken'!$B$55:$B$80, C$15,'Piranha Duiken'!$H$55:$H$80,$A16)</f>
        <v>0</v>
      </c>
      <c r="D16">
        <f>SUMIFS('Piranha Duiken'!$F$55:$F$80,'Piranha Duiken'!$B$55:$B$80, D$15,'Piranha Duiken'!$H$55:$H$80,$A16)*(1+Constants!$B$7)</f>
        <v>0</v>
      </c>
      <c r="E16">
        <f>SUMIFS('Piranha Duiken'!$F$55:$F$80,'Piranha Duiken'!$B$55:$B$80, E$15,'Piranha Duiken'!$H$55:$H$80,$A16)*(1+Constants!$B$7)</f>
        <v>0</v>
      </c>
      <c r="F16">
        <f>SUMIFS('Piranha Duiken'!$F$55:$F$80,'Piranha Duiken'!$B$55:$B$80, F$15,'Piranha Duiken'!$H$55:$H$80,$A16)*(1+Constants!$B$7)</f>
        <v>0</v>
      </c>
      <c r="G16" s="74" t="s">
        <v>430</v>
      </c>
      <c r="H16" s="16">
        <f>SUMIF('Piranha Duiken'!$B$84:$B$102,"&lt;&gt;External",'Piranha Duiken'!$F$84:$F$102)</f>
        <v>54</v>
      </c>
      <c r="I16" s="75">
        <f>SUMIF('Piranha Duiken'!$B$84:$B$102,"External",'Piranha Duiken'!$F$84:$F$102)</f>
        <v>12</v>
      </c>
      <c r="J16" s="234">
        <f>SUM($F$105:$F$160)</f>
        <v>13385</v>
      </c>
      <c r="K16" s="76">
        <f>IF(OR(ISBLANK(B7),ISBLANK(B9)), "ERROR",MAX(MIN(J16,B7*Constants!B15)-Constants!B14*B7,0)*IF(B9="yes",Constants!B16,IF(B9="no",Constants!B17,0)))</f>
        <v>8500</v>
      </c>
      <c r="L16" s="77" t="s">
        <v>360</v>
      </c>
      <c r="M16" s="76">
        <f>E16*Constants!B6+E17*Constants!B8+E22+E21</f>
        <v>0</v>
      </c>
      <c r="N16" s="17"/>
      <c r="O16" s="17"/>
      <c r="P16" s="17"/>
      <c r="Q16" s="17"/>
      <c r="R16" s="16"/>
      <c r="S16" s="17"/>
      <c r="T16" s="17"/>
      <c r="U16" s="17"/>
      <c r="V16" s="17"/>
      <c r="W16" s="17"/>
      <c r="X16" s="17"/>
      <c r="Y16" s="17"/>
      <c r="Z16" s="17"/>
      <c r="AA16" s="17"/>
      <c r="AB16" s="17"/>
      <c r="AC16" s="17"/>
      <c r="AD16" s="19">
        <f t="shared" ref="AD16:BF16" si="1">AD14*AD15</f>
        <v>0</v>
      </c>
      <c r="AE16" s="19">
        <f t="shared" si="1"/>
        <v>0</v>
      </c>
      <c r="AF16" s="19">
        <f t="shared" si="1"/>
        <v>0</v>
      </c>
      <c r="AG16" s="19">
        <f t="shared" si="1"/>
        <v>0</v>
      </c>
      <c r="AH16" s="19">
        <f t="shared" si="1"/>
        <v>0</v>
      </c>
      <c r="AI16" s="19">
        <f t="shared" si="1"/>
        <v>0</v>
      </c>
      <c r="AJ16" s="19">
        <f t="shared" si="1"/>
        <v>0</v>
      </c>
      <c r="AK16" s="19">
        <f t="shared" si="1"/>
        <v>0</v>
      </c>
      <c r="AL16" s="19">
        <f t="shared" si="1"/>
        <v>0</v>
      </c>
      <c r="AM16" s="19">
        <f t="shared" si="1"/>
        <v>0</v>
      </c>
      <c r="AN16" s="19">
        <f t="shared" si="1"/>
        <v>0</v>
      </c>
      <c r="AO16" s="19">
        <f t="shared" si="1"/>
        <v>0</v>
      </c>
      <c r="AP16" s="19">
        <f t="shared" si="1"/>
        <v>0</v>
      </c>
      <c r="AQ16" s="19">
        <f t="shared" si="1"/>
        <v>0</v>
      </c>
      <c r="AR16" s="19">
        <f t="shared" si="1"/>
        <v>0</v>
      </c>
      <c r="AS16" s="19">
        <f t="shared" si="1"/>
        <v>0</v>
      </c>
      <c r="AT16" s="19">
        <f t="shared" si="1"/>
        <v>0</v>
      </c>
      <c r="AU16" s="19">
        <f t="shared" si="1"/>
        <v>0</v>
      </c>
      <c r="AV16" s="19">
        <f t="shared" si="1"/>
        <v>0</v>
      </c>
      <c r="AW16" s="19">
        <f t="shared" si="1"/>
        <v>0</v>
      </c>
      <c r="AX16" s="19">
        <f t="shared" si="1"/>
        <v>0</v>
      </c>
      <c r="AY16" s="19">
        <f t="shared" si="1"/>
        <v>0</v>
      </c>
      <c r="AZ16" s="19">
        <f t="shared" si="1"/>
        <v>0</v>
      </c>
      <c r="BA16" s="19">
        <f t="shared" si="1"/>
        <v>0</v>
      </c>
      <c r="BB16" s="19">
        <f t="shared" si="1"/>
        <v>0</v>
      </c>
      <c r="BC16" s="19">
        <f t="shared" si="1"/>
        <v>0</v>
      </c>
      <c r="BD16" s="19">
        <f t="shared" si="1"/>
        <v>0</v>
      </c>
      <c r="BE16" s="19">
        <f t="shared" si="1"/>
        <v>975</v>
      </c>
      <c r="BF16" s="19">
        <f t="shared" si="1"/>
        <v>2730</v>
      </c>
    </row>
    <row r="17" spans="1:36">
      <c r="A17" s="74" t="str">
        <f>Constants!E7</f>
        <v>PT-V</v>
      </c>
      <c r="B17">
        <f>SUMIFS('Piranha Duiken'!$F$55:$F$80,'Piranha Duiken'!$B$55:$B$80, B$15,'Piranha Duiken'!$H$55:$H$80,$A17)*(1+Constants!$B$9)</f>
        <v>0</v>
      </c>
      <c r="C17">
        <f>SUMIFS('Piranha Duiken'!$F$55:$F$80,'Piranha Duiken'!$B$55:$B$80, C$15,'Piranha Duiken'!$H$55:$H$80,$A17)</f>
        <v>0</v>
      </c>
      <c r="D17">
        <f>SUMIFS('Piranha Duiken'!$F$55:$F$80,'Piranha Duiken'!$B$55:$B$80, D$15,'Piranha Duiken'!$H$55:$H$80,$A17)*(1+Constants!$B$9)</f>
        <v>923.99999999999989</v>
      </c>
      <c r="E17">
        <f>SUMIFS('Piranha Duiken'!$F$55:$F$80,'Piranha Duiken'!$B$55:$B$80, E$15,'Piranha Duiken'!$H$55:$H$80,$A17)*(1+Constants!$B$9)</f>
        <v>0</v>
      </c>
      <c r="F17">
        <f>SUMIFS('Piranha Duiken'!$F$55:$F$80,'Piranha Duiken'!$B$55:$B$80, F$15,'Piranha Duiken'!$H$55:$H$80,$A17)</f>
        <v>0</v>
      </c>
      <c r="G17" s="74" t="s">
        <v>38</v>
      </c>
      <c r="H17" s="78">
        <f>SUM(AD16:BZ16)</f>
        <v>3705</v>
      </c>
      <c r="I17" s="76" cm="1">
        <f t="array" ref="I17">SUM(IF($B$84:$B$100="External",$F$84:$F$100*$H$84:$H$100,0))</f>
        <v>1500</v>
      </c>
      <c r="J17" s="79"/>
      <c r="K17" s="80"/>
      <c r="L17" s="77" t="s">
        <v>63</v>
      </c>
      <c r="M17" s="76">
        <f>J16-K16</f>
        <v>4885</v>
      </c>
      <c r="N17" s="17"/>
      <c r="O17" s="17"/>
      <c r="P17" s="17"/>
      <c r="Q17" s="17"/>
      <c r="R17" s="16"/>
      <c r="S17" s="17"/>
      <c r="T17" s="17"/>
      <c r="U17" s="17"/>
      <c r="V17" s="17"/>
      <c r="W17" s="17"/>
      <c r="X17" s="17"/>
      <c r="Y17" s="17"/>
      <c r="Z17" s="17"/>
      <c r="AA17" s="17"/>
      <c r="AB17" s="17"/>
      <c r="AC17" s="17"/>
      <c r="AD17" s="17"/>
      <c r="AE17" s="17"/>
    </row>
    <row r="18" spans="1:36">
      <c r="A18" s="74" t="str">
        <f>Constants!E8</f>
        <v>PT-ZZP</v>
      </c>
      <c r="B18">
        <f>SUMIFS('Piranha Duiken'!$F$55:$F$80,'Piranha Duiken'!$B$55:$B$80, B$15,'Piranha Duiken'!$H$55:$H$80,$A18)*(1+Constants!$B$7)</f>
        <v>0</v>
      </c>
      <c r="C18">
        <f>SUMIFS('Piranha Duiken'!$F$55:$F$80,'Piranha Duiken'!$B$55:$B$80, C$15,'Piranha Duiken'!$H$55:$H$80,$A18)</f>
        <v>0</v>
      </c>
      <c r="D18">
        <f>SUMIFS('Piranha Duiken'!$F$55:$F$80,'Piranha Duiken'!$B$55:$B$80, D$15,'Piranha Duiken'!$H$55:$H$80,$A18)*(1+Constants!$B$7)</f>
        <v>0</v>
      </c>
      <c r="E18">
        <f>SUMIFS('Piranha Duiken'!$F$55:$F$80,'Piranha Duiken'!$B$55:$B$80, E$15,'Piranha Duiken'!$H$55:$H$80,$A18)*(1+Constants!$B$7)</f>
        <v>0</v>
      </c>
      <c r="F18">
        <f>SUMIFS('Piranha Duiken'!$F$55:$F$80,'Piranha Duiken'!$B$55:$B$80, F$15,'Piranha Duiken'!$H$55:$H$80,$A18)*(1+Constants!$B$7)</f>
        <v>0</v>
      </c>
      <c r="G18" s="74"/>
      <c r="H18" s="78"/>
      <c r="I18" s="76"/>
      <c r="J18" s="79"/>
      <c r="K18" s="80"/>
      <c r="L18" s="77" t="s">
        <v>60</v>
      </c>
      <c r="M18" s="76" t="str">
        <f>IF(I17-Constants!I17*$B$7&gt;0,$I$17-Constants!I17*$B$7,"-")</f>
        <v>-</v>
      </c>
      <c r="N18" s="17"/>
      <c r="O18" s="17"/>
      <c r="P18" s="17"/>
      <c r="Q18" s="17"/>
      <c r="R18" s="16"/>
      <c r="S18" s="17"/>
      <c r="T18" s="17"/>
      <c r="U18" s="17"/>
      <c r="V18" s="17"/>
      <c r="W18" s="17"/>
      <c r="X18" s="17"/>
      <c r="Y18" s="17"/>
      <c r="Z18" s="17"/>
      <c r="AA18" s="17"/>
      <c r="AB18" s="17"/>
      <c r="AC18" s="17"/>
      <c r="AD18" s="17"/>
      <c r="AE18" s="17"/>
    </row>
    <row r="19" spans="1:36">
      <c r="A19" s="74" t="str">
        <f>Constants!E9</f>
        <v>RT</v>
      </c>
      <c r="B19">
        <f>SUMIFS('Piranha Duiken'!$F$55:$F$80,'Piranha Duiken'!$B$55:$B$80, B$15,'Piranha Duiken'!$H$55:$H$80,$A19)</f>
        <v>0</v>
      </c>
      <c r="C19">
        <f>SUMIFS('Piranha Duiken'!$F$55:$F$80,'Piranha Duiken'!$B$55:$B$80, C$15,'Piranha Duiken'!$H$55:$H$80,$A19)</f>
        <v>0</v>
      </c>
      <c r="D19">
        <f>SUMIFS('Piranha Duiken'!$F$55:$F$80,'Piranha Duiken'!$B$55:$B$80, D$15,'Piranha Duiken'!$H$55:$H$80,$A19)</f>
        <v>0</v>
      </c>
      <c r="E19">
        <f>SUMIFS('Piranha Duiken'!$F$55:$F$80,'Piranha Duiken'!$B$55:$B$80, E$15,'Piranha Duiken'!$H$55:$H$80,$A19)</f>
        <v>0</v>
      </c>
      <c r="F19">
        <f>SUMIFS('Piranha Duiken'!$F$55:$F$80,'Piranha Duiken'!$B$55:$B$80, F$15,'Piranha Duiken'!$H$55:$H$80,$A19)</f>
        <v>0</v>
      </c>
      <c r="G19" s="74" t="s">
        <v>396</v>
      </c>
      <c r="H19" s="78"/>
      <c r="I19" s="76">
        <f>IF(B7*Constants!I17&lt;I17,B7*Constants!I17,I17)</f>
        <v>1500</v>
      </c>
      <c r="J19" s="79"/>
      <c r="K19" s="80"/>
      <c r="L19" s="77" t="s">
        <v>431</v>
      </c>
      <c r="M19" s="255">
        <f ca="1">Constants!C31*B7+Data!L25</f>
        <v>4851.2428534118644</v>
      </c>
      <c r="N19" s="17"/>
      <c r="O19" s="17"/>
      <c r="P19" s="17"/>
      <c r="Q19" s="17"/>
      <c r="R19" s="16"/>
      <c r="S19" s="17"/>
      <c r="T19" s="17"/>
      <c r="U19" s="17"/>
      <c r="V19" s="17"/>
      <c r="W19" s="17"/>
      <c r="X19" s="17"/>
      <c r="Y19" s="17"/>
      <c r="Z19" s="17"/>
      <c r="AA19" s="17"/>
      <c r="AB19" s="17"/>
      <c r="AC19" s="17"/>
      <c r="AD19" s="17"/>
      <c r="AE19" s="17"/>
    </row>
    <row r="20" spans="1:36">
      <c r="A20" s="74" t="str">
        <f>Constants!E10</f>
        <v>Extern</v>
      </c>
      <c r="B20">
        <f>SUMIFS('Piranha Duiken'!$F$55:$F$80,'Piranha Duiken'!$B$55:$B$80, B$15,'Piranha Duiken'!$H$55:$H$80,$A20)</f>
        <v>0</v>
      </c>
      <c r="C20">
        <f>SUMIFS('Piranha Duiken'!$F$55:$F$80,'Piranha Duiken'!$B$55:$B$80, C$15,'Piranha Duiken'!$H$55:$H$80,$A20)</f>
        <v>0</v>
      </c>
      <c r="D20">
        <f>SUMIFS('Piranha Duiken'!$F$55:$F$80,'Piranha Duiken'!$B$55:$B$80, D$15,'Piranha Duiken'!$H$55:$H$80,$A20)</f>
        <v>0</v>
      </c>
      <c r="E20">
        <f>SUMIFS('Piranha Duiken'!$F$55:$F$80,'Piranha Duiken'!$B$55:$B$80, E$15,'Piranha Duiken'!$H$55:$H$80,$A20)</f>
        <v>0</v>
      </c>
      <c r="F20">
        <f>SUMIFS('Piranha Duiken'!$F$55:$F$80,'Piranha Duiken'!$B$55:$B$80, F$15,'Piranha Duiken'!$H$55:$H$80,$A20)</f>
        <v>0</v>
      </c>
      <c r="G20" s="81"/>
      <c r="H20" s="16"/>
      <c r="I20" s="75"/>
      <c r="J20" s="79"/>
      <c r="K20" s="82"/>
      <c r="L20" s="83"/>
      <c r="M20" s="84"/>
      <c r="N20" s="17"/>
      <c r="O20" s="17"/>
      <c r="P20" s="17"/>
      <c r="Q20" s="17"/>
      <c r="R20" s="16"/>
      <c r="S20" s="17"/>
      <c r="T20" s="17"/>
      <c r="U20" s="17"/>
      <c r="V20" s="17"/>
      <c r="W20" s="17"/>
      <c r="X20" s="17"/>
      <c r="Y20" s="17"/>
      <c r="Z20" s="17"/>
      <c r="AA20" s="17"/>
      <c r="AB20" s="17"/>
      <c r="AC20" s="17"/>
      <c r="AD20" s="17"/>
      <c r="AE20" s="17"/>
    </row>
    <row r="21" spans="1:36">
      <c r="A21" s="74" t="str">
        <f>CONCATENATE(A18," Costs")</f>
        <v>PT-ZZP Costs</v>
      </c>
      <c r="B21" s="78">
        <f t="array" ref="B21">SUM(IF('Piranha Duiken'!$B$55:$B$80=B$15,IF('Piranha Duiken'!$H$55:$H$80="PT-ZZP",'Piranha Duiken'!$F$55:$F$80*'Piranha Duiken'!$I$55:$I$80*(1+Constants!$B$7),0),0))</f>
        <v>0</v>
      </c>
      <c r="C21" s="78">
        <f t="array" ref="C21">SUM(IF('Piranha Duiken'!$B$55:$B$80=C$15,IF('Piranha Duiken'!$H$55:$H$80="PT-ZZP",'Piranha Duiken'!$F$55:$F$80*'Piranha Duiken'!$I$55:$I$80,0),0))</f>
        <v>0</v>
      </c>
      <c r="D21" s="78">
        <f t="array" ref="D21">SUM(IF('Piranha Duiken'!$B$55:$B$80=D$15,IF('Piranha Duiken'!$H$55:$H$80="PT-ZZP",'Piranha Duiken'!$F$55:$F$80*'Piranha Duiken'!$I$55:$I$80*(1+Constants!$B$7),0),0))</f>
        <v>0</v>
      </c>
      <c r="E21" s="78">
        <f t="array" ref="E21">SUM(IF('Piranha Duiken'!$B$55:$B$80=E$15,IF('Piranha Duiken'!$H$55:$H$80="PT-ZZP",'Piranha Duiken'!$F$55:$F$80*'Piranha Duiken'!$I$55:$I$80*(1+Constants!$B$7),0),0))</f>
        <v>0</v>
      </c>
      <c r="F21" s="78">
        <f t="array" ref="F21">SUM(IF('Piranha Duiken'!$B$55:$B$80=F$15,IF('Piranha Duiken'!$H$55:$H$80="PT-ZZP",'Piranha Duiken'!$F$55:$F$80*'Piranha Duiken'!$I$55:$I$80*(1+Constants!$B$7),0),0))</f>
        <v>0</v>
      </c>
      <c r="G21" s="81"/>
      <c r="H21" s="16"/>
      <c r="I21" s="75"/>
      <c r="J21" s="79"/>
      <c r="K21" s="82"/>
      <c r="L21" s="77" t="s">
        <v>5</v>
      </c>
      <c r="M21" s="76">
        <f ca="1">SUM(M15:M20)</f>
        <v>9736.2428534118644</v>
      </c>
      <c r="N21" s="17"/>
      <c r="O21" s="17"/>
      <c r="P21" s="17"/>
      <c r="Q21" s="17"/>
      <c r="R21" s="16"/>
      <c r="S21" s="17"/>
      <c r="T21" s="17"/>
      <c r="U21" s="17"/>
      <c r="V21" s="17"/>
      <c r="W21" s="17"/>
      <c r="X21" s="17"/>
      <c r="Y21" s="17"/>
      <c r="Z21" s="17"/>
      <c r="AA21" s="17"/>
      <c r="AB21" s="17"/>
      <c r="AC21" s="17"/>
      <c r="AD21" s="17"/>
      <c r="AE21" s="17"/>
    </row>
    <row r="22" spans="1:36" ht="15.75" customHeight="1">
      <c r="A22" s="74" t="str">
        <f>CONCATENATE(A20," Costs")</f>
        <v>Extern Costs</v>
      </c>
      <c r="B22" s="78">
        <f t="array" ref="B22">SUM(IF('Piranha Duiken'!$B$55:$B$80=B$15,IF('Piranha Duiken'!$H$55:$H$80="Extern",'Piranha Duiken'!$F$55:$F$80*'Piranha Duiken'!$I$55:$I$80,0),0))</f>
        <v>0</v>
      </c>
      <c r="C22" s="78">
        <f t="array" ref="C22">SUM(IF('Piranha Duiken'!$B$55:$B$80=C$15,IF('Piranha Duiken'!$H$55:$H$80="Extern",'Piranha Duiken'!$F$55:$F$80*'Piranha Duiken'!$I$55:$I$80,0),0))</f>
        <v>0</v>
      </c>
      <c r="D22" s="78">
        <f t="array" ref="D22">SUM(IF('Piranha Duiken'!$B$55:$B$80=D$15,IF('Piranha Duiken'!$H$55:$H$80="Extern",'Piranha Duiken'!$F$55:$F$80*'Piranha Duiken'!$I$55:$I$80,0),0))</f>
        <v>0</v>
      </c>
      <c r="E22" s="78">
        <f t="array" ref="E22">SUM(IF('Piranha Duiken'!$B$55:$B$80=E$15,IF('Piranha Duiken'!$H$55:$H$80="Extern",'Piranha Duiken'!$F$55:$F$80*'Piranha Duiken'!$I$55:$I$80,0),0))</f>
        <v>0</v>
      </c>
      <c r="F22" s="76">
        <f t="array" ref="F22">SUM(IF('Piranha Duiken'!$B$55:$B$80=F$15,IF('Piranha Duiken'!$H$55:$H$80="Extern",'Piranha Duiken'!$F$55:$F$80*'Piranha Duiken'!$I$55:$I$80,0),0))</f>
        <v>0</v>
      </c>
      <c r="G22" s="85"/>
      <c r="H22" s="177"/>
      <c r="I22" s="86"/>
      <c r="J22" s="87"/>
      <c r="K22" s="88"/>
      <c r="L22" s="87"/>
      <c r="M22" s="88"/>
      <c r="N22" s="17"/>
      <c r="O22" s="17"/>
      <c r="P22" s="17"/>
      <c r="Q22" s="17"/>
      <c r="R22" s="16"/>
      <c r="S22" s="17"/>
      <c r="T22" s="17"/>
      <c r="U22" s="17"/>
      <c r="V22" s="17"/>
      <c r="W22" s="17"/>
      <c r="X22" s="17"/>
      <c r="Y22" s="17"/>
      <c r="Z22" s="17"/>
      <c r="AA22" s="17"/>
      <c r="AB22" s="17"/>
      <c r="AC22" s="17"/>
      <c r="AD22" s="17"/>
      <c r="AE22" s="17"/>
    </row>
    <row r="23" spans="1:36" ht="15" customHeight="1">
      <c r="A23" s="74" t="s">
        <v>432</v>
      </c>
      <c r="B23" s="78"/>
      <c r="C23" s="78"/>
      <c r="D23" s="78"/>
      <c r="E23" s="78"/>
      <c r="F23" s="76">
        <f t="array" ref="F23">SUMIFS('Piranha Duiken'!$F$55:$F$80,'Piranha Duiken'!$B$55:$B$80,"Mentorship",'Piranha Duiken'!$H$55:$H$80,"PT-V")*Constants!B8+SUMIFS('Piranha Duiken'!$F$55:$F$80,'Piranha Duiken'!$B$55:$B$80,"Mentorship",'Piranha Duiken'!$H$55:$H$80,"PT")*Constants!B6+SUMPRODUCT(IF('Piranha Duiken'!$B$55:$B$80="Mentorship",IF('Piranha Duiken'!$H$55:$H$80="PT-ZZP",'Piranha Duiken'!$F$55:$F$80*'Piranha Duiken'!$I$55:$I$80,0)))</f>
        <v>0</v>
      </c>
    </row>
    <row r="24" spans="1:36" ht="15" customHeight="1">
      <c r="A24" s="89" t="s">
        <v>433</v>
      </c>
      <c r="B24" s="178"/>
      <c r="C24" s="178"/>
      <c r="D24" s="178"/>
      <c r="E24" s="267">
        <f>SUMIF('Piranha Duiken'!$B$55:$B$80,"External Trainer Course",'Piranha Duiken'!$I$55:$I$80)</f>
        <v>4540</v>
      </c>
      <c r="F24" s="90"/>
    </row>
    <row r="25" spans="1:36" ht="15.75" customHeight="1">
      <c r="A25" s="16"/>
      <c r="B25" s="16"/>
      <c r="C25" s="16"/>
      <c r="D25" s="16"/>
      <c r="E25" s="17"/>
      <c r="F25" s="17"/>
      <c r="G25" s="17"/>
      <c r="H25" s="17"/>
      <c r="I25" s="17"/>
      <c r="J25" s="17"/>
      <c r="K25" s="17"/>
      <c r="L25" s="17"/>
      <c r="M25" s="17"/>
      <c r="N25" s="17"/>
      <c r="O25" s="17"/>
      <c r="P25" s="17"/>
      <c r="Q25" s="16"/>
      <c r="R25" s="17"/>
      <c r="S25" s="17"/>
      <c r="T25" s="17"/>
      <c r="U25" s="17"/>
      <c r="V25" s="17"/>
      <c r="W25" s="17"/>
      <c r="X25" s="17"/>
      <c r="Y25" s="17"/>
      <c r="Z25" s="17"/>
      <c r="AA25" s="17"/>
      <c r="AB25" s="17"/>
      <c r="AC25" s="17"/>
      <c r="AD25" s="17"/>
    </row>
    <row r="26" spans="1:36" ht="15.75" customHeight="1">
      <c r="A26" s="16"/>
      <c r="B26" s="16"/>
      <c r="C26" s="16"/>
      <c r="D26" s="16"/>
      <c r="E26" s="17"/>
      <c r="F26" s="17"/>
      <c r="G26" s="17"/>
      <c r="H26" s="17"/>
      <c r="I26" s="17"/>
      <c r="J26" s="17"/>
      <c r="K26" s="17"/>
      <c r="L26" s="17"/>
      <c r="M26" s="17"/>
      <c r="N26" s="17"/>
      <c r="O26" s="17"/>
      <c r="P26" s="17"/>
      <c r="Q26" s="16"/>
      <c r="R26" s="17"/>
      <c r="S26" s="17"/>
      <c r="T26" s="17"/>
      <c r="U26" s="17"/>
      <c r="V26" s="17"/>
      <c r="W26" s="17"/>
      <c r="X26" s="17"/>
      <c r="Y26" s="17"/>
      <c r="Z26" s="17"/>
      <c r="AA26" s="17"/>
      <c r="AB26" s="17"/>
      <c r="AC26" s="17"/>
      <c r="AD26" s="17"/>
    </row>
    <row r="27" spans="1:36" ht="15.75" customHeight="1" thickBot="1">
      <c r="A27" s="91" t="s">
        <v>434</v>
      </c>
      <c r="B27" s="17"/>
      <c r="C27" s="17"/>
      <c r="D27" s="17"/>
      <c r="E27" s="17"/>
      <c r="F27" s="17"/>
      <c r="G27" s="92"/>
      <c r="H27" s="19"/>
      <c r="I27" s="17"/>
      <c r="J27" s="17"/>
      <c r="K27" s="17"/>
      <c r="L27" s="17"/>
      <c r="M27" s="17"/>
      <c r="N27" s="17"/>
      <c r="O27" s="17"/>
      <c r="P27" s="17"/>
      <c r="Q27" s="16"/>
      <c r="R27" s="17"/>
      <c r="S27" s="17"/>
      <c r="T27" s="17"/>
      <c r="U27" s="17"/>
      <c r="V27" s="17"/>
      <c r="W27" s="17"/>
      <c r="X27" s="17"/>
      <c r="Y27" s="17"/>
      <c r="Z27" s="17"/>
      <c r="AA27" s="17"/>
      <c r="AB27" s="17"/>
      <c r="AC27" s="17"/>
      <c r="AD27" s="17"/>
    </row>
    <row r="28" spans="1:36" ht="15.75" customHeight="1" thickTop="1" thickBot="1">
      <c r="A28" s="706" t="s">
        <v>435</v>
      </c>
      <c r="B28" s="707"/>
      <c r="C28" s="707"/>
      <c r="D28" s="707"/>
      <c r="E28" s="707"/>
      <c r="F28" s="708"/>
      <c r="G28" s="15"/>
      <c r="H28" s="17"/>
      <c r="I28" s="17"/>
      <c r="J28" s="17"/>
      <c r="K28" s="17"/>
      <c r="L28" s="17"/>
      <c r="M28" s="17"/>
      <c r="N28" s="17"/>
      <c r="O28" s="17"/>
      <c r="P28" s="17"/>
      <c r="Q28" s="16"/>
      <c r="R28" s="17"/>
      <c r="S28" s="17"/>
      <c r="T28" s="17"/>
      <c r="U28" s="17"/>
      <c r="V28" s="17"/>
      <c r="W28" s="17"/>
      <c r="X28" s="17"/>
      <c r="Y28" s="17"/>
      <c r="Z28" s="17"/>
      <c r="AA28" s="17"/>
      <c r="AB28" s="17"/>
      <c r="AC28" s="17"/>
      <c r="AD28" s="242" t="s">
        <v>436</v>
      </c>
      <c r="AE28" s="16"/>
      <c r="AF28" s="128"/>
      <c r="AG28" s="51"/>
      <c r="AH28" s="51"/>
      <c r="AI28" s="51"/>
      <c r="AJ28" s="51"/>
    </row>
    <row r="29" spans="1:36" ht="15.75" customHeight="1" thickBot="1">
      <c r="A29" s="709" t="s">
        <v>437</v>
      </c>
      <c r="B29" s="696"/>
      <c r="C29" s="696"/>
      <c r="D29" s="696"/>
      <c r="E29" s="696"/>
      <c r="F29" s="710"/>
      <c r="G29" s="17"/>
      <c r="H29" s="17"/>
      <c r="I29" s="17"/>
      <c r="J29" s="17"/>
      <c r="K29" s="17"/>
      <c r="L29" s="17"/>
      <c r="M29" s="17"/>
      <c r="N29" s="17"/>
      <c r="O29" s="17"/>
      <c r="P29" s="17"/>
      <c r="Q29" s="16"/>
      <c r="R29" s="17"/>
      <c r="S29" s="17"/>
      <c r="T29" s="17"/>
      <c r="U29" s="17"/>
      <c r="V29" s="17"/>
      <c r="W29" s="17"/>
      <c r="X29" s="17"/>
      <c r="Y29" s="17"/>
      <c r="Z29" s="17"/>
      <c r="AA29" s="17"/>
      <c r="AB29" s="17"/>
      <c r="AC29" s="17"/>
      <c r="AD29" s="243" t="s">
        <v>438</v>
      </c>
      <c r="AE29" s="243" t="s">
        <v>439</v>
      </c>
      <c r="AF29" s="243" t="s">
        <v>440</v>
      </c>
      <c r="AG29" s="711" t="s">
        <v>441</v>
      </c>
      <c r="AH29" s="712"/>
      <c r="AI29" s="711" t="s">
        <v>434</v>
      </c>
      <c r="AJ29" s="712"/>
    </row>
    <row r="30" spans="1:36" ht="15.75" customHeight="1" thickBot="1">
      <c r="A30" s="709" t="s">
        <v>442</v>
      </c>
      <c r="B30" s="696"/>
      <c r="C30" s="696"/>
      <c r="D30" s="696"/>
      <c r="E30" s="696"/>
      <c r="F30" s="710"/>
      <c r="G30" s="17"/>
      <c r="H30" s="17"/>
      <c r="I30" s="17"/>
      <c r="J30" s="17"/>
      <c r="K30" s="17"/>
      <c r="L30" s="17"/>
      <c r="M30" s="17"/>
      <c r="N30" s="17"/>
      <c r="O30" s="17"/>
      <c r="P30" s="17"/>
      <c r="Q30" s="16"/>
      <c r="R30" s="17"/>
      <c r="S30" s="17"/>
      <c r="T30" s="17"/>
      <c r="U30" s="17"/>
      <c r="V30" s="17"/>
      <c r="W30" s="17"/>
      <c r="X30" s="17"/>
      <c r="Y30" s="17"/>
      <c r="Z30" s="17"/>
      <c r="AA30" s="17"/>
      <c r="AB30" s="17"/>
      <c r="AC30" s="17"/>
      <c r="AD30" s="244" t="str">
        <f>IF($B$12="individual",Constants!F55,Constants!L55)</f>
        <v>member count</v>
      </c>
      <c r="AE30" s="244">
        <f>B7</f>
        <v>85</v>
      </c>
      <c r="AF30" s="269">
        <f>IF(AE30&gt;=301,5,IF(AE30&gt;=176,4,IF(AE30&gt;=101,3,IF(AE30&gt;=51,2,1))))</f>
        <v>2</v>
      </c>
      <c r="AG30" s="560" t="s">
        <v>1409</v>
      </c>
      <c r="AH30" s="560"/>
      <c r="AI30" s="560" t="s">
        <v>443</v>
      </c>
      <c r="AJ30" s="560"/>
    </row>
    <row r="31" spans="1:36" ht="15" customHeight="1" thickBot="1">
      <c r="A31" s="709" t="s">
        <v>444</v>
      </c>
      <c r="B31" s="696"/>
      <c r="C31" s="696"/>
      <c r="D31" s="696"/>
      <c r="E31" s="696"/>
      <c r="F31" s="710"/>
      <c r="G31" s="17"/>
      <c r="H31" s="17"/>
      <c r="I31" s="17"/>
      <c r="J31" s="17"/>
      <c r="K31" s="17"/>
      <c r="L31" s="17"/>
      <c r="M31" s="17"/>
      <c r="N31" s="17"/>
      <c r="O31" s="17"/>
      <c r="P31" s="17"/>
      <c r="Q31" s="16"/>
      <c r="R31" s="17"/>
      <c r="S31" s="17"/>
      <c r="T31" s="17"/>
      <c r="U31" s="17"/>
      <c r="V31" s="17"/>
      <c r="W31" s="17"/>
      <c r="X31" s="17"/>
      <c r="Y31" s="17"/>
      <c r="Z31" s="17"/>
      <c r="AA31" s="17"/>
      <c r="AB31" s="17"/>
      <c r="AC31" s="17"/>
      <c r="AD31" s="244" t="str">
        <f>IF($B$12="individual",Constants!F56,Constants!L56)</f>
        <v>number of trainings per week</v>
      </c>
      <c r="AE31" s="244" cm="1">
        <f t="array" ref="AE31">SUMPRODUCT(C55:C80*D55:D80)/42</f>
        <v>5.4761904761904763</v>
      </c>
      <c r="AF31" s="270">
        <f>IF(AE31&gt;=4,3,IF(AE31&gt;=3,2,IF(AE31&gt;=2,1,0)))</f>
        <v>3</v>
      </c>
      <c r="AG31" s="560"/>
      <c r="AH31" s="560"/>
      <c r="AI31" s="560"/>
      <c r="AJ31" s="560"/>
    </row>
    <row r="32" spans="1:36" ht="15.75" customHeight="1" thickBot="1">
      <c r="A32" s="709" t="s">
        <v>445</v>
      </c>
      <c r="B32" s="696"/>
      <c r="C32" s="696"/>
      <c r="D32" s="696"/>
      <c r="E32" s="696"/>
      <c r="F32" s="710"/>
      <c r="G32" s="17"/>
      <c r="H32" s="16"/>
      <c r="I32" s="16"/>
      <c r="J32" s="16"/>
      <c r="K32" s="17"/>
      <c r="L32" s="17"/>
      <c r="M32" s="17"/>
      <c r="N32" s="17"/>
      <c r="O32" s="17"/>
      <c r="P32" s="17"/>
      <c r="Q32" s="16"/>
      <c r="R32" s="17"/>
      <c r="S32" s="17"/>
      <c r="T32" s="17"/>
      <c r="U32" s="17"/>
      <c r="V32" s="17"/>
      <c r="W32" s="17"/>
      <c r="X32" s="17"/>
      <c r="Y32" s="17"/>
      <c r="Z32" s="17"/>
      <c r="AA32" s="17"/>
      <c r="AB32" s="17"/>
      <c r="AC32" s="17"/>
      <c r="AD32" s="244" t="str">
        <f>IF($B$12="individual",Constants!F57,Constants!L57)</f>
        <v>number of trainings weeks per year</v>
      </c>
      <c r="AE32" s="266">
        <f>MAX(C55:C80)</f>
        <v>15</v>
      </c>
      <c r="AF32" s="250">
        <f>IF(AE32&gt;=40,3,IF(AE32&gt;=35,2,1))</f>
        <v>1</v>
      </c>
      <c r="AG32" s="560"/>
      <c r="AH32" s="560"/>
      <c r="AI32" s="560"/>
      <c r="AJ32" s="560"/>
    </row>
    <row r="33" spans="1:58" ht="15.75" customHeight="1" thickBot="1">
      <c r="A33" s="93" t="s">
        <v>446</v>
      </c>
      <c r="F33" s="94"/>
      <c r="G33" s="17"/>
      <c r="H33" s="16"/>
      <c r="I33" s="16"/>
      <c r="J33" s="16"/>
      <c r="K33" s="17"/>
      <c r="L33" s="17"/>
      <c r="M33" s="17"/>
      <c r="N33" s="17"/>
      <c r="O33" s="17"/>
      <c r="P33" s="17"/>
      <c r="Q33" s="16"/>
      <c r="R33" s="17"/>
      <c r="S33" s="17"/>
      <c r="T33" s="17"/>
      <c r="U33" s="17"/>
      <c r="V33" s="17"/>
      <c r="W33" s="17"/>
      <c r="X33" s="17"/>
      <c r="Y33" s="17"/>
      <c r="Z33" s="17"/>
      <c r="AA33" s="17"/>
      <c r="AB33" s="17"/>
      <c r="AC33" s="17"/>
      <c r="AD33" s="244" t="str">
        <f>IF($B$12="individual",Constants!F58,Constants!L58)</f>
        <v>number of training hours by RT / PT-V</v>
      </c>
      <c r="AE33" s="265">
        <f>(SUMIF(H55:H80,"RT",F55:F80)+SUMIF(H55:H80,"PT-V",F55:F80))/SUM(F55:F80)</f>
        <v>1</v>
      </c>
      <c r="AF33" s="270">
        <f>IF(AE33&gt;0.9,3,IF(AE33&gt;0.6,2,IF(AE33&gt;0.3,1,0)))</f>
        <v>3</v>
      </c>
      <c r="AG33" s="560"/>
      <c r="AH33" s="560"/>
      <c r="AI33" s="560"/>
      <c r="AJ33" s="560"/>
    </row>
    <row r="34" spans="1:58" ht="15.75" customHeight="1" thickBot="1">
      <c r="A34" s="713" t="s">
        <v>447</v>
      </c>
      <c r="B34" s="714"/>
      <c r="C34" s="714"/>
      <c r="D34" s="714"/>
      <c r="E34" s="714"/>
      <c r="F34" s="715"/>
      <c r="G34" s="17"/>
      <c r="H34" s="16"/>
      <c r="I34" s="16"/>
      <c r="J34" s="16"/>
      <c r="K34" s="17"/>
      <c r="L34" s="17"/>
      <c r="M34" s="17"/>
      <c r="N34" s="17"/>
      <c r="O34" s="17"/>
      <c r="P34" s="17"/>
      <c r="Q34" s="16"/>
      <c r="R34" s="17"/>
      <c r="S34" s="17"/>
      <c r="T34" s="17"/>
      <c r="U34" s="17"/>
      <c r="V34" s="17"/>
      <c r="W34" s="17"/>
      <c r="X34" s="17"/>
      <c r="Y34" s="17"/>
      <c r="Z34" s="17"/>
      <c r="AA34" s="17"/>
      <c r="AB34" s="17"/>
      <c r="AC34" s="17"/>
      <c r="AD34" s="244" t="str">
        <f>IF($B$12="individual",Constants!F59,Constants!L59)</f>
        <v>number of training groups / teams</v>
      </c>
      <c r="AE34" s="244">
        <f>B10</f>
        <v>1</v>
      </c>
      <c r="AF34" s="271">
        <f>IF(AE34&gt;9,3,IF(AE34&gt;4,2,IF(AE34&gt;2,1,0)))</f>
        <v>0</v>
      </c>
      <c r="AG34" s="560"/>
      <c r="AH34" s="560"/>
      <c r="AI34" s="560"/>
      <c r="AJ34" s="560"/>
    </row>
    <row r="35" spans="1:58" ht="15.75" customHeight="1" thickTop="1" thickBot="1">
      <c r="A35" s="16"/>
      <c r="G35" s="17"/>
      <c r="H35" s="16"/>
      <c r="I35" s="16"/>
      <c r="J35" s="16"/>
      <c r="K35" s="17"/>
      <c r="L35" s="17"/>
      <c r="M35" s="17"/>
      <c r="N35" s="17"/>
      <c r="O35" s="17"/>
      <c r="P35" s="17"/>
      <c r="Q35" s="16"/>
      <c r="R35" s="17"/>
      <c r="S35" s="17"/>
      <c r="T35" s="17"/>
      <c r="U35" s="17"/>
      <c r="V35" s="17"/>
      <c r="W35" s="17"/>
      <c r="X35" s="17"/>
      <c r="Y35" s="17"/>
      <c r="Z35" s="17"/>
      <c r="AA35" s="17"/>
      <c r="AB35" s="17"/>
      <c r="AC35" s="17"/>
      <c r="AD35" s="244" t="str">
        <f>IF($B$12="individual",Constants!F60,Constants!L60)</f>
        <v>number of competitions organised</v>
      </c>
      <c r="AE35" s="249">
        <v>0</v>
      </c>
      <c r="AF35" s="271">
        <f>IF(AE35&gt;=4,5,IF(AE35&gt;=2,3,IF(AE35&gt;=1,1,0)))</f>
        <v>0</v>
      </c>
      <c r="AG35" s="560"/>
      <c r="AH35" s="560"/>
      <c r="AI35" s="560"/>
      <c r="AJ35" s="560"/>
    </row>
    <row r="36" spans="1:58" ht="15.75" customHeight="1" thickBot="1">
      <c r="A36" s="179" t="s">
        <v>448</v>
      </c>
      <c r="B36" s="16"/>
      <c r="C36" s="16"/>
      <c r="D36" s="16"/>
      <c r="E36" s="16"/>
      <c r="F36" s="16"/>
      <c r="G36" s="16"/>
      <c r="H36" s="16"/>
      <c r="I36" s="16"/>
      <c r="J36" s="16"/>
      <c r="K36" s="16"/>
      <c r="L36" s="16"/>
      <c r="M36" s="16"/>
      <c r="N36" s="16"/>
      <c r="O36" s="16"/>
      <c r="P36" s="16"/>
      <c r="Q36" s="16"/>
      <c r="R36" s="16"/>
      <c r="S36" s="16"/>
      <c r="T36" s="16"/>
      <c r="U36" s="16"/>
      <c r="V36" s="16"/>
      <c r="W36" s="16"/>
      <c r="X36" s="16"/>
      <c r="Y36" s="16"/>
      <c r="Z36" s="16"/>
      <c r="AA36" s="16"/>
      <c r="AB36" s="18"/>
      <c r="AC36" s="16"/>
      <c r="AD36" s="244" t="str">
        <f>IF($B$12="individual",Constants!F61,Constants!L61)</f>
        <v>number of social activities</v>
      </c>
      <c r="AE36" s="249">
        <v>7</v>
      </c>
      <c r="AF36" s="271">
        <f>IF(AE36&gt;=20,2,IF(AE36&gt;=10,1,0))</f>
        <v>0</v>
      </c>
      <c r="AG36" s="560"/>
      <c r="AH36" s="560"/>
      <c r="AI36" s="560"/>
      <c r="AJ36" s="560"/>
    </row>
    <row r="37" spans="1:58" ht="15" customHeight="1" thickTop="1" thickBot="1">
      <c r="A37" s="258" t="s">
        <v>449</v>
      </c>
      <c r="B37" s="259" t="s">
        <v>450</v>
      </c>
      <c r="C37" s="258" t="s">
        <v>451</v>
      </c>
      <c r="D37" s="258" t="s">
        <v>452</v>
      </c>
      <c r="E37" s="258" t="s">
        <v>453</v>
      </c>
      <c r="F37" s="258" t="s">
        <v>454</v>
      </c>
      <c r="G37" s="259" t="s">
        <v>455</v>
      </c>
      <c r="H37" s="561" t="s">
        <v>456</v>
      </c>
      <c r="I37" s="716"/>
      <c r="J37" s="717"/>
      <c r="K37" s="98"/>
      <c r="L37" s="98"/>
      <c r="M37" s="98"/>
      <c r="N37" s="98"/>
      <c r="O37" s="98"/>
      <c r="P37" s="98"/>
      <c r="Q37" s="98"/>
      <c r="R37" s="98"/>
      <c r="S37" s="98"/>
      <c r="T37" s="98"/>
      <c r="U37" s="96"/>
      <c r="V37" s="96"/>
      <c r="W37" s="96"/>
      <c r="X37" s="96"/>
      <c r="Y37" s="99"/>
      <c r="Z37" s="96"/>
      <c r="AA37" s="96"/>
      <c r="AB37" s="100"/>
      <c r="AC37" s="100"/>
      <c r="AD37" s="244" t="str">
        <f>IF($B$12="individual",Constants!F62,Constants!L62)</f>
        <v>number of bar days</v>
      </c>
      <c r="AE37" s="249">
        <v>0</v>
      </c>
      <c r="AF37" s="271">
        <f>IF(AE37&gt;=15,2,IF(AE37&gt;=8,1,0))</f>
        <v>0</v>
      </c>
      <c r="AG37" s="560"/>
      <c r="AH37" s="560"/>
      <c r="AI37" s="560"/>
      <c r="AJ37" s="560"/>
      <c r="AK37" s="100"/>
      <c r="AL37" s="100"/>
      <c r="AM37" s="100"/>
      <c r="AN37" s="100"/>
      <c r="AO37" s="100"/>
      <c r="AP37" s="100"/>
      <c r="AQ37" s="100"/>
      <c r="AR37" s="100"/>
      <c r="AS37" s="100"/>
      <c r="AT37" s="100"/>
      <c r="AU37" s="100"/>
      <c r="AV37" s="100"/>
      <c r="AW37" s="100"/>
      <c r="AX37" s="100"/>
      <c r="AY37" s="100"/>
      <c r="AZ37" s="100"/>
      <c r="BA37" s="100"/>
      <c r="BB37" s="100"/>
      <c r="BC37" s="100"/>
      <c r="BD37" s="100"/>
      <c r="BE37" s="100"/>
      <c r="BF37" s="100"/>
    </row>
    <row r="38" spans="1:58" ht="14.25" customHeight="1" thickTop="1" thickBot="1">
      <c r="A38" s="312">
        <v>1</v>
      </c>
      <c r="B38" s="232">
        <v>95</v>
      </c>
      <c r="C38" s="312">
        <v>3</v>
      </c>
      <c r="D38" s="313">
        <v>42</v>
      </c>
      <c r="E38" s="312" t="s">
        <v>281</v>
      </c>
      <c r="F38" s="324" t="s">
        <v>1076</v>
      </c>
      <c r="G38" s="323"/>
      <c r="H38" s="618"/>
      <c r="I38" s="741"/>
      <c r="J38" s="742"/>
      <c r="K38" s="16"/>
      <c r="L38" s="16"/>
      <c r="M38" s="16"/>
      <c r="N38" s="16"/>
      <c r="O38" s="16"/>
      <c r="P38" s="16"/>
      <c r="Q38" s="16"/>
      <c r="R38" s="16"/>
      <c r="S38" s="16"/>
      <c r="T38" s="16"/>
      <c r="U38" s="16"/>
      <c r="V38" s="16"/>
      <c r="W38" s="16"/>
      <c r="X38" s="16"/>
      <c r="Y38" s="17"/>
      <c r="Z38" s="16"/>
      <c r="AA38" s="16"/>
      <c r="AD38" s="244" t="str">
        <f>IF($B$12="individual",Constants!F63,Constants!L63)</f>
        <v>own bar / extra location</v>
      </c>
      <c r="AE38" s="249">
        <v>0</v>
      </c>
      <c r="AF38" s="271">
        <f>IF(AE38&gt;=15,2,IF(AE38&gt;=8,1,0))</f>
        <v>0</v>
      </c>
      <c r="AG38" s="560"/>
      <c r="AH38" s="560"/>
      <c r="AI38" s="560"/>
      <c r="AJ38" s="560"/>
    </row>
    <row r="39" spans="1:58" ht="14.25" customHeight="1" thickBot="1">
      <c r="A39" s="312"/>
      <c r="B39" s="232"/>
      <c r="C39" s="269"/>
      <c r="D39" s="313"/>
      <c r="E39" s="245"/>
      <c r="F39" s="261"/>
      <c r="G39" s="325"/>
      <c r="H39" s="743"/>
      <c r="I39" s="744"/>
      <c r="J39" s="745"/>
      <c r="K39" s="16"/>
      <c r="L39" s="16"/>
      <c r="M39" s="16"/>
      <c r="N39" s="16"/>
      <c r="O39" s="16"/>
      <c r="P39" s="16"/>
      <c r="Q39" s="16"/>
      <c r="R39" s="16"/>
      <c r="S39" s="16"/>
      <c r="T39" s="16"/>
      <c r="U39" s="16"/>
      <c r="V39" s="16"/>
      <c r="W39" s="16"/>
      <c r="X39" s="16"/>
      <c r="Y39" s="17"/>
      <c r="Z39" s="16"/>
      <c r="AA39" s="16"/>
      <c r="AD39" s="244" t="str">
        <f>IF($B$12="individual",Constants!F65,Constants!L64)</f>
        <v>number of facilities used</v>
      </c>
      <c r="AE39" s="249">
        <v>0</v>
      </c>
      <c r="AF39" s="273">
        <f>IF(B12="individual", IF(AE39&gt;10, 5, IF(AE39&gt;6, 3, IF(AE39&gt;2, 1, 0))), IF(AE39&gt;3, 3, IF(AE39&gt;1, 2, 1)))</f>
        <v>1</v>
      </c>
      <c r="AG39" s="560"/>
      <c r="AH39" s="560"/>
      <c r="AI39" s="560"/>
      <c r="AJ39" s="560"/>
    </row>
    <row r="40" spans="1:58" ht="15.75" customHeight="1" thickBot="1">
      <c r="A40" s="231"/>
      <c r="B40" s="232"/>
      <c r="C40" s="231"/>
      <c r="D40" s="232"/>
      <c r="E40" s="245"/>
      <c r="F40" s="261"/>
      <c r="G40" s="231"/>
      <c r="H40" s="743"/>
      <c r="I40" s="744"/>
      <c r="J40" s="745"/>
      <c r="K40" s="16"/>
      <c r="L40" s="16"/>
      <c r="M40" s="16"/>
      <c r="N40" s="16"/>
      <c r="O40" s="16"/>
      <c r="P40" s="16"/>
      <c r="Q40" s="16"/>
      <c r="R40" s="16"/>
      <c r="S40" s="16"/>
      <c r="T40" s="16"/>
      <c r="U40" s="16"/>
      <c r="V40" s="16"/>
      <c r="W40" s="16"/>
      <c r="X40" s="16"/>
      <c r="Y40" s="16"/>
      <c r="Z40" s="16"/>
      <c r="AA40" s="16"/>
      <c r="AD40" s="231" t="str">
        <f>IF($B$12="individual",Constants!F64,Constants!L65)</f>
        <v>ratio of competing teams / training teams</v>
      </c>
      <c r="AE40" s="231">
        <f>IF(AD40="n/a","",COUNTA(A46:A50)/COUNTA(A38:A42))</f>
        <v>0</v>
      </c>
      <c r="AF40" s="272">
        <f>IF(B12="group", IF(AE40&gt;0.15, 5, IF(AE40&gt;0.1, 3, IF(AE40&gt;0.05, 1, 0))), " ")</f>
        <v>0</v>
      </c>
      <c r="AG40" s="560"/>
      <c r="AH40" s="560"/>
      <c r="AI40" s="560"/>
      <c r="AJ40" s="560"/>
    </row>
    <row r="41" spans="1:58" ht="15.75" customHeight="1" thickBot="1">
      <c r="A41" s="231"/>
      <c r="B41" s="232"/>
      <c r="C41" s="231"/>
      <c r="D41" s="232"/>
      <c r="E41" s="245"/>
      <c r="F41" s="261"/>
      <c r="G41" s="231"/>
      <c r="H41" s="743"/>
      <c r="I41" s="744"/>
      <c r="J41" s="745"/>
      <c r="K41" s="16"/>
      <c r="L41" s="16"/>
      <c r="M41" s="16"/>
      <c r="N41" s="16"/>
      <c r="O41" s="16"/>
      <c r="P41" s="16"/>
      <c r="Q41" s="16"/>
      <c r="R41" s="16"/>
      <c r="S41" s="16"/>
      <c r="T41" s="16"/>
      <c r="U41" s="16"/>
      <c r="V41" s="16"/>
      <c r="W41" s="16"/>
      <c r="X41" s="16"/>
      <c r="Y41" s="16"/>
      <c r="Z41" s="16"/>
      <c r="AA41" s="16"/>
      <c r="AD41" s="16"/>
      <c r="AE41" s="275" t="s">
        <v>461</v>
      </c>
      <c r="AF41" s="274">
        <f>SUM(AF30:AF40)</f>
        <v>10</v>
      </c>
      <c r="AG41" s="247"/>
      <c r="AH41" s="245"/>
      <c r="AI41" s="246"/>
      <c r="AJ41" s="247"/>
    </row>
    <row r="42" spans="1:58" ht="15.75" customHeight="1" thickBot="1">
      <c r="A42" s="231"/>
      <c r="B42" s="326"/>
      <c r="C42" s="245"/>
      <c r="D42" s="232"/>
      <c r="E42" s="261"/>
      <c r="F42" s="261"/>
      <c r="G42" s="231"/>
      <c r="H42" s="746"/>
      <c r="I42" s="747"/>
      <c r="J42" s="748"/>
      <c r="K42" s="16"/>
      <c r="L42" s="16"/>
      <c r="M42" s="16"/>
      <c r="N42" s="16"/>
      <c r="O42" s="16"/>
      <c r="P42" s="16"/>
      <c r="Q42" s="16"/>
      <c r="R42" s="16"/>
      <c r="S42" s="16"/>
      <c r="T42" s="16"/>
      <c r="U42" s="16"/>
      <c r="V42" s="16"/>
      <c r="W42" s="16"/>
      <c r="X42" s="16"/>
      <c r="Y42" s="16"/>
      <c r="Z42" s="16"/>
      <c r="AA42" s="16"/>
    </row>
    <row r="43" spans="1:58" ht="15.75" customHeight="1" thickTop="1">
      <c r="A43" s="18"/>
      <c r="B43" s="18"/>
      <c r="C43" s="18"/>
      <c r="D43" s="18"/>
      <c r="E43" s="18"/>
      <c r="F43" s="18"/>
      <c r="G43" s="17"/>
      <c r="H43" s="17"/>
      <c r="I43" s="17"/>
      <c r="J43" s="17"/>
      <c r="K43" s="17"/>
      <c r="L43" s="17"/>
      <c r="M43" s="17"/>
      <c r="N43" s="17"/>
      <c r="O43" s="17"/>
      <c r="P43" s="17"/>
      <c r="Q43" s="16"/>
      <c r="R43" s="17"/>
      <c r="S43" s="17"/>
      <c r="T43" s="17"/>
      <c r="U43" s="17"/>
      <c r="V43" s="17"/>
      <c r="W43" s="17"/>
      <c r="X43" s="17"/>
      <c r="Y43" s="17"/>
      <c r="Z43" s="17"/>
      <c r="AA43" s="17"/>
      <c r="AB43" s="17"/>
      <c r="AC43" s="17"/>
      <c r="AD43" s="17"/>
    </row>
    <row r="44" spans="1:58" ht="15.75" customHeight="1">
      <c r="A44" s="179" t="s">
        <v>462</v>
      </c>
      <c r="B44" s="169"/>
      <c r="C44" s="16"/>
      <c r="D44" s="16"/>
      <c r="E44" s="16"/>
      <c r="F44" s="16"/>
      <c r="G44" s="16"/>
      <c r="H44" s="16"/>
      <c r="I44" s="16"/>
      <c r="J44" s="16"/>
      <c r="K44" s="16"/>
      <c r="L44" s="16"/>
      <c r="M44" s="16"/>
      <c r="N44" s="16"/>
      <c r="O44" s="16"/>
      <c r="P44" s="16"/>
      <c r="Q44" s="16"/>
      <c r="R44" s="16"/>
      <c r="S44" s="16"/>
      <c r="T44" s="16"/>
      <c r="U44" s="16"/>
      <c r="V44" s="16"/>
      <c r="W44" s="16"/>
      <c r="X44" s="16"/>
      <c r="Y44" s="16"/>
      <c r="Z44" s="16"/>
      <c r="AA44" s="16"/>
      <c r="AB44" s="18"/>
      <c r="AC44" s="16"/>
      <c r="AD44" s="16"/>
    </row>
    <row r="45" spans="1:58" ht="15" customHeight="1" thickTop="1" thickBot="1">
      <c r="A45" s="258" t="s">
        <v>449</v>
      </c>
      <c r="B45" s="259" t="s">
        <v>450</v>
      </c>
      <c r="C45" s="258" t="s">
        <v>463</v>
      </c>
      <c r="D45" s="258" t="s">
        <v>464</v>
      </c>
      <c r="E45" s="258" t="s">
        <v>465</v>
      </c>
      <c r="F45" s="258" t="s">
        <v>466</v>
      </c>
      <c r="G45" s="258" t="s">
        <v>467</v>
      </c>
      <c r="H45" s="259" t="s">
        <v>455</v>
      </c>
      <c r="I45" s="561" t="s">
        <v>456</v>
      </c>
      <c r="J45" s="716"/>
      <c r="K45" s="717"/>
      <c r="L45" s="98"/>
      <c r="M45" s="98"/>
      <c r="N45" s="98"/>
      <c r="O45" s="98"/>
      <c r="P45" s="98"/>
      <c r="Q45" s="98"/>
      <c r="R45" s="98"/>
      <c r="S45" s="98"/>
      <c r="T45" s="98"/>
      <c r="U45" s="98"/>
      <c r="V45" s="96"/>
      <c r="W45" s="96"/>
      <c r="X45" s="96"/>
      <c r="Y45" s="96"/>
      <c r="Z45" s="99"/>
      <c r="AA45" s="96"/>
      <c r="AB45" s="96"/>
      <c r="AC45" s="100"/>
      <c r="AD45" s="100"/>
      <c r="AE45" s="100"/>
      <c r="AF45" s="100"/>
      <c r="AG45" s="100"/>
      <c r="AH45" s="100"/>
      <c r="AI45" s="100"/>
      <c r="AJ45" s="100"/>
      <c r="AK45" s="100"/>
      <c r="AL45" s="100"/>
      <c r="AM45" s="100"/>
      <c r="AN45" s="100"/>
      <c r="AO45" s="100"/>
      <c r="AP45" s="100"/>
      <c r="AQ45" s="100"/>
      <c r="AR45" s="100"/>
      <c r="AS45" s="100"/>
      <c r="AT45" s="100"/>
      <c r="AU45" s="100"/>
      <c r="AV45" s="100"/>
      <c r="AW45" s="100"/>
      <c r="AX45" s="100"/>
      <c r="AY45" s="100"/>
      <c r="AZ45" s="100"/>
      <c r="BA45" s="100"/>
      <c r="BB45" s="100"/>
      <c r="BC45" s="100"/>
      <c r="BD45" s="100"/>
      <c r="BE45" s="100"/>
      <c r="BF45" s="100"/>
    </row>
    <row r="46" spans="1:58" ht="14.25" customHeight="1" thickTop="1">
      <c r="A46" s="312"/>
      <c r="B46" s="323"/>
      <c r="C46" s="312"/>
      <c r="D46" s="312"/>
      <c r="E46" s="327"/>
      <c r="F46" s="327"/>
      <c r="G46" s="323"/>
      <c r="H46" s="323"/>
      <c r="I46" s="618"/>
      <c r="J46" s="741"/>
      <c r="K46" s="742"/>
      <c r="L46" s="16"/>
      <c r="M46" s="16"/>
      <c r="N46" s="16"/>
      <c r="O46" s="16"/>
      <c r="P46" s="16"/>
      <c r="Q46" s="16"/>
      <c r="R46" s="16"/>
      <c r="S46" s="16"/>
      <c r="T46" s="16"/>
      <c r="U46" s="16"/>
      <c r="V46" s="16"/>
      <c r="W46" s="16"/>
      <c r="X46" s="16"/>
      <c r="Y46" s="16"/>
      <c r="Z46" s="17"/>
      <c r="AA46" s="16"/>
      <c r="AB46" s="16"/>
    </row>
    <row r="47" spans="1:58" ht="14.25" customHeight="1">
      <c r="A47" s="312"/>
      <c r="B47" s="323"/>
      <c r="C47" s="312"/>
      <c r="D47" s="312"/>
      <c r="E47" s="328"/>
      <c r="F47" s="327"/>
      <c r="G47" s="323"/>
      <c r="H47" s="323"/>
      <c r="I47" s="743"/>
      <c r="J47" s="744"/>
      <c r="K47" s="745"/>
      <c r="L47" s="16"/>
      <c r="M47" s="16"/>
      <c r="N47" s="16"/>
      <c r="O47" s="16"/>
      <c r="P47" s="16"/>
      <c r="Q47" s="16"/>
      <c r="R47" s="16"/>
      <c r="S47" s="16"/>
      <c r="T47" s="16"/>
      <c r="U47" s="16"/>
      <c r="V47" s="16"/>
      <c r="W47" s="16"/>
      <c r="X47" s="16"/>
      <c r="Y47" s="16"/>
      <c r="Z47" s="17"/>
      <c r="AA47" s="16"/>
      <c r="AB47" s="16"/>
    </row>
    <row r="48" spans="1:58" ht="15.75" customHeight="1">
      <c r="A48" s="323"/>
      <c r="B48" s="323"/>
      <c r="C48" s="323"/>
      <c r="D48" s="312"/>
      <c r="E48" s="328"/>
      <c r="F48" s="327"/>
      <c r="G48" s="329"/>
      <c r="H48" s="323"/>
      <c r="I48" s="743"/>
      <c r="J48" s="744"/>
      <c r="K48" s="745"/>
      <c r="L48" s="16"/>
      <c r="M48" s="16"/>
      <c r="N48" s="16"/>
      <c r="O48" s="16"/>
      <c r="P48" s="16"/>
      <c r="Q48" s="16"/>
      <c r="R48" s="16"/>
      <c r="S48" s="16"/>
      <c r="T48" s="16"/>
      <c r="U48" s="16"/>
      <c r="V48" s="16"/>
      <c r="W48" s="16"/>
      <c r="X48" s="16"/>
      <c r="Y48" s="16"/>
      <c r="Z48" s="16"/>
      <c r="AA48" s="16"/>
      <c r="AB48" s="16"/>
    </row>
    <row r="49" spans="1:30" ht="15.75" customHeight="1">
      <c r="A49" s="231"/>
      <c r="B49" s="232"/>
      <c r="C49" s="231"/>
      <c r="D49" s="269"/>
      <c r="E49" s="245"/>
      <c r="F49" s="261"/>
      <c r="G49" s="263"/>
      <c r="H49" s="231"/>
      <c r="I49" s="743"/>
      <c r="J49" s="744"/>
      <c r="K49" s="745"/>
      <c r="L49" s="16"/>
      <c r="M49" s="16"/>
      <c r="N49" s="16"/>
      <c r="O49" s="16"/>
      <c r="P49" s="16"/>
      <c r="Q49" s="16"/>
      <c r="R49" s="16"/>
      <c r="S49" s="16"/>
      <c r="T49" s="16"/>
      <c r="U49" s="16"/>
      <c r="V49" s="16"/>
      <c r="W49" s="16"/>
      <c r="X49" s="16"/>
      <c r="Y49" s="16"/>
      <c r="Z49" s="16"/>
      <c r="AA49" s="16"/>
      <c r="AB49" s="16"/>
    </row>
    <row r="50" spans="1:30" ht="15.75" customHeight="1" thickBot="1">
      <c r="A50" s="231"/>
      <c r="B50" s="326"/>
      <c r="C50" s="245"/>
      <c r="D50" s="245"/>
      <c r="E50" s="261"/>
      <c r="F50" s="261"/>
      <c r="G50" s="263"/>
      <c r="H50" s="231"/>
      <c r="I50" s="746"/>
      <c r="J50" s="747"/>
      <c r="K50" s="748"/>
      <c r="L50" s="16"/>
      <c r="M50" s="16"/>
      <c r="N50" s="16"/>
      <c r="O50" s="16"/>
      <c r="P50" s="16"/>
      <c r="Q50" s="16"/>
      <c r="R50" s="16"/>
      <c r="S50" s="16"/>
      <c r="T50" s="16"/>
      <c r="U50" s="16"/>
      <c r="V50" s="16"/>
      <c r="W50" s="16"/>
      <c r="X50" s="16"/>
      <c r="Y50" s="16"/>
      <c r="Z50" s="16"/>
      <c r="AA50" s="16"/>
      <c r="AB50" s="16"/>
    </row>
    <row r="51" spans="1:30" ht="15.75" customHeight="1" thickTop="1">
      <c r="A51" s="15"/>
      <c r="B51" s="16"/>
      <c r="C51" s="16"/>
      <c r="D51" s="16"/>
      <c r="E51" s="16"/>
      <c r="F51" s="16"/>
      <c r="G51" s="16"/>
      <c r="H51" s="16"/>
      <c r="I51" s="16"/>
      <c r="J51" s="16"/>
      <c r="K51" s="16"/>
      <c r="L51" s="16"/>
      <c r="M51" s="16"/>
      <c r="N51" s="16"/>
      <c r="O51" s="16"/>
      <c r="P51" s="16"/>
      <c r="Q51" s="16"/>
      <c r="R51" s="16"/>
      <c r="S51" s="16"/>
      <c r="T51" s="16"/>
      <c r="U51" s="16"/>
      <c r="V51" s="16"/>
      <c r="W51" s="16"/>
      <c r="X51" s="16"/>
      <c r="Y51" s="16"/>
      <c r="Z51" s="16"/>
      <c r="AA51" s="16"/>
      <c r="AB51" s="16"/>
      <c r="AC51" s="16"/>
      <c r="AD51" s="16"/>
    </row>
    <row r="52" spans="1:30" ht="15.75" customHeight="1">
      <c r="A52" s="15"/>
      <c r="B52" s="16"/>
      <c r="C52" s="16"/>
      <c r="D52" s="16"/>
      <c r="E52" s="16"/>
      <c r="F52" s="16"/>
      <c r="G52" s="16"/>
      <c r="H52" s="16"/>
      <c r="I52" s="16"/>
      <c r="J52" s="16"/>
      <c r="K52" s="16"/>
      <c r="L52" s="16"/>
      <c r="M52" s="16"/>
      <c r="N52" s="16"/>
      <c r="O52" s="16"/>
      <c r="P52" s="16"/>
      <c r="Q52" s="16"/>
      <c r="W52" s="16"/>
      <c r="X52" s="16"/>
      <c r="Y52" s="16"/>
      <c r="Z52" s="16"/>
      <c r="AA52" s="16"/>
      <c r="AB52" s="16"/>
      <c r="AC52" s="16"/>
      <c r="AD52" s="16"/>
    </row>
    <row r="53" spans="1:30" ht="15.75" customHeight="1" thickBot="1">
      <c r="A53" s="186" t="s">
        <v>475</v>
      </c>
      <c r="B53" s="231"/>
      <c r="C53" s="231"/>
      <c r="D53" s="231"/>
      <c r="E53" s="231"/>
      <c r="F53" s="231"/>
      <c r="G53" s="231"/>
      <c r="H53" s="231"/>
      <c r="I53" s="231"/>
      <c r="J53" s="231"/>
      <c r="K53" s="16"/>
      <c r="L53" s="16"/>
      <c r="M53" s="16"/>
      <c r="N53" s="16"/>
      <c r="O53" s="16"/>
      <c r="P53" s="16"/>
      <c r="Q53" s="16"/>
      <c r="W53" s="16"/>
      <c r="X53" s="16"/>
      <c r="Y53" s="16"/>
      <c r="Z53" s="16"/>
      <c r="AA53" s="16"/>
      <c r="AB53" s="16"/>
      <c r="AC53" s="16"/>
      <c r="AD53" s="16"/>
    </row>
    <row r="54" spans="1:30" ht="15.75" customHeight="1" thickTop="1" thickBot="1">
      <c r="A54" s="230" t="s">
        <v>476</v>
      </c>
      <c r="B54" s="230" t="s">
        <v>477</v>
      </c>
      <c r="C54" s="230" t="s">
        <v>478</v>
      </c>
      <c r="D54" s="230" t="s">
        <v>479</v>
      </c>
      <c r="E54" s="230" t="s">
        <v>480</v>
      </c>
      <c r="F54" s="230" t="s">
        <v>481</v>
      </c>
      <c r="G54" s="230" t="s">
        <v>482</v>
      </c>
      <c r="H54" s="230" t="s">
        <v>453</v>
      </c>
      <c r="I54" s="230" t="s">
        <v>483</v>
      </c>
      <c r="J54" s="230" t="s">
        <v>484</v>
      </c>
      <c r="K54" s="721" t="s">
        <v>485</v>
      </c>
      <c r="L54" s="716"/>
      <c r="M54" s="722"/>
      <c r="N54" s="15"/>
      <c r="O54" s="16"/>
      <c r="P54" s="16"/>
      <c r="Q54" s="16"/>
      <c r="W54" s="16"/>
      <c r="X54" s="16"/>
      <c r="Y54" s="16"/>
      <c r="Z54" s="16"/>
      <c r="AA54" s="16"/>
      <c r="AB54" s="16"/>
    </row>
    <row r="55" spans="1:30" ht="15.75" customHeight="1" thickTop="1">
      <c r="A55" s="430" t="s">
        <v>1410</v>
      </c>
      <c r="B55" s="230" t="s">
        <v>285</v>
      </c>
      <c r="C55" s="431">
        <v>15</v>
      </c>
      <c r="D55" s="431">
        <v>1</v>
      </c>
      <c r="E55" s="431">
        <v>1</v>
      </c>
      <c r="F55" s="431">
        <v>15</v>
      </c>
      <c r="G55" s="432" t="s">
        <v>1411</v>
      </c>
      <c r="H55" s="430" t="s">
        <v>281</v>
      </c>
      <c r="I55" s="230"/>
      <c r="J55" s="231" t="s">
        <v>1412</v>
      </c>
      <c r="K55" s="576" t="s">
        <v>1413</v>
      </c>
      <c r="L55" s="632"/>
      <c r="M55" s="577"/>
      <c r="N55" s="15"/>
      <c r="O55" s="16"/>
      <c r="P55" s="16"/>
      <c r="Q55" s="16"/>
      <c r="W55" s="16"/>
      <c r="X55" s="16"/>
      <c r="Y55" s="16"/>
      <c r="Z55" s="16"/>
      <c r="AA55" s="16"/>
      <c r="AB55" s="16"/>
    </row>
    <row r="56" spans="1:30" ht="15.75" customHeight="1">
      <c r="A56" s="334" t="s">
        <v>1410</v>
      </c>
      <c r="B56" s="230" t="s">
        <v>285</v>
      </c>
      <c r="C56" s="433">
        <v>15</v>
      </c>
      <c r="D56" s="433">
        <v>1</v>
      </c>
      <c r="E56" s="433">
        <v>1</v>
      </c>
      <c r="F56" s="433">
        <v>15</v>
      </c>
      <c r="G56" s="434" t="s">
        <v>1414</v>
      </c>
      <c r="H56" s="435" t="s">
        <v>281</v>
      </c>
      <c r="I56" s="230"/>
      <c r="J56" s="231"/>
      <c r="K56" s="578"/>
      <c r="L56" s="602"/>
      <c r="M56" s="579"/>
      <c r="N56" s="15"/>
      <c r="O56" s="16"/>
      <c r="P56" s="16"/>
      <c r="Q56" s="16"/>
      <c r="W56" s="16"/>
      <c r="X56" s="16"/>
      <c r="Y56" s="16"/>
      <c r="Z56" s="16"/>
      <c r="AA56" s="16"/>
      <c r="AB56" s="16"/>
    </row>
    <row r="57" spans="1:30" ht="15.75" customHeight="1">
      <c r="A57" s="430" t="s">
        <v>1415</v>
      </c>
      <c r="B57" s="230" t="s">
        <v>285</v>
      </c>
      <c r="C57" s="431">
        <v>15</v>
      </c>
      <c r="D57" s="431">
        <v>1</v>
      </c>
      <c r="E57" s="431">
        <v>1</v>
      </c>
      <c r="F57" s="431">
        <v>15</v>
      </c>
      <c r="G57" s="430" t="s">
        <v>1411</v>
      </c>
      <c r="H57" s="430" t="s">
        <v>281</v>
      </c>
      <c r="I57" s="230"/>
      <c r="J57" s="231"/>
      <c r="K57" s="578"/>
      <c r="L57" s="602"/>
      <c r="M57" s="579"/>
      <c r="N57" s="15"/>
      <c r="O57" s="16"/>
      <c r="P57" s="16"/>
      <c r="Q57" s="16"/>
      <c r="W57" s="16"/>
      <c r="X57" s="16"/>
      <c r="Y57" s="16"/>
      <c r="Z57" s="16"/>
      <c r="AA57" s="16"/>
      <c r="AB57" s="16"/>
    </row>
    <row r="58" spans="1:30" ht="15.75" customHeight="1">
      <c r="A58" s="435" t="s">
        <v>1415</v>
      </c>
      <c r="B58" s="230" t="s">
        <v>285</v>
      </c>
      <c r="C58" s="433">
        <v>15</v>
      </c>
      <c r="D58" s="433">
        <v>1</v>
      </c>
      <c r="E58" s="433">
        <v>1</v>
      </c>
      <c r="F58" s="433">
        <v>15</v>
      </c>
      <c r="G58" s="435" t="s">
        <v>1414</v>
      </c>
      <c r="H58" s="435" t="s">
        <v>281</v>
      </c>
      <c r="I58" s="230"/>
      <c r="J58" s="231" t="s">
        <v>1416</v>
      </c>
      <c r="K58" s="578"/>
      <c r="L58" s="602"/>
      <c r="M58" s="579"/>
      <c r="N58" s="15"/>
      <c r="O58" s="16"/>
      <c r="P58" s="16"/>
      <c r="Q58" s="16"/>
      <c r="W58" s="16"/>
      <c r="X58" s="16"/>
      <c r="Y58" s="16"/>
      <c r="Z58" s="16"/>
      <c r="AA58" s="16"/>
      <c r="AB58" s="16"/>
    </row>
    <row r="59" spans="1:30" ht="15.75" customHeight="1">
      <c r="A59" s="430" t="s">
        <v>1417</v>
      </c>
      <c r="B59" s="230" t="s">
        <v>285</v>
      </c>
      <c r="C59" s="431">
        <v>15</v>
      </c>
      <c r="D59" s="431">
        <v>2</v>
      </c>
      <c r="E59" s="431">
        <v>4</v>
      </c>
      <c r="F59" s="431">
        <v>60</v>
      </c>
      <c r="G59" s="430" t="s">
        <v>1411</v>
      </c>
      <c r="H59" s="430" t="s">
        <v>281</v>
      </c>
      <c r="I59" s="230"/>
      <c r="J59" s="231" t="s">
        <v>1418</v>
      </c>
      <c r="K59" s="578"/>
      <c r="L59" s="602"/>
      <c r="M59" s="579"/>
      <c r="N59" s="15"/>
      <c r="O59" s="16"/>
      <c r="P59" s="16"/>
      <c r="Q59" s="16"/>
      <c r="W59" s="16"/>
      <c r="X59" s="16"/>
      <c r="Y59" s="16"/>
      <c r="Z59" s="16"/>
      <c r="AA59" s="16"/>
      <c r="AB59" s="16"/>
    </row>
    <row r="60" spans="1:30" ht="15.75" customHeight="1">
      <c r="A60" s="334" t="s">
        <v>1417</v>
      </c>
      <c r="B60" s="230" t="s">
        <v>285</v>
      </c>
      <c r="C60" s="433">
        <v>15</v>
      </c>
      <c r="D60" s="433">
        <v>2</v>
      </c>
      <c r="E60" s="433">
        <v>4</v>
      </c>
      <c r="F60" s="433">
        <v>60</v>
      </c>
      <c r="G60" s="435" t="s">
        <v>1414</v>
      </c>
      <c r="H60" s="435" t="s">
        <v>281</v>
      </c>
      <c r="I60" s="230"/>
      <c r="J60" s="231" t="s">
        <v>1419</v>
      </c>
      <c r="K60" s="578"/>
      <c r="L60" s="602"/>
      <c r="M60" s="579"/>
      <c r="N60" s="15"/>
      <c r="O60" s="16"/>
      <c r="P60" s="16"/>
      <c r="Q60" s="16"/>
      <c r="W60" s="16"/>
      <c r="X60" s="16"/>
      <c r="Y60" s="16"/>
      <c r="Z60" s="16"/>
      <c r="AA60" s="16"/>
      <c r="AB60" s="16"/>
    </row>
    <row r="61" spans="1:30" ht="15.75" customHeight="1">
      <c r="A61" s="430" t="s">
        <v>1420</v>
      </c>
      <c r="B61" s="230" t="s">
        <v>285</v>
      </c>
      <c r="C61" s="431">
        <v>15</v>
      </c>
      <c r="D61" s="431">
        <v>1</v>
      </c>
      <c r="E61" s="431">
        <v>2</v>
      </c>
      <c r="F61" s="431">
        <v>30</v>
      </c>
      <c r="G61" s="430" t="s">
        <v>1411</v>
      </c>
      <c r="H61" s="430" t="s">
        <v>281</v>
      </c>
      <c r="I61" s="230"/>
      <c r="J61" s="231"/>
      <c r="K61" s="578"/>
      <c r="L61" s="602"/>
      <c r="M61" s="579"/>
      <c r="N61" s="15"/>
      <c r="O61" s="16"/>
      <c r="P61" s="16"/>
      <c r="Q61" s="16"/>
      <c r="W61" s="16"/>
      <c r="X61" s="16"/>
      <c r="Y61" s="16"/>
      <c r="Z61" s="16"/>
      <c r="AA61" s="16"/>
      <c r="AB61" s="16"/>
    </row>
    <row r="62" spans="1:30" ht="15.75" customHeight="1">
      <c r="A62" s="435" t="s">
        <v>1420</v>
      </c>
      <c r="B62" s="230" t="s">
        <v>285</v>
      </c>
      <c r="C62" s="433">
        <v>15</v>
      </c>
      <c r="D62" s="433">
        <v>1</v>
      </c>
      <c r="E62" s="433">
        <v>2</v>
      </c>
      <c r="F62" s="433">
        <v>30</v>
      </c>
      <c r="G62" s="435" t="s">
        <v>1414</v>
      </c>
      <c r="H62" s="435" t="s">
        <v>281</v>
      </c>
      <c r="I62" s="230"/>
      <c r="J62" s="231"/>
      <c r="K62" s="578"/>
      <c r="L62" s="602"/>
      <c r="M62" s="579"/>
      <c r="N62" s="15"/>
      <c r="O62" s="16"/>
      <c r="P62" s="16"/>
      <c r="Q62" s="16"/>
      <c r="W62" s="16"/>
      <c r="X62" s="16"/>
      <c r="Y62" s="16"/>
      <c r="Z62" s="16"/>
      <c r="AA62" s="16"/>
      <c r="AB62" s="16"/>
    </row>
    <row r="63" spans="1:30" ht="15.75" customHeight="1">
      <c r="A63" s="430" t="s">
        <v>1421</v>
      </c>
      <c r="B63" s="230" t="s">
        <v>285</v>
      </c>
      <c r="C63" s="431">
        <v>15</v>
      </c>
      <c r="D63" s="431">
        <v>1</v>
      </c>
      <c r="E63" s="431">
        <v>6</v>
      </c>
      <c r="F63" s="431">
        <v>90</v>
      </c>
      <c r="G63" s="430" t="s">
        <v>1411</v>
      </c>
      <c r="H63" s="430" t="s">
        <v>281</v>
      </c>
      <c r="I63" s="230"/>
      <c r="J63" s="231"/>
      <c r="K63" s="578"/>
      <c r="L63" s="602"/>
      <c r="M63" s="579"/>
      <c r="N63" s="15"/>
      <c r="O63" s="16"/>
      <c r="P63" s="16"/>
      <c r="Q63" s="16"/>
      <c r="W63" s="16"/>
      <c r="X63" s="16"/>
      <c r="Y63" s="16"/>
      <c r="Z63" s="16"/>
      <c r="AA63" s="16"/>
      <c r="AB63" s="16"/>
    </row>
    <row r="64" spans="1:30" ht="15.75" customHeight="1">
      <c r="A64" s="435" t="s">
        <v>1421</v>
      </c>
      <c r="B64" s="230" t="s">
        <v>285</v>
      </c>
      <c r="C64" s="433">
        <v>15</v>
      </c>
      <c r="D64" s="433">
        <v>1</v>
      </c>
      <c r="E64" s="433">
        <v>6</v>
      </c>
      <c r="F64" s="433">
        <v>90</v>
      </c>
      <c r="G64" s="435" t="s">
        <v>1414</v>
      </c>
      <c r="H64" s="435" t="s">
        <v>281</v>
      </c>
      <c r="I64" s="230"/>
      <c r="J64" s="231"/>
      <c r="K64" s="578"/>
      <c r="L64" s="602"/>
      <c r="M64" s="579"/>
      <c r="N64" s="15"/>
      <c r="O64" s="16"/>
      <c r="P64" s="16"/>
      <c r="Q64" s="16"/>
      <c r="W64" s="16"/>
      <c r="X64" s="16"/>
      <c r="Y64" s="16"/>
      <c r="Z64" s="16"/>
      <c r="AA64" s="16"/>
      <c r="AB64" s="16"/>
    </row>
    <row r="65" spans="1:28" ht="15.75" customHeight="1">
      <c r="A65" s="430" t="s">
        <v>1422</v>
      </c>
      <c r="B65" s="230" t="s">
        <v>285</v>
      </c>
      <c r="C65" s="431">
        <v>15</v>
      </c>
      <c r="D65" s="431">
        <v>1</v>
      </c>
      <c r="E65" s="431">
        <v>6</v>
      </c>
      <c r="F65" s="431">
        <v>90</v>
      </c>
      <c r="G65" s="430" t="s">
        <v>1411</v>
      </c>
      <c r="H65" s="430" t="s">
        <v>281</v>
      </c>
      <c r="I65" s="230"/>
      <c r="J65" s="231"/>
      <c r="K65" s="578"/>
      <c r="L65" s="602"/>
      <c r="M65" s="579"/>
      <c r="N65" s="15"/>
      <c r="O65" s="16"/>
      <c r="P65" s="16"/>
      <c r="Q65" s="16"/>
      <c r="W65" s="16"/>
      <c r="X65" s="16"/>
      <c r="Y65" s="16"/>
      <c r="Z65" s="16"/>
      <c r="AA65" s="16"/>
      <c r="AB65" s="16"/>
    </row>
    <row r="66" spans="1:28" ht="15.75" customHeight="1">
      <c r="A66" s="435" t="s">
        <v>1422</v>
      </c>
      <c r="B66" s="230" t="s">
        <v>285</v>
      </c>
      <c r="C66" s="433">
        <v>15</v>
      </c>
      <c r="D66" s="433">
        <v>1</v>
      </c>
      <c r="E66" s="433">
        <v>6</v>
      </c>
      <c r="F66" s="433">
        <v>90</v>
      </c>
      <c r="G66" s="435" t="s">
        <v>1414</v>
      </c>
      <c r="H66" s="435" t="s">
        <v>281</v>
      </c>
      <c r="I66" s="230"/>
      <c r="J66" s="231"/>
      <c r="K66" s="578"/>
      <c r="L66" s="602"/>
      <c r="M66" s="579"/>
      <c r="N66" s="15"/>
      <c r="O66" s="16"/>
      <c r="P66" s="16"/>
      <c r="Q66" s="16"/>
      <c r="W66" s="16"/>
      <c r="X66" s="16"/>
      <c r="Y66" s="16"/>
      <c r="Z66" s="16"/>
      <c r="AA66" s="16"/>
      <c r="AB66" s="16"/>
    </row>
    <row r="67" spans="1:28" ht="15.75" customHeight="1">
      <c r="A67" s="430" t="s">
        <v>1423</v>
      </c>
      <c r="B67" s="230" t="s">
        <v>285</v>
      </c>
      <c r="C67" s="436">
        <v>10</v>
      </c>
      <c r="D67" s="431">
        <v>1</v>
      </c>
      <c r="E67" s="431">
        <v>3</v>
      </c>
      <c r="F67" s="431">
        <v>30</v>
      </c>
      <c r="G67" s="437" t="s">
        <v>1424</v>
      </c>
      <c r="H67" s="437" t="s">
        <v>281</v>
      </c>
      <c r="I67" s="230"/>
      <c r="J67" s="231"/>
      <c r="K67" s="578"/>
      <c r="L67" s="602"/>
      <c r="M67" s="579"/>
      <c r="N67" s="15"/>
      <c r="O67" s="16"/>
      <c r="P67" s="16"/>
      <c r="Q67" s="16"/>
      <c r="W67" s="16"/>
      <c r="X67" s="16"/>
      <c r="Y67" s="16"/>
      <c r="Z67" s="16"/>
      <c r="AA67" s="16"/>
      <c r="AB67" s="16"/>
    </row>
    <row r="68" spans="1:28" ht="15" customHeight="1">
      <c r="A68" s="435" t="s">
        <v>1425</v>
      </c>
      <c r="B68" s="230" t="s">
        <v>285</v>
      </c>
      <c r="C68" s="433">
        <v>10</v>
      </c>
      <c r="D68" s="433">
        <v>1</v>
      </c>
      <c r="E68" s="433">
        <v>3</v>
      </c>
      <c r="F68" s="433">
        <v>30</v>
      </c>
      <c r="G68" s="435" t="s">
        <v>1424</v>
      </c>
      <c r="H68" s="435" t="s">
        <v>281</v>
      </c>
      <c r="I68" s="331"/>
      <c r="J68" s="231"/>
      <c r="K68" s="578"/>
      <c r="L68" s="602"/>
      <c r="M68" s="579"/>
      <c r="N68" s="16"/>
      <c r="O68" s="16"/>
      <c r="P68" s="16"/>
      <c r="Q68" s="16"/>
      <c r="W68" s="16"/>
      <c r="X68" s="16"/>
      <c r="Y68" s="16"/>
      <c r="Z68" s="16"/>
      <c r="AA68" s="16"/>
      <c r="AB68" s="16"/>
    </row>
    <row r="69" spans="1:28" ht="15.75" customHeight="1">
      <c r="A69" s="319"/>
      <c r="B69" s="319"/>
      <c r="C69" s="231"/>
      <c r="D69" s="231"/>
      <c r="E69" s="231"/>
      <c r="F69" s="231"/>
      <c r="G69" s="231"/>
      <c r="H69" s="319"/>
      <c r="I69" s="331"/>
      <c r="J69" s="231"/>
      <c r="K69" s="578"/>
      <c r="L69" s="602"/>
      <c r="M69" s="579"/>
      <c r="N69" s="16"/>
      <c r="O69" s="16"/>
      <c r="P69" s="16"/>
      <c r="Q69" s="16"/>
      <c r="W69" s="16"/>
      <c r="X69" s="16"/>
      <c r="Y69" s="16"/>
      <c r="Z69" s="16"/>
      <c r="AA69" s="16"/>
      <c r="AB69" s="16"/>
    </row>
    <row r="70" spans="1:28" ht="14.25" customHeight="1">
      <c r="A70" s="231" t="s">
        <v>1426</v>
      </c>
      <c r="B70" s="319" t="s">
        <v>293</v>
      </c>
      <c r="C70" s="231"/>
      <c r="D70" s="231"/>
      <c r="E70" s="231"/>
      <c r="F70" s="231"/>
      <c r="G70" s="248"/>
      <c r="H70" s="319"/>
      <c r="I70" s="339">
        <v>1240</v>
      </c>
      <c r="J70" s="231" t="s">
        <v>1427</v>
      </c>
      <c r="K70" s="578"/>
      <c r="L70" s="602"/>
      <c r="M70" s="579"/>
      <c r="N70" s="16"/>
      <c r="O70" s="16"/>
      <c r="P70" s="16"/>
      <c r="Q70" s="16"/>
      <c r="W70" s="16"/>
      <c r="X70" s="16"/>
      <c r="Y70" s="16"/>
      <c r="Z70" s="16"/>
      <c r="AA70" s="16"/>
      <c r="AB70" s="16"/>
    </row>
    <row r="71" spans="1:28" ht="15.75" customHeight="1">
      <c r="A71" s="231" t="s">
        <v>1428</v>
      </c>
      <c r="B71" s="319" t="s">
        <v>293</v>
      </c>
      <c r="C71" s="231"/>
      <c r="D71" s="231"/>
      <c r="E71" s="231"/>
      <c r="F71" s="231"/>
      <c r="G71" s="231"/>
      <c r="H71" s="319"/>
      <c r="I71" s="339">
        <v>1600</v>
      </c>
      <c r="J71" s="231" t="s">
        <v>1429</v>
      </c>
      <c r="K71" s="578"/>
      <c r="L71" s="602"/>
      <c r="M71" s="579"/>
      <c r="N71" s="16"/>
      <c r="O71" s="16"/>
      <c r="P71" s="16"/>
      <c r="Q71" s="16"/>
      <c r="W71" s="16"/>
      <c r="X71" s="16"/>
      <c r="Y71" s="16"/>
      <c r="Z71" s="16"/>
      <c r="AA71" s="16"/>
      <c r="AB71" s="16"/>
    </row>
    <row r="72" spans="1:28" ht="15.75" customHeight="1">
      <c r="A72" s="231" t="s">
        <v>1430</v>
      </c>
      <c r="B72" s="319" t="s">
        <v>293</v>
      </c>
      <c r="C72" s="231"/>
      <c r="D72" s="231"/>
      <c r="E72" s="231"/>
      <c r="F72" s="231"/>
      <c r="G72" s="231"/>
      <c r="H72" s="319"/>
      <c r="I72" s="339">
        <v>1700</v>
      </c>
      <c r="J72" s="231" t="s">
        <v>1431</v>
      </c>
      <c r="K72" s="578"/>
      <c r="L72" s="602"/>
      <c r="M72" s="579"/>
      <c r="N72" s="16"/>
      <c r="O72" s="16"/>
      <c r="P72" s="16"/>
      <c r="Q72" s="16"/>
      <c r="W72" s="16"/>
      <c r="X72" s="16"/>
      <c r="Y72" s="16"/>
      <c r="Z72" s="16"/>
      <c r="AA72" s="16"/>
      <c r="AB72" s="16"/>
    </row>
    <row r="73" spans="1:28" ht="15.75" customHeight="1">
      <c r="A73" s="319"/>
      <c r="B73" s="319"/>
      <c r="C73" s="231"/>
      <c r="D73" s="231"/>
      <c r="E73" s="231"/>
      <c r="F73" s="231"/>
      <c r="G73" s="319"/>
      <c r="H73" s="319"/>
      <c r="I73" s="331"/>
      <c r="J73" s="231"/>
      <c r="K73" s="578"/>
      <c r="L73" s="602"/>
      <c r="M73" s="579"/>
      <c r="N73" s="16"/>
      <c r="O73" s="16"/>
      <c r="P73" s="16"/>
      <c r="Q73" s="16"/>
      <c r="W73" s="16"/>
      <c r="X73" s="16"/>
      <c r="Y73" s="16"/>
      <c r="Z73" s="16"/>
      <c r="AA73" s="16"/>
      <c r="AB73" s="16"/>
    </row>
    <row r="74" spans="1:28" ht="15.75" customHeight="1">
      <c r="A74" s="319"/>
      <c r="B74" s="319"/>
      <c r="C74" s="231"/>
      <c r="D74" s="231"/>
      <c r="E74" s="231"/>
      <c r="F74" s="231"/>
      <c r="G74" s="319"/>
      <c r="H74" s="319"/>
      <c r="I74" s="331"/>
      <c r="J74" s="231"/>
      <c r="K74" s="578"/>
      <c r="L74" s="602"/>
      <c r="M74" s="579"/>
      <c r="N74" s="16"/>
      <c r="O74" s="16"/>
      <c r="P74" s="16"/>
      <c r="Q74" s="16"/>
      <c r="W74" s="16"/>
      <c r="X74" s="16"/>
      <c r="Y74" s="16"/>
      <c r="Z74" s="16"/>
      <c r="AA74" s="16"/>
      <c r="AB74" s="16"/>
    </row>
    <row r="75" spans="1:28" ht="15.75" customHeight="1">
      <c r="A75" s="319"/>
      <c r="B75" s="319"/>
      <c r="C75" s="261"/>
      <c r="D75" s="261"/>
      <c r="E75" s="261"/>
      <c r="F75" s="262"/>
      <c r="G75" s="319"/>
      <c r="H75" s="319"/>
      <c r="I75" s="331"/>
      <c r="J75" s="231"/>
      <c r="K75" s="578"/>
      <c r="L75" s="602"/>
      <c r="M75" s="579"/>
      <c r="N75" s="16"/>
      <c r="O75" s="16"/>
      <c r="P75" s="16"/>
      <c r="Q75" s="16"/>
      <c r="W75" s="16"/>
      <c r="X75" s="16"/>
      <c r="Y75" s="16"/>
      <c r="Z75" s="16"/>
      <c r="AA75" s="16"/>
      <c r="AB75" s="16"/>
    </row>
    <row r="76" spans="1:28" ht="15.75" customHeight="1">
      <c r="A76" s="319"/>
      <c r="B76" s="319"/>
      <c r="C76" s="261"/>
      <c r="D76" s="261"/>
      <c r="E76" s="261"/>
      <c r="F76" s="262"/>
      <c r="G76" s="319"/>
      <c r="H76" s="319"/>
      <c r="I76" s="331"/>
      <c r="J76" s="231"/>
      <c r="K76" s="578"/>
      <c r="L76" s="602"/>
      <c r="M76" s="579"/>
      <c r="N76" s="16"/>
      <c r="O76" s="16"/>
      <c r="P76" s="16"/>
      <c r="Q76" s="16"/>
      <c r="W76" s="16"/>
      <c r="X76" s="16"/>
      <c r="Y76" s="16"/>
      <c r="Z76" s="16"/>
      <c r="AA76" s="16"/>
      <c r="AB76" s="16"/>
    </row>
    <row r="77" spans="1:28" ht="15.75" customHeight="1">
      <c r="A77" s="231"/>
      <c r="B77" s="319"/>
      <c r="C77" s="232"/>
      <c r="D77" s="232"/>
      <c r="E77" s="261"/>
      <c r="F77" s="262"/>
      <c r="G77" s="231"/>
      <c r="H77" s="319"/>
      <c r="I77" s="331"/>
      <c r="J77" s="231"/>
      <c r="K77" s="578"/>
      <c r="L77" s="602"/>
      <c r="M77" s="579"/>
      <c r="N77" s="16"/>
      <c r="O77" s="16"/>
      <c r="P77" s="16"/>
      <c r="Q77" s="16"/>
      <c r="W77" s="16"/>
      <c r="X77" s="16"/>
      <c r="Y77" s="16"/>
      <c r="Z77" s="16"/>
      <c r="AA77" s="16"/>
      <c r="AB77" s="16"/>
    </row>
    <row r="78" spans="1:28" ht="15.75" customHeight="1">
      <c r="A78" s="231"/>
      <c r="B78" s="319"/>
      <c r="C78" s="232"/>
      <c r="D78" s="232"/>
      <c r="E78" s="261"/>
      <c r="F78" s="262"/>
      <c r="G78" s="231"/>
      <c r="H78" s="319"/>
      <c r="I78" s="331"/>
      <c r="J78" s="231"/>
      <c r="K78" s="578"/>
      <c r="L78" s="602"/>
      <c r="M78" s="579"/>
      <c r="N78" s="16"/>
      <c r="O78" s="16"/>
      <c r="P78" s="16"/>
      <c r="Q78" s="16"/>
      <c r="W78" s="16"/>
      <c r="X78" s="16"/>
      <c r="Y78" s="16"/>
      <c r="Z78" s="16"/>
      <c r="AA78" s="16"/>
      <c r="AB78" s="16"/>
    </row>
    <row r="79" spans="1:28" ht="15.75" customHeight="1">
      <c r="A79" s="231"/>
      <c r="B79" s="319"/>
      <c r="C79" s="232"/>
      <c r="D79" s="232"/>
      <c r="E79" s="261"/>
      <c r="F79" s="262"/>
      <c r="G79" s="231"/>
      <c r="H79" s="319"/>
      <c r="I79" s="331"/>
      <c r="J79" s="231"/>
      <c r="K79" s="578"/>
      <c r="L79" s="602"/>
      <c r="M79" s="579"/>
      <c r="N79" s="16"/>
      <c r="O79" s="16"/>
      <c r="P79" s="16"/>
      <c r="Q79" s="16"/>
      <c r="W79" s="16"/>
      <c r="X79" s="16"/>
      <c r="Y79" s="16"/>
      <c r="Z79" s="16"/>
      <c r="AA79" s="16"/>
      <c r="AB79" s="16"/>
    </row>
    <row r="80" spans="1:28" ht="15.75" customHeight="1" thickBot="1">
      <c r="A80" s="231"/>
      <c r="B80" s="319"/>
      <c r="C80" s="245"/>
      <c r="D80" s="232"/>
      <c r="E80" s="261"/>
      <c r="F80" s="262"/>
      <c r="G80" s="263"/>
      <c r="H80" s="263"/>
      <c r="I80" s="264"/>
      <c r="J80" s="231"/>
      <c r="K80" s="580"/>
      <c r="L80" s="633"/>
      <c r="M80" s="581"/>
      <c r="N80" s="16"/>
      <c r="O80" s="16"/>
      <c r="P80" s="16"/>
      <c r="Q80" s="16"/>
      <c r="W80" s="16"/>
      <c r="X80" s="16"/>
      <c r="Y80" s="16"/>
      <c r="Z80" s="16"/>
      <c r="AA80" s="16"/>
      <c r="AB80" s="16"/>
    </row>
    <row r="81" spans="1:30" ht="15.75" customHeight="1" thickTop="1">
      <c r="A81" s="16"/>
      <c r="B81" s="16"/>
      <c r="C81" s="16"/>
      <c r="D81" s="16"/>
      <c r="E81" s="16"/>
      <c r="F81" s="16"/>
      <c r="G81" s="16"/>
      <c r="H81" s="16"/>
      <c r="I81" s="16"/>
      <c r="J81" s="16"/>
      <c r="K81" s="16"/>
      <c r="L81" s="16"/>
      <c r="M81" s="16"/>
      <c r="N81" s="16"/>
      <c r="O81" s="16"/>
      <c r="P81" s="16"/>
      <c r="Q81" s="16"/>
      <c r="W81" s="16"/>
      <c r="X81" s="16"/>
      <c r="Y81" s="16"/>
      <c r="Z81" s="16"/>
      <c r="AA81" s="16"/>
      <c r="AB81" s="16"/>
      <c r="AC81" s="16"/>
      <c r="AD81" s="16"/>
    </row>
    <row r="82" spans="1:30" ht="15.75" customHeight="1" thickBot="1">
      <c r="A82" s="186" t="s">
        <v>499</v>
      </c>
      <c r="B82" s="231"/>
      <c r="C82" s="231"/>
      <c r="D82" s="231"/>
      <c r="E82" s="231"/>
      <c r="F82" s="231"/>
      <c r="G82" s="231"/>
      <c r="H82" s="231"/>
      <c r="I82" s="231"/>
      <c r="J82" s="231"/>
      <c r="K82" s="123"/>
      <c r="L82" s="123"/>
      <c r="M82" s="16"/>
      <c r="N82" s="16"/>
      <c r="O82" s="16"/>
      <c r="P82" s="16"/>
      <c r="Q82" s="16"/>
      <c r="W82" s="16"/>
      <c r="X82" s="16"/>
      <c r="Y82" s="16"/>
      <c r="Z82" s="16"/>
      <c r="AA82" s="16"/>
      <c r="AB82" s="16"/>
      <c r="AC82" s="16"/>
      <c r="AD82" s="16"/>
    </row>
    <row r="83" spans="1:30" ht="15.75" customHeight="1" thickTop="1" thickBot="1">
      <c r="A83" s="230" t="s">
        <v>476</v>
      </c>
      <c r="B83" s="230" t="s">
        <v>500</v>
      </c>
      <c r="C83" s="230" t="s">
        <v>501</v>
      </c>
      <c r="D83" s="230" t="s">
        <v>502</v>
      </c>
      <c r="E83" s="230" t="s">
        <v>503</v>
      </c>
      <c r="F83" s="230" t="s">
        <v>504</v>
      </c>
      <c r="G83" s="230" t="s">
        <v>505</v>
      </c>
      <c r="H83" s="230" t="s">
        <v>506</v>
      </c>
      <c r="I83" s="230" t="s">
        <v>507</v>
      </c>
      <c r="J83" s="230" t="s">
        <v>508</v>
      </c>
      <c r="K83" s="561" t="s">
        <v>441</v>
      </c>
      <c r="L83" s="561"/>
      <c r="M83" s="561"/>
      <c r="N83" s="561"/>
      <c r="O83" s="570"/>
      <c r="P83" s="726" t="s">
        <v>434</v>
      </c>
      <c r="Q83" s="727"/>
      <c r="R83" s="16"/>
      <c r="S83" s="16"/>
      <c r="V83" s="16"/>
      <c r="W83" s="16"/>
      <c r="X83" s="16"/>
      <c r="Y83" s="16"/>
      <c r="Z83" s="16"/>
      <c r="AA83" s="16"/>
    </row>
    <row r="84" spans="1:30" ht="15.75" customHeight="1" thickTop="1">
      <c r="A84" s="319" t="s">
        <v>1432</v>
      </c>
      <c r="B84" s="231" t="s">
        <v>270</v>
      </c>
      <c r="C84" s="232" t="s">
        <v>861</v>
      </c>
      <c r="D84" s="261">
        <v>1</v>
      </c>
      <c r="E84" s="245">
        <v>15</v>
      </c>
      <c r="F84" s="326">
        <f>'Piranha Duiken'!$D84*'Piranha Duiken'!$E84</f>
        <v>15</v>
      </c>
      <c r="G84" s="245">
        <v>3</v>
      </c>
      <c r="H84" s="332">
        <f>IF($B84= "","-",IF($B84= "External","Specify location tariff", INDEX(Constants!$3:$3,MATCH($B84,Constants!$2:$2,0))))</f>
        <v>65</v>
      </c>
      <c r="I84" s="333">
        <f t="shared" ref="I84:I100" si="2">IF($H84="-","-",IF($H84="Specify location tariff","-",$H84*$F84))</f>
        <v>975</v>
      </c>
      <c r="J84" s="247" t="s">
        <v>1433</v>
      </c>
      <c r="K84" s="611"/>
      <c r="L84" s="611"/>
      <c r="M84" s="611"/>
      <c r="N84" s="611"/>
      <c r="O84" s="612"/>
      <c r="P84" s="564" t="s">
        <v>511</v>
      </c>
      <c r="Q84" s="565"/>
      <c r="R84" s="16"/>
      <c r="S84" s="16"/>
      <c r="V84" s="16"/>
      <c r="W84" s="16"/>
      <c r="X84" s="16"/>
      <c r="Y84" s="16"/>
      <c r="Z84" s="16"/>
      <c r="AA84" s="16"/>
    </row>
    <row r="85" spans="1:30" ht="15.75" customHeight="1">
      <c r="A85" s="231" t="s">
        <v>1434</v>
      </c>
      <c r="B85" s="231" t="s">
        <v>272</v>
      </c>
      <c r="C85" s="232" t="s">
        <v>1435</v>
      </c>
      <c r="D85" s="261">
        <v>1</v>
      </c>
      <c r="E85" s="245">
        <v>12</v>
      </c>
      <c r="F85" s="326">
        <f>'Piranha Duiken'!$D85*'Piranha Duiken'!$E85</f>
        <v>12</v>
      </c>
      <c r="G85" s="245">
        <v>3</v>
      </c>
      <c r="H85" s="332">
        <v>125</v>
      </c>
      <c r="I85" s="333">
        <f t="shared" si="2"/>
        <v>1500</v>
      </c>
      <c r="J85" s="247" t="s">
        <v>1436</v>
      </c>
      <c r="K85" s="562"/>
      <c r="L85" s="562"/>
      <c r="M85" s="562"/>
      <c r="N85" s="562"/>
      <c r="O85" s="614"/>
      <c r="P85" s="566"/>
      <c r="Q85" s="567"/>
      <c r="R85" s="16"/>
      <c r="S85" s="16"/>
      <c r="V85" s="16"/>
      <c r="W85" s="16"/>
      <c r="X85" s="16"/>
      <c r="Y85" s="16"/>
      <c r="Z85" s="16"/>
      <c r="AA85" s="16"/>
    </row>
    <row r="86" spans="1:30" ht="15.75" customHeight="1">
      <c r="A86" s="231" t="s">
        <v>1437</v>
      </c>
      <c r="B86" s="231" t="s">
        <v>271</v>
      </c>
      <c r="C86" s="232" t="s">
        <v>1438</v>
      </c>
      <c r="D86" s="261">
        <v>2</v>
      </c>
      <c r="E86" s="245">
        <v>13</v>
      </c>
      <c r="F86" s="326">
        <f>'Piranha Duiken'!$D86*'Piranha Duiken'!$E86</f>
        <v>26</v>
      </c>
      <c r="G86" s="245">
        <v>3</v>
      </c>
      <c r="H86" s="332">
        <f>IF($B86= "","-",IF($B86= "External","Specify location tariff", INDEX(Constants!$3:$3,MATCH($B86,Constants!$2:$2,0))))</f>
        <v>70</v>
      </c>
      <c r="I86" s="333">
        <f t="shared" si="2"/>
        <v>1820</v>
      </c>
      <c r="J86" s="247" t="s">
        <v>1439</v>
      </c>
      <c r="K86" s="562"/>
      <c r="L86" s="562"/>
      <c r="M86" s="562"/>
      <c r="N86" s="562"/>
      <c r="O86" s="614"/>
      <c r="P86" s="566"/>
      <c r="Q86" s="567"/>
      <c r="R86" s="16"/>
      <c r="S86" s="16"/>
      <c r="V86" s="16"/>
      <c r="W86" s="16"/>
      <c r="X86" s="16"/>
      <c r="Y86" s="16"/>
      <c r="Z86" s="16"/>
      <c r="AA86" s="16"/>
    </row>
    <row r="87" spans="1:30" ht="15.75" customHeight="1">
      <c r="A87" s="319" t="s">
        <v>1440</v>
      </c>
      <c r="B87" s="231" t="s">
        <v>271</v>
      </c>
      <c r="C87" s="232" t="s">
        <v>861</v>
      </c>
      <c r="D87" s="261">
        <v>1</v>
      </c>
      <c r="E87" s="245">
        <v>13</v>
      </c>
      <c r="F87" s="326">
        <f>'Piranha Duiken'!$D87*'Piranha Duiken'!$E87</f>
        <v>13</v>
      </c>
      <c r="G87" s="245">
        <v>3</v>
      </c>
      <c r="H87" s="332">
        <f>IF($B87= "","-",IF($B87= "External","Specify location tariff", INDEX(Constants!$3:$3,MATCH($B87,Constants!$2:$2,0))))</f>
        <v>70</v>
      </c>
      <c r="I87" s="333">
        <f t="shared" si="2"/>
        <v>910</v>
      </c>
      <c r="J87" s="247"/>
      <c r="K87" s="562"/>
      <c r="L87" s="562"/>
      <c r="M87" s="562"/>
      <c r="N87" s="562"/>
      <c r="O87" s="614"/>
      <c r="P87" s="566"/>
      <c r="Q87" s="567"/>
      <c r="R87" s="16"/>
      <c r="S87" s="16"/>
      <c r="V87" s="16"/>
      <c r="W87" s="16"/>
      <c r="X87" s="16"/>
      <c r="Y87" s="16"/>
      <c r="Z87" s="16"/>
      <c r="AA87" s="16"/>
    </row>
    <row r="88" spans="1:30" ht="15.75" customHeight="1">
      <c r="A88" s="231"/>
      <c r="B88" s="231"/>
      <c r="C88" s="232"/>
      <c r="D88" s="261"/>
      <c r="E88" s="245"/>
      <c r="F88" s="326">
        <f>'Piranha Duiken'!$D88*'Piranha Duiken'!$E88</f>
        <v>0</v>
      </c>
      <c r="G88" s="245"/>
      <c r="H88" s="332" t="str">
        <f>IF($B88= "","-",IF($B88= "External","Specify location tariff", INDEX(Constants!$3:$3,MATCH($B88,Constants!$2:$2,0))))</f>
        <v>-</v>
      </c>
      <c r="I88" s="333" t="str">
        <f t="shared" si="2"/>
        <v>-</v>
      </c>
      <c r="J88" s="247"/>
      <c r="K88" s="562"/>
      <c r="L88" s="562"/>
      <c r="M88" s="562"/>
      <c r="N88" s="562"/>
      <c r="O88" s="614"/>
      <c r="P88" s="566"/>
      <c r="Q88" s="567"/>
      <c r="R88" s="16"/>
      <c r="S88" s="16"/>
      <c r="V88" s="16"/>
      <c r="W88" s="16"/>
      <c r="X88" s="16"/>
      <c r="Y88" s="16"/>
      <c r="Z88" s="16"/>
      <c r="AA88" s="16"/>
    </row>
    <row r="89" spans="1:30" ht="15.75" customHeight="1">
      <c r="A89" s="231"/>
      <c r="B89" s="231"/>
      <c r="C89" s="232"/>
      <c r="D89" s="261"/>
      <c r="E89" s="245"/>
      <c r="F89" s="326">
        <f>'Piranha Duiken'!$D89*'Piranha Duiken'!$E89</f>
        <v>0</v>
      </c>
      <c r="G89" s="245"/>
      <c r="H89" s="332" t="str">
        <f>IF($B89= "","-",IF($B89= "External","Specify location tariff", INDEX(Constants!$3:$3,MATCH($B89,Constants!$2:$2,0))))</f>
        <v>-</v>
      </c>
      <c r="I89" s="333" t="str">
        <f t="shared" si="2"/>
        <v>-</v>
      </c>
      <c r="J89" s="247"/>
      <c r="K89" s="562"/>
      <c r="L89" s="562"/>
      <c r="M89" s="562"/>
      <c r="N89" s="562"/>
      <c r="O89" s="614"/>
      <c r="P89" s="566"/>
      <c r="Q89" s="567"/>
      <c r="R89" s="16"/>
      <c r="S89" s="16"/>
      <c r="V89" s="16"/>
      <c r="W89" s="16"/>
      <c r="X89" s="16"/>
      <c r="Y89" s="16"/>
      <c r="Z89" s="16"/>
      <c r="AA89" s="16"/>
    </row>
    <row r="90" spans="1:30" ht="15.75" customHeight="1">
      <c r="A90" s="231"/>
      <c r="B90" s="231"/>
      <c r="C90" s="232"/>
      <c r="D90" s="261"/>
      <c r="E90" s="245"/>
      <c r="F90" s="326">
        <f>'Piranha Duiken'!$D90*'Piranha Duiken'!$E90</f>
        <v>0</v>
      </c>
      <c r="G90" s="245"/>
      <c r="H90" s="332" t="str">
        <f>IF($B90= "","-",IF($B90= "External","Specify location tariff", INDEX(Constants!$3:$3,MATCH($B90,Constants!$2:$2,0))))</f>
        <v>-</v>
      </c>
      <c r="I90" s="333" t="str">
        <f t="shared" si="2"/>
        <v>-</v>
      </c>
      <c r="J90" s="247"/>
      <c r="K90" s="562"/>
      <c r="L90" s="562"/>
      <c r="M90" s="562"/>
      <c r="N90" s="562"/>
      <c r="O90" s="614"/>
      <c r="P90" s="566"/>
      <c r="Q90" s="567"/>
      <c r="R90" s="16"/>
      <c r="S90" s="16"/>
      <c r="V90" s="16"/>
      <c r="W90" s="16"/>
      <c r="X90" s="16"/>
      <c r="Y90" s="16"/>
      <c r="Z90" s="16"/>
      <c r="AA90" s="16"/>
    </row>
    <row r="91" spans="1:30" ht="15.75" customHeight="1">
      <c r="A91" s="231"/>
      <c r="B91" s="231"/>
      <c r="C91" s="232"/>
      <c r="D91" s="261"/>
      <c r="E91" s="245"/>
      <c r="F91" s="326">
        <f>'Piranha Duiken'!$D91*'Piranha Duiken'!$E91</f>
        <v>0</v>
      </c>
      <c r="G91" s="245"/>
      <c r="H91" s="332" t="str">
        <f>IF($B91= "","-",IF($B91= "External","Specify location tariff", INDEX(Constants!$3:$3,MATCH($B91,Constants!$2:$2,0))))</f>
        <v>-</v>
      </c>
      <c r="I91" s="333" t="str">
        <f t="shared" si="2"/>
        <v>-</v>
      </c>
      <c r="J91" s="247"/>
      <c r="K91" s="562"/>
      <c r="L91" s="562"/>
      <c r="M91" s="562"/>
      <c r="N91" s="562"/>
      <c r="O91" s="614"/>
      <c r="P91" s="566"/>
      <c r="Q91" s="567"/>
      <c r="R91" s="16"/>
      <c r="S91" s="16"/>
      <c r="V91" s="16"/>
      <c r="W91" s="16"/>
      <c r="X91" s="16"/>
      <c r="Y91" s="16"/>
      <c r="Z91" s="16"/>
      <c r="AA91" s="16"/>
    </row>
    <row r="92" spans="1:30" ht="15.75" customHeight="1">
      <c r="A92" s="231"/>
      <c r="B92" s="231"/>
      <c r="C92" s="232"/>
      <c r="D92" s="261"/>
      <c r="E92" s="245"/>
      <c r="F92" s="326">
        <f>'Piranha Duiken'!$D92*'Piranha Duiken'!$E92</f>
        <v>0</v>
      </c>
      <c r="G92" s="245"/>
      <c r="H92" s="332" t="str">
        <f>IF($B92= "","-",IF($B92= "External","Specify location tariff", INDEX(Constants!$3:$3,MATCH($B92,Constants!$2:$2,0))))</f>
        <v>-</v>
      </c>
      <c r="I92" s="333" t="str">
        <f t="shared" si="2"/>
        <v>-</v>
      </c>
      <c r="J92" s="247"/>
      <c r="K92" s="562"/>
      <c r="L92" s="562"/>
      <c r="M92" s="562"/>
      <c r="N92" s="562"/>
      <c r="O92" s="614"/>
      <c r="P92" s="566"/>
      <c r="Q92" s="567"/>
      <c r="R92" s="16"/>
      <c r="S92" s="16"/>
      <c r="V92" s="16"/>
      <c r="W92" s="16"/>
      <c r="X92" s="16"/>
      <c r="Y92" s="16"/>
      <c r="Z92" s="16"/>
      <c r="AA92" s="16"/>
    </row>
    <row r="93" spans="1:30" ht="15.75" customHeight="1">
      <c r="A93" s="231"/>
      <c r="B93" s="231"/>
      <c r="C93" s="232"/>
      <c r="D93" s="261"/>
      <c r="E93" s="245"/>
      <c r="F93" s="326">
        <f>'Piranha Duiken'!$D93*'Piranha Duiken'!$E93</f>
        <v>0</v>
      </c>
      <c r="G93" s="245"/>
      <c r="H93" s="332" t="str">
        <f>IF($B93= "","-",IF($B93= "External","Specify location tariff", INDEX(Constants!$3:$3,MATCH($B93,Constants!$2:$2,0))))</f>
        <v>-</v>
      </c>
      <c r="I93" s="333" t="str">
        <f t="shared" si="2"/>
        <v>-</v>
      </c>
      <c r="J93" s="247"/>
      <c r="K93" s="562"/>
      <c r="L93" s="562"/>
      <c r="M93" s="562"/>
      <c r="N93" s="562"/>
      <c r="O93" s="614"/>
      <c r="P93" s="566"/>
      <c r="Q93" s="567"/>
      <c r="R93" s="16"/>
      <c r="S93" s="16"/>
      <c r="V93" s="16"/>
      <c r="W93" s="16"/>
      <c r="X93" s="16"/>
      <c r="Y93" s="16"/>
      <c r="Z93" s="16"/>
      <c r="AA93" s="16"/>
    </row>
    <row r="94" spans="1:30" ht="15.75" customHeight="1">
      <c r="A94" s="231"/>
      <c r="B94" s="231"/>
      <c r="C94" s="232"/>
      <c r="D94" s="261"/>
      <c r="E94" s="245"/>
      <c r="F94" s="326">
        <f>'Piranha Duiken'!$D94*'Piranha Duiken'!$E94</f>
        <v>0</v>
      </c>
      <c r="G94" s="245"/>
      <c r="H94" s="332" t="str">
        <f>IF($B94= "","-",IF($B94= "External","Specify location tariff", INDEX(Constants!$3:$3,MATCH($B94,Constants!$2:$2,0))))</f>
        <v>-</v>
      </c>
      <c r="I94" s="333" t="str">
        <f t="shared" si="2"/>
        <v>-</v>
      </c>
      <c r="J94" s="247"/>
      <c r="K94" s="562"/>
      <c r="L94" s="562"/>
      <c r="M94" s="562"/>
      <c r="N94" s="562"/>
      <c r="O94" s="614"/>
      <c r="P94" s="566"/>
      <c r="Q94" s="567"/>
      <c r="R94" s="16"/>
      <c r="S94" s="16"/>
      <c r="V94" s="16"/>
      <c r="W94" s="16"/>
      <c r="X94" s="16"/>
      <c r="Y94" s="16"/>
      <c r="Z94" s="16"/>
      <c r="AA94" s="16"/>
    </row>
    <row r="95" spans="1:30" ht="15.75" customHeight="1">
      <c r="A95" s="231"/>
      <c r="B95" s="231"/>
      <c r="C95" s="232"/>
      <c r="D95" s="261"/>
      <c r="E95" s="245"/>
      <c r="F95" s="326">
        <f>'Piranha Duiken'!$D95*'Piranha Duiken'!$E95</f>
        <v>0</v>
      </c>
      <c r="G95" s="245"/>
      <c r="H95" s="332" t="str">
        <f>IF($B95= "","-",IF($B95= "External","Specify location tariff", INDEX(Constants!$3:$3,MATCH($B95,Constants!$2:$2,0))))</f>
        <v>-</v>
      </c>
      <c r="I95" s="333" t="str">
        <f t="shared" si="2"/>
        <v>-</v>
      </c>
      <c r="J95" s="247"/>
      <c r="K95" s="562"/>
      <c r="L95" s="562"/>
      <c r="M95" s="562"/>
      <c r="N95" s="562"/>
      <c r="O95" s="614"/>
      <c r="P95" s="566"/>
      <c r="Q95" s="567"/>
      <c r="R95" s="16"/>
      <c r="S95" s="16"/>
      <c r="V95" s="16"/>
      <c r="W95" s="16"/>
      <c r="X95" s="16"/>
      <c r="Y95" s="16"/>
      <c r="Z95" s="16"/>
      <c r="AA95" s="16"/>
    </row>
    <row r="96" spans="1:30" ht="15.75" customHeight="1">
      <c r="A96" s="231"/>
      <c r="B96" s="231"/>
      <c r="C96" s="232"/>
      <c r="D96" s="261"/>
      <c r="E96" s="245"/>
      <c r="F96" s="326">
        <f>'Piranha Duiken'!$D96*'Piranha Duiken'!$E96</f>
        <v>0</v>
      </c>
      <c r="G96" s="245"/>
      <c r="H96" s="332" t="str">
        <f>IF($B96= "","-",IF($B96= "External","Specify location tariff", INDEX(Constants!$3:$3,MATCH($B96,Constants!$2:$2,0))))</f>
        <v>-</v>
      </c>
      <c r="I96" s="333" t="str">
        <f t="shared" si="2"/>
        <v>-</v>
      </c>
      <c r="J96" s="247"/>
      <c r="K96" s="562"/>
      <c r="L96" s="562"/>
      <c r="M96" s="562"/>
      <c r="N96" s="562"/>
      <c r="O96" s="614"/>
      <c r="P96" s="566"/>
      <c r="Q96" s="567"/>
      <c r="R96" s="16"/>
      <c r="S96" s="16"/>
      <c r="V96" s="16"/>
      <c r="W96" s="16"/>
      <c r="X96" s="16"/>
      <c r="Y96" s="16"/>
      <c r="Z96" s="16"/>
      <c r="AA96" s="16"/>
    </row>
    <row r="97" spans="1:30" ht="15.75" customHeight="1">
      <c r="A97" s="231"/>
      <c r="B97" s="231"/>
      <c r="C97" s="232"/>
      <c r="D97" s="261"/>
      <c r="E97" s="245"/>
      <c r="F97" s="326">
        <f>'Piranha Duiken'!$D97*'Piranha Duiken'!$E97</f>
        <v>0</v>
      </c>
      <c r="G97" s="245"/>
      <c r="H97" s="332" t="str">
        <f>IF($B97= "","-",IF($B97= "External","Specify location tariff", INDEX(Constants!$3:$3,MATCH($B97,Constants!$2:$2,0))))</f>
        <v>-</v>
      </c>
      <c r="I97" s="333" t="str">
        <f t="shared" si="2"/>
        <v>-</v>
      </c>
      <c r="J97" s="247"/>
      <c r="K97" s="562"/>
      <c r="L97" s="562"/>
      <c r="M97" s="562"/>
      <c r="N97" s="562"/>
      <c r="O97" s="614"/>
      <c r="P97" s="566"/>
      <c r="Q97" s="567"/>
      <c r="R97" s="16"/>
      <c r="S97" s="16"/>
      <c r="V97" s="16"/>
      <c r="W97" s="16"/>
      <c r="X97" s="16"/>
      <c r="Y97" s="16"/>
      <c r="Z97" s="16"/>
      <c r="AA97" s="16"/>
    </row>
    <row r="98" spans="1:30" ht="15.75" customHeight="1">
      <c r="A98" s="231"/>
      <c r="B98" s="231"/>
      <c r="C98" s="232"/>
      <c r="D98" s="261"/>
      <c r="E98" s="245"/>
      <c r="F98" s="326">
        <f>'Piranha Duiken'!$D98*'Piranha Duiken'!$E98</f>
        <v>0</v>
      </c>
      <c r="G98" s="245"/>
      <c r="H98" s="332" t="str">
        <f>IF($B98= "","-",IF($B98= "External","Specify location tariff", INDEX(Constants!$3:$3,MATCH($B98,Constants!$2:$2,0))))</f>
        <v>-</v>
      </c>
      <c r="I98" s="333" t="str">
        <f t="shared" si="2"/>
        <v>-</v>
      </c>
      <c r="J98" s="247"/>
      <c r="K98" s="562"/>
      <c r="L98" s="562"/>
      <c r="M98" s="562"/>
      <c r="N98" s="562"/>
      <c r="O98" s="614"/>
      <c r="P98" s="566"/>
      <c r="Q98" s="567"/>
      <c r="R98" s="16"/>
      <c r="S98" s="16"/>
      <c r="V98" s="16"/>
      <c r="W98" s="16"/>
      <c r="X98" s="16"/>
      <c r="Y98" s="16"/>
      <c r="Z98" s="16"/>
      <c r="AA98" s="16"/>
    </row>
    <row r="99" spans="1:30" ht="15.75" customHeight="1">
      <c r="A99" s="231"/>
      <c r="B99" s="231"/>
      <c r="C99" s="232"/>
      <c r="D99" s="261"/>
      <c r="E99" s="245"/>
      <c r="F99" s="326">
        <f>'Piranha Duiken'!$D99*'Piranha Duiken'!$E99</f>
        <v>0</v>
      </c>
      <c r="G99" s="245"/>
      <c r="H99" s="332" t="str">
        <f>IF($B99= "","-",IF($B99= "External","Specify location tariff", INDEX(Constants!$3:$3,MATCH($B99,Constants!$2:$2,0))))</f>
        <v>-</v>
      </c>
      <c r="I99" s="333" t="str">
        <f t="shared" si="2"/>
        <v>-</v>
      </c>
      <c r="J99" s="247"/>
      <c r="K99" s="562"/>
      <c r="L99" s="562"/>
      <c r="M99" s="562"/>
      <c r="N99" s="562"/>
      <c r="O99" s="614"/>
      <c r="P99" s="566"/>
      <c r="Q99" s="567"/>
      <c r="R99" s="16"/>
      <c r="S99" s="16"/>
      <c r="V99" s="16"/>
      <c r="W99" s="16"/>
      <c r="X99" s="16"/>
      <c r="Y99" s="16"/>
      <c r="Z99" s="16"/>
      <c r="AA99" s="16"/>
    </row>
    <row r="100" spans="1:30" ht="15.75" customHeight="1" thickBot="1">
      <c r="A100" s="231"/>
      <c r="B100" s="231"/>
      <c r="C100" s="232"/>
      <c r="D100" s="261"/>
      <c r="E100" s="245"/>
      <c r="F100" s="326">
        <f>'Piranha Duiken'!$D100*'Piranha Duiken'!$E100</f>
        <v>0</v>
      </c>
      <c r="G100" s="245"/>
      <c r="H100" s="332" t="str">
        <f>IF($B100= "","-",IF($B100= "External","Specify location tariff", INDEX(Constants!$3:$3,MATCH($B100,Constants!$2:$2,0))))</f>
        <v>-</v>
      </c>
      <c r="I100" s="333" t="str">
        <f t="shared" si="2"/>
        <v>-</v>
      </c>
      <c r="J100" s="247"/>
      <c r="K100" s="616"/>
      <c r="L100" s="616"/>
      <c r="M100" s="616"/>
      <c r="N100" s="616"/>
      <c r="O100" s="617"/>
      <c r="P100" s="568"/>
      <c r="Q100" s="569"/>
      <c r="R100" s="16"/>
      <c r="S100" s="16"/>
      <c r="V100" s="16"/>
      <c r="W100" s="16"/>
      <c r="X100" s="16"/>
      <c r="Y100" s="16"/>
      <c r="Z100" s="16"/>
      <c r="AA100" s="16"/>
    </row>
    <row r="101" spans="1:30" ht="15.75" customHeight="1" thickTop="1">
      <c r="A101" s="15"/>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c r="AA101" s="16"/>
      <c r="AB101" s="16"/>
      <c r="AC101" s="16"/>
      <c r="AD101" s="16"/>
    </row>
    <row r="102" spans="1:30" ht="15.75" customHeight="1">
      <c r="A102" s="15"/>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c r="AA102" s="16"/>
      <c r="AB102" s="16"/>
      <c r="AC102" s="16"/>
      <c r="AD102" s="16"/>
    </row>
    <row r="103" spans="1:30" ht="15.75" customHeight="1" thickBot="1">
      <c r="A103" s="186" t="s">
        <v>519</v>
      </c>
      <c r="B103" s="16"/>
      <c r="C103" s="128"/>
      <c r="D103" s="51"/>
      <c r="E103" s="51"/>
      <c r="F103" s="51"/>
      <c r="G103" s="51"/>
      <c r="H103" s="51"/>
      <c r="I103" s="51"/>
      <c r="J103" s="51"/>
      <c r="K103" s="51"/>
      <c r="L103" s="232"/>
      <c r="M103" s="231"/>
      <c r="N103" s="231"/>
      <c r="O103" s="16"/>
      <c r="P103" s="16"/>
      <c r="Q103" s="16"/>
      <c r="R103" s="16"/>
      <c r="S103" s="16"/>
      <c r="T103" s="16"/>
      <c r="U103" s="16"/>
      <c r="V103" s="16"/>
      <c r="W103" s="16"/>
      <c r="X103" s="16"/>
      <c r="Y103" s="16"/>
      <c r="Z103" s="16"/>
      <c r="AA103" s="16"/>
      <c r="AB103" s="16"/>
      <c r="AC103" s="16"/>
      <c r="AD103" s="16"/>
    </row>
    <row r="104" spans="1:30" ht="15" customHeight="1" thickTop="1" thickBot="1">
      <c r="A104" s="230" t="s">
        <v>438</v>
      </c>
      <c r="B104" s="230" t="s">
        <v>439</v>
      </c>
      <c r="C104" s="230" t="s">
        <v>520</v>
      </c>
      <c r="D104" s="230" t="s">
        <v>521</v>
      </c>
      <c r="E104" s="230" t="s">
        <v>522</v>
      </c>
      <c r="F104" s="230" t="s">
        <v>523</v>
      </c>
      <c r="G104" s="230" t="s">
        <v>508</v>
      </c>
      <c r="H104" s="721" t="s">
        <v>441</v>
      </c>
      <c r="I104" s="728"/>
      <c r="J104" s="729" t="s">
        <v>434</v>
      </c>
      <c r="K104" s="730"/>
      <c r="L104" s="16"/>
      <c r="M104" s="16"/>
      <c r="N104" s="16"/>
      <c r="O104" s="16"/>
      <c r="P104" s="117"/>
      <c r="Q104" s="15"/>
      <c r="R104" s="16"/>
      <c r="S104" s="130"/>
      <c r="T104" s="16"/>
      <c r="U104" s="16"/>
      <c r="V104" s="16"/>
      <c r="W104" s="241"/>
      <c r="X104" s="16"/>
      <c r="Y104" s="16"/>
      <c r="Z104" s="16"/>
      <c r="AA104" s="16"/>
      <c r="AB104" s="16"/>
    </row>
    <row r="105" spans="1:30" ht="15" customHeight="1" thickTop="1">
      <c r="A105" s="244" t="s">
        <v>1441</v>
      </c>
      <c r="B105" s="244" t="s">
        <v>528</v>
      </c>
      <c r="C105" s="339">
        <v>209</v>
      </c>
      <c r="D105" s="394">
        <v>25</v>
      </c>
      <c r="E105" s="338">
        <v>25</v>
      </c>
      <c r="F105" s="339">
        <v>209</v>
      </c>
      <c r="G105" s="247"/>
      <c r="H105" s="606"/>
      <c r="I105" s="595"/>
      <c r="J105" s="576" t="s">
        <v>526</v>
      </c>
      <c r="K105" s="577"/>
      <c r="L105" s="16"/>
      <c r="M105" s="16"/>
      <c r="N105" s="16"/>
      <c r="O105" s="16"/>
      <c r="P105" s="117"/>
      <c r="Q105" s="15"/>
      <c r="R105" s="16"/>
      <c r="S105" s="130"/>
      <c r="T105" s="16"/>
      <c r="U105" s="16"/>
      <c r="V105" s="16"/>
      <c r="W105" s="241"/>
      <c r="X105" s="16"/>
      <c r="Y105" s="16"/>
      <c r="Z105" s="16"/>
      <c r="AA105" s="16"/>
      <c r="AB105" s="16"/>
    </row>
    <row r="106" spans="1:30" ht="15" customHeight="1">
      <c r="A106" s="244" t="s">
        <v>1442</v>
      </c>
      <c r="B106" s="244" t="s">
        <v>528</v>
      </c>
      <c r="C106" s="339">
        <v>212</v>
      </c>
      <c r="D106" s="394">
        <v>10</v>
      </c>
      <c r="E106" s="338">
        <v>24</v>
      </c>
      <c r="F106" s="339">
        <v>508</v>
      </c>
      <c r="G106" s="247"/>
      <c r="H106" s="589"/>
      <c r="I106" s="597"/>
      <c r="J106" s="578"/>
      <c r="K106" s="579"/>
      <c r="L106" s="16"/>
      <c r="M106" s="16"/>
      <c r="N106" s="16"/>
      <c r="O106" s="16"/>
      <c r="P106" s="117"/>
      <c r="Q106" s="15"/>
      <c r="R106" s="16"/>
      <c r="S106" s="130"/>
      <c r="T106" s="16"/>
      <c r="U106" s="16"/>
      <c r="V106" s="16"/>
      <c r="W106" s="241"/>
      <c r="X106" s="16"/>
      <c r="Y106" s="16"/>
      <c r="Z106" s="16"/>
      <c r="AA106" s="16"/>
      <c r="AB106" s="16"/>
    </row>
    <row r="107" spans="1:30" ht="15" customHeight="1">
      <c r="A107" s="244"/>
      <c r="B107" s="244"/>
      <c r="C107" s="331"/>
      <c r="D107" s="404"/>
      <c r="E107" s="337"/>
      <c r="F107" s="331"/>
      <c r="G107" s="247"/>
      <c r="H107" s="589"/>
      <c r="I107" s="597"/>
      <c r="J107" s="578"/>
      <c r="K107" s="579"/>
      <c r="L107" s="16"/>
      <c r="M107" s="16"/>
      <c r="N107" s="16"/>
      <c r="O107" s="16"/>
      <c r="P107" s="117"/>
      <c r="Q107" s="15"/>
      <c r="R107" s="16"/>
      <c r="S107" s="130"/>
      <c r="T107" s="16"/>
      <c r="U107" s="16"/>
      <c r="V107" s="16"/>
      <c r="W107" s="241"/>
      <c r="X107" s="16"/>
      <c r="Y107" s="16"/>
      <c r="Z107" s="16"/>
      <c r="AA107" s="16"/>
      <c r="AB107" s="16"/>
    </row>
    <row r="108" spans="1:30" ht="15" customHeight="1">
      <c r="A108" s="244" t="s">
        <v>1443</v>
      </c>
      <c r="B108" s="244"/>
      <c r="C108" s="331"/>
      <c r="D108" s="404"/>
      <c r="E108" s="337"/>
      <c r="F108" s="331"/>
      <c r="G108" s="247"/>
      <c r="H108" s="589"/>
      <c r="I108" s="597"/>
      <c r="J108" s="578"/>
      <c r="K108" s="579"/>
      <c r="L108" s="16"/>
      <c r="M108" s="16"/>
      <c r="N108" s="16"/>
      <c r="O108" s="16"/>
      <c r="P108" s="117"/>
      <c r="Q108" s="15"/>
      <c r="R108" s="16"/>
      <c r="S108" s="130"/>
      <c r="T108" s="16"/>
      <c r="U108" s="16"/>
      <c r="V108" s="16"/>
      <c r="W108" s="241"/>
      <c r="X108" s="16"/>
      <c r="Y108" s="16"/>
      <c r="Z108" s="16"/>
      <c r="AA108" s="16"/>
      <c r="AB108" s="16"/>
    </row>
    <row r="109" spans="1:30" ht="15" customHeight="1">
      <c r="A109" s="244" t="s">
        <v>1444</v>
      </c>
      <c r="B109" s="244" t="s">
        <v>528</v>
      </c>
      <c r="C109" s="339">
        <v>218</v>
      </c>
      <c r="D109" s="394">
        <v>6</v>
      </c>
      <c r="E109" s="338">
        <v>30</v>
      </c>
      <c r="F109" s="339">
        <v>1091</v>
      </c>
      <c r="G109" s="247"/>
      <c r="H109" s="589"/>
      <c r="I109" s="597"/>
      <c r="J109" s="578"/>
      <c r="K109" s="579"/>
      <c r="L109" s="16"/>
      <c r="M109" s="16"/>
      <c r="N109" s="16"/>
      <c r="O109" s="16"/>
      <c r="P109" s="117"/>
      <c r="Q109" s="15"/>
      <c r="R109" s="16"/>
      <c r="S109" s="130"/>
      <c r="T109" s="16"/>
      <c r="U109" s="16"/>
      <c r="V109" s="16"/>
      <c r="W109" s="241"/>
      <c r="X109" s="16"/>
      <c r="Y109" s="16"/>
      <c r="Z109" s="16"/>
      <c r="AA109" s="16"/>
      <c r="AB109" s="16"/>
    </row>
    <row r="110" spans="1:30" ht="15" customHeight="1">
      <c r="A110" s="244" t="s">
        <v>1445</v>
      </c>
      <c r="B110" s="244" t="s">
        <v>528</v>
      </c>
      <c r="C110" s="339">
        <v>708</v>
      </c>
      <c r="D110" s="394">
        <v>5</v>
      </c>
      <c r="E110" s="338">
        <v>4</v>
      </c>
      <c r="F110" s="339">
        <v>566</v>
      </c>
      <c r="G110" s="247"/>
      <c r="H110" s="589"/>
      <c r="I110" s="597"/>
      <c r="J110" s="578"/>
      <c r="K110" s="579"/>
      <c r="L110" s="16"/>
      <c r="M110" s="16"/>
      <c r="N110" s="16"/>
      <c r="O110" s="16"/>
      <c r="P110" s="117"/>
      <c r="Q110" s="15"/>
      <c r="R110" s="16"/>
      <c r="S110" s="130"/>
      <c r="T110" s="16"/>
      <c r="U110" s="16"/>
      <c r="V110" s="16"/>
      <c r="W110" s="241"/>
      <c r="X110" s="16"/>
      <c r="Y110" s="16"/>
      <c r="Z110" s="16"/>
      <c r="AA110" s="16"/>
      <c r="AB110" s="16"/>
    </row>
    <row r="111" spans="1:30" ht="15" customHeight="1">
      <c r="A111" s="244" t="s">
        <v>1446</v>
      </c>
      <c r="B111" s="244" t="s">
        <v>528</v>
      </c>
      <c r="C111" s="339">
        <v>149</v>
      </c>
      <c r="D111" s="394">
        <v>8</v>
      </c>
      <c r="E111" s="338">
        <v>31</v>
      </c>
      <c r="F111" s="339">
        <v>576</v>
      </c>
      <c r="G111" s="247"/>
      <c r="H111" s="589"/>
      <c r="I111" s="597"/>
      <c r="J111" s="578"/>
      <c r="K111" s="579"/>
      <c r="L111" s="16"/>
      <c r="M111" s="16"/>
      <c r="N111" s="16"/>
      <c r="O111" s="16"/>
      <c r="P111" s="117"/>
      <c r="Q111" s="15"/>
      <c r="R111" s="16"/>
      <c r="S111" s="130"/>
      <c r="T111" s="16"/>
      <c r="U111" s="16"/>
      <c r="V111" s="16"/>
      <c r="W111" s="241"/>
      <c r="X111" s="16"/>
      <c r="Y111" s="16"/>
      <c r="Z111" s="16"/>
      <c r="AA111" s="16"/>
      <c r="AB111" s="16"/>
    </row>
    <row r="112" spans="1:30" ht="15" customHeight="1">
      <c r="A112" s="244" t="s">
        <v>1447</v>
      </c>
      <c r="B112" s="244" t="s">
        <v>528</v>
      </c>
      <c r="C112" s="339">
        <v>50</v>
      </c>
      <c r="D112" s="394">
        <v>5</v>
      </c>
      <c r="E112" s="338">
        <v>30</v>
      </c>
      <c r="F112" s="339">
        <v>299</v>
      </c>
      <c r="G112" s="247"/>
      <c r="H112" s="589"/>
      <c r="I112" s="597"/>
      <c r="J112" s="578"/>
      <c r="K112" s="579"/>
      <c r="L112" s="16"/>
      <c r="M112" s="16"/>
      <c r="N112" s="16"/>
      <c r="O112" s="16"/>
      <c r="P112" s="117"/>
      <c r="Q112" s="15"/>
      <c r="R112" s="16"/>
      <c r="S112" s="130"/>
      <c r="T112" s="16"/>
      <c r="U112" s="16"/>
      <c r="V112" s="16"/>
      <c r="W112" s="241"/>
      <c r="X112" s="16"/>
      <c r="Y112" s="16"/>
      <c r="Z112" s="16"/>
      <c r="AA112" s="16"/>
      <c r="AB112" s="16"/>
    </row>
    <row r="113" spans="1:28" ht="15" customHeight="1">
      <c r="A113" s="244" t="s">
        <v>1108</v>
      </c>
      <c r="B113" s="244" t="s">
        <v>528</v>
      </c>
      <c r="C113" s="339">
        <v>57</v>
      </c>
      <c r="D113" s="404" t="s">
        <v>1448</v>
      </c>
      <c r="E113" s="338">
        <v>20</v>
      </c>
      <c r="F113" s="339">
        <v>458</v>
      </c>
      <c r="G113" s="247"/>
      <c r="H113" s="589"/>
      <c r="I113" s="597"/>
      <c r="J113" s="578"/>
      <c r="K113" s="579"/>
      <c r="L113" s="16"/>
      <c r="M113" s="16"/>
      <c r="N113" s="16"/>
      <c r="O113" s="16"/>
      <c r="P113" s="117"/>
      <c r="Q113" s="15"/>
      <c r="R113" s="16"/>
      <c r="S113" s="130"/>
      <c r="T113" s="16"/>
      <c r="U113" s="16"/>
      <c r="V113" s="16"/>
      <c r="W113" s="241"/>
      <c r="X113" s="16"/>
      <c r="Y113" s="16"/>
      <c r="Z113" s="16"/>
      <c r="AA113" s="16"/>
      <c r="AB113" s="16"/>
    </row>
    <row r="114" spans="1:28" ht="15" customHeight="1">
      <c r="A114" s="244" t="s">
        <v>1449</v>
      </c>
      <c r="B114" s="244" t="s">
        <v>528</v>
      </c>
      <c r="C114" s="339">
        <v>112</v>
      </c>
      <c r="D114" s="394">
        <v>5</v>
      </c>
      <c r="E114" s="338">
        <v>16</v>
      </c>
      <c r="F114" s="339">
        <v>357</v>
      </c>
      <c r="G114" s="247"/>
      <c r="H114" s="589"/>
      <c r="I114" s="597"/>
      <c r="J114" s="578"/>
      <c r="K114" s="579"/>
      <c r="L114" s="16"/>
      <c r="M114" s="16"/>
      <c r="N114" s="16"/>
      <c r="O114" s="16"/>
      <c r="P114" s="117"/>
      <c r="Q114" s="15"/>
      <c r="R114" s="16"/>
      <c r="S114" s="130"/>
      <c r="T114" s="16"/>
      <c r="U114" s="16"/>
      <c r="V114" s="16"/>
      <c r="W114" s="241"/>
      <c r="X114" s="16"/>
      <c r="Y114" s="16"/>
      <c r="Z114" s="16"/>
      <c r="AA114" s="16"/>
      <c r="AB114" s="16"/>
    </row>
    <row r="115" spans="1:28" ht="15" customHeight="1">
      <c r="A115" s="244" t="s">
        <v>1450</v>
      </c>
      <c r="B115" s="244" t="s">
        <v>528</v>
      </c>
      <c r="C115" s="339">
        <v>13</v>
      </c>
      <c r="D115" s="394">
        <v>10</v>
      </c>
      <c r="E115" s="338">
        <v>65</v>
      </c>
      <c r="F115" s="339">
        <v>88</v>
      </c>
      <c r="G115" s="247"/>
      <c r="H115" s="589"/>
      <c r="I115" s="597"/>
      <c r="J115" s="578"/>
      <c r="K115" s="579"/>
      <c r="L115" s="16"/>
      <c r="M115" s="16"/>
      <c r="N115" s="16"/>
      <c r="O115" s="16"/>
      <c r="P115" s="117"/>
      <c r="Q115" s="15"/>
      <c r="R115" s="16"/>
      <c r="S115" s="130"/>
      <c r="T115" s="16"/>
      <c r="U115" s="16"/>
      <c r="V115" s="16"/>
      <c r="W115" s="241"/>
      <c r="X115" s="16"/>
      <c r="Y115" s="16"/>
      <c r="Z115" s="16"/>
      <c r="AA115" s="16"/>
      <c r="AB115" s="16"/>
    </row>
    <row r="116" spans="1:28" ht="15" customHeight="1">
      <c r="A116" s="244"/>
      <c r="B116" s="244"/>
      <c r="C116" s="331"/>
      <c r="D116" s="404"/>
      <c r="E116" s="337"/>
      <c r="F116" s="331"/>
      <c r="G116" s="247" t="s">
        <v>1451</v>
      </c>
      <c r="H116" s="589"/>
      <c r="I116" s="597"/>
      <c r="J116" s="578"/>
      <c r="K116" s="579"/>
      <c r="L116" s="16"/>
      <c r="M116" s="16"/>
      <c r="N116" s="16"/>
      <c r="O116" s="16"/>
      <c r="P116" s="117"/>
      <c r="Q116" s="15"/>
      <c r="R116" s="16"/>
      <c r="S116" s="130"/>
      <c r="T116" s="16"/>
      <c r="U116" s="16"/>
      <c r="V116" s="16"/>
      <c r="W116" s="241"/>
      <c r="X116" s="16"/>
      <c r="Y116" s="16"/>
      <c r="Z116" s="16"/>
      <c r="AA116" s="16"/>
      <c r="AB116" s="16"/>
    </row>
    <row r="117" spans="1:28" ht="15" customHeight="1">
      <c r="A117" s="244" t="s">
        <v>1452</v>
      </c>
      <c r="B117" s="244"/>
      <c r="C117" s="331"/>
      <c r="D117" s="404"/>
      <c r="E117" s="337"/>
      <c r="F117" s="331"/>
      <c r="G117" s="247"/>
      <c r="H117" s="589"/>
      <c r="I117" s="597"/>
      <c r="J117" s="578"/>
      <c r="K117" s="579"/>
      <c r="L117" s="16"/>
      <c r="M117" s="16"/>
      <c r="N117" s="16"/>
      <c r="O117" s="16"/>
      <c r="P117" s="117"/>
      <c r="Q117" s="15"/>
      <c r="R117" s="16"/>
      <c r="S117" s="130"/>
      <c r="T117" s="16"/>
      <c r="U117" s="16"/>
      <c r="V117" s="16"/>
      <c r="W117" s="241"/>
      <c r="X117" s="16"/>
      <c r="Y117" s="16"/>
      <c r="Z117" s="16"/>
      <c r="AA117" s="16"/>
      <c r="AB117" s="16"/>
    </row>
    <row r="118" spans="1:28" ht="15" customHeight="1">
      <c r="A118" s="244" t="s">
        <v>1453</v>
      </c>
      <c r="B118" s="244" t="s">
        <v>528</v>
      </c>
      <c r="C118" s="339">
        <v>58</v>
      </c>
      <c r="D118" s="394">
        <v>5</v>
      </c>
      <c r="E118" s="338">
        <v>32</v>
      </c>
      <c r="F118" s="339">
        <v>368</v>
      </c>
      <c r="G118" s="247"/>
      <c r="H118" s="589"/>
      <c r="I118" s="597"/>
      <c r="J118" s="578"/>
      <c r="K118" s="579"/>
      <c r="L118" s="16"/>
      <c r="M118" s="16"/>
      <c r="N118" s="16"/>
      <c r="O118" s="16"/>
      <c r="P118" s="117"/>
      <c r="Q118" s="15"/>
      <c r="R118" s="16"/>
      <c r="S118" s="130"/>
      <c r="T118" s="16"/>
      <c r="U118" s="16"/>
      <c r="V118" s="16"/>
      <c r="W118" s="241"/>
      <c r="X118" s="16"/>
      <c r="Y118" s="16"/>
      <c r="Z118" s="16"/>
      <c r="AA118" s="16"/>
      <c r="AB118" s="16"/>
    </row>
    <row r="119" spans="1:28" ht="15" customHeight="1">
      <c r="A119" s="244" t="s">
        <v>1454</v>
      </c>
      <c r="B119" s="244" t="s">
        <v>528</v>
      </c>
      <c r="C119" s="339">
        <v>197</v>
      </c>
      <c r="D119" s="394">
        <v>10</v>
      </c>
      <c r="E119" s="338">
        <v>20</v>
      </c>
      <c r="F119" s="339">
        <v>394</v>
      </c>
      <c r="G119" s="247"/>
      <c r="H119" s="589"/>
      <c r="I119" s="597"/>
      <c r="J119" s="578"/>
      <c r="K119" s="579"/>
      <c r="L119" s="16"/>
      <c r="M119" s="16"/>
      <c r="N119" s="16"/>
      <c r="O119" s="16"/>
      <c r="P119" s="117"/>
      <c r="Q119" s="15"/>
      <c r="R119" s="16"/>
      <c r="S119" s="130"/>
      <c r="T119" s="16"/>
      <c r="U119" s="16"/>
      <c r="V119" s="16"/>
      <c r="W119" s="241"/>
      <c r="X119" s="16"/>
      <c r="Y119" s="16"/>
      <c r="Z119" s="16"/>
      <c r="AA119" s="16"/>
      <c r="AB119" s="16"/>
    </row>
    <row r="120" spans="1:28" ht="15" customHeight="1">
      <c r="A120" s="244" t="s">
        <v>1455</v>
      </c>
      <c r="B120" s="244" t="s">
        <v>528</v>
      </c>
      <c r="C120" s="339">
        <v>85</v>
      </c>
      <c r="D120" s="394">
        <v>7</v>
      </c>
      <c r="E120" s="338">
        <v>16</v>
      </c>
      <c r="F120" s="339">
        <v>194</v>
      </c>
      <c r="G120" s="247"/>
      <c r="H120" s="589"/>
      <c r="I120" s="597"/>
      <c r="J120" s="578"/>
      <c r="K120" s="579"/>
      <c r="L120" s="16"/>
      <c r="M120" s="16"/>
      <c r="N120" s="16"/>
      <c r="O120" s="16"/>
      <c r="P120" s="117"/>
      <c r="Q120" s="15"/>
      <c r="R120" s="16"/>
      <c r="S120" s="130"/>
      <c r="T120" s="16"/>
      <c r="U120" s="16"/>
      <c r="V120" s="16"/>
      <c r="W120" s="241"/>
      <c r="X120" s="16"/>
      <c r="Y120" s="16"/>
      <c r="Z120" s="16"/>
      <c r="AA120" s="16"/>
      <c r="AB120" s="16"/>
    </row>
    <row r="121" spans="1:28" ht="15" customHeight="1">
      <c r="A121" s="244" t="s">
        <v>1045</v>
      </c>
      <c r="B121" s="244" t="s">
        <v>528</v>
      </c>
      <c r="C121" s="339">
        <v>60</v>
      </c>
      <c r="D121" s="394">
        <v>10</v>
      </c>
      <c r="E121" s="338">
        <v>20</v>
      </c>
      <c r="F121" s="339">
        <v>119</v>
      </c>
      <c r="G121" s="247"/>
      <c r="H121" s="589"/>
      <c r="I121" s="597"/>
      <c r="J121" s="578"/>
      <c r="K121" s="579"/>
      <c r="L121" s="16"/>
      <c r="M121" s="16"/>
      <c r="N121" s="16"/>
      <c r="O121" s="16"/>
      <c r="P121" s="117"/>
      <c r="Q121" s="15"/>
      <c r="R121" s="16"/>
      <c r="S121" s="130"/>
      <c r="T121" s="16"/>
      <c r="U121" s="16"/>
      <c r="V121" s="16"/>
      <c r="W121" s="241"/>
      <c r="X121" s="16"/>
      <c r="Y121" s="16"/>
      <c r="Z121" s="16"/>
      <c r="AA121" s="16"/>
      <c r="AB121" s="16"/>
    </row>
    <row r="122" spans="1:28" ht="15" customHeight="1">
      <c r="A122" s="244" t="s">
        <v>1456</v>
      </c>
      <c r="B122" s="244" t="s">
        <v>528</v>
      </c>
      <c r="C122" s="339">
        <v>23</v>
      </c>
      <c r="D122" s="394">
        <v>5</v>
      </c>
      <c r="E122" s="338">
        <v>24</v>
      </c>
      <c r="F122" s="339">
        <v>109</v>
      </c>
      <c r="G122" s="247"/>
      <c r="H122" s="589"/>
      <c r="I122" s="597"/>
      <c r="J122" s="578"/>
      <c r="K122" s="579"/>
      <c r="L122" s="16"/>
      <c r="M122" s="16"/>
      <c r="N122" s="16"/>
      <c r="O122" s="16"/>
      <c r="P122" s="117"/>
      <c r="Q122" s="15"/>
      <c r="R122" s="16"/>
      <c r="S122" s="130"/>
      <c r="T122" s="16"/>
      <c r="U122" s="16"/>
      <c r="V122" s="16"/>
      <c r="W122" s="241"/>
      <c r="X122" s="16"/>
      <c r="Y122" s="16"/>
      <c r="Z122" s="16"/>
      <c r="AA122" s="16"/>
      <c r="AB122" s="16"/>
    </row>
    <row r="123" spans="1:28" ht="15" customHeight="1">
      <c r="A123" s="244" t="s">
        <v>1457</v>
      </c>
      <c r="B123" s="244" t="s">
        <v>528</v>
      </c>
      <c r="C123" s="339">
        <v>8</v>
      </c>
      <c r="D123" s="394">
        <v>5</v>
      </c>
      <c r="E123" s="338">
        <v>6</v>
      </c>
      <c r="F123" s="339">
        <v>9</v>
      </c>
      <c r="G123" s="247"/>
      <c r="H123" s="589"/>
      <c r="I123" s="597"/>
      <c r="J123" s="578"/>
      <c r="K123" s="579"/>
      <c r="L123" s="16"/>
      <c r="M123" s="16"/>
      <c r="N123" s="16"/>
      <c r="O123" s="16"/>
      <c r="P123" s="117"/>
      <c r="Q123" s="15"/>
      <c r="R123" s="16"/>
      <c r="S123" s="130"/>
      <c r="T123" s="16"/>
      <c r="U123" s="16"/>
      <c r="V123" s="16"/>
      <c r="W123" s="241"/>
      <c r="X123" s="16"/>
      <c r="Y123" s="16"/>
      <c r="Z123" s="16"/>
      <c r="AA123" s="16"/>
      <c r="AB123" s="16"/>
    </row>
    <row r="124" spans="1:28" ht="15" customHeight="1">
      <c r="A124" s="244" t="s">
        <v>1458</v>
      </c>
      <c r="B124" s="244" t="s">
        <v>528</v>
      </c>
      <c r="C124" s="339">
        <v>48</v>
      </c>
      <c r="D124" s="394">
        <v>5</v>
      </c>
      <c r="E124" s="338">
        <v>12</v>
      </c>
      <c r="F124" s="339">
        <v>115</v>
      </c>
      <c r="G124" s="247"/>
      <c r="H124" s="589"/>
      <c r="I124" s="597"/>
      <c r="J124" s="578"/>
      <c r="K124" s="579"/>
      <c r="L124" s="16"/>
      <c r="M124" s="16"/>
      <c r="N124" s="16"/>
      <c r="O124" s="16"/>
      <c r="P124" s="117"/>
      <c r="Q124" s="15"/>
      <c r="R124" s="16"/>
      <c r="S124" s="130"/>
      <c r="T124" s="16"/>
      <c r="U124" s="16"/>
      <c r="V124" s="16"/>
      <c r="W124" s="241"/>
      <c r="X124" s="16"/>
      <c r="Y124" s="16"/>
      <c r="Z124" s="16"/>
      <c r="AA124" s="16"/>
      <c r="AB124" s="16"/>
    </row>
    <row r="125" spans="1:28" ht="15" customHeight="1">
      <c r="A125" s="244" t="s">
        <v>1459</v>
      </c>
      <c r="B125" s="244" t="s">
        <v>528</v>
      </c>
      <c r="C125" s="339">
        <v>9</v>
      </c>
      <c r="D125" s="394">
        <v>5</v>
      </c>
      <c r="E125" s="338">
        <v>15</v>
      </c>
      <c r="F125" s="339">
        <v>26</v>
      </c>
      <c r="G125" s="247"/>
      <c r="H125" s="589"/>
      <c r="I125" s="597"/>
      <c r="J125" s="578"/>
      <c r="K125" s="579"/>
      <c r="L125" s="16"/>
      <c r="M125" s="16"/>
      <c r="N125" s="16"/>
      <c r="O125" s="16"/>
      <c r="P125" s="117"/>
      <c r="Q125" s="15"/>
      <c r="R125" s="16"/>
      <c r="S125" s="130"/>
      <c r="T125" s="16"/>
      <c r="U125" s="16"/>
      <c r="V125" s="16"/>
      <c r="W125" s="241"/>
      <c r="X125" s="16"/>
      <c r="Y125" s="16"/>
      <c r="Z125" s="16"/>
      <c r="AA125" s="16"/>
      <c r="AB125" s="16"/>
    </row>
    <row r="126" spans="1:28" ht="15" customHeight="1">
      <c r="A126" s="244" t="s">
        <v>1460</v>
      </c>
      <c r="B126" s="244" t="s">
        <v>528</v>
      </c>
      <c r="C126" s="339">
        <v>140</v>
      </c>
      <c r="D126" s="394">
        <v>1</v>
      </c>
      <c r="E126" s="338">
        <v>1</v>
      </c>
      <c r="F126" s="339">
        <v>140</v>
      </c>
      <c r="G126" s="247"/>
      <c r="H126" s="589"/>
      <c r="I126" s="597"/>
      <c r="J126" s="578"/>
      <c r="K126" s="579"/>
      <c r="L126" s="16"/>
      <c r="M126" s="16"/>
      <c r="N126" s="16"/>
      <c r="O126" s="16"/>
      <c r="P126" s="117"/>
      <c r="Q126" s="15"/>
      <c r="R126" s="16"/>
      <c r="S126" s="130"/>
      <c r="T126" s="16"/>
      <c r="U126" s="16"/>
      <c r="V126" s="16"/>
      <c r="W126" s="241"/>
      <c r="X126" s="16"/>
      <c r="Y126" s="16"/>
      <c r="Z126" s="16"/>
      <c r="AA126" s="16"/>
      <c r="AB126" s="16"/>
    </row>
    <row r="127" spans="1:28" ht="15" customHeight="1">
      <c r="A127" s="244" t="s">
        <v>1461</v>
      </c>
      <c r="B127" s="244" t="s">
        <v>528</v>
      </c>
      <c r="C127" s="339">
        <v>40</v>
      </c>
      <c r="D127" s="394">
        <v>13</v>
      </c>
      <c r="E127" s="338">
        <v>200</v>
      </c>
      <c r="F127" s="339">
        <v>620</v>
      </c>
      <c r="G127" s="247"/>
      <c r="H127" s="589"/>
      <c r="I127" s="597"/>
      <c r="J127" s="578"/>
      <c r="K127" s="579"/>
      <c r="L127" s="16"/>
      <c r="M127" s="16"/>
      <c r="N127" s="16"/>
      <c r="O127" s="16"/>
      <c r="P127" s="117"/>
      <c r="Q127" s="15"/>
      <c r="R127" s="16"/>
      <c r="S127" s="130"/>
      <c r="T127" s="16"/>
      <c r="U127" s="16"/>
      <c r="V127" s="16"/>
      <c r="W127" s="241"/>
      <c r="X127" s="16"/>
      <c r="Y127" s="16"/>
      <c r="Z127" s="16"/>
      <c r="AA127" s="16"/>
      <c r="AB127" s="16"/>
    </row>
    <row r="128" spans="1:28" ht="15" customHeight="1">
      <c r="A128" s="244" t="s">
        <v>1462</v>
      </c>
      <c r="B128" s="244" t="s">
        <v>528</v>
      </c>
      <c r="C128" s="339">
        <v>16</v>
      </c>
      <c r="D128" s="394">
        <v>5</v>
      </c>
      <c r="E128" s="338">
        <v>15</v>
      </c>
      <c r="F128" s="339">
        <v>48</v>
      </c>
      <c r="G128" s="247"/>
      <c r="H128" s="589"/>
      <c r="I128" s="597"/>
      <c r="J128" s="578"/>
      <c r="K128" s="579"/>
      <c r="L128" s="16"/>
      <c r="M128" s="16"/>
      <c r="N128" s="16"/>
      <c r="O128" s="16"/>
      <c r="P128" s="117"/>
      <c r="Q128" s="15"/>
      <c r="R128" s="16"/>
      <c r="S128" s="130"/>
      <c r="T128" s="16"/>
      <c r="U128" s="16"/>
      <c r="V128" s="16"/>
      <c r="W128" s="241"/>
      <c r="X128" s="16"/>
      <c r="Y128" s="16"/>
      <c r="Z128" s="16"/>
      <c r="AA128" s="16"/>
      <c r="AB128" s="16"/>
    </row>
    <row r="129" spans="1:28" ht="15" customHeight="1">
      <c r="A129" s="244" t="s">
        <v>1463</v>
      </c>
      <c r="B129" s="244" t="s">
        <v>528</v>
      </c>
      <c r="C129" s="339">
        <v>165</v>
      </c>
      <c r="D129" s="394">
        <v>1</v>
      </c>
      <c r="E129" s="338">
        <v>1</v>
      </c>
      <c r="F129" s="339">
        <v>165</v>
      </c>
      <c r="G129" s="247"/>
      <c r="H129" s="589"/>
      <c r="I129" s="597"/>
      <c r="J129" s="578"/>
      <c r="K129" s="579"/>
      <c r="L129" s="16"/>
      <c r="M129" s="16"/>
      <c r="N129" s="16"/>
      <c r="O129" s="16"/>
      <c r="P129" s="117"/>
      <c r="Q129" s="15"/>
      <c r="R129" s="16"/>
      <c r="S129" s="130"/>
      <c r="T129" s="16"/>
      <c r="U129" s="16"/>
      <c r="V129" s="16"/>
      <c r="W129" s="241"/>
      <c r="X129" s="16"/>
      <c r="Y129" s="16"/>
      <c r="Z129" s="16"/>
      <c r="AA129" s="16"/>
      <c r="AB129" s="16"/>
    </row>
    <row r="130" spans="1:28" ht="15" customHeight="1">
      <c r="A130" s="244"/>
      <c r="B130" s="244"/>
      <c r="C130" s="331"/>
      <c r="D130" s="404"/>
      <c r="E130" s="337"/>
      <c r="F130" s="331"/>
      <c r="G130" s="247"/>
      <c r="H130" s="589"/>
      <c r="I130" s="597"/>
      <c r="J130" s="578"/>
      <c r="K130" s="579"/>
      <c r="L130" s="16"/>
      <c r="M130" s="16"/>
      <c r="N130" s="16"/>
      <c r="O130" s="16"/>
      <c r="P130" s="117"/>
      <c r="Q130" s="15"/>
      <c r="R130" s="16"/>
      <c r="S130" s="130"/>
      <c r="T130" s="16"/>
      <c r="U130" s="16"/>
      <c r="V130" s="16"/>
      <c r="W130" s="241"/>
      <c r="X130" s="16"/>
      <c r="Y130" s="16"/>
      <c r="Z130" s="16"/>
      <c r="AA130" s="16"/>
      <c r="AB130" s="16"/>
    </row>
    <row r="131" spans="1:28" ht="15" customHeight="1">
      <c r="A131" s="244"/>
      <c r="B131" s="244"/>
      <c r="C131" s="244"/>
      <c r="D131" s="244"/>
      <c r="E131" s="244"/>
      <c r="F131" s="244"/>
      <c r="G131" s="232"/>
      <c r="H131" s="589"/>
      <c r="I131" s="597"/>
      <c r="J131" s="578"/>
      <c r="K131" s="579"/>
      <c r="L131" s="16"/>
      <c r="M131" s="16"/>
      <c r="N131" s="16"/>
      <c r="O131" s="16"/>
      <c r="P131" s="117"/>
      <c r="Q131" s="15"/>
      <c r="R131" s="16"/>
      <c r="S131" s="130"/>
      <c r="T131" s="16"/>
      <c r="U131" s="16"/>
      <c r="V131" s="16"/>
      <c r="W131" s="241"/>
      <c r="X131" s="16"/>
      <c r="Y131" s="16"/>
      <c r="Z131" s="16"/>
      <c r="AA131" s="16"/>
      <c r="AB131" s="16"/>
    </row>
    <row r="132" spans="1:28" ht="15" customHeight="1">
      <c r="A132" s="244"/>
      <c r="B132" s="244"/>
      <c r="C132" s="244"/>
      <c r="D132" s="250"/>
      <c r="E132" s="250"/>
      <c r="F132" s="244"/>
      <c r="G132" s="232"/>
      <c r="H132" s="589"/>
      <c r="I132" s="597"/>
      <c r="J132" s="578"/>
      <c r="K132" s="579"/>
      <c r="L132" s="16"/>
      <c r="M132" s="16"/>
      <c r="N132" s="16"/>
      <c r="O132" s="16"/>
      <c r="P132" s="117"/>
      <c r="Q132" s="15"/>
      <c r="R132" s="16"/>
      <c r="S132" s="130"/>
      <c r="T132" s="16"/>
      <c r="U132" s="16"/>
      <c r="V132" s="16"/>
      <c r="W132" s="241"/>
      <c r="X132" s="16"/>
      <c r="Y132" s="16"/>
      <c r="Z132" s="16"/>
      <c r="AA132" s="16"/>
      <c r="AB132" s="16"/>
    </row>
    <row r="133" spans="1:28" ht="15" customHeight="1">
      <c r="A133" s="244"/>
      <c r="B133" s="244"/>
      <c r="C133" s="244"/>
      <c r="D133" s="244"/>
      <c r="E133" s="244"/>
      <c r="F133" s="244"/>
      <c r="G133" s="232"/>
      <c r="H133" s="589"/>
      <c r="I133" s="597"/>
      <c r="J133" s="578"/>
      <c r="K133" s="579"/>
      <c r="L133" s="16"/>
      <c r="M133" s="16"/>
      <c r="N133" s="16"/>
      <c r="O133" s="16"/>
      <c r="P133" s="117"/>
      <c r="Q133" s="15"/>
      <c r="R133" s="16"/>
      <c r="S133" s="130"/>
      <c r="T133" s="16"/>
      <c r="U133" s="16"/>
      <c r="V133" s="16"/>
      <c r="W133" s="241"/>
      <c r="X133" s="16"/>
      <c r="Y133" s="16"/>
      <c r="Z133" s="16"/>
      <c r="AA133" s="16"/>
      <c r="AB133" s="16"/>
    </row>
    <row r="134" spans="1:28" ht="15" customHeight="1">
      <c r="A134" s="244" t="s">
        <v>1464</v>
      </c>
      <c r="B134" s="244"/>
      <c r="C134" s="244"/>
      <c r="D134" s="244"/>
      <c r="E134" s="244"/>
      <c r="F134" s="244"/>
      <c r="G134" s="232"/>
      <c r="H134" s="589"/>
      <c r="I134" s="597"/>
      <c r="J134" s="578"/>
      <c r="K134" s="579"/>
      <c r="L134" s="16"/>
      <c r="M134" s="16"/>
      <c r="N134" s="16"/>
      <c r="O134" s="16"/>
      <c r="P134" s="117"/>
      <c r="Q134" s="15"/>
      <c r="R134" s="16"/>
      <c r="S134" s="130"/>
      <c r="T134" s="16"/>
      <c r="U134" s="16"/>
      <c r="V134" s="16"/>
      <c r="W134" s="241"/>
      <c r="X134" s="16"/>
      <c r="Y134" s="16"/>
      <c r="Z134" s="16"/>
      <c r="AA134" s="16"/>
      <c r="AB134" s="16"/>
    </row>
    <row r="135" spans="1:28" ht="15" customHeight="1">
      <c r="A135" s="244" t="s">
        <v>1464</v>
      </c>
      <c r="B135" s="244" t="s">
        <v>528</v>
      </c>
      <c r="C135" s="391">
        <v>12</v>
      </c>
      <c r="D135" s="250">
        <v>10</v>
      </c>
      <c r="E135" s="250">
        <v>1</v>
      </c>
      <c r="F135" s="391">
        <v>1200</v>
      </c>
      <c r="G135" s="232"/>
      <c r="H135" s="589"/>
      <c r="I135" s="597"/>
      <c r="J135" s="578"/>
      <c r="K135" s="579"/>
      <c r="L135" s="16"/>
      <c r="M135" s="16"/>
      <c r="N135" s="16"/>
      <c r="O135" s="16"/>
      <c r="P135" s="117"/>
      <c r="Q135" s="15"/>
      <c r="R135" s="16"/>
      <c r="S135" s="130"/>
      <c r="T135" s="16"/>
      <c r="U135" s="16"/>
      <c r="V135" s="16"/>
      <c r="W135" s="241"/>
      <c r="X135" s="16"/>
      <c r="Y135" s="16"/>
      <c r="Z135" s="16"/>
      <c r="AA135" s="16"/>
      <c r="AB135" s="16"/>
    </row>
    <row r="136" spans="1:28" ht="15" customHeight="1">
      <c r="A136" s="244" t="s">
        <v>1465</v>
      </c>
      <c r="B136" s="244" t="s">
        <v>528</v>
      </c>
      <c r="C136" s="391">
        <v>750</v>
      </c>
      <c r="D136" s="250">
        <v>10</v>
      </c>
      <c r="E136" s="250">
        <v>1</v>
      </c>
      <c r="F136" s="391">
        <v>75</v>
      </c>
      <c r="G136" s="232"/>
      <c r="H136" s="589"/>
      <c r="I136" s="597"/>
      <c r="J136" s="578"/>
      <c r="K136" s="579"/>
      <c r="L136" s="16"/>
      <c r="M136" s="16"/>
      <c r="N136" s="16"/>
      <c r="O136" s="16"/>
      <c r="P136" s="117"/>
      <c r="Q136" s="15"/>
      <c r="R136" s="16"/>
      <c r="S136" s="130"/>
      <c r="T136" s="16"/>
      <c r="U136" s="16"/>
      <c r="V136" s="16"/>
      <c r="W136" s="241"/>
      <c r="X136" s="16"/>
      <c r="Y136" s="16"/>
      <c r="Z136" s="16"/>
      <c r="AA136" s="16"/>
      <c r="AB136" s="16"/>
    </row>
    <row r="137" spans="1:28" ht="15" customHeight="1">
      <c r="A137" s="244" t="s">
        <v>1466</v>
      </c>
      <c r="B137" s="244" t="s">
        <v>528</v>
      </c>
      <c r="C137" s="391">
        <v>180</v>
      </c>
      <c r="D137" s="250">
        <v>25</v>
      </c>
      <c r="E137" s="250">
        <v>4</v>
      </c>
      <c r="F137" s="391">
        <v>29</v>
      </c>
      <c r="G137" s="232"/>
      <c r="H137" s="589"/>
      <c r="I137" s="597"/>
      <c r="J137" s="578"/>
      <c r="K137" s="579"/>
      <c r="L137" s="16"/>
      <c r="M137" s="16"/>
      <c r="N137" s="16"/>
      <c r="O137" s="16"/>
      <c r="P137" s="117"/>
      <c r="Q137" s="15"/>
      <c r="R137" s="16"/>
      <c r="S137" s="130"/>
      <c r="T137" s="16"/>
      <c r="U137" s="16"/>
      <c r="V137" s="16"/>
      <c r="W137" s="241"/>
      <c r="X137" s="16"/>
      <c r="Y137" s="16"/>
      <c r="Z137" s="16"/>
      <c r="AA137" s="16"/>
      <c r="AB137" s="16"/>
    </row>
    <row r="138" spans="1:28" ht="15" customHeight="1">
      <c r="A138" s="244" t="s">
        <v>1463</v>
      </c>
      <c r="B138" s="244" t="s">
        <v>528</v>
      </c>
      <c r="C138" s="391">
        <v>19</v>
      </c>
      <c r="D138" s="250">
        <v>6</v>
      </c>
      <c r="E138" s="250">
        <v>6</v>
      </c>
      <c r="F138" s="391">
        <v>19</v>
      </c>
      <c r="G138" s="232"/>
      <c r="H138" s="589"/>
      <c r="I138" s="597"/>
      <c r="J138" s="578"/>
      <c r="K138" s="579"/>
      <c r="L138" s="16"/>
      <c r="M138" s="16"/>
      <c r="N138" s="16"/>
      <c r="O138" s="16"/>
      <c r="P138" s="117"/>
      <c r="Q138" s="15"/>
      <c r="R138" s="16"/>
      <c r="S138" s="130"/>
      <c r="T138" s="16"/>
      <c r="U138" s="16"/>
      <c r="V138" s="16"/>
      <c r="W138" s="241"/>
      <c r="X138" s="16"/>
      <c r="Y138" s="16"/>
      <c r="Z138" s="16"/>
      <c r="AA138" s="16"/>
      <c r="AB138" s="16"/>
    </row>
    <row r="139" spans="1:28" ht="15" customHeight="1">
      <c r="A139" s="244"/>
      <c r="B139" s="244"/>
      <c r="C139" s="244"/>
      <c r="D139" s="244"/>
      <c r="E139" s="244"/>
      <c r="F139" s="244"/>
      <c r="G139" s="232"/>
      <c r="H139" s="589"/>
      <c r="I139" s="597"/>
      <c r="J139" s="578"/>
      <c r="K139" s="579"/>
      <c r="L139" s="16"/>
      <c r="M139" s="16"/>
      <c r="N139" s="16"/>
      <c r="O139" s="16"/>
      <c r="P139" s="117"/>
      <c r="Q139" s="15"/>
      <c r="R139" s="16"/>
      <c r="S139" s="130"/>
      <c r="T139" s="16"/>
      <c r="U139" s="16"/>
      <c r="V139" s="16"/>
      <c r="W139" s="241"/>
      <c r="X139" s="16"/>
      <c r="Y139" s="16"/>
      <c r="Z139" s="16"/>
      <c r="AA139" s="16"/>
      <c r="AB139" s="16"/>
    </row>
    <row r="140" spans="1:28" ht="15" customHeight="1">
      <c r="A140" s="244" t="s">
        <v>1467</v>
      </c>
      <c r="B140" s="244"/>
      <c r="C140" s="244"/>
      <c r="D140" s="244"/>
      <c r="E140" s="244"/>
      <c r="F140" s="244"/>
      <c r="G140" s="232"/>
      <c r="H140" s="589"/>
      <c r="I140" s="597"/>
      <c r="J140" s="578"/>
      <c r="K140" s="579"/>
      <c r="L140" s="16"/>
      <c r="M140" s="16"/>
      <c r="N140" s="16"/>
      <c r="O140" s="16"/>
      <c r="P140" s="117"/>
      <c r="Q140" s="15"/>
      <c r="R140" s="16"/>
      <c r="S140" s="130"/>
      <c r="T140" s="16"/>
      <c r="U140" s="16"/>
      <c r="V140" s="16"/>
      <c r="W140" s="241"/>
      <c r="X140" s="16"/>
      <c r="Y140" s="16"/>
      <c r="Z140" s="16"/>
      <c r="AA140" s="16"/>
      <c r="AB140" s="16"/>
    </row>
    <row r="141" spans="1:28" ht="15" customHeight="1">
      <c r="A141" s="244" t="s">
        <v>1468</v>
      </c>
      <c r="B141" s="244" t="s">
        <v>528</v>
      </c>
      <c r="C141" s="391">
        <v>924</v>
      </c>
      <c r="D141" s="250">
        <v>15</v>
      </c>
      <c r="E141" s="250">
        <v>2</v>
      </c>
      <c r="F141" s="391">
        <v>123</v>
      </c>
      <c r="G141" s="232"/>
      <c r="H141" s="589"/>
      <c r="I141" s="597"/>
      <c r="J141" s="578"/>
      <c r="K141" s="579"/>
      <c r="L141" s="16"/>
      <c r="M141" s="16"/>
      <c r="N141" s="16"/>
      <c r="O141" s="16"/>
      <c r="P141" s="117"/>
      <c r="Q141" s="15"/>
      <c r="R141" s="16"/>
      <c r="S141" s="130"/>
      <c r="T141" s="16"/>
      <c r="U141" s="16"/>
      <c r="V141" s="16"/>
      <c r="W141" s="241"/>
      <c r="X141" s="16"/>
      <c r="Y141" s="16"/>
      <c r="Z141" s="16"/>
      <c r="AA141" s="16"/>
      <c r="AB141" s="16"/>
    </row>
    <row r="142" spans="1:28" ht="15" customHeight="1">
      <c r="A142" s="244"/>
      <c r="B142" s="244"/>
      <c r="C142" s="244"/>
      <c r="D142" s="244"/>
      <c r="E142" s="244"/>
      <c r="F142" s="244"/>
      <c r="G142" s="232"/>
      <c r="H142" s="589"/>
      <c r="I142" s="597"/>
      <c r="J142" s="578"/>
      <c r="K142" s="579"/>
      <c r="L142" s="16"/>
      <c r="M142" s="16"/>
      <c r="N142" s="16"/>
      <c r="O142" s="16"/>
      <c r="P142" s="117"/>
      <c r="Q142" s="15"/>
      <c r="R142" s="16"/>
      <c r="S142" s="130"/>
      <c r="T142" s="16"/>
      <c r="U142" s="16"/>
      <c r="V142" s="16"/>
      <c r="W142" s="241"/>
      <c r="X142" s="16"/>
      <c r="Y142" s="16"/>
      <c r="Z142" s="16"/>
      <c r="AA142" s="16"/>
      <c r="AB142" s="16"/>
    </row>
    <row r="143" spans="1:28" ht="15" customHeight="1">
      <c r="A143" s="244"/>
      <c r="B143" s="244"/>
      <c r="C143" s="244"/>
      <c r="D143" s="244"/>
      <c r="E143" s="244"/>
      <c r="F143" s="244"/>
      <c r="G143" s="232"/>
      <c r="H143" s="589"/>
      <c r="I143" s="597"/>
      <c r="J143" s="578"/>
      <c r="K143" s="579"/>
      <c r="L143" s="16"/>
      <c r="M143" s="16"/>
      <c r="N143" s="16"/>
      <c r="O143" s="16"/>
      <c r="P143" s="117"/>
      <c r="Q143" s="15"/>
      <c r="R143" s="16"/>
      <c r="S143" s="130"/>
      <c r="T143" s="16"/>
      <c r="U143" s="16"/>
      <c r="V143" s="16"/>
      <c r="W143" s="241"/>
      <c r="X143" s="16"/>
      <c r="Y143" s="16"/>
      <c r="Z143" s="16"/>
      <c r="AA143" s="16"/>
      <c r="AB143" s="16"/>
    </row>
    <row r="144" spans="1:28" ht="15" customHeight="1">
      <c r="A144" s="244" t="s">
        <v>1441</v>
      </c>
      <c r="B144" s="244" t="s">
        <v>525</v>
      </c>
      <c r="C144" s="391">
        <v>16</v>
      </c>
      <c r="D144" s="244"/>
      <c r="E144" s="250">
        <v>25</v>
      </c>
      <c r="F144" s="391">
        <v>400</v>
      </c>
      <c r="G144" s="232"/>
      <c r="H144" s="589"/>
      <c r="I144" s="597"/>
      <c r="J144" s="578"/>
      <c r="K144" s="579"/>
      <c r="L144" s="16"/>
      <c r="M144" s="16"/>
      <c r="N144" s="16"/>
      <c r="O144" s="16"/>
      <c r="P144" s="117"/>
      <c r="Q144" s="15"/>
      <c r="R144" s="16"/>
      <c r="S144" s="130"/>
      <c r="T144" s="16"/>
      <c r="U144" s="16"/>
      <c r="V144" s="16"/>
      <c r="W144" s="241"/>
      <c r="X144" s="16"/>
      <c r="Y144" s="16"/>
      <c r="Z144" s="16"/>
      <c r="AA144" s="16"/>
      <c r="AB144" s="16"/>
    </row>
    <row r="145" spans="1:28" ht="15" customHeight="1">
      <c r="A145" s="244" t="s">
        <v>1442</v>
      </c>
      <c r="B145" s="244" t="s">
        <v>525</v>
      </c>
      <c r="C145" s="391">
        <v>69</v>
      </c>
      <c r="D145" s="244"/>
      <c r="E145" s="250">
        <v>24</v>
      </c>
      <c r="F145" s="391">
        <v>1656</v>
      </c>
      <c r="G145" s="232"/>
      <c r="H145" s="589"/>
      <c r="I145" s="597"/>
      <c r="J145" s="578"/>
      <c r="K145" s="579"/>
      <c r="L145" s="16"/>
      <c r="M145" s="16"/>
      <c r="N145" s="16"/>
      <c r="O145" s="16"/>
      <c r="P145" s="117"/>
      <c r="Q145" s="15"/>
      <c r="R145" s="16"/>
      <c r="S145" s="130"/>
      <c r="T145" s="16"/>
      <c r="U145" s="16"/>
      <c r="V145" s="16"/>
      <c r="W145" s="241"/>
      <c r="X145" s="16"/>
      <c r="Y145" s="16"/>
      <c r="Z145" s="16"/>
      <c r="AA145" s="16"/>
      <c r="AB145" s="16"/>
    </row>
    <row r="146" spans="1:28" ht="15" customHeight="1">
      <c r="A146" s="244"/>
      <c r="B146" s="244"/>
      <c r="C146" s="244"/>
      <c r="D146" s="244"/>
      <c r="E146" s="244"/>
      <c r="F146" s="244"/>
      <c r="G146" s="232"/>
      <c r="H146" s="589"/>
      <c r="I146" s="597"/>
      <c r="J146" s="578"/>
      <c r="K146" s="579"/>
      <c r="L146" s="16"/>
      <c r="M146" s="16"/>
      <c r="N146" s="16"/>
      <c r="O146" s="16"/>
      <c r="P146" s="117"/>
      <c r="Q146" s="15"/>
      <c r="R146" s="16"/>
      <c r="S146" s="130"/>
      <c r="T146" s="16"/>
      <c r="U146" s="16"/>
      <c r="V146" s="16"/>
      <c r="W146" s="241"/>
      <c r="X146" s="16"/>
      <c r="Y146" s="16"/>
      <c r="Z146" s="16"/>
      <c r="AA146" s="16"/>
      <c r="AB146" s="16"/>
    </row>
    <row r="147" spans="1:28" ht="14.25" customHeight="1">
      <c r="A147" s="244" t="s">
        <v>1469</v>
      </c>
      <c r="B147" s="244"/>
      <c r="C147" s="244"/>
      <c r="D147" s="244"/>
      <c r="E147" s="244"/>
      <c r="F147" s="244"/>
      <c r="G147" s="232"/>
      <c r="H147" s="589"/>
      <c r="I147" s="597"/>
      <c r="J147" s="578"/>
      <c r="K147" s="579"/>
      <c r="L147" s="16"/>
      <c r="M147" s="16"/>
      <c r="N147" s="16"/>
      <c r="O147" s="16"/>
      <c r="P147" s="16"/>
      <c r="Q147" s="133"/>
      <c r="R147" s="16"/>
      <c r="S147" s="16"/>
      <c r="T147" s="16"/>
      <c r="U147" s="16"/>
      <c r="V147" s="16"/>
      <c r="W147" s="16"/>
      <c r="X147" s="16"/>
      <c r="Y147" s="16"/>
      <c r="Z147" s="16"/>
      <c r="AA147" s="16"/>
      <c r="AB147" s="16"/>
    </row>
    <row r="148" spans="1:28" ht="15.75" customHeight="1">
      <c r="A148" s="244" t="s">
        <v>1445</v>
      </c>
      <c r="B148" s="244" t="s">
        <v>525</v>
      </c>
      <c r="C148" s="391">
        <v>126</v>
      </c>
      <c r="D148" s="244"/>
      <c r="E148" s="250">
        <v>4</v>
      </c>
      <c r="F148" s="391">
        <v>504</v>
      </c>
      <c r="G148" s="232"/>
      <c r="H148" s="589"/>
      <c r="I148" s="597"/>
      <c r="J148" s="578"/>
      <c r="K148" s="579"/>
      <c r="L148" s="16"/>
      <c r="M148" s="16"/>
      <c r="N148" s="16"/>
      <c r="O148" s="16"/>
      <c r="P148" s="16"/>
      <c r="Q148" s="16"/>
      <c r="R148" s="16"/>
      <c r="S148" s="16"/>
      <c r="T148" s="16"/>
      <c r="U148" s="16"/>
      <c r="V148" s="16"/>
      <c r="W148" s="16"/>
      <c r="X148" s="16"/>
      <c r="Y148" s="16"/>
      <c r="Z148" s="16"/>
      <c r="AA148" s="16"/>
      <c r="AB148" s="16"/>
    </row>
    <row r="149" spans="1:28" ht="15.75" customHeight="1">
      <c r="A149" s="244" t="s">
        <v>1470</v>
      </c>
      <c r="B149" s="244" t="s">
        <v>525</v>
      </c>
      <c r="C149" s="391">
        <v>6</v>
      </c>
      <c r="D149" s="244"/>
      <c r="E149" s="250">
        <v>31</v>
      </c>
      <c r="F149" s="391">
        <v>186</v>
      </c>
      <c r="G149" s="232"/>
      <c r="H149" s="589"/>
      <c r="I149" s="597"/>
      <c r="J149" s="578"/>
      <c r="K149" s="579"/>
      <c r="L149" s="16"/>
      <c r="M149" s="16"/>
      <c r="N149" s="16"/>
      <c r="O149" s="16"/>
      <c r="P149" s="16"/>
      <c r="Q149" s="16"/>
      <c r="R149" s="16"/>
      <c r="S149" s="16"/>
      <c r="T149" s="16"/>
      <c r="U149" s="16"/>
      <c r="V149" s="16"/>
      <c r="W149" s="16"/>
      <c r="X149" s="16"/>
      <c r="Y149" s="16"/>
      <c r="Z149" s="16"/>
      <c r="AA149" s="16"/>
      <c r="AB149" s="16"/>
    </row>
    <row r="150" spans="1:28" ht="15.75" customHeight="1">
      <c r="A150" s="244"/>
      <c r="B150" s="244"/>
      <c r="C150" s="244"/>
      <c r="D150" s="244"/>
      <c r="E150" s="244"/>
      <c r="F150" s="244"/>
      <c r="G150" s="232"/>
      <c r="H150" s="589"/>
      <c r="I150" s="597"/>
      <c r="J150" s="578"/>
      <c r="K150" s="579"/>
      <c r="L150" s="16"/>
      <c r="M150" s="16"/>
      <c r="N150" s="16"/>
      <c r="O150" s="16"/>
      <c r="P150" s="16"/>
      <c r="Q150" s="16"/>
      <c r="R150" s="16"/>
      <c r="S150" s="16"/>
      <c r="T150" s="16"/>
      <c r="U150" s="16"/>
      <c r="V150" s="16"/>
      <c r="W150" s="16"/>
      <c r="X150" s="16"/>
      <c r="Y150" s="16"/>
      <c r="Z150" s="16"/>
      <c r="AA150" s="16"/>
      <c r="AB150" s="16"/>
    </row>
    <row r="151" spans="1:28" ht="15.75" customHeight="1">
      <c r="A151" s="244" t="s">
        <v>1452</v>
      </c>
      <c r="B151" s="244"/>
      <c r="C151" s="244"/>
      <c r="D151" s="244"/>
      <c r="E151" s="244"/>
      <c r="F151" s="244"/>
      <c r="G151" s="232"/>
      <c r="H151" s="589"/>
      <c r="I151" s="597"/>
      <c r="J151" s="578"/>
      <c r="K151" s="579"/>
      <c r="L151" s="16"/>
      <c r="M151" s="16"/>
      <c r="N151" s="16"/>
      <c r="O151" s="16"/>
      <c r="P151" s="16"/>
      <c r="Q151" s="16"/>
      <c r="R151" s="16"/>
      <c r="S151" s="16"/>
      <c r="T151" s="16"/>
      <c r="U151" s="16"/>
      <c r="V151" s="16"/>
      <c r="W151" s="16"/>
      <c r="X151" s="16"/>
      <c r="Y151" s="16"/>
      <c r="Z151" s="16"/>
      <c r="AA151" s="16"/>
      <c r="AB151" s="16"/>
    </row>
    <row r="152" spans="1:28" ht="15.75" customHeight="1">
      <c r="A152" s="244" t="s">
        <v>1463</v>
      </c>
      <c r="B152" s="244" t="s">
        <v>525</v>
      </c>
      <c r="C152" s="391">
        <v>62</v>
      </c>
      <c r="D152" s="244"/>
      <c r="E152" s="250">
        <v>1</v>
      </c>
      <c r="F152" s="391">
        <v>62</v>
      </c>
      <c r="G152" s="232"/>
      <c r="H152" s="589"/>
      <c r="I152" s="597"/>
      <c r="J152" s="578"/>
      <c r="K152" s="579"/>
      <c r="L152" s="16"/>
      <c r="M152" s="16"/>
      <c r="N152" s="16"/>
      <c r="O152" s="16"/>
      <c r="P152" s="16"/>
      <c r="Q152" s="16"/>
      <c r="R152" s="16"/>
      <c r="S152" s="16"/>
      <c r="T152" s="16"/>
      <c r="U152" s="16"/>
      <c r="V152" s="16"/>
      <c r="W152" s="16"/>
      <c r="X152" s="16"/>
      <c r="Y152" s="16"/>
      <c r="Z152" s="16"/>
      <c r="AA152" s="16"/>
      <c r="AB152" s="16"/>
    </row>
    <row r="153" spans="1:28" ht="15.75" customHeight="1">
      <c r="A153" s="244"/>
      <c r="B153" s="244"/>
      <c r="C153" s="244"/>
      <c r="D153" s="244"/>
      <c r="E153" s="244"/>
      <c r="F153" s="244"/>
      <c r="G153" s="232"/>
      <c r="H153" s="589"/>
      <c r="I153" s="597"/>
      <c r="J153" s="578"/>
      <c r="K153" s="579"/>
      <c r="L153" s="16"/>
      <c r="M153" s="16"/>
      <c r="N153" s="16"/>
      <c r="O153" s="16"/>
      <c r="P153" s="16"/>
      <c r="Q153" s="16"/>
      <c r="R153" s="16"/>
      <c r="S153" s="16"/>
      <c r="T153" s="16"/>
      <c r="U153" s="16"/>
      <c r="V153" s="16"/>
      <c r="W153" s="16"/>
      <c r="X153" s="16"/>
      <c r="Y153" s="16"/>
      <c r="Z153" s="16"/>
      <c r="AA153" s="16"/>
      <c r="AB153" s="16"/>
    </row>
    <row r="154" spans="1:28" ht="15.75" customHeight="1">
      <c r="A154" s="244" t="s">
        <v>1464</v>
      </c>
      <c r="B154" s="244"/>
      <c r="C154" s="244"/>
      <c r="D154" s="244"/>
      <c r="E154" s="244"/>
      <c r="F154" s="244"/>
      <c r="G154" s="232"/>
      <c r="H154" s="589"/>
      <c r="I154" s="597"/>
      <c r="J154" s="578"/>
      <c r="K154" s="579"/>
      <c r="L154" s="16"/>
      <c r="M154" s="16"/>
      <c r="N154" s="16"/>
      <c r="O154" s="16"/>
      <c r="P154" s="16"/>
      <c r="Q154" s="16"/>
      <c r="R154" s="16"/>
      <c r="S154" s="16"/>
      <c r="T154" s="16"/>
      <c r="U154" s="16"/>
      <c r="V154" s="16"/>
      <c r="W154" s="16"/>
      <c r="X154" s="16"/>
      <c r="Y154" s="16"/>
      <c r="Z154" s="16"/>
      <c r="AA154" s="16"/>
      <c r="AB154" s="16"/>
    </row>
    <row r="155" spans="1:28" ht="15.75" customHeight="1">
      <c r="A155" s="244" t="s">
        <v>1464</v>
      </c>
      <c r="B155" s="244" t="s">
        <v>525</v>
      </c>
      <c r="C155" s="391">
        <v>2.4700000000000002</v>
      </c>
      <c r="D155" s="244"/>
      <c r="E155" s="250">
        <v>1</v>
      </c>
      <c r="F155" s="391">
        <v>2465</v>
      </c>
      <c r="G155" s="232"/>
      <c r="H155" s="589"/>
      <c r="I155" s="597"/>
      <c r="J155" s="578"/>
      <c r="K155" s="579"/>
      <c r="L155" s="16"/>
      <c r="M155" s="16"/>
      <c r="N155" s="16"/>
      <c r="O155" s="16"/>
      <c r="P155" s="16"/>
      <c r="Q155" s="16"/>
      <c r="R155" s="16"/>
      <c r="S155" s="16"/>
      <c r="T155" s="16"/>
      <c r="U155" s="16"/>
      <c r="V155" s="16"/>
      <c r="W155" s="16"/>
      <c r="X155" s="16"/>
      <c r="Y155" s="16"/>
      <c r="Z155" s="16"/>
      <c r="AA155" s="16"/>
      <c r="AB155" s="16"/>
    </row>
    <row r="156" spans="1:28" ht="15.75" customHeight="1">
      <c r="A156" s="244" t="s">
        <v>1465</v>
      </c>
      <c r="B156" s="244" t="s">
        <v>525</v>
      </c>
      <c r="C156" s="391">
        <v>84</v>
      </c>
      <c r="D156" s="244"/>
      <c r="E156" s="250">
        <v>1</v>
      </c>
      <c r="F156" s="391">
        <v>84</v>
      </c>
      <c r="G156" s="232"/>
      <c r="H156" s="589"/>
      <c r="I156" s="597"/>
      <c r="J156" s="578"/>
      <c r="K156" s="579"/>
      <c r="L156" s="16"/>
      <c r="M156" s="16"/>
      <c r="N156" s="16"/>
      <c r="O156" s="16"/>
      <c r="P156" s="16"/>
      <c r="Q156" s="16"/>
      <c r="R156" s="16"/>
      <c r="S156" s="16"/>
      <c r="T156" s="16"/>
      <c r="U156" s="16"/>
      <c r="V156" s="16"/>
      <c r="W156" s="16"/>
      <c r="X156" s="16"/>
      <c r="Y156" s="16"/>
      <c r="Z156" s="16"/>
      <c r="AA156" s="16"/>
      <c r="AB156" s="16"/>
    </row>
    <row r="157" spans="1:28" ht="15.75" customHeight="1">
      <c r="A157" s="244" t="s">
        <v>1466</v>
      </c>
      <c r="B157" s="244" t="s">
        <v>525</v>
      </c>
      <c r="C157" s="391">
        <v>18</v>
      </c>
      <c r="D157" s="244"/>
      <c r="E157" s="250">
        <v>4</v>
      </c>
      <c r="F157" s="391">
        <v>72</v>
      </c>
      <c r="G157" s="232"/>
      <c r="H157" s="589"/>
      <c r="I157" s="597"/>
      <c r="J157" s="578"/>
      <c r="K157" s="579"/>
      <c r="L157" s="16"/>
      <c r="M157" s="16"/>
      <c r="N157" s="16"/>
      <c r="O157" s="16"/>
      <c r="P157" s="16"/>
      <c r="Q157" s="16"/>
      <c r="R157" s="16"/>
      <c r="S157" s="16"/>
      <c r="T157" s="16"/>
      <c r="U157" s="16"/>
      <c r="V157" s="16"/>
      <c r="W157" s="16"/>
      <c r="X157" s="16"/>
      <c r="Y157" s="16"/>
      <c r="Z157" s="16"/>
      <c r="AA157" s="16"/>
      <c r="AB157" s="16"/>
    </row>
    <row r="158" spans="1:28" ht="15.75" customHeight="1">
      <c r="A158" s="244" t="s">
        <v>1463</v>
      </c>
      <c r="B158" s="244" t="s">
        <v>525</v>
      </c>
      <c r="C158" s="391">
        <v>11</v>
      </c>
      <c r="D158" s="244"/>
      <c r="E158" s="250">
        <v>1</v>
      </c>
      <c r="F158" s="391">
        <v>11</v>
      </c>
      <c r="G158" s="232"/>
      <c r="H158" s="589"/>
      <c r="I158" s="597"/>
      <c r="J158" s="578"/>
      <c r="K158" s="579"/>
      <c r="L158" s="16"/>
      <c r="M158" s="16"/>
      <c r="N158" s="16"/>
      <c r="O158" s="16"/>
      <c r="P158" s="16"/>
      <c r="Q158" s="16"/>
      <c r="R158" s="16"/>
      <c r="S158" s="16"/>
      <c r="T158" s="16"/>
      <c r="U158" s="16"/>
      <c r="V158" s="16"/>
      <c r="W158" s="16"/>
      <c r="X158" s="16"/>
      <c r="Y158" s="16"/>
      <c r="Z158" s="16"/>
      <c r="AA158" s="16"/>
      <c r="AB158" s="16"/>
    </row>
    <row r="159" spans="1:28" ht="15.75" customHeight="1">
      <c r="A159" s="244" t="s">
        <v>1467</v>
      </c>
      <c r="B159" s="244"/>
      <c r="C159" s="244"/>
      <c r="D159" s="244"/>
      <c r="E159" s="244"/>
      <c r="F159" s="244"/>
      <c r="G159" s="232"/>
      <c r="H159" s="589"/>
      <c r="I159" s="597"/>
      <c r="J159" s="578"/>
      <c r="K159" s="579"/>
      <c r="L159" s="16"/>
      <c r="M159" s="16"/>
      <c r="N159" s="16"/>
      <c r="O159" s="16"/>
      <c r="P159" s="16"/>
      <c r="Q159" s="16"/>
      <c r="R159" s="16"/>
      <c r="S159" s="16"/>
      <c r="T159" s="16"/>
      <c r="U159" s="16"/>
      <c r="V159" s="16"/>
      <c r="W159" s="16"/>
      <c r="X159" s="16"/>
      <c r="Y159" s="16"/>
      <c r="Z159" s="16"/>
      <c r="AA159" s="16"/>
      <c r="AB159" s="16"/>
    </row>
    <row r="160" spans="1:28" ht="15.75" customHeight="1" thickBot="1">
      <c r="A160" s="244" t="s">
        <v>1468</v>
      </c>
      <c r="B160" s="244" t="s">
        <v>525</v>
      </c>
      <c r="C160" s="391">
        <v>20</v>
      </c>
      <c r="D160" s="244"/>
      <c r="E160" s="250">
        <v>2</v>
      </c>
      <c r="F160" s="391">
        <v>40</v>
      </c>
      <c r="G160" s="232"/>
      <c r="H160" s="607"/>
      <c r="I160" s="599"/>
      <c r="J160" s="580"/>
      <c r="K160" s="581"/>
      <c r="L160" s="16"/>
      <c r="M160" s="16"/>
      <c r="N160" s="16"/>
      <c r="O160" s="16"/>
      <c r="P160" s="16"/>
      <c r="Q160" s="16"/>
      <c r="R160" s="16"/>
      <c r="S160" s="16"/>
      <c r="T160" s="16"/>
      <c r="U160" s="16"/>
      <c r="V160" s="16"/>
      <c r="W160" s="16"/>
      <c r="X160" s="16"/>
      <c r="Y160" s="16"/>
      <c r="Z160" s="16"/>
      <c r="AA160" s="16"/>
      <c r="AB160" s="16"/>
    </row>
    <row r="161" spans="1:30" ht="15.75" customHeight="1" thickTop="1">
      <c r="A161" s="15"/>
      <c r="B161" s="131"/>
      <c r="C161" s="16"/>
      <c r="D161" s="16"/>
      <c r="E161" s="16"/>
      <c r="F161" s="16"/>
      <c r="G161" s="16"/>
      <c r="H161" s="16"/>
      <c r="I161" s="16"/>
      <c r="J161" s="16"/>
      <c r="K161" s="16"/>
      <c r="L161" s="16"/>
      <c r="M161" s="16"/>
      <c r="N161" s="16"/>
      <c r="O161" s="16"/>
      <c r="P161" s="16"/>
      <c r="Q161" s="16"/>
      <c r="R161" s="16"/>
      <c r="S161" s="16"/>
      <c r="T161" s="16"/>
      <c r="U161" s="16"/>
      <c r="V161" s="16"/>
      <c r="W161" s="16"/>
      <c r="X161" s="16"/>
      <c r="Y161" s="16"/>
      <c r="Z161" s="16"/>
      <c r="AA161" s="16"/>
      <c r="AB161" s="16"/>
      <c r="AC161" s="16"/>
      <c r="AD161" s="16"/>
    </row>
    <row r="162" spans="1:30" ht="15.75" customHeight="1">
      <c r="A162" s="15"/>
      <c r="B162" s="131"/>
      <c r="C162" s="16"/>
      <c r="D162" s="16"/>
      <c r="E162" s="16"/>
      <c r="F162" s="16"/>
      <c r="G162" s="16"/>
      <c r="I162" s="16"/>
      <c r="J162" s="16"/>
      <c r="K162" s="16"/>
      <c r="L162" s="16"/>
      <c r="M162" s="16"/>
      <c r="N162" s="16"/>
      <c r="O162" s="16"/>
      <c r="P162" s="16"/>
      <c r="Q162" s="16"/>
      <c r="R162" s="16"/>
      <c r="S162" s="16"/>
      <c r="T162" s="16"/>
      <c r="U162" s="16"/>
      <c r="V162" s="16"/>
      <c r="W162" s="16"/>
      <c r="X162" s="16"/>
      <c r="Y162" s="16"/>
      <c r="Z162" s="16"/>
      <c r="AA162" s="16"/>
      <c r="AB162" s="16"/>
      <c r="AC162" s="16"/>
      <c r="AD162" s="16"/>
    </row>
    <row r="163" spans="1:30" ht="15.75" customHeight="1">
      <c r="H163" s="51"/>
      <c r="I163" s="51"/>
      <c r="J163" s="51"/>
      <c r="K163" s="51"/>
      <c r="L163" s="16"/>
      <c r="M163" s="16"/>
      <c r="N163" s="16"/>
      <c r="O163" s="16"/>
      <c r="P163" s="16"/>
      <c r="Q163" s="16"/>
      <c r="R163" s="16"/>
      <c r="S163" s="16"/>
      <c r="T163" s="16"/>
      <c r="U163" s="16"/>
      <c r="V163" s="16"/>
      <c r="W163" s="16"/>
      <c r="X163" s="16"/>
      <c r="Y163" s="16"/>
      <c r="Z163" s="16"/>
      <c r="AA163" s="16"/>
      <c r="AB163" s="16"/>
      <c r="AC163" s="16"/>
      <c r="AD163" s="16"/>
    </row>
    <row r="164" spans="1:30" ht="15.75" customHeight="1">
      <c r="L164" s="16"/>
      <c r="M164" s="16"/>
      <c r="N164" s="16"/>
      <c r="O164" s="16"/>
      <c r="P164" s="16"/>
      <c r="Q164" s="16"/>
      <c r="R164" s="16"/>
      <c r="S164" s="16"/>
      <c r="T164" s="16"/>
      <c r="U164" s="16"/>
      <c r="V164" s="16"/>
      <c r="W164" s="16"/>
      <c r="X164" s="16"/>
      <c r="Y164" s="16"/>
      <c r="Z164" s="16"/>
      <c r="AA164" s="16"/>
      <c r="AB164" s="16"/>
      <c r="AC164" s="16"/>
      <c r="AD164" s="16"/>
    </row>
    <row r="165" spans="1:30" ht="15.75" customHeight="1">
      <c r="L165" s="16"/>
      <c r="M165" s="16"/>
      <c r="N165" s="16"/>
      <c r="O165" s="16"/>
      <c r="P165" s="16"/>
      <c r="Q165" s="16"/>
      <c r="R165" s="16"/>
      <c r="S165" s="16"/>
      <c r="T165" s="16"/>
      <c r="U165" s="16"/>
      <c r="V165" s="16"/>
      <c r="W165" s="16"/>
      <c r="X165" s="16"/>
      <c r="Y165" s="16"/>
      <c r="Z165" s="16"/>
      <c r="AA165" s="16"/>
      <c r="AB165" s="16"/>
      <c r="AC165" s="16"/>
      <c r="AD165" s="16"/>
    </row>
    <row r="166" spans="1:30" ht="15.75" customHeight="1">
      <c r="L166" s="16"/>
      <c r="M166" s="16"/>
      <c r="N166" s="16"/>
      <c r="O166" s="16"/>
      <c r="P166" s="16"/>
      <c r="Q166" s="16"/>
      <c r="R166" s="16"/>
      <c r="S166" s="16"/>
      <c r="T166" s="16"/>
      <c r="U166" s="16"/>
      <c r="V166" s="16"/>
      <c r="W166" s="16"/>
      <c r="X166" s="16"/>
      <c r="Y166" s="16"/>
      <c r="Z166" s="16"/>
      <c r="AA166" s="16"/>
      <c r="AB166" s="16"/>
      <c r="AC166" s="16"/>
      <c r="AD166" s="16"/>
    </row>
    <row r="167" spans="1:30" ht="15.75" customHeight="1">
      <c r="L167" s="16"/>
      <c r="M167" s="16"/>
      <c r="N167" s="16"/>
      <c r="O167" s="16"/>
      <c r="P167" s="16"/>
      <c r="Q167" s="16"/>
      <c r="R167" s="16"/>
      <c r="S167" s="16"/>
      <c r="T167" s="16"/>
      <c r="U167" s="16"/>
      <c r="V167" s="16"/>
      <c r="W167" s="16"/>
      <c r="X167" s="16"/>
      <c r="Y167" s="16"/>
      <c r="Z167" s="16"/>
      <c r="AA167" s="16"/>
      <c r="AB167" s="16"/>
      <c r="AC167" s="16"/>
      <c r="AD167" s="16"/>
    </row>
    <row r="168" spans="1:30" ht="15.75" customHeight="1">
      <c r="L168" s="16"/>
      <c r="M168" s="16"/>
      <c r="N168" s="16"/>
      <c r="O168" s="16"/>
      <c r="P168" s="16"/>
      <c r="Q168" s="16"/>
      <c r="R168" s="16"/>
      <c r="S168" s="16"/>
      <c r="T168" s="16"/>
      <c r="U168" s="16"/>
      <c r="V168" s="16"/>
      <c r="W168" s="16"/>
      <c r="X168" s="16"/>
      <c r="Y168" s="16"/>
      <c r="Z168" s="16"/>
      <c r="AA168" s="16"/>
      <c r="AB168" s="16"/>
      <c r="AC168" s="16"/>
      <c r="AD168" s="16"/>
    </row>
    <row r="169" spans="1:30" ht="15.75" customHeight="1">
      <c r="L169" s="16"/>
      <c r="M169" s="16"/>
      <c r="N169" s="16"/>
      <c r="O169" s="16"/>
      <c r="P169" s="16"/>
      <c r="Q169" s="16"/>
      <c r="R169" s="16"/>
      <c r="S169" s="16"/>
      <c r="T169" s="16"/>
      <c r="U169" s="16"/>
      <c r="V169" s="16"/>
      <c r="W169" s="16"/>
      <c r="X169" s="16"/>
      <c r="Y169" s="16"/>
      <c r="Z169" s="16"/>
      <c r="AA169" s="16"/>
      <c r="AB169" s="16"/>
      <c r="AC169" s="16"/>
      <c r="AD169" s="16"/>
    </row>
    <row r="170" spans="1:30" ht="15.75" customHeight="1">
      <c r="L170" s="16"/>
      <c r="M170" s="16"/>
      <c r="N170" s="16"/>
      <c r="O170" s="16"/>
      <c r="P170" s="735"/>
      <c r="Q170" s="696"/>
      <c r="R170" s="696"/>
      <c r="S170" s="16"/>
      <c r="T170" s="16"/>
      <c r="U170" s="16"/>
      <c r="V170" s="16"/>
      <c r="W170" s="16"/>
      <c r="X170" s="16"/>
      <c r="Y170" s="16"/>
      <c r="Z170" s="16"/>
      <c r="AA170" s="16"/>
      <c r="AB170" s="16"/>
      <c r="AC170" s="16"/>
      <c r="AD170" s="16"/>
    </row>
    <row r="171" spans="1:30" ht="15.75" customHeight="1">
      <c r="L171" s="16"/>
      <c r="M171" s="16"/>
      <c r="N171" s="16"/>
      <c r="O171" s="16"/>
      <c r="P171" s="735"/>
      <c r="Q171" s="696"/>
      <c r="R171" s="696"/>
      <c r="S171" s="16"/>
      <c r="T171" s="16"/>
      <c r="U171" s="16"/>
      <c r="V171" s="16"/>
      <c r="W171" s="16"/>
      <c r="X171" s="16"/>
      <c r="Y171" s="16"/>
      <c r="Z171" s="16"/>
      <c r="AA171" s="16"/>
      <c r="AB171" s="16"/>
      <c r="AC171" s="16"/>
      <c r="AD171" s="16"/>
    </row>
    <row r="172" spans="1:30" ht="15.75" customHeight="1">
      <c r="L172" s="16"/>
      <c r="M172" s="16"/>
      <c r="N172" s="16"/>
      <c r="O172" s="16"/>
      <c r="P172" s="735"/>
      <c r="Q172" s="696"/>
      <c r="R172" s="696"/>
      <c r="S172" s="16"/>
      <c r="T172" s="16"/>
      <c r="U172" s="16"/>
      <c r="V172" s="16"/>
      <c r="W172" s="16"/>
      <c r="X172" s="16"/>
      <c r="Y172" s="16"/>
      <c r="Z172" s="16"/>
      <c r="AA172" s="16"/>
      <c r="AB172" s="16"/>
      <c r="AC172" s="16"/>
      <c r="AD172" s="16"/>
    </row>
    <row r="173" spans="1:30" ht="15.75" customHeight="1">
      <c r="L173" s="16"/>
      <c r="M173" s="16"/>
      <c r="N173" s="16"/>
      <c r="O173" s="16"/>
      <c r="P173" s="735"/>
      <c r="Q173" s="696"/>
      <c r="R173" s="696"/>
      <c r="S173" s="16"/>
      <c r="T173" s="16"/>
      <c r="U173" s="16"/>
      <c r="V173" s="16"/>
      <c r="W173" s="16"/>
      <c r="X173" s="16"/>
      <c r="Y173" s="16"/>
      <c r="Z173" s="16"/>
      <c r="AA173" s="16"/>
      <c r="AB173" s="16"/>
      <c r="AC173" s="16"/>
      <c r="AD173" s="16"/>
    </row>
    <row r="174" spans="1:30" ht="15.75" customHeight="1">
      <c r="L174" s="16"/>
      <c r="M174" s="16"/>
      <c r="N174" s="16"/>
      <c r="O174" s="16"/>
      <c r="P174" s="735"/>
      <c r="Q174" s="696"/>
      <c r="R174" s="696"/>
      <c r="S174" s="16"/>
      <c r="T174" s="16"/>
      <c r="U174" s="16"/>
      <c r="V174" s="16"/>
      <c r="W174" s="16"/>
      <c r="X174" s="16"/>
      <c r="Y174" s="16"/>
      <c r="Z174" s="16"/>
      <c r="AA174" s="16"/>
      <c r="AB174" s="16"/>
      <c r="AC174" s="16"/>
      <c r="AD174" s="16"/>
    </row>
    <row r="175" spans="1:30" ht="15.75" customHeight="1">
      <c r="L175" s="16"/>
      <c r="M175" s="16"/>
      <c r="N175" s="16"/>
      <c r="O175" s="16"/>
      <c r="P175" s="735"/>
      <c r="Q175" s="696"/>
      <c r="R175" s="696"/>
      <c r="S175" s="16"/>
      <c r="T175" s="16"/>
      <c r="U175" s="16"/>
      <c r="V175" s="16"/>
      <c r="W175" s="16"/>
      <c r="X175" s="16"/>
      <c r="Y175" s="16"/>
      <c r="Z175" s="16"/>
      <c r="AA175" s="16"/>
      <c r="AB175" s="16"/>
      <c r="AC175" s="16"/>
      <c r="AD175" s="16"/>
    </row>
    <row r="176" spans="1:30" ht="15.75" customHeight="1">
      <c r="H176" s="248"/>
      <c r="I176" s="248"/>
      <c r="J176" s="228"/>
      <c r="K176" s="228"/>
      <c r="L176" s="16"/>
      <c r="M176" s="16"/>
      <c r="N176" s="16"/>
      <c r="O176" s="16"/>
      <c r="P176" s="735"/>
      <c r="Q176" s="696"/>
      <c r="R176" s="696"/>
      <c r="S176" s="16"/>
      <c r="T176" s="16"/>
      <c r="U176" s="16"/>
      <c r="V176" s="16"/>
      <c r="W176" s="16"/>
      <c r="X176" s="16"/>
      <c r="Y176" s="16"/>
      <c r="Z176" s="16"/>
      <c r="AA176" s="16"/>
      <c r="AB176" s="16"/>
      <c r="AC176" s="16"/>
      <c r="AD176" s="16"/>
    </row>
    <row r="177" spans="1:30" ht="15.75" customHeight="1">
      <c r="A177" s="231"/>
      <c r="B177" s="231"/>
      <c r="C177" s="246"/>
      <c r="D177" s="247"/>
      <c r="E177" s="245"/>
      <c r="F177" s="246"/>
      <c r="G177" s="247"/>
      <c r="H177" s="248"/>
      <c r="I177" s="248"/>
      <c r="J177" s="228"/>
      <c r="K177" s="228"/>
      <c r="L177" s="16"/>
      <c r="M177" s="16"/>
      <c r="N177" s="16"/>
      <c r="O177" s="16"/>
      <c r="P177" s="16"/>
      <c r="Q177" s="16"/>
      <c r="R177" s="16"/>
      <c r="S177" s="16"/>
      <c r="T177" s="16"/>
      <c r="U177" s="16"/>
      <c r="V177" s="16"/>
      <c r="W177" s="16"/>
      <c r="X177" s="16"/>
      <c r="Y177" s="16"/>
      <c r="Z177" s="16"/>
      <c r="AA177" s="16"/>
      <c r="AB177" s="16"/>
      <c r="AC177" s="16"/>
      <c r="AD177" s="16"/>
    </row>
    <row r="178" spans="1:30" ht="15.75" customHeight="1">
      <c r="A178" s="231"/>
      <c r="B178" s="16"/>
      <c r="C178" s="246"/>
      <c r="D178" s="247"/>
      <c r="E178" s="245"/>
      <c r="F178" s="246"/>
      <c r="G178" s="247"/>
      <c r="H178" s="228"/>
      <c r="I178" s="228"/>
      <c r="J178" s="228"/>
      <c r="K178" s="228"/>
      <c r="L178" s="16"/>
      <c r="M178" s="735"/>
      <c r="N178" s="696"/>
      <c r="O178" s="696"/>
      <c r="P178" s="735"/>
      <c r="Q178" s="696"/>
      <c r="R178" s="696"/>
      <c r="S178" s="696"/>
      <c r="T178" s="696"/>
      <c r="U178" s="16"/>
      <c r="V178" s="16"/>
      <c r="W178" s="16"/>
      <c r="X178" s="16"/>
      <c r="Y178" s="16"/>
      <c r="Z178" s="16"/>
      <c r="AA178" s="16"/>
      <c r="AB178" s="16"/>
      <c r="AC178" s="16"/>
      <c r="AD178" s="16"/>
    </row>
    <row r="179" spans="1:30" ht="15.75" customHeight="1">
      <c r="A179" s="16"/>
      <c r="B179" s="16"/>
      <c r="C179" s="16"/>
      <c r="D179" s="16"/>
      <c r="E179" s="16"/>
      <c r="F179" s="16"/>
      <c r="G179" s="16"/>
      <c r="H179" s="16"/>
      <c r="I179" s="16"/>
      <c r="J179" s="16"/>
      <c r="K179" s="16"/>
      <c r="L179" s="16"/>
      <c r="M179" s="735"/>
      <c r="N179" s="696"/>
      <c r="O179" s="696"/>
      <c r="P179" s="735"/>
      <c r="Q179" s="696"/>
      <c r="R179" s="696"/>
      <c r="S179" s="696"/>
      <c r="T179" s="696"/>
      <c r="U179" s="16"/>
      <c r="V179" s="16"/>
      <c r="W179" s="16"/>
      <c r="X179" s="16"/>
      <c r="Y179" s="16"/>
      <c r="Z179" s="16"/>
      <c r="AA179" s="16"/>
      <c r="AB179" s="16"/>
      <c r="AC179" s="16"/>
      <c r="AD179" s="16"/>
    </row>
    <row r="180" spans="1:30" ht="15.75" customHeight="1">
      <c r="A180" s="16"/>
      <c r="B180" s="16"/>
      <c r="C180" s="16"/>
      <c r="D180" s="16"/>
      <c r="E180" s="16"/>
      <c r="F180" s="16"/>
      <c r="G180" s="16"/>
      <c r="H180" s="16"/>
      <c r="I180" s="16"/>
      <c r="J180" s="16"/>
      <c r="K180" s="16"/>
      <c r="L180" s="16"/>
      <c r="M180" s="735"/>
      <c r="N180" s="696"/>
      <c r="O180" s="696"/>
      <c r="P180" s="696"/>
      <c r="Q180" s="696"/>
      <c r="R180" s="696"/>
      <c r="S180" s="696"/>
      <c r="T180" s="696"/>
      <c r="U180" s="16"/>
      <c r="V180" s="16"/>
      <c r="W180" s="16"/>
      <c r="X180" s="16"/>
      <c r="Y180" s="16"/>
      <c r="Z180" s="16"/>
      <c r="AA180" s="16"/>
      <c r="AB180" s="16"/>
      <c r="AC180" s="16"/>
      <c r="AD180" s="16"/>
    </row>
    <row r="181" spans="1:30" ht="15.75" customHeight="1">
      <c r="A181" s="16"/>
      <c r="B181" s="16"/>
      <c r="C181" s="16"/>
      <c r="D181" s="16"/>
      <c r="E181" s="16"/>
      <c r="F181" s="16"/>
      <c r="G181" s="16"/>
      <c r="H181" s="16"/>
      <c r="I181" s="16"/>
      <c r="J181" s="16"/>
      <c r="K181" s="16"/>
      <c r="L181" s="16"/>
      <c r="M181" s="735"/>
      <c r="N181" s="696"/>
      <c r="O181" s="696"/>
      <c r="P181" s="696"/>
      <c r="Q181" s="696"/>
      <c r="R181" s="696"/>
      <c r="S181" s="696"/>
      <c r="T181" s="696"/>
      <c r="U181" s="16"/>
      <c r="V181" s="16"/>
      <c r="W181" s="16"/>
      <c r="X181" s="16"/>
      <c r="Y181" s="16"/>
      <c r="Z181" s="16"/>
      <c r="AA181" s="16"/>
      <c r="AB181" s="16"/>
      <c r="AC181" s="16"/>
      <c r="AD181" s="16"/>
    </row>
    <row r="182" spans="1:30" ht="15.75" customHeight="1">
      <c r="A182" s="16"/>
      <c r="B182" s="16"/>
      <c r="C182" s="16"/>
      <c r="D182" s="16"/>
      <c r="E182" s="16"/>
      <c r="F182" s="16"/>
      <c r="G182" s="16"/>
      <c r="H182" s="16"/>
      <c r="I182" s="16"/>
      <c r="J182" s="16"/>
      <c r="K182" s="16"/>
      <c r="L182" s="16"/>
      <c r="M182" s="735"/>
      <c r="N182" s="696"/>
      <c r="O182" s="696"/>
      <c r="P182" s="696"/>
      <c r="Q182" s="696"/>
      <c r="R182" s="696"/>
      <c r="S182" s="696"/>
      <c r="T182" s="696"/>
      <c r="U182" s="16"/>
      <c r="V182" s="16"/>
      <c r="W182" s="16"/>
      <c r="X182" s="16"/>
      <c r="Y182" s="16"/>
      <c r="Z182" s="16"/>
      <c r="AA182" s="16"/>
      <c r="AB182" s="16"/>
      <c r="AC182" s="16"/>
      <c r="AD182" s="16"/>
    </row>
    <row r="183" spans="1:30" ht="15.75" customHeight="1">
      <c r="A183" s="16"/>
      <c r="B183" s="16"/>
      <c r="C183" s="16"/>
      <c r="D183" s="16"/>
      <c r="E183" s="16"/>
      <c r="F183" s="16"/>
      <c r="G183" s="16"/>
      <c r="H183" s="16"/>
      <c r="I183" s="16"/>
      <c r="J183" s="16"/>
      <c r="K183" s="16"/>
      <c r="L183" s="16"/>
      <c r="M183" s="735"/>
      <c r="N183" s="696"/>
      <c r="O183" s="696"/>
      <c r="P183" s="696"/>
      <c r="Q183" s="696"/>
      <c r="R183" s="696"/>
      <c r="S183" s="696"/>
      <c r="T183" s="696"/>
      <c r="U183" s="16"/>
      <c r="V183" s="16"/>
      <c r="W183" s="16"/>
      <c r="X183" s="16"/>
      <c r="Y183" s="16"/>
      <c r="Z183" s="16"/>
      <c r="AA183" s="16"/>
      <c r="AB183" s="16"/>
      <c r="AC183" s="16"/>
      <c r="AD183" s="16"/>
    </row>
    <row r="184" spans="1:30" ht="15.75" customHeight="1">
      <c r="A184" s="16"/>
      <c r="B184" s="16"/>
      <c r="C184" s="16"/>
      <c r="D184" s="16"/>
      <c r="E184" s="16"/>
      <c r="F184" s="16"/>
      <c r="G184" s="16"/>
      <c r="H184" s="16"/>
      <c r="I184" s="16"/>
      <c r="J184" s="16"/>
      <c r="K184" s="16"/>
      <c r="L184" s="16"/>
      <c r="M184" s="735"/>
      <c r="N184" s="696"/>
      <c r="O184" s="696"/>
      <c r="P184" s="696"/>
      <c r="Q184" s="696"/>
      <c r="R184" s="696"/>
      <c r="S184" s="696"/>
      <c r="T184" s="696"/>
      <c r="U184" s="16"/>
      <c r="V184" s="16"/>
      <c r="W184" s="16"/>
      <c r="X184" s="16"/>
      <c r="Y184" s="16"/>
      <c r="Z184" s="16"/>
      <c r="AA184" s="16"/>
      <c r="AB184" s="16"/>
      <c r="AC184" s="16"/>
      <c r="AD184" s="16"/>
    </row>
    <row r="185" spans="1:30" ht="15.75" customHeight="1">
      <c r="A185" s="16"/>
      <c r="B185" s="16"/>
      <c r="C185" s="16"/>
      <c r="D185" s="16"/>
      <c r="E185" s="16"/>
      <c r="F185" s="16"/>
      <c r="G185" s="16"/>
      <c r="H185" s="16"/>
      <c r="I185" s="16"/>
      <c r="J185" s="16"/>
      <c r="K185" s="16"/>
      <c r="L185" s="16"/>
      <c r="M185" s="735"/>
      <c r="N185" s="696"/>
      <c r="O185" s="696"/>
      <c r="P185" s="696"/>
      <c r="Q185" s="696"/>
      <c r="R185" s="696"/>
      <c r="S185" s="696"/>
      <c r="T185" s="696"/>
      <c r="U185" s="16"/>
      <c r="V185" s="16"/>
      <c r="W185" s="16"/>
      <c r="X185" s="16"/>
      <c r="Y185" s="16"/>
      <c r="Z185" s="16"/>
      <c r="AA185" s="16"/>
      <c r="AB185" s="16"/>
      <c r="AC185" s="16"/>
      <c r="AD185" s="16"/>
    </row>
    <row r="186" spans="1:30" ht="15.75" customHeight="1">
      <c r="A186" s="16"/>
      <c r="B186" s="16"/>
      <c r="C186" s="16"/>
      <c r="D186" s="16"/>
      <c r="E186" s="16"/>
      <c r="F186" s="16"/>
      <c r="G186" s="16"/>
      <c r="H186" s="16"/>
      <c r="I186" s="16"/>
      <c r="J186" s="16"/>
      <c r="K186" s="16"/>
      <c r="L186" s="16"/>
      <c r="M186" s="735"/>
      <c r="N186" s="696"/>
      <c r="O186" s="696"/>
      <c r="P186" s="696"/>
      <c r="Q186" s="696"/>
      <c r="R186" s="696"/>
      <c r="S186" s="696"/>
      <c r="T186" s="696"/>
      <c r="U186" s="16"/>
      <c r="V186" s="16"/>
      <c r="W186" s="16"/>
      <c r="X186" s="16"/>
      <c r="Y186" s="16"/>
      <c r="Z186" s="16"/>
      <c r="AA186" s="16"/>
      <c r="AB186" s="16"/>
      <c r="AC186" s="16"/>
      <c r="AD186" s="16"/>
    </row>
    <row r="187" spans="1:30" ht="15.75" customHeight="1">
      <c r="A187" s="16"/>
      <c r="B187" s="16"/>
      <c r="C187" s="16"/>
      <c r="D187" s="16"/>
      <c r="E187" s="16"/>
      <c r="F187" s="16"/>
      <c r="G187" s="16"/>
      <c r="H187" s="16"/>
      <c r="I187" s="16"/>
      <c r="J187" s="16"/>
      <c r="K187" s="16"/>
      <c r="L187" s="16"/>
      <c r="M187" s="735"/>
      <c r="N187" s="696"/>
      <c r="O187" s="696"/>
      <c r="P187" s="696"/>
      <c r="Q187" s="696"/>
      <c r="R187" s="696"/>
      <c r="S187" s="696"/>
      <c r="T187" s="696"/>
      <c r="U187" s="16"/>
      <c r="V187" s="16"/>
      <c r="W187" s="16"/>
      <c r="X187" s="16"/>
      <c r="Y187" s="16"/>
      <c r="Z187" s="16"/>
      <c r="AA187" s="16"/>
      <c r="AB187" s="16"/>
      <c r="AC187" s="16"/>
      <c r="AD187" s="16"/>
    </row>
    <row r="188" spans="1:30" ht="15.75" customHeight="1">
      <c r="A188" s="16"/>
      <c r="B188" s="16"/>
      <c r="C188" s="16"/>
      <c r="D188" s="16"/>
      <c r="E188" s="16"/>
      <c r="F188" s="16"/>
      <c r="G188" s="16"/>
      <c r="H188" s="16"/>
      <c r="I188" s="16"/>
      <c r="J188" s="16"/>
      <c r="K188" s="16"/>
      <c r="L188" s="16"/>
      <c r="M188" s="735"/>
      <c r="N188" s="696"/>
      <c r="O188" s="696"/>
      <c r="P188" s="696"/>
      <c r="Q188" s="696"/>
      <c r="R188" s="696"/>
      <c r="S188" s="696"/>
      <c r="T188" s="696"/>
      <c r="U188" s="16"/>
      <c r="V188" s="16"/>
      <c r="W188" s="16"/>
      <c r="X188" s="16"/>
      <c r="Y188" s="16"/>
      <c r="Z188" s="16"/>
      <c r="AA188" s="16"/>
      <c r="AB188" s="16"/>
      <c r="AC188" s="16"/>
      <c r="AD188" s="16"/>
    </row>
    <row r="189" spans="1:30" ht="15.75" customHeight="1">
      <c r="A189" s="16"/>
      <c r="B189" s="16"/>
      <c r="C189" s="16"/>
      <c r="D189" s="16"/>
      <c r="E189" s="16"/>
      <c r="F189" s="16"/>
      <c r="G189" s="16"/>
      <c r="H189" s="16"/>
      <c r="I189" s="16"/>
      <c r="J189" s="16"/>
      <c r="K189" s="16"/>
      <c r="L189" s="16"/>
      <c r="M189" s="735"/>
      <c r="N189" s="696"/>
      <c r="O189" s="696"/>
      <c r="P189" s="696"/>
      <c r="Q189" s="696"/>
      <c r="R189" s="696"/>
      <c r="S189" s="696"/>
      <c r="T189" s="696"/>
      <c r="U189" s="16"/>
      <c r="V189" s="16"/>
      <c r="W189" s="16"/>
      <c r="X189" s="16"/>
      <c r="Y189" s="16"/>
      <c r="Z189" s="16"/>
      <c r="AA189" s="16"/>
      <c r="AB189" s="16"/>
      <c r="AC189" s="16"/>
      <c r="AD189" s="16"/>
    </row>
    <row r="190" spans="1:30" ht="15.75" customHeight="1">
      <c r="A190" s="16"/>
      <c r="B190" s="16"/>
      <c r="C190" s="16"/>
      <c r="D190" s="16"/>
      <c r="E190" s="16"/>
      <c r="F190" s="16"/>
      <c r="G190" s="16"/>
      <c r="H190" s="16"/>
      <c r="I190" s="16"/>
      <c r="J190" s="16"/>
      <c r="K190" s="16"/>
      <c r="L190" s="16"/>
      <c r="M190" s="735"/>
      <c r="N190" s="696"/>
      <c r="O190" s="696"/>
      <c r="P190" s="696"/>
      <c r="Q190" s="696"/>
      <c r="R190" s="696"/>
      <c r="S190" s="696"/>
      <c r="T190" s="696"/>
      <c r="U190" s="16"/>
      <c r="V190" s="16"/>
      <c r="W190" s="16"/>
      <c r="X190" s="16"/>
      <c r="Y190" s="16"/>
      <c r="Z190" s="16"/>
      <c r="AA190" s="16"/>
      <c r="AB190" s="16"/>
      <c r="AC190" s="16"/>
      <c r="AD190" s="16"/>
    </row>
    <row r="191" spans="1:30" ht="15.75" customHeight="1">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c r="AD191" s="16"/>
    </row>
    <row r="192" spans="1:30" ht="15.75" customHeight="1">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c r="AD192" s="16"/>
    </row>
    <row r="193" spans="1:30" ht="15.75" customHeight="1">
      <c r="A193" s="16"/>
      <c r="B193" s="16"/>
      <c r="C193" s="16"/>
      <c r="D193" s="16"/>
      <c r="E193" s="16"/>
      <c r="F193" s="16"/>
      <c r="G193" s="16"/>
      <c r="H193" s="16"/>
      <c r="I193" s="16"/>
      <c r="J193" s="16"/>
      <c r="K193" s="16"/>
      <c r="L193" s="16"/>
      <c r="M193" s="735"/>
      <c r="N193" s="696"/>
      <c r="O193" s="696"/>
      <c r="P193" s="735"/>
      <c r="Q193" s="696"/>
      <c r="R193" s="696"/>
      <c r="S193" s="696"/>
      <c r="T193" s="696"/>
      <c r="U193" s="16"/>
      <c r="V193" s="16"/>
      <c r="W193" s="16"/>
      <c r="X193" s="16"/>
      <c r="Y193" s="16"/>
      <c r="Z193" s="16"/>
      <c r="AA193" s="16"/>
      <c r="AB193" s="16"/>
      <c r="AC193" s="16"/>
      <c r="AD193" s="16"/>
    </row>
    <row r="194" spans="1:30" ht="15.75" customHeight="1">
      <c r="A194" s="16"/>
      <c r="B194" s="16"/>
      <c r="C194" s="16"/>
      <c r="D194" s="16"/>
      <c r="E194" s="16"/>
      <c r="F194" s="16"/>
      <c r="G194" s="16"/>
      <c r="H194" s="16"/>
      <c r="I194" s="16"/>
      <c r="J194" s="16"/>
      <c r="K194" s="16"/>
      <c r="L194" s="16"/>
      <c r="M194" s="735"/>
      <c r="N194" s="696"/>
      <c r="O194" s="696"/>
      <c r="P194" s="735"/>
      <c r="Q194" s="696"/>
      <c r="R194" s="696"/>
      <c r="S194" s="696"/>
      <c r="T194" s="696"/>
      <c r="U194" s="16"/>
      <c r="V194" s="16"/>
      <c r="W194" s="16"/>
      <c r="X194" s="16"/>
      <c r="Y194" s="16"/>
      <c r="Z194" s="16"/>
      <c r="AA194" s="16"/>
      <c r="AB194" s="16"/>
      <c r="AC194" s="16"/>
      <c r="AD194" s="16"/>
    </row>
    <row r="195" spans="1:30" ht="15.75" customHeight="1">
      <c r="A195" s="16"/>
      <c r="B195" s="16"/>
      <c r="C195" s="16"/>
      <c r="D195" s="16"/>
      <c r="E195" s="16"/>
      <c r="F195" s="16"/>
      <c r="G195" s="16"/>
      <c r="H195" s="16"/>
      <c r="I195" s="16"/>
      <c r="J195" s="16"/>
      <c r="K195" s="16"/>
      <c r="L195" s="16"/>
      <c r="M195" s="735"/>
      <c r="N195" s="696"/>
      <c r="O195" s="696"/>
      <c r="P195" s="696"/>
      <c r="Q195" s="696"/>
      <c r="R195" s="696"/>
      <c r="S195" s="696"/>
      <c r="T195" s="696"/>
      <c r="U195" s="16"/>
      <c r="V195" s="16"/>
      <c r="W195" s="16"/>
      <c r="X195" s="16"/>
      <c r="Y195" s="16"/>
      <c r="Z195" s="16"/>
      <c r="AA195" s="16"/>
      <c r="AB195" s="16"/>
      <c r="AC195" s="16"/>
      <c r="AD195" s="16"/>
    </row>
    <row r="196" spans="1:30" ht="15.75" customHeight="1">
      <c r="A196" s="16"/>
      <c r="B196" s="16"/>
      <c r="C196" s="16"/>
      <c r="D196" s="16"/>
      <c r="E196" s="16"/>
      <c r="F196" s="16"/>
      <c r="G196" s="16"/>
      <c r="H196" s="16"/>
      <c r="I196" s="16"/>
      <c r="J196" s="16"/>
      <c r="K196" s="16"/>
      <c r="L196" s="16"/>
      <c r="M196" s="735"/>
      <c r="N196" s="696"/>
      <c r="O196" s="696"/>
      <c r="P196" s="696"/>
      <c r="Q196" s="696"/>
      <c r="R196" s="696"/>
      <c r="S196" s="696"/>
      <c r="T196" s="696"/>
      <c r="U196" s="16"/>
      <c r="V196" s="16"/>
      <c r="W196" s="16"/>
      <c r="X196" s="16"/>
      <c r="Y196" s="16"/>
      <c r="Z196" s="16"/>
      <c r="AA196" s="16"/>
      <c r="AB196" s="16"/>
      <c r="AC196" s="16"/>
      <c r="AD196" s="16"/>
    </row>
    <row r="197" spans="1:30" ht="15.75" customHeight="1">
      <c r="A197" s="16"/>
      <c r="B197" s="16"/>
      <c r="C197" s="16"/>
      <c r="D197" s="16"/>
      <c r="E197" s="16"/>
      <c r="F197" s="16"/>
      <c r="G197" s="16"/>
      <c r="H197" s="16"/>
      <c r="I197" s="16"/>
      <c r="J197" s="16"/>
      <c r="K197" s="16"/>
      <c r="L197" s="16"/>
      <c r="M197" s="735"/>
      <c r="N197" s="696"/>
      <c r="O197" s="696"/>
      <c r="P197" s="696"/>
      <c r="Q197" s="696"/>
      <c r="R197" s="696"/>
      <c r="S197" s="696"/>
      <c r="T197" s="696"/>
      <c r="U197" s="16"/>
      <c r="V197" s="16"/>
      <c r="W197" s="16"/>
      <c r="X197" s="16"/>
      <c r="Y197" s="16"/>
      <c r="Z197" s="16"/>
      <c r="AA197" s="16"/>
      <c r="AB197" s="16"/>
      <c r="AC197" s="16"/>
      <c r="AD197" s="16"/>
    </row>
    <row r="198" spans="1:30" ht="15.75" customHeight="1">
      <c r="A198" s="16"/>
      <c r="B198" s="16"/>
      <c r="C198" s="16"/>
      <c r="D198" s="16"/>
      <c r="E198" s="16"/>
      <c r="F198" s="16"/>
      <c r="G198" s="16"/>
      <c r="H198" s="16"/>
      <c r="I198" s="16"/>
      <c r="J198" s="16"/>
      <c r="K198" s="16"/>
      <c r="L198" s="16"/>
      <c r="M198" s="735"/>
      <c r="N198" s="696"/>
      <c r="O198" s="696"/>
      <c r="P198" s="696"/>
      <c r="Q198" s="696"/>
      <c r="R198" s="696"/>
      <c r="S198" s="696"/>
      <c r="T198" s="696"/>
      <c r="U198" s="16"/>
      <c r="V198" s="16"/>
      <c r="W198" s="16"/>
      <c r="X198" s="16"/>
      <c r="Y198" s="16"/>
      <c r="Z198" s="16"/>
      <c r="AA198" s="16"/>
      <c r="AB198" s="16"/>
      <c r="AC198" s="16"/>
      <c r="AD198" s="16"/>
    </row>
    <row r="199" spans="1:30" ht="15.75" customHeight="1">
      <c r="A199" s="16"/>
      <c r="B199" s="16"/>
      <c r="C199" s="16"/>
      <c r="D199" s="16"/>
      <c r="E199" s="16"/>
      <c r="F199" s="16"/>
      <c r="G199" s="16"/>
      <c r="H199" s="16"/>
      <c r="I199" s="16"/>
      <c r="J199" s="16"/>
      <c r="K199" s="16"/>
      <c r="L199" s="16"/>
      <c r="M199" s="735"/>
      <c r="N199" s="696"/>
      <c r="O199" s="696"/>
      <c r="P199" s="696"/>
      <c r="Q199" s="696"/>
      <c r="R199" s="696"/>
      <c r="S199" s="696"/>
      <c r="T199" s="696"/>
      <c r="U199" s="16"/>
      <c r="V199" s="16"/>
      <c r="W199" s="16"/>
      <c r="X199" s="16"/>
      <c r="Y199" s="16"/>
      <c r="Z199" s="16"/>
      <c r="AA199" s="16"/>
      <c r="AB199" s="16"/>
      <c r="AC199" s="16"/>
      <c r="AD199" s="16"/>
    </row>
    <row r="200" spans="1:30" ht="15.75" customHeight="1">
      <c r="A200" s="16"/>
      <c r="B200" s="16"/>
      <c r="C200" s="16"/>
      <c r="D200" s="16"/>
      <c r="E200" s="16"/>
      <c r="F200" s="16"/>
      <c r="G200" s="16"/>
      <c r="H200" s="16"/>
      <c r="I200" s="16"/>
      <c r="J200" s="16"/>
      <c r="K200" s="16"/>
      <c r="L200" s="16"/>
      <c r="M200" s="735"/>
      <c r="N200" s="696"/>
      <c r="O200" s="696"/>
      <c r="P200" s="696"/>
      <c r="Q200" s="696"/>
      <c r="R200" s="696"/>
      <c r="S200" s="696"/>
      <c r="T200" s="696"/>
      <c r="U200" s="16"/>
      <c r="V200" s="16"/>
      <c r="W200" s="16"/>
      <c r="X200" s="16"/>
      <c r="Y200" s="16"/>
      <c r="Z200" s="16"/>
      <c r="AA200" s="16"/>
      <c r="AB200" s="16"/>
      <c r="AC200" s="16"/>
      <c r="AD200" s="16"/>
    </row>
    <row r="201" spans="1:30" ht="15.75" customHeight="1">
      <c r="A201" s="16"/>
      <c r="B201" s="16"/>
      <c r="C201" s="16"/>
      <c r="D201" s="16"/>
      <c r="E201" s="16"/>
      <c r="F201" s="16"/>
      <c r="G201" s="16"/>
      <c r="H201" s="16"/>
      <c r="I201" s="16"/>
      <c r="J201" s="16"/>
      <c r="K201" s="16"/>
      <c r="L201" s="16"/>
      <c r="M201" s="735"/>
      <c r="N201" s="696"/>
      <c r="O201" s="696"/>
      <c r="P201" s="696"/>
      <c r="Q201" s="696"/>
      <c r="R201" s="696"/>
      <c r="S201" s="696"/>
      <c r="T201" s="696"/>
      <c r="U201" s="16"/>
      <c r="V201" s="16"/>
      <c r="W201" s="16"/>
      <c r="X201" s="16"/>
      <c r="Y201" s="16"/>
      <c r="Z201" s="16"/>
      <c r="AA201" s="16"/>
      <c r="AB201" s="16"/>
      <c r="AC201" s="16"/>
      <c r="AD201" s="16"/>
    </row>
    <row r="202" spans="1:30" ht="15.75" customHeight="1">
      <c r="A202" s="16"/>
      <c r="B202" s="16"/>
      <c r="C202" s="16"/>
      <c r="D202" s="16"/>
      <c r="E202" s="16"/>
      <c r="F202" s="16"/>
      <c r="G202" s="16"/>
      <c r="H202" s="16"/>
      <c r="I202" s="16"/>
      <c r="J202" s="16"/>
      <c r="K202" s="16"/>
      <c r="L202" s="16"/>
      <c r="M202" s="735"/>
      <c r="N202" s="696"/>
      <c r="O202" s="696"/>
      <c r="P202" s="696"/>
      <c r="Q202" s="696"/>
      <c r="R202" s="696"/>
      <c r="S202" s="696"/>
      <c r="T202" s="696"/>
      <c r="U202" s="16"/>
      <c r="V202" s="16"/>
      <c r="W202" s="16"/>
      <c r="X202" s="16"/>
      <c r="Y202" s="16"/>
      <c r="Z202" s="16"/>
      <c r="AA202" s="16"/>
      <c r="AB202" s="16"/>
      <c r="AC202" s="16"/>
      <c r="AD202" s="16"/>
    </row>
    <row r="203" spans="1:30" ht="15.75" customHeight="1">
      <c r="A203" s="16"/>
      <c r="B203" s="16"/>
      <c r="C203" s="16"/>
      <c r="D203" s="16"/>
      <c r="E203" s="16"/>
      <c r="F203" s="16"/>
      <c r="G203" s="16"/>
      <c r="H203" s="16"/>
      <c r="I203" s="16"/>
      <c r="J203" s="16"/>
      <c r="K203" s="16"/>
      <c r="L203" s="16"/>
      <c r="M203" s="735"/>
      <c r="N203" s="696"/>
      <c r="O203" s="696"/>
      <c r="P203" s="696"/>
      <c r="Q203" s="696"/>
      <c r="R203" s="696"/>
      <c r="S203" s="696"/>
      <c r="T203" s="696"/>
      <c r="U203" s="16"/>
      <c r="V203" s="16"/>
      <c r="W203" s="16"/>
      <c r="X203" s="16"/>
      <c r="Y203" s="16"/>
      <c r="Z203" s="16"/>
      <c r="AA203" s="16"/>
      <c r="AB203" s="16"/>
      <c r="AC203" s="16"/>
      <c r="AD203" s="16"/>
    </row>
    <row r="204" spans="1:30" ht="15.75" customHeight="1">
      <c r="A204" s="16"/>
      <c r="B204" s="16"/>
      <c r="C204" s="16"/>
      <c r="D204" s="16"/>
      <c r="E204" s="16"/>
      <c r="F204" s="16"/>
      <c r="G204" s="16"/>
      <c r="H204" s="16"/>
      <c r="I204" s="16"/>
      <c r="J204" s="16"/>
      <c r="K204" s="16"/>
      <c r="L204" s="16"/>
      <c r="M204" s="735"/>
      <c r="N204" s="696"/>
      <c r="O204" s="696"/>
      <c r="P204" s="696"/>
      <c r="Q204" s="696"/>
      <c r="R204" s="696"/>
      <c r="S204" s="696"/>
      <c r="T204" s="696"/>
      <c r="U204" s="16"/>
      <c r="V204" s="16"/>
      <c r="W204" s="16"/>
      <c r="X204" s="16"/>
      <c r="Y204" s="16"/>
      <c r="Z204" s="16"/>
      <c r="AA204" s="16"/>
      <c r="AB204" s="16"/>
      <c r="AC204" s="16"/>
      <c r="AD204" s="16"/>
    </row>
    <row r="205" spans="1:30" ht="15.75" customHeight="1">
      <c r="A205" s="16"/>
      <c r="B205" s="16"/>
      <c r="C205" s="16"/>
      <c r="D205" s="16"/>
      <c r="E205" s="16"/>
      <c r="F205" s="16"/>
      <c r="G205" s="16"/>
      <c r="H205" s="16"/>
      <c r="I205" s="16"/>
      <c r="J205" s="16"/>
      <c r="K205" s="16"/>
      <c r="L205" s="16"/>
      <c r="M205" s="735"/>
      <c r="N205" s="696"/>
      <c r="O205" s="696"/>
      <c r="P205" s="696"/>
      <c r="Q205" s="696"/>
      <c r="R205" s="696"/>
      <c r="S205" s="696"/>
      <c r="T205" s="696"/>
      <c r="U205" s="16"/>
      <c r="V205" s="16"/>
      <c r="W205" s="16"/>
      <c r="X205" s="16"/>
      <c r="Y205" s="16"/>
      <c r="Z205" s="16"/>
      <c r="AA205" s="16"/>
      <c r="AB205" s="16"/>
      <c r="AC205" s="16"/>
      <c r="AD205" s="16"/>
    </row>
    <row r="206" spans="1:30" ht="15.75" customHeight="1">
      <c r="A206" s="16"/>
      <c r="B206" s="16"/>
      <c r="C206" s="16"/>
      <c r="D206" s="16"/>
      <c r="E206" s="16"/>
      <c r="F206" s="16"/>
      <c r="G206" s="16"/>
      <c r="H206" s="16"/>
      <c r="I206" s="16"/>
      <c r="J206" s="16"/>
      <c r="K206" s="16"/>
      <c r="L206" s="16"/>
      <c r="M206" s="735"/>
      <c r="N206" s="696"/>
      <c r="O206" s="696"/>
      <c r="P206" s="696"/>
      <c r="Q206" s="696"/>
      <c r="R206" s="696"/>
      <c r="S206" s="696"/>
      <c r="T206" s="696"/>
      <c r="U206" s="16"/>
      <c r="V206" s="16"/>
      <c r="W206" s="16"/>
      <c r="X206" s="16"/>
      <c r="Y206" s="16"/>
      <c r="Z206" s="16"/>
      <c r="AA206" s="16"/>
      <c r="AB206" s="16"/>
      <c r="AC206" s="16"/>
      <c r="AD206" s="16"/>
    </row>
    <row r="207" spans="1:30" ht="15.75" customHeight="1">
      <c r="A207" s="16"/>
      <c r="B207" s="16"/>
      <c r="C207" s="16"/>
      <c r="D207" s="16"/>
      <c r="E207" s="16"/>
      <c r="F207" s="16"/>
      <c r="G207" s="16"/>
      <c r="H207" s="16"/>
      <c r="I207" s="16"/>
      <c r="J207" s="16"/>
      <c r="K207" s="16"/>
      <c r="L207" s="16"/>
      <c r="M207" s="735"/>
      <c r="N207" s="696"/>
      <c r="O207" s="696"/>
      <c r="P207" s="696"/>
      <c r="Q207" s="696"/>
      <c r="R207" s="696"/>
      <c r="S207" s="696"/>
      <c r="T207" s="696"/>
      <c r="U207" s="16"/>
      <c r="V207" s="16"/>
      <c r="W207" s="16"/>
      <c r="X207" s="16"/>
      <c r="Y207" s="16"/>
      <c r="Z207" s="16"/>
      <c r="AA207" s="16"/>
      <c r="AB207" s="16"/>
      <c r="AC207" s="16"/>
      <c r="AD207" s="16"/>
    </row>
    <row r="208" spans="1:30" ht="15.75" customHeight="1">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c r="AD208" s="16"/>
    </row>
    <row r="209" spans="1:30" ht="15.75" customHeight="1">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c r="AD209" s="16"/>
    </row>
    <row r="210" spans="1:30" ht="15.75" customHeight="1">
      <c r="A210" s="16"/>
      <c r="B210" s="735"/>
      <c r="C210" s="696"/>
      <c r="D210" s="16"/>
      <c r="E210" s="16"/>
      <c r="F210" s="16"/>
      <c r="G210" s="16"/>
      <c r="H210" s="16"/>
      <c r="I210" s="16"/>
      <c r="J210" s="16"/>
      <c r="K210" s="16"/>
      <c r="L210" s="16"/>
      <c r="M210" s="735"/>
      <c r="N210" s="696"/>
      <c r="O210" s="696"/>
      <c r="P210" s="735"/>
      <c r="Q210" s="696"/>
      <c r="R210" s="696"/>
      <c r="S210" s="696"/>
      <c r="T210" s="696"/>
      <c r="U210" s="16"/>
      <c r="V210" s="16"/>
      <c r="W210" s="16"/>
      <c r="X210" s="16"/>
      <c r="Y210" s="16"/>
      <c r="Z210" s="16"/>
      <c r="AA210" s="16"/>
      <c r="AB210" s="16"/>
      <c r="AC210" s="16"/>
      <c r="AD210" s="16"/>
    </row>
    <row r="211" spans="1:30" ht="15.75" customHeight="1">
      <c r="A211" s="16"/>
      <c r="B211" s="735"/>
      <c r="C211" s="696"/>
      <c r="D211" s="16"/>
      <c r="E211" s="16"/>
      <c r="F211" s="16"/>
      <c r="G211" s="16"/>
      <c r="H211" s="16"/>
      <c r="I211" s="16"/>
      <c r="J211" s="16"/>
      <c r="K211" s="16"/>
      <c r="L211" s="16"/>
      <c r="M211" s="735"/>
      <c r="N211" s="696"/>
      <c r="O211" s="696"/>
      <c r="P211" s="735"/>
      <c r="Q211" s="696"/>
      <c r="R211" s="696"/>
      <c r="S211" s="696"/>
      <c r="T211" s="696"/>
      <c r="U211" s="16"/>
      <c r="V211" s="16"/>
      <c r="W211" s="16"/>
      <c r="X211" s="16"/>
      <c r="Y211" s="16"/>
      <c r="Z211" s="16"/>
      <c r="AA211" s="16"/>
      <c r="AB211" s="16"/>
      <c r="AC211" s="16"/>
      <c r="AD211" s="16"/>
    </row>
    <row r="212" spans="1:30" ht="15.75" customHeight="1">
      <c r="A212" s="16"/>
      <c r="B212" s="735"/>
      <c r="C212" s="696"/>
      <c r="D212" s="16"/>
      <c r="E212" s="16"/>
      <c r="F212" s="16"/>
      <c r="G212" s="16"/>
      <c r="H212" s="16"/>
      <c r="I212" s="16"/>
      <c r="J212" s="16"/>
      <c r="K212" s="16"/>
      <c r="L212" s="16"/>
      <c r="M212" s="735"/>
      <c r="N212" s="696"/>
      <c r="O212" s="696"/>
      <c r="P212" s="696"/>
      <c r="Q212" s="696"/>
      <c r="R212" s="696"/>
      <c r="S212" s="696"/>
      <c r="T212" s="696"/>
      <c r="U212" s="16"/>
      <c r="V212" s="16"/>
      <c r="W212" s="16"/>
      <c r="X212" s="16"/>
      <c r="Y212" s="16"/>
      <c r="Z212" s="16"/>
      <c r="AA212" s="16"/>
      <c r="AB212" s="16"/>
      <c r="AC212" s="16"/>
      <c r="AD212" s="16"/>
    </row>
    <row r="213" spans="1:30" ht="15.75" customHeight="1">
      <c r="A213" s="16"/>
      <c r="B213" s="735"/>
      <c r="C213" s="696"/>
      <c r="D213" s="16"/>
      <c r="E213" s="16"/>
      <c r="F213" s="16"/>
      <c r="G213" s="16"/>
      <c r="H213" s="16"/>
      <c r="I213" s="16"/>
      <c r="J213" s="16"/>
      <c r="K213" s="16"/>
      <c r="L213" s="16"/>
      <c r="M213" s="735"/>
      <c r="N213" s="696"/>
      <c r="O213" s="696"/>
      <c r="P213" s="696"/>
      <c r="Q213" s="696"/>
      <c r="R213" s="696"/>
      <c r="S213" s="696"/>
      <c r="T213" s="696"/>
      <c r="U213" s="16"/>
      <c r="V213" s="16"/>
      <c r="W213" s="16"/>
      <c r="X213" s="16"/>
      <c r="Y213" s="16"/>
      <c r="Z213" s="16"/>
      <c r="AA213" s="16"/>
      <c r="AB213" s="16"/>
      <c r="AC213" s="16"/>
      <c r="AD213" s="16"/>
    </row>
    <row r="214" spans="1:30" ht="15.75" customHeight="1">
      <c r="A214" s="16"/>
      <c r="B214" s="735"/>
      <c r="C214" s="696"/>
      <c r="D214" s="16"/>
      <c r="E214" s="16"/>
      <c r="F214" s="16"/>
      <c r="G214" s="16"/>
      <c r="H214" s="16"/>
      <c r="I214" s="16"/>
      <c r="J214" s="16"/>
      <c r="K214" s="16"/>
      <c r="L214" s="16"/>
      <c r="M214" s="735"/>
      <c r="N214" s="696"/>
      <c r="O214" s="696"/>
      <c r="P214" s="696"/>
      <c r="Q214" s="696"/>
      <c r="R214" s="696"/>
      <c r="S214" s="696"/>
      <c r="T214" s="696"/>
      <c r="U214" s="16"/>
      <c r="V214" s="16"/>
      <c r="W214" s="16"/>
      <c r="X214" s="16"/>
      <c r="Y214" s="16"/>
      <c r="Z214" s="16"/>
      <c r="AA214" s="16"/>
      <c r="AB214" s="16"/>
      <c r="AC214" s="16"/>
      <c r="AD214" s="16"/>
    </row>
    <row r="215" spans="1:30" ht="15.75" customHeight="1">
      <c r="A215" s="16"/>
      <c r="B215" s="735"/>
      <c r="C215" s="696"/>
      <c r="D215" s="16"/>
      <c r="E215" s="16"/>
      <c r="F215" s="16"/>
      <c r="G215" s="16"/>
      <c r="H215" s="16"/>
      <c r="I215" s="16"/>
      <c r="J215" s="16"/>
      <c r="K215" s="16"/>
      <c r="L215" s="16"/>
      <c r="M215" s="735"/>
      <c r="N215" s="696"/>
      <c r="O215" s="696"/>
      <c r="P215" s="696"/>
      <c r="Q215" s="696"/>
      <c r="R215" s="696"/>
      <c r="S215" s="696"/>
      <c r="T215" s="696"/>
      <c r="U215" s="16"/>
      <c r="V215" s="16"/>
      <c r="W215" s="16"/>
      <c r="X215" s="16"/>
      <c r="Y215" s="16"/>
      <c r="Z215" s="16"/>
      <c r="AA215" s="16"/>
      <c r="AB215" s="16"/>
      <c r="AC215" s="16"/>
      <c r="AD215" s="16"/>
    </row>
    <row r="216" spans="1:30" ht="15.75" customHeight="1">
      <c r="A216" s="16"/>
      <c r="B216" s="735"/>
      <c r="C216" s="696"/>
      <c r="D216" s="16"/>
      <c r="E216" s="16"/>
      <c r="F216" s="16"/>
      <c r="G216" s="16"/>
      <c r="H216" s="16"/>
      <c r="I216" s="16"/>
      <c r="J216" s="16"/>
      <c r="K216" s="16"/>
      <c r="L216" s="16"/>
      <c r="M216" s="735"/>
      <c r="N216" s="696"/>
      <c r="O216" s="696"/>
      <c r="P216" s="696"/>
      <c r="Q216" s="696"/>
      <c r="R216" s="696"/>
      <c r="S216" s="696"/>
      <c r="T216" s="696"/>
      <c r="U216" s="16"/>
      <c r="V216" s="16"/>
      <c r="W216" s="16"/>
      <c r="X216" s="16"/>
      <c r="Y216" s="16"/>
      <c r="Z216" s="16"/>
      <c r="AA216" s="16"/>
      <c r="AB216" s="16"/>
      <c r="AC216" s="16"/>
      <c r="AD216" s="16"/>
    </row>
    <row r="217" spans="1:30" ht="15.75" customHeight="1">
      <c r="A217" s="16"/>
      <c r="B217" s="735"/>
      <c r="C217" s="696"/>
      <c r="D217" s="16"/>
      <c r="E217" s="16"/>
      <c r="F217" s="16"/>
      <c r="G217" s="16"/>
      <c r="H217" s="16"/>
      <c r="I217" s="16"/>
      <c r="J217" s="16"/>
      <c r="K217" s="16"/>
      <c r="L217" s="16"/>
      <c r="M217" s="735"/>
      <c r="N217" s="696"/>
      <c r="O217" s="696"/>
      <c r="P217" s="696"/>
      <c r="Q217" s="696"/>
      <c r="R217" s="696"/>
      <c r="S217" s="696"/>
      <c r="T217" s="696"/>
      <c r="U217" s="16"/>
      <c r="V217" s="16"/>
      <c r="W217" s="16"/>
      <c r="X217" s="16"/>
      <c r="Y217" s="16"/>
      <c r="Z217" s="16"/>
      <c r="AA217" s="16"/>
      <c r="AB217" s="16"/>
      <c r="AC217" s="16"/>
      <c r="AD217" s="16"/>
    </row>
    <row r="218" spans="1:30" ht="15.75" customHeight="1">
      <c r="A218" s="16"/>
      <c r="B218" s="735"/>
      <c r="C218" s="696"/>
      <c r="D218" s="16"/>
      <c r="E218" s="16"/>
      <c r="F218" s="16"/>
      <c r="G218" s="16"/>
      <c r="H218" s="16"/>
      <c r="I218" s="16"/>
      <c r="J218" s="16"/>
      <c r="K218" s="16"/>
      <c r="L218" s="16"/>
      <c r="M218" s="735"/>
      <c r="N218" s="696"/>
      <c r="O218" s="696"/>
      <c r="P218" s="696"/>
      <c r="Q218" s="696"/>
      <c r="R218" s="696"/>
      <c r="S218" s="696"/>
      <c r="T218" s="696"/>
      <c r="U218" s="16"/>
      <c r="V218" s="16"/>
      <c r="W218" s="16"/>
      <c r="X218" s="16"/>
      <c r="Y218" s="16"/>
      <c r="Z218" s="16"/>
      <c r="AA218" s="16"/>
      <c r="AB218" s="16"/>
      <c r="AC218" s="16"/>
      <c r="AD218" s="16"/>
    </row>
    <row r="219" spans="1:30" ht="15.75" customHeight="1">
      <c r="A219" s="16"/>
      <c r="B219" s="735"/>
      <c r="C219" s="696"/>
      <c r="D219" s="16"/>
      <c r="E219" s="16"/>
      <c r="F219" s="16"/>
      <c r="G219" s="16"/>
      <c r="H219" s="16"/>
      <c r="I219" s="16"/>
      <c r="J219" s="16"/>
      <c r="K219" s="16"/>
      <c r="L219" s="16"/>
      <c r="M219" s="735"/>
      <c r="N219" s="696"/>
      <c r="O219" s="696"/>
      <c r="P219" s="696"/>
      <c r="Q219" s="696"/>
      <c r="R219" s="696"/>
      <c r="S219" s="696"/>
      <c r="T219" s="696"/>
      <c r="U219" s="16"/>
      <c r="V219" s="16"/>
      <c r="W219" s="16"/>
      <c r="X219" s="16"/>
      <c r="Y219" s="16"/>
      <c r="Z219" s="16"/>
      <c r="AA219" s="16"/>
      <c r="AB219" s="16"/>
      <c r="AC219" s="16"/>
      <c r="AD219" s="16"/>
    </row>
    <row r="220" spans="1:30" ht="15.75" customHeight="1">
      <c r="A220" s="16"/>
      <c r="B220" s="735"/>
      <c r="C220" s="696"/>
      <c r="D220" s="16"/>
      <c r="E220" s="16"/>
      <c r="F220" s="16"/>
      <c r="G220" s="16"/>
      <c r="H220" s="16"/>
      <c r="I220" s="16"/>
      <c r="J220" s="16"/>
      <c r="K220" s="16"/>
      <c r="L220" s="16"/>
      <c r="M220" s="735"/>
      <c r="N220" s="696"/>
      <c r="O220" s="696"/>
      <c r="P220" s="696"/>
      <c r="Q220" s="696"/>
      <c r="R220" s="696"/>
      <c r="S220" s="696"/>
      <c r="T220" s="696"/>
      <c r="U220" s="16"/>
      <c r="V220" s="16"/>
      <c r="W220" s="16"/>
      <c r="X220" s="16"/>
      <c r="Y220" s="16"/>
      <c r="Z220" s="16"/>
      <c r="AA220" s="16"/>
      <c r="AB220" s="16"/>
      <c r="AC220" s="16"/>
      <c r="AD220" s="16"/>
    </row>
    <row r="221" spans="1:30" ht="15.75" customHeight="1">
      <c r="A221" s="16"/>
      <c r="B221" s="735"/>
      <c r="C221" s="696"/>
      <c r="D221" s="16"/>
      <c r="E221" s="16"/>
      <c r="F221" s="16"/>
      <c r="G221" s="16"/>
      <c r="H221" s="16"/>
      <c r="I221" s="16"/>
      <c r="J221" s="16"/>
      <c r="K221" s="16"/>
      <c r="L221" s="16"/>
      <c r="M221" s="735"/>
      <c r="N221" s="696"/>
      <c r="O221" s="696"/>
      <c r="P221" s="696"/>
      <c r="Q221" s="696"/>
      <c r="R221" s="696"/>
      <c r="S221" s="696"/>
      <c r="T221" s="696"/>
      <c r="U221" s="16"/>
      <c r="V221" s="16"/>
      <c r="W221" s="16"/>
      <c r="X221" s="16"/>
      <c r="Y221" s="16"/>
      <c r="Z221" s="16"/>
      <c r="AA221" s="16"/>
      <c r="AB221" s="16"/>
      <c r="AC221" s="16"/>
      <c r="AD221" s="16"/>
    </row>
    <row r="222" spans="1:30" ht="15.75" customHeight="1">
      <c r="A222" s="16"/>
      <c r="B222" s="735"/>
      <c r="C222" s="696"/>
      <c r="D222" s="16"/>
      <c r="E222" s="16"/>
      <c r="F222" s="16"/>
      <c r="G222" s="16"/>
      <c r="H222" s="16"/>
      <c r="I222" s="16"/>
      <c r="J222" s="16"/>
      <c r="K222" s="16"/>
      <c r="L222" s="16"/>
      <c r="M222" s="735"/>
      <c r="N222" s="696"/>
      <c r="O222" s="696"/>
      <c r="P222" s="696"/>
      <c r="Q222" s="696"/>
      <c r="R222" s="696"/>
      <c r="S222" s="696"/>
      <c r="T222" s="696"/>
      <c r="U222" s="16"/>
      <c r="V222" s="16"/>
      <c r="W222" s="16"/>
      <c r="X222" s="16"/>
      <c r="Y222" s="16"/>
      <c r="Z222" s="16"/>
      <c r="AA222" s="16"/>
      <c r="AB222" s="16"/>
      <c r="AC222" s="16"/>
      <c r="AD222" s="16"/>
    </row>
    <row r="223" spans="1:30" ht="15.75" customHeight="1">
      <c r="A223" s="16"/>
      <c r="B223" s="735"/>
      <c r="C223" s="696"/>
      <c r="D223" s="16"/>
      <c r="E223" s="16"/>
      <c r="F223" s="16"/>
      <c r="G223" s="16"/>
      <c r="H223" s="16"/>
      <c r="I223" s="16"/>
      <c r="J223" s="16"/>
      <c r="K223" s="16"/>
      <c r="L223" s="16"/>
      <c r="M223" s="735"/>
      <c r="N223" s="696"/>
      <c r="O223" s="696"/>
      <c r="P223" s="696"/>
      <c r="Q223" s="696"/>
      <c r="R223" s="696"/>
      <c r="S223" s="696"/>
      <c r="T223" s="696"/>
      <c r="U223" s="16"/>
      <c r="V223" s="16"/>
      <c r="W223" s="16"/>
      <c r="X223" s="16"/>
      <c r="Y223" s="16"/>
      <c r="Z223" s="16"/>
      <c r="AA223" s="16"/>
      <c r="AB223" s="16"/>
      <c r="AC223" s="16"/>
      <c r="AD223" s="16"/>
    </row>
    <row r="224" spans="1:30" ht="15.75" customHeight="1">
      <c r="A224" s="16"/>
      <c r="B224" s="735"/>
      <c r="C224" s="696"/>
      <c r="D224" s="16"/>
      <c r="E224" s="16"/>
      <c r="F224" s="16"/>
      <c r="G224" s="16"/>
      <c r="H224" s="16"/>
      <c r="I224" s="16"/>
      <c r="J224" s="16"/>
      <c r="K224" s="16"/>
      <c r="L224" s="16"/>
      <c r="M224" s="735"/>
      <c r="N224" s="696"/>
      <c r="O224" s="696"/>
      <c r="P224" s="696"/>
      <c r="Q224" s="696"/>
      <c r="R224" s="696"/>
      <c r="S224" s="696"/>
      <c r="T224" s="696"/>
      <c r="U224" s="16"/>
      <c r="V224" s="16"/>
      <c r="W224" s="16"/>
      <c r="X224" s="16"/>
      <c r="Y224" s="16"/>
      <c r="Z224" s="16"/>
      <c r="AA224" s="16"/>
      <c r="AB224" s="16"/>
      <c r="AC224" s="16"/>
      <c r="AD224" s="16"/>
    </row>
    <row r="225" spans="1:30" ht="15.75" customHeight="1">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16"/>
    </row>
    <row r="226" spans="1:30" ht="15.75" customHeight="1">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row>
    <row r="227" spans="1:30" ht="15.75" customHeight="1">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16"/>
    </row>
    <row r="228" spans="1:30" ht="15.75" customHeight="1">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c r="AD228" s="16"/>
    </row>
    <row r="229" spans="1:30" ht="15.75" customHeight="1">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c r="AD229" s="16"/>
    </row>
    <row r="230" spans="1:30" ht="15.75" customHeight="1">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row>
    <row r="231" spans="1:30" ht="15.75" customHeight="1">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c r="AD231" s="16"/>
    </row>
    <row r="232" spans="1:30" ht="15.75" customHeight="1">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c r="AD232" s="16"/>
    </row>
    <row r="233" spans="1:30" ht="15.75" customHeight="1">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c r="AD233" s="16"/>
    </row>
    <row r="234" spans="1:30" ht="15.75" customHeight="1">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c r="AD234" s="16"/>
    </row>
    <row r="235" spans="1:30" ht="15.75" customHeight="1">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row>
    <row r="236" spans="1:30" ht="15.75" customHeight="1">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c r="AD236" s="16"/>
    </row>
    <row r="237" spans="1:30" ht="15.75" customHeight="1">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c r="AD237" s="16"/>
    </row>
    <row r="238" spans="1:30" ht="15.75" customHeight="1">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c r="AD238" s="16"/>
    </row>
    <row r="239" spans="1:30" ht="15.75" customHeight="1">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c r="AD239" s="16"/>
    </row>
    <row r="240" spans="1:30" ht="15.75" customHeight="1">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c r="AD240" s="16"/>
    </row>
    <row r="241" spans="1:30" ht="15.75" customHeight="1">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c r="AD241" s="16"/>
    </row>
    <row r="242" spans="1:30" ht="15.75" customHeight="1">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c r="AD242" s="16"/>
    </row>
    <row r="243" spans="1:30" ht="15.75" customHeight="1">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c r="AD243" s="16"/>
    </row>
    <row r="244" spans="1:30" ht="15.75" customHeight="1">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16"/>
    </row>
    <row r="245" spans="1:30" ht="15.75" customHeight="1">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c r="AD245" s="16"/>
    </row>
    <row r="246" spans="1:30" ht="15.75" customHeight="1">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row>
    <row r="247" spans="1:30" ht="15.75" customHeight="1">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c r="AD247" s="16"/>
    </row>
    <row r="248" spans="1:30" ht="15.75" customHeight="1">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row>
    <row r="249" spans="1:30" ht="15.75" customHeight="1">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row>
    <row r="250" spans="1:30" ht="15.75" customHeight="1">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c r="AD250" s="16"/>
    </row>
    <row r="251" spans="1:30" ht="15.75" customHeight="1">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row>
    <row r="252" spans="1:30" ht="15.75" customHeight="1">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16"/>
    </row>
    <row r="253" spans="1:30" ht="15.75" customHeight="1">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c r="AD253" s="16"/>
    </row>
    <row r="254" spans="1:30" ht="15.75" customHeight="1">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row>
    <row r="255" spans="1:30" ht="15.75" customHeight="1">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c r="AD255" s="16"/>
    </row>
    <row r="256" spans="1:30" ht="15.75" customHeight="1">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row>
    <row r="257" spans="1:30" ht="15.75" customHeight="1">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c r="AD257" s="16"/>
    </row>
    <row r="258" spans="1:30" ht="15.75" customHeight="1">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c r="AD258" s="16"/>
    </row>
    <row r="259" spans="1:30" ht="15.75" customHeight="1">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row>
    <row r="260" spans="1:30" ht="15.75" customHeight="1">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row>
    <row r="261" spans="1:30" ht="15.75" customHeight="1">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c r="AD261" s="16"/>
    </row>
    <row r="262" spans="1:30" ht="15.75" customHeight="1">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row>
    <row r="263" spans="1:30" ht="15.75" customHeight="1">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row>
    <row r="264" spans="1:30" ht="15.75" customHeight="1">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c r="AD264" s="16"/>
    </row>
    <row r="265" spans="1:30" ht="15.75" customHeight="1">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row>
    <row r="266" spans="1:30" ht="15.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row>
    <row r="267" spans="1:30" ht="15.75" customHeight="1">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row>
    <row r="268" spans="1:30" ht="15.75" customHeight="1">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c r="AD268" s="16"/>
    </row>
    <row r="269" spans="1:30" ht="15.75" customHeight="1">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row>
    <row r="270" spans="1:30" ht="15.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row>
    <row r="271" spans="1:30" ht="15.75" customHeight="1">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c r="AD271" s="16"/>
    </row>
    <row r="272" spans="1:30" ht="15.75" customHeight="1">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c r="AD272" s="16"/>
    </row>
    <row r="273" spans="1:30" ht="15.75" customHeight="1">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c r="AD273" s="16"/>
    </row>
    <row r="274" spans="1:30" ht="15.75" customHeight="1">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c r="AD274" s="16"/>
    </row>
    <row r="275" spans="1:30" ht="15.75" customHeight="1">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c r="AD275" s="16"/>
    </row>
    <row r="276" spans="1:30" ht="15.75" customHeight="1">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row>
    <row r="277" spans="1:30" ht="15.75" customHeight="1">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16"/>
    </row>
    <row r="278" spans="1:30" ht="15.75" customHeight="1">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row>
    <row r="279" spans="1:30" ht="15.75" customHeight="1">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16"/>
    </row>
    <row r="280" spans="1:30" ht="15.75" customHeight="1">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c r="AD280" s="16"/>
    </row>
    <row r="281" spans="1:30" ht="15.75" customHeight="1">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c r="AD281" s="16"/>
    </row>
    <row r="282" spans="1:30" ht="15.75" customHeight="1">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c r="AD282" s="16"/>
    </row>
    <row r="283" spans="1:30" ht="15.75" customHeight="1">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c r="AD283" s="16"/>
    </row>
    <row r="284" spans="1:30" ht="15.75" customHeight="1">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c r="AD284" s="16"/>
    </row>
    <row r="285" spans="1:30" ht="15.75" customHeight="1">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c r="AD285" s="16"/>
    </row>
    <row r="286" spans="1:30" ht="15.75" customHeight="1">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row>
    <row r="287" spans="1:30" ht="15.75" customHeight="1">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row>
    <row r="288" spans="1:30" ht="15.75" customHeight="1">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row>
    <row r="289" spans="1:30" ht="15.75" customHeight="1">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row>
    <row r="290" spans="1:30" ht="15.75" customHeight="1">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row>
    <row r="291" spans="1:30" ht="15.75" customHeight="1">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c r="AD291" s="16"/>
    </row>
    <row r="292" spans="1:30" ht="15.75" customHeight="1">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row>
    <row r="293" spans="1:30" ht="15.75" customHeight="1">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row>
    <row r="294" spans="1:30" ht="15.75" customHeight="1">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row>
    <row r="295" spans="1:30" ht="15.75" customHeight="1">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row>
    <row r="296" spans="1:30" ht="15.75" customHeight="1">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row>
    <row r="297" spans="1:30" ht="15.75" customHeight="1">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row>
    <row r="298" spans="1:30" ht="15.75" customHeight="1">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row>
    <row r="299" spans="1:30" ht="15.75" customHeight="1">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row>
    <row r="300" spans="1:30" ht="15.75" customHeight="1">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row>
    <row r="301" spans="1:30" ht="15.75" customHeight="1">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c r="AD301" s="16"/>
    </row>
    <row r="302" spans="1:30" ht="15.75" customHeight="1">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c r="AD302" s="16"/>
    </row>
    <row r="303" spans="1:30" ht="15.75" customHeight="1">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row>
    <row r="304" spans="1:30" ht="15.75" customHeight="1">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c r="AD304" s="16"/>
    </row>
    <row r="305" spans="1:30" ht="15.75" customHeight="1">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c r="AD305" s="16"/>
    </row>
    <row r="306" spans="1:30" ht="15.75" customHeight="1">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c r="AA306" s="16"/>
      <c r="AB306" s="16"/>
      <c r="AC306" s="16"/>
      <c r="AD306" s="16"/>
    </row>
    <row r="307" spans="1:30" ht="15.75" customHeight="1">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c r="AA307" s="16"/>
      <c r="AB307" s="16"/>
      <c r="AC307" s="16"/>
      <c r="AD307" s="16"/>
    </row>
    <row r="308" spans="1:30" ht="15.75" customHeight="1">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c r="AA308" s="16"/>
      <c r="AB308" s="16"/>
      <c r="AC308" s="16"/>
      <c r="AD308" s="16"/>
    </row>
    <row r="309" spans="1:30" ht="15.75" customHeight="1">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c r="AA309" s="16"/>
      <c r="AB309" s="16"/>
      <c r="AC309" s="16"/>
      <c r="AD309" s="16"/>
    </row>
    <row r="310" spans="1:30" ht="15.75" customHeight="1">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c r="AA310" s="16"/>
      <c r="AB310" s="16"/>
      <c r="AC310" s="16"/>
      <c r="AD310" s="16"/>
    </row>
    <row r="311" spans="1:30" ht="15.75" customHeight="1">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c r="AA311" s="16"/>
      <c r="AB311" s="16"/>
      <c r="AC311" s="16"/>
      <c r="AD311" s="16"/>
    </row>
    <row r="312" spans="1:30" ht="15.75" customHeight="1">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c r="AA312" s="16"/>
      <c r="AB312" s="16"/>
      <c r="AC312" s="16"/>
      <c r="AD312" s="16"/>
    </row>
    <row r="313" spans="1:30" ht="15.75" customHeight="1">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c r="AA313" s="16"/>
      <c r="AB313" s="16"/>
      <c r="AC313" s="16"/>
      <c r="AD313" s="16"/>
    </row>
    <row r="314" spans="1:30" ht="15.75" customHeight="1">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c r="AA314" s="16"/>
      <c r="AB314" s="16"/>
      <c r="AC314" s="16"/>
      <c r="AD314" s="16"/>
    </row>
    <row r="315" spans="1:30" ht="15.75" customHeight="1">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c r="AA315" s="16"/>
      <c r="AB315" s="16"/>
      <c r="AC315" s="16"/>
      <c r="AD315" s="16"/>
    </row>
    <row r="316" spans="1:30" ht="15.75" customHeight="1">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c r="AA316" s="16"/>
      <c r="AB316" s="16"/>
      <c r="AC316" s="16"/>
      <c r="AD316" s="16"/>
    </row>
    <row r="317" spans="1:30" ht="15.75" customHeight="1">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c r="AA317" s="16"/>
      <c r="AB317" s="16"/>
      <c r="AC317" s="16"/>
      <c r="AD317" s="16"/>
    </row>
    <row r="318" spans="1:30" ht="15.75" customHeight="1">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c r="AA318" s="16"/>
      <c r="AB318" s="16"/>
      <c r="AC318" s="16"/>
      <c r="AD318" s="16"/>
    </row>
    <row r="319" spans="1:30" ht="15.75" customHeight="1">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c r="AA319" s="16"/>
      <c r="AB319" s="16"/>
      <c r="AC319" s="16"/>
      <c r="AD319" s="16"/>
    </row>
    <row r="320" spans="1:30" ht="15.75" customHeight="1">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c r="AA320" s="16"/>
      <c r="AB320" s="16"/>
      <c r="AC320" s="16"/>
      <c r="AD320" s="16"/>
    </row>
    <row r="321" spans="1:30" ht="15.75" customHeight="1">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c r="AA321" s="16"/>
      <c r="AB321" s="16"/>
      <c r="AC321" s="16"/>
      <c r="AD321" s="16"/>
    </row>
    <row r="322" spans="1:30" ht="15.75" customHeight="1">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c r="AA322" s="16"/>
      <c r="AB322" s="16"/>
      <c r="AC322" s="16"/>
      <c r="AD322" s="16"/>
    </row>
    <row r="323" spans="1:30" ht="15.75" customHeight="1">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c r="AA323" s="16"/>
      <c r="AB323" s="16"/>
      <c r="AC323" s="16"/>
      <c r="AD323" s="16"/>
    </row>
    <row r="324" spans="1:30" ht="15.75" customHeight="1">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c r="AA324" s="16"/>
      <c r="AB324" s="16"/>
      <c r="AC324" s="16"/>
      <c r="AD324" s="16"/>
    </row>
    <row r="325" spans="1:30" ht="15.75" customHeight="1">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c r="AA325" s="16"/>
      <c r="AB325" s="16"/>
      <c r="AC325" s="16"/>
      <c r="AD325" s="16"/>
    </row>
    <row r="326" spans="1:30" ht="15.75" customHeight="1">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c r="AA326" s="16"/>
      <c r="AB326" s="16"/>
      <c r="AC326" s="16"/>
      <c r="AD326" s="16"/>
    </row>
    <row r="327" spans="1:30" ht="15.75" customHeight="1">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c r="AA327" s="16"/>
      <c r="AB327" s="16"/>
      <c r="AC327" s="16"/>
      <c r="AD327" s="16"/>
    </row>
    <row r="328" spans="1:30" ht="15.75" customHeight="1">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c r="AA328" s="16"/>
      <c r="AB328" s="16"/>
      <c r="AC328" s="16"/>
      <c r="AD328" s="16"/>
    </row>
    <row r="329" spans="1:30" ht="15.75" customHeight="1">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c r="AA329" s="16"/>
      <c r="AB329" s="16"/>
      <c r="AC329" s="16"/>
      <c r="AD329" s="16"/>
    </row>
    <row r="330" spans="1:30" ht="15.75" customHeight="1">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c r="AA330" s="16"/>
      <c r="AB330" s="16"/>
      <c r="AC330" s="16"/>
      <c r="AD330" s="16"/>
    </row>
    <row r="331" spans="1:30" ht="15.75" customHeight="1">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c r="AA331" s="16"/>
      <c r="AB331" s="16"/>
      <c r="AC331" s="16"/>
      <c r="AD331" s="16"/>
    </row>
    <row r="332" spans="1:30" ht="15.75" customHeight="1">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c r="AA332" s="16"/>
      <c r="AB332" s="16"/>
      <c r="AC332" s="16"/>
      <c r="AD332" s="16"/>
    </row>
    <row r="333" spans="1:30" ht="15.75" customHeight="1">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c r="AA333" s="16"/>
      <c r="AB333" s="16"/>
      <c r="AC333" s="16"/>
      <c r="AD333" s="16"/>
    </row>
    <row r="334" spans="1:30" ht="15.75" customHeight="1">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c r="AA334" s="16"/>
      <c r="AB334" s="16"/>
      <c r="AC334" s="16"/>
      <c r="AD334" s="16"/>
    </row>
    <row r="335" spans="1:30" ht="15.75" customHeight="1">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c r="AA335" s="16"/>
      <c r="AB335" s="16"/>
      <c r="AC335" s="16"/>
      <c r="AD335" s="16"/>
    </row>
    <row r="336" spans="1:30" ht="15.75" customHeight="1">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c r="AA336" s="16"/>
      <c r="AB336" s="16"/>
      <c r="AC336" s="16"/>
      <c r="AD336" s="16"/>
    </row>
    <row r="337" spans="1:30" ht="15.75" customHeight="1">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c r="AA337" s="16"/>
      <c r="AB337" s="16"/>
      <c r="AC337" s="16"/>
      <c r="AD337" s="16"/>
    </row>
    <row r="338" spans="1:30" ht="15.75" customHeight="1">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c r="AA338" s="16"/>
      <c r="AB338" s="16"/>
      <c r="AC338" s="16"/>
      <c r="AD338" s="16"/>
    </row>
    <row r="339" spans="1:30" ht="15.75" customHeight="1">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c r="AA339" s="16"/>
      <c r="AB339" s="16"/>
      <c r="AC339" s="16"/>
      <c r="AD339" s="16"/>
    </row>
    <row r="340" spans="1:30" ht="15.75" customHeight="1">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c r="AA340" s="16"/>
      <c r="AB340" s="16"/>
      <c r="AC340" s="16"/>
      <c r="AD340" s="16"/>
    </row>
    <row r="341" spans="1:30" ht="15.75" customHeight="1">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c r="AA341" s="16"/>
      <c r="AB341" s="16"/>
      <c r="AC341" s="16"/>
      <c r="AD341" s="16"/>
    </row>
    <row r="342" spans="1:30" ht="15.75" customHeight="1">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c r="AA342" s="16"/>
      <c r="AB342" s="16"/>
      <c r="AC342" s="16"/>
      <c r="AD342" s="16"/>
    </row>
    <row r="343" spans="1:30" ht="15.75" customHeight="1">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c r="AA343" s="16"/>
      <c r="AB343" s="16"/>
      <c r="AC343" s="16"/>
      <c r="AD343" s="16"/>
    </row>
    <row r="344" spans="1:30" ht="15.75" customHeight="1">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c r="AA344" s="16"/>
      <c r="AB344" s="16"/>
      <c r="AC344" s="16"/>
      <c r="AD344" s="16"/>
    </row>
    <row r="345" spans="1:30" ht="15.75" customHeight="1">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c r="AA345" s="16"/>
      <c r="AB345" s="16"/>
      <c r="AC345" s="16"/>
      <c r="AD345" s="16"/>
    </row>
    <row r="346" spans="1:30" ht="15.75" customHeight="1">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c r="AA346" s="16"/>
      <c r="AB346" s="16"/>
      <c r="AC346" s="16"/>
      <c r="AD346" s="16"/>
    </row>
    <row r="347" spans="1:30" ht="15.75" customHeight="1">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c r="AA347" s="16"/>
      <c r="AB347" s="16"/>
      <c r="AC347" s="16"/>
      <c r="AD347" s="16"/>
    </row>
    <row r="348" spans="1:30" ht="15.75" customHeight="1">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c r="AA348" s="16"/>
      <c r="AB348" s="16"/>
      <c r="AC348" s="16"/>
      <c r="AD348" s="16"/>
    </row>
    <row r="349" spans="1:30" ht="15.75" customHeight="1">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c r="AA349" s="16"/>
      <c r="AB349" s="16"/>
      <c r="AC349" s="16"/>
      <c r="AD349" s="16"/>
    </row>
    <row r="350" spans="1:30" ht="15.75" customHeight="1">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c r="AA350" s="16"/>
      <c r="AB350" s="16"/>
      <c r="AC350" s="16"/>
      <c r="AD350" s="16"/>
    </row>
    <row r="351" spans="1:30" ht="15.75" customHeight="1">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c r="AA351" s="16"/>
      <c r="AB351" s="16"/>
      <c r="AC351" s="16"/>
      <c r="AD351" s="16"/>
    </row>
    <row r="352" spans="1:30" ht="15.75" customHeight="1">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c r="AA352" s="16"/>
      <c r="AB352" s="16"/>
      <c r="AC352" s="16"/>
      <c r="AD352" s="16"/>
    </row>
    <row r="353" spans="1:30" ht="15.75" customHeight="1">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c r="AA353" s="16"/>
      <c r="AB353" s="16"/>
      <c r="AC353" s="16"/>
      <c r="AD353" s="16"/>
    </row>
    <row r="354" spans="1:30" ht="15.75" customHeight="1">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c r="AA354" s="16"/>
      <c r="AB354" s="16"/>
      <c r="AC354" s="16"/>
      <c r="AD354" s="16"/>
    </row>
    <row r="355" spans="1:30" ht="15.75" customHeight="1">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c r="AA355" s="16"/>
      <c r="AB355" s="16"/>
      <c r="AC355" s="16"/>
      <c r="AD355" s="16"/>
    </row>
    <row r="356" spans="1:30" ht="15.75" customHeight="1">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c r="AA356" s="16"/>
      <c r="AB356" s="16"/>
      <c r="AC356" s="16"/>
      <c r="AD356" s="16"/>
    </row>
    <row r="357" spans="1:30" ht="15.75" customHeight="1">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c r="AA357" s="16"/>
      <c r="AB357" s="16"/>
      <c r="AC357" s="16"/>
      <c r="AD357" s="16"/>
    </row>
    <row r="358" spans="1:30" ht="15.75" customHeight="1">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c r="AA358" s="16"/>
      <c r="AB358" s="16"/>
      <c r="AC358" s="16"/>
      <c r="AD358" s="16"/>
    </row>
    <row r="359" spans="1:30" ht="15.75" customHeight="1">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c r="AA359" s="16"/>
      <c r="AB359" s="16"/>
      <c r="AC359" s="16"/>
      <c r="AD359" s="16"/>
    </row>
    <row r="360" spans="1:30" ht="15.75" customHeight="1">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c r="AA360" s="16"/>
      <c r="AB360" s="16"/>
      <c r="AC360" s="16"/>
      <c r="AD360" s="16"/>
    </row>
    <row r="361" spans="1:30" ht="15.75" customHeight="1"/>
    <row r="362" spans="1:30" ht="15.75" customHeight="1"/>
    <row r="363" spans="1:30" ht="15.75" customHeight="1"/>
    <row r="364" spans="1:30" ht="15.75" customHeight="1"/>
    <row r="365" spans="1:30" ht="15.75" customHeight="1"/>
    <row r="366" spans="1:30" ht="15.75" customHeight="1"/>
    <row r="367" spans="1:30" ht="15.75" customHeight="1"/>
    <row r="368" spans="1:30"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sheetData>
  <mergeCells count="99">
    <mergeCell ref="B216:C216"/>
    <mergeCell ref="M216:O216"/>
    <mergeCell ref="B223:C223"/>
    <mergeCell ref="M223:O223"/>
    <mergeCell ref="B217:C217"/>
    <mergeCell ref="M217:O217"/>
    <mergeCell ref="B218:C218"/>
    <mergeCell ref="M218:O218"/>
    <mergeCell ref="B219:C219"/>
    <mergeCell ref="B224:C224"/>
    <mergeCell ref="M224:O224"/>
    <mergeCell ref="B220:C220"/>
    <mergeCell ref="M220:O220"/>
    <mergeCell ref="B221:C221"/>
    <mergeCell ref="M221:O221"/>
    <mergeCell ref="B222:C222"/>
    <mergeCell ref="M222:O222"/>
    <mergeCell ref="M207:O207"/>
    <mergeCell ref="B210:C210"/>
    <mergeCell ref="M210:O210"/>
    <mergeCell ref="P210:T210"/>
    <mergeCell ref="B211:C211"/>
    <mergeCell ref="M211:O211"/>
    <mergeCell ref="P211:T224"/>
    <mergeCell ref="B212:C212"/>
    <mergeCell ref="M212:O212"/>
    <mergeCell ref="B213:C213"/>
    <mergeCell ref="M219:O219"/>
    <mergeCell ref="M213:O213"/>
    <mergeCell ref="B214:C214"/>
    <mergeCell ref="M214:O214"/>
    <mergeCell ref="B215:C215"/>
    <mergeCell ref="M215:O215"/>
    <mergeCell ref="M206:O206"/>
    <mergeCell ref="M193:O193"/>
    <mergeCell ref="P193:T193"/>
    <mergeCell ref="M194:O194"/>
    <mergeCell ref="P194:T207"/>
    <mergeCell ref="M195:O195"/>
    <mergeCell ref="M196:O196"/>
    <mergeCell ref="M197:O197"/>
    <mergeCell ref="M198:O198"/>
    <mergeCell ref="M199:O199"/>
    <mergeCell ref="M200:O200"/>
    <mergeCell ref="M201:O201"/>
    <mergeCell ref="M202:O202"/>
    <mergeCell ref="M203:O203"/>
    <mergeCell ref="M204:O204"/>
    <mergeCell ref="M205:O205"/>
    <mergeCell ref="M190:O190"/>
    <mergeCell ref="P176:R176"/>
    <mergeCell ref="M178:O178"/>
    <mergeCell ref="P178:T178"/>
    <mergeCell ref="M179:O179"/>
    <mergeCell ref="P179:T190"/>
    <mergeCell ref="M180:O180"/>
    <mergeCell ref="M181:O181"/>
    <mergeCell ref="M182:O182"/>
    <mergeCell ref="M183:O183"/>
    <mergeCell ref="M184:O184"/>
    <mergeCell ref="M185:O185"/>
    <mergeCell ref="M186:O186"/>
    <mergeCell ref="M187:O187"/>
    <mergeCell ref="M188:O188"/>
    <mergeCell ref="M189:O189"/>
    <mergeCell ref="AG29:AH29"/>
    <mergeCell ref="AI29:AJ29"/>
    <mergeCell ref="AG30:AH40"/>
    <mergeCell ref="AI30:AJ40"/>
    <mergeCell ref="P170:R170"/>
    <mergeCell ref="P171:R171"/>
    <mergeCell ref="P172:R172"/>
    <mergeCell ref="P173:R173"/>
    <mergeCell ref="P174:R174"/>
    <mergeCell ref="P175:R175"/>
    <mergeCell ref="K84:O100"/>
    <mergeCell ref="P84:Q100"/>
    <mergeCell ref="H104:I104"/>
    <mergeCell ref="J104:K104"/>
    <mergeCell ref="H105:I160"/>
    <mergeCell ref="J105:K160"/>
    <mergeCell ref="I45:K45"/>
    <mergeCell ref="I46:K50"/>
    <mergeCell ref="K54:M54"/>
    <mergeCell ref="K83:O83"/>
    <mergeCell ref="P83:Q83"/>
    <mergeCell ref="K55:M80"/>
    <mergeCell ref="H38:J42"/>
    <mergeCell ref="A1:C1"/>
    <mergeCell ref="E1:H1"/>
    <mergeCell ref="D7:I7"/>
    <mergeCell ref="D8:I8"/>
    <mergeCell ref="A28:F28"/>
    <mergeCell ref="A29:F29"/>
    <mergeCell ref="A30:F30"/>
    <mergeCell ref="A31:F31"/>
    <mergeCell ref="A32:F32"/>
    <mergeCell ref="A34:F34"/>
    <mergeCell ref="H37:J37"/>
  </mergeCells>
  <phoneticPr fontId="31" type="noConversion"/>
  <conditionalFormatting sqref="I68:I79">
    <cfRule type="containsText" dxfId="332" priority="1" operator="containsText" text="5">
      <formula>NOT(ISERROR(SEARCH(("5"),(I68))))</formula>
    </cfRule>
    <cfRule type="containsText" dxfId="331" priority="2" operator="containsText" text="42">
      <formula>NOT(ISERROR(SEARCH(("42"),(I68))))</formula>
    </cfRule>
    <cfRule type="containsText" dxfId="330" priority="3" operator="containsText" text="Please fill in">
      <formula>NOT(ISERROR(SEARCH(("Please fill in"),(I68))))</formula>
    </cfRule>
  </conditionalFormatting>
  <dataValidations count="5">
    <dataValidation type="list" allowBlank="1" showErrorMessage="1" sqref="D46:D50 H69:H80" xr:uid="{6AA56CBE-62A8-4BB3-801B-D146FDB7985A}">
      <formula1>'Piranha Duiken'!TypesOfTrainers</formula1>
    </dataValidation>
    <dataValidation type="list" allowBlank="1" showErrorMessage="1" sqref="B9" xr:uid="{6C1CDA9C-EACA-4D69-8BBF-5F71F53F8DB2}">
      <formula1>"yes,no,partial"</formula1>
    </dataValidation>
    <dataValidation type="list" allowBlank="1" sqref="G46:G50" xr:uid="{374C0E66-294A-404C-994B-56B5FC66EB84}">
      <formula1>"yes,no"</formula1>
    </dataValidation>
    <dataValidation type="list" allowBlank="1" showErrorMessage="1" sqref="H55:H68" xr:uid="{5C3DD155-B420-440F-BA07-C5E969B35F7B}">
      <formula1>'https://universiteittwente.sharepoint.com/sites/SportsCoordinatorsSUT/Gedeelde documenten/General/(WIP) FAM Sheets - Regulations 2025-28 - Version April 2025.xlsx'!TypesOfTrainers</formula1>
    </dataValidation>
    <dataValidation type="list" allowBlank="1" showErrorMessage="1" sqref="B84:B87" xr:uid="{847DFF51-7AEF-4410-ACF5-AFFD946FCDAD}">
      <formula1>'https://universiteittwente.sharepoint.com/sites/SportsCoordinatorsSUT/Gedeelde documenten/General/(WIP) FAM Sheets - Regulations 2025-28 - Version April 2025.xlsx'!LocationNames</formula1>
    </dataValidation>
  </dataValidations>
  <pageMargins left="0.7" right="0.7" top="0.75" bottom="0.75" header="0" footer="0"/>
  <pageSetup paperSize="9" orientation="portrait"/>
  <drawing r:id="rId1"/>
  <legacyDrawing r:id="rId2"/>
  <tableParts count="6">
    <tablePart r:id="rId3"/>
    <tablePart r:id="rId4"/>
    <tablePart r:id="rId5"/>
    <tablePart r:id="rId6"/>
    <tablePart r:id="rId7"/>
    <tablePart r:id="rId8"/>
  </tableParts>
  <extLst>
    <ext xmlns:x14="http://schemas.microsoft.com/office/spreadsheetml/2009/9/main" uri="{CCE6A557-97BC-4b89-ADB6-D9C93CAAB3DF}">
      <x14:dataValidations xmlns:xm="http://schemas.microsoft.com/office/excel/2006/main" count="4">
        <x14:dataValidation type="list" allowBlank="1" showInputMessage="1" showErrorMessage="1" xr:uid="{71516988-3B4C-4262-984C-38589757DCE5}">
          <x14:formula1>
            <xm:f>Constants!$C$55:$C$56</xm:f>
          </x14:formula1>
          <xm:sqref>B12</xm:sqref>
        </x14:dataValidation>
        <x14:dataValidation type="list" allowBlank="1" showErrorMessage="1" xr:uid="{181C2511-8FE8-4F57-A9E7-F3BC4614740D}">
          <x14:formula1>
            <xm:f>Constants!$H$6:$H$13</xm:f>
          </x14:formula1>
          <xm:sqref>B55:B80</xm:sqref>
        </x14:dataValidation>
        <x14:dataValidation type="list" allowBlank="1" showErrorMessage="1" xr:uid="{D4477970-8A48-410B-972C-D8596A07AE57}">
          <x14:formula1>
            <xm:f>Constants!$A$2:$AD$2</xm:f>
          </x14:formula1>
          <xm:sqref>B88:B100</xm:sqref>
        </x14:dataValidation>
        <x14:dataValidation type="list" allowBlank="1" showInputMessage="1" showErrorMessage="1" xr:uid="{C71D3861-A363-47A1-AA3D-E5DC521DF2C1}">
          <x14:formula1>
            <xm:f>Constants!$M$6:$M$7</xm:f>
          </x14:formula1>
          <xm:sqref>B161:B162</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8F43AF-5B69-43E2-B5A2-6B49C2718350}">
  <dimension ref="A1:BG1076"/>
  <sheetViews>
    <sheetView topLeftCell="W1" workbookViewId="0">
      <selection activeCell="AF30" sqref="AF30"/>
    </sheetView>
  </sheetViews>
  <sheetFormatPr defaultColWidth="12.625" defaultRowHeight="15" customHeight="1"/>
  <cols>
    <col min="1" max="1" width="36.625" customWidth="1"/>
    <col min="2" max="2" width="28.125" customWidth="1"/>
    <col min="3" max="3" width="21" customWidth="1"/>
    <col min="4" max="4" width="17.5" customWidth="1"/>
    <col min="5" max="5" width="16.125" customWidth="1"/>
    <col min="6" max="6" width="21.5" customWidth="1"/>
    <col min="7" max="7" width="22.625" customWidth="1"/>
    <col min="8" max="8" width="18.625" customWidth="1"/>
    <col min="9" max="9" width="19.625" customWidth="1"/>
    <col min="10" max="10" width="18.875" customWidth="1"/>
    <col min="11" max="11" width="21.625" customWidth="1"/>
    <col min="12" max="12" width="17.375" customWidth="1"/>
    <col min="13" max="13" width="15.125" customWidth="1"/>
    <col min="14" max="14" width="15.625" customWidth="1"/>
    <col min="15" max="15" width="28.5" customWidth="1"/>
    <col min="16" max="16" width="13.125" customWidth="1"/>
    <col min="17" max="17" width="21.875" customWidth="1"/>
    <col min="18" max="18" width="27" customWidth="1"/>
    <col min="19" max="19" width="20.5" customWidth="1"/>
    <col min="20" max="22" width="7.625" customWidth="1"/>
    <col min="23" max="23" width="31.875" customWidth="1"/>
    <col min="24" max="24" width="7.625" customWidth="1"/>
    <col min="25" max="25" width="8.375" customWidth="1"/>
    <col min="26" max="26" width="21.625" customWidth="1"/>
    <col min="27" max="27" width="12" customWidth="1"/>
    <col min="28" max="28" width="16.5" customWidth="1"/>
    <col min="29" max="29" width="6" customWidth="1"/>
    <col min="30" max="30" width="13.625" customWidth="1"/>
  </cols>
  <sheetData>
    <row r="1" spans="1:59" ht="171" customHeight="1">
      <c r="A1" s="703"/>
      <c r="B1" s="704"/>
      <c r="C1" s="705"/>
      <c r="D1" s="16"/>
      <c r="E1" s="572" t="s">
        <v>354</v>
      </c>
      <c r="F1" s="704"/>
      <c r="G1" s="704"/>
      <c r="H1" s="705"/>
      <c r="I1" s="16"/>
      <c r="J1" s="16"/>
      <c r="K1" s="16"/>
      <c r="L1" s="16"/>
      <c r="M1" s="16"/>
      <c r="N1" s="16"/>
      <c r="O1" s="16"/>
      <c r="P1" s="16"/>
      <c r="Q1" s="16"/>
      <c r="R1" s="16"/>
      <c r="S1" s="16"/>
      <c r="T1" s="16"/>
      <c r="U1" s="16"/>
      <c r="V1" s="16"/>
      <c r="W1" s="16"/>
      <c r="X1" s="16"/>
      <c r="Y1" s="16"/>
      <c r="Z1" s="16"/>
      <c r="AA1" s="16"/>
      <c r="AB1" s="16"/>
      <c r="AC1" s="16"/>
      <c r="AD1" s="16"/>
    </row>
    <row r="2" spans="1:59">
      <c r="A2" s="58" t="s">
        <v>404</v>
      </c>
      <c r="B2" s="152" t="s">
        <v>716</v>
      </c>
      <c r="C2" s="59"/>
      <c r="D2" s="16"/>
      <c r="E2" s="60" t="s">
        <v>406</v>
      </c>
      <c r="F2" s="153"/>
      <c r="G2" s="154"/>
      <c r="H2" s="61"/>
      <c r="I2" s="16"/>
      <c r="J2" s="16"/>
      <c r="K2" s="16"/>
      <c r="L2" s="16"/>
      <c r="M2" s="16"/>
      <c r="N2" s="16"/>
      <c r="O2" s="16"/>
      <c r="P2" s="16"/>
      <c r="Q2" s="16"/>
      <c r="R2" s="16"/>
      <c r="S2" s="16"/>
      <c r="T2" s="16"/>
      <c r="U2" s="16"/>
      <c r="V2" s="16"/>
      <c r="W2" s="16"/>
      <c r="X2" s="16"/>
      <c r="Y2" s="16"/>
      <c r="Z2" s="15"/>
      <c r="AA2" s="15"/>
      <c r="AB2" s="15"/>
      <c r="AC2" s="15"/>
      <c r="AD2" s="16"/>
      <c r="AE2" s="16"/>
      <c r="AF2" s="16"/>
      <c r="AG2" s="16"/>
      <c r="AH2" s="16"/>
      <c r="AI2" s="17"/>
      <c r="AJ2" s="17"/>
      <c r="AK2" s="17"/>
      <c r="AL2" s="17"/>
      <c r="AM2" s="17"/>
      <c r="AN2" s="17"/>
      <c r="AO2" s="17"/>
      <c r="AP2" s="17"/>
      <c r="AQ2" s="17"/>
      <c r="AR2" s="18"/>
      <c r="AS2" s="17"/>
      <c r="AT2" s="17"/>
      <c r="AU2" s="16"/>
      <c r="AV2" s="16"/>
      <c r="AW2" s="16"/>
      <c r="AX2" s="16"/>
      <c r="AY2" s="16"/>
      <c r="AZ2" s="16"/>
      <c r="BA2" s="16"/>
    </row>
    <row r="3" spans="1:59">
      <c r="A3" s="62" t="s">
        <v>408</v>
      </c>
      <c r="B3" s="155">
        <v>5</v>
      </c>
      <c r="C3" s="156"/>
      <c r="D3" s="16"/>
      <c r="E3" s="63" t="s">
        <v>409</v>
      </c>
      <c r="F3" s="157"/>
      <c r="G3" s="158"/>
      <c r="H3" s="159"/>
      <c r="I3" s="16"/>
      <c r="J3" s="16"/>
      <c r="K3" s="16"/>
      <c r="L3" s="16"/>
      <c r="M3" s="16"/>
      <c r="N3" s="16"/>
      <c r="O3" s="16"/>
      <c r="P3" s="16"/>
      <c r="Q3" s="16"/>
      <c r="R3" s="16"/>
      <c r="S3" s="16"/>
      <c r="T3" s="16"/>
      <c r="U3" s="16"/>
      <c r="V3" s="16"/>
      <c r="W3" s="16"/>
      <c r="X3" s="16"/>
      <c r="Y3" s="16"/>
      <c r="Z3" s="16"/>
      <c r="AA3" s="16"/>
      <c r="AB3" s="16"/>
      <c r="AC3" s="16"/>
      <c r="AD3" s="16"/>
    </row>
    <row r="4" spans="1:59">
      <c r="A4" s="160" t="s">
        <v>410</v>
      </c>
      <c r="B4" s="161">
        <v>45812</v>
      </c>
      <c r="C4" s="162"/>
      <c r="D4" s="16"/>
      <c r="E4" s="163"/>
      <c r="F4" s="164"/>
      <c r="G4" s="165"/>
      <c r="H4" s="166"/>
      <c r="I4" s="16"/>
      <c r="J4" s="16"/>
      <c r="K4" s="16"/>
      <c r="L4" s="16"/>
      <c r="M4" s="16"/>
      <c r="N4" s="16"/>
      <c r="O4" s="16"/>
      <c r="P4" s="16"/>
      <c r="Q4" s="16"/>
      <c r="R4" s="16"/>
      <c r="S4" s="16"/>
      <c r="T4" s="16"/>
      <c r="U4" s="16"/>
      <c r="V4" s="16"/>
      <c r="W4" s="16"/>
      <c r="X4" s="16"/>
      <c r="Y4" s="16"/>
      <c r="Z4" s="16"/>
      <c r="AA4" s="16"/>
      <c r="AB4" s="16"/>
      <c r="AC4" s="16"/>
      <c r="AD4" s="16"/>
    </row>
    <row r="5" spans="1:59">
      <c r="A5" s="167" t="s">
        <v>411</v>
      </c>
      <c r="B5" s="168"/>
      <c r="C5" s="167"/>
      <c r="D5" s="16"/>
      <c r="E5" s="169" t="s">
        <v>412</v>
      </c>
      <c r="F5" s="169"/>
      <c r="G5" s="158"/>
      <c r="H5" s="169"/>
      <c r="I5" s="16"/>
      <c r="J5" s="16"/>
      <c r="K5" s="16"/>
      <c r="L5" s="16"/>
      <c r="M5" s="16"/>
      <c r="N5" s="16"/>
      <c r="O5" s="16"/>
      <c r="P5" s="16"/>
      <c r="Q5" s="16"/>
      <c r="R5" s="16"/>
      <c r="S5" s="16"/>
      <c r="T5" s="16"/>
      <c r="U5" s="16"/>
      <c r="V5" s="16"/>
      <c r="W5" s="16"/>
      <c r="X5" s="16"/>
      <c r="Y5" s="16"/>
      <c r="Z5" s="16"/>
      <c r="AA5" s="16"/>
      <c r="AB5" s="16"/>
      <c r="AC5" s="16"/>
      <c r="AD5" s="16"/>
    </row>
    <row r="6" spans="1:59">
      <c r="A6" s="15"/>
      <c r="B6" s="64"/>
      <c r="C6" s="16"/>
      <c r="D6" s="16"/>
      <c r="E6" s="16"/>
      <c r="F6" s="16"/>
      <c r="G6" s="16"/>
      <c r="H6" s="16"/>
      <c r="I6" s="16"/>
      <c r="J6" s="64"/>
      <c r="K6" s="16"/>
      <c r="L6" s="16"/>
      <c r="M6" s="16"/>
      <c r="N6" s="16"/>
      <c r="O6" s="16"/>
      <c r="P6" s="16"/>
      <c r="Q6" s="16"/>
      <c r="R6" s="16"/>
      <c r="S6" s="16"/>
      <c r="T6" s="16"/>
      <c r="U6" s="16"/>
      <c r="V6" s="16"/>
      <c r="W6" s="16"/>
      <c r="X6" s="16"/>
      <c r="Y6" s="16"/>
      <c r="Z6" s="16"/>
      <c r="AA6" s="16"/>
      <c r="AB6" s="16"/>
      <c r="AC6" s="16"/>
      <c r="AD6" s="16"/>
    </row>
    <row r="7" spans="1:59">
      <c r="A7" s="170" t="s">
        <v>413</v>
      </c>
      <c r="B7" s="59">
        <v>148</v>
      </c>
      <c r="C7" s="16"/>
      <c r="D7" s="573" t="s">
        <v>414</v>
      </c>
      <c r="E7" s="701"/>
      <c r="F7" s="701"/>
      <c r="G7" s="701"/>
      <c r="H7" s="701"/>
      <c r="I7" s="701"/>
      <c r="J7" s="16"/>
      <c r="K7" s="16"/>
      <c r="L7" s="16"/>
      <c r="M7" s="16"/>
      <c r="N7" s="16"/>
      <c r="O7" s="16"/>
      <c r="P7" s="16"/>
      <c r="Q7" s="16"/>
      <c r="R7" s="16"/>
      <c r="S7" s="16"/>
      <c r="T7" s="16"/>
      <c r="U7" s="16"/>
      <c r="V7" s="16"/>
      <c r="W7" s="16"/>
      <c r="X7" s="16"/>
      <c r="Y7" s="16"/>
      <c r="Z7" s="16"/>
      <c r="AA7" s="16"/>
      <c r="AB7" s="16"/>
      <c r="AC7" s="16"/>
      <c r="AD7" s="16"/>
    </row>
    <row r="8" spans="1:59" ht="14.25" customHeight="1">
      <c r="A8" s="171" t="s">
        <v>415</v>
      </c>
      <c r="B8" s="172">
        <f ca="1">M21-M17</f>
        <v>13040.732692500293</v>
      </c>
      <c r="C8" s="16" t="s">
        <v>416</v>
      </c>
      <c r="D8" s="574" t="s">
        <v>417</v>
      </c>
      <c r="E8" s="704"/>
      <c r="F8" s="704"/>
      <c r="G8" s="704"/>
      <c r="H8" s="704"/>
      <c r="I8" s="704"/>
      <c r="J8" s="16"/>
      <c r="K8" s="16"/>
      <c r="L8" s="16"/>
      <c r="M8" s="16"/>
      <c r="N8" s="16"/>
      <c r="O8" s="16"/>
      <c r="P8" s="16"/>
      <c r="Q8" s="16"/>
      <c r="R8" s="16"/>
      <c r="S8" s="16"/>
      <c r="T8" s="16"/>
      <c r="U8" s="16"/>
      <c r="V8" s="16"/>
      <c r="W8" s="16"/>
      <c r="X8" s="16"/>
      <c r="Y8" s="16"/>
      <c r="Z8" s="16"/>
      <c r="AA8" s="16"/>
      <c r="AB8" s="16"/>
      <c r="AC8" s="16"/>
    </row>
    <row r="9" spans="1:59">
      <c r="A9" s="65" t="s">
        <v>418</v>
      </c>
      <c r="B9" s="173" t="s">
        <v>419</v>
      </c>
      <c r="C9" s="16"/>
      <c r="D9" s="16"/>
      <c r="E9" s="17"/>
      <c r="F9" s="17"/>
      <c r="G9" s="17"/>
      <c r="H9" s="17"/>
      <c r="I9" s="17"/>
      <c r="J9" s="17"/>
      <c r="K9" s="17"/>
      <c r="L9" s="17"/>
      <c r="M9" s="17"/>
      <c r="N9" s="17"/>
      <c r="O9" s="17"/>
      <c r="P9" s="17"/>
      <c r="Q9" s="16"/>
      <c r="R9" s="17"/>
      <c r="S9" s="17"/>
      <c r="T9" s="17"/>
      <c r="U9" s="17"/>
      <c r="V9" s="17"/>
      <c r="W9" s="17"/>
      <c r="X9" s="17"/>
      <c r="Y9" s="17"/>
      <c r="Z9" s="17"/>
      <c r="AA9" s="17"/>
      <c r="AB9" s="17"/>
      <c r="AC9" s="17"/>
      <c r="AD9" s="18" t="s">
        <v>242</v>
      </c>
    </row>
    <row r="10" spans="1:59">
      <c r="A10" s="174" t="s">
        <v>420</v>
      </c>
      <c r="B10" s="257">
        <f>COUNTA(A38:A47)+COUNTA(A51:A55)</f>
        <v>11</v>
      </c>
      <c r="C10" s="16"/>
      <c r="D10" s="16"/>
      <c r="E10" s="17"/>
      <c r="F10" s="17"/>
      <c r="G10" s="17"/>
      <c r="H10" s="17"/>
      <c r="I10" s="17"/>
      <c r="J10" s="17"/>
      <c r="K10" s="17"/>
      <c r="L10" s="17"/>
      <c r="M10" s="17"/>
      <c r="N10" s="17"/>
      <c r="O10" s="17"/>
      <c r="P10" s="17"/>
      <c r="Q10" s="16"/>
      <c r="R10" s="17"/>
      <c r="S10" s="17"/>
      <c r="T10" s="17"/>
      <c r="U10" s="17"/>
      <c r="V10" s="17"/>
      <c r="W10" s="17"/>
      <c r="X10" s="17"/>
      <c r="Y10" s="17"/>
      <c r="Z10" s="17"/>
      <c r="AA10" s="17"/>
      <c r="AB10" s="17"/>
      <c r="AC10" s="17"/>
      <c r="AD10" s="18"/>
    </row>
    <row r="11" spans="1:59">
      <c r="A11" s="171" t="s">
        <v>421</v>
      </c>
      <c r="B11" s="256">
        <f>SUM(B38:B47)+SUM(B51:B55)</f>
        <v>219</v>
      </c>
      <c r="C11" s="16"/>
      <c r="D11" s="16"/>
      <c r="E11" s="17"/>
      <c r="F11" s="17"/>
      <c r="G11" s="17"/>
      <c r="H11" s="17"/>
      <c r="I11" s="17"/>
      <c r="J11" s="17"/>
      <c r="K11" s="17"/>
      <c r="L11" s="17"/>
      <c r="M11" s="17"/>
      <c r="N11" s="17"/>
      <c r="O11" s="17"/>
      <c r="P11" s="17"/>
      <c r="Q11" s="16"/>
      <c r="R11" s="17"/>
      <c r="S11" s="17"/>
      <c r="T11" s="17"/>
      <c r="U11" s="17"/>
      <c r="V11" s="17"/>
      <c r="W11" s="17"/>
      <c r="X11" s="17"/>
      <c r="Y11" s="17"/>
      <c r="Z11" s="17"/>
      <c r="AA11" s="17"/>
      <c r="AB11" s="17"/>
      <c r="AC11" s="17"/>
      <c r="AD11" s="18"/>
    </row>
    <row r="12" spans="1:59">
      <c r="A12" s="239" t="s">
        <v>422</v>
      </c>
      <c r="B12" s="240" t="s">
        <v>317</v>
      </c>
      <c r="C12" s="16"/>
      <c r="D12" s="16"/>
      <c r="E12" s="17"/>
      <c r="F12" s="17"/>
      <c r="G12" s="17"/>
      <c r="H12" s="17"/>
      <c r="I12" s="17"/>
      <c r="J12" s="17"/>
      <c r="K12" s="17"/>
      <c r="L12" s="17"/>
      <c r="M12" s="17"/>
      <c r="N12" s="17"/>
      <c r="O12" s="17"/>
      <c r="P12" s="17"/>
      <c r="Q12" s="16"/>
      <c r="R12" s="17"/>
      <c r="S12" s="17"/>
      <c r="T12" s="17"/>
      <c r="U12" s="17"/>
      <c r="V12" s="17"/>
      <c r="W12" s="17"/>
      <c r="X12" s="17"/>
      <c r="Y12" s="17"/>
      <c r="Z12" s="17"/>
      <c r="AA12" s="17"/>
      <c r="AB12" s="17"/>
      <c r="AC12" s="17"/>
      <c r="AD12" s="18"/>
    </row>
    <row r="13" spans="1:59">
      <c r="A13" s="16"/>
      <c r="B13" s="16"/>
      <c r="C13" s="16"/>
      <c r="D13" s="16"/>
      <c r="E13" s="17"/>
      <c r="F13" s="17"/>
      <c r="G13" s="17"/>
      <c r="H13" s="17"/>
      <c r="I13" s="17"/>
      <c r="J13" s="17"/>
      <c r="K13" s="17"/>
      <c r="L13" s="17"/>
      <c r="M13" s="17"/>
      <c r="N13" s="17"/>
      <c r="O13" s="17"/>
      <c r="P13" s="17"/>
      <c r="Q13" s="16"/>
      <c r="R13" s="17"/>
      <c r="S13" s="17"/>
      <c r="T13" s="17"/>
      <c r="U13" s="17"/>
      <c r="V13" s="17"/>
      <c r="W13" s="17"/>
      <c r="X13" s="17"/>
      <c r="Y13" s="17"/>
      <c r="Z13" s="17"/>
      <c r="AA13" s="17"/>
      <c r="AB13" s="17"/>
      <c r="AC13" s="17"/>
      <c r="AD13" s="17" t="str" cm="1">
        <f t="array" ref="AD13:BF14">Constants!A2:AC3</f>
        <v>SC1</v>
      </c>
      <c r="AE13" s="17" t="str">
        <v>SC1 - Half</v>
      </c>
      <c r="AF13" s="17" t="str">
        <v>SC2</v>
      </c>
      <c r="AG13" s="17" t="str">
        <v>SC2 - Half</v>
      </c>
      <c r="AH13" s="17" t="str">
        <v>SC3</v>
      </c>
      <c r="AI13" s="17" t="str">
        <v>SC4</v>
      </c>
      <c r="AJ13" s="17" t="str">
        <v>SC5</v>
      </c>
      <c r="AK13" s="17" t="str">
        <v>SC6</v>
      </c>
      <c r="AL13" s="17" t="str">
        <v>Dojo</v>
      </c>
      <c r="AM13" s="17" t="str">
        <v>Boulder Wall</v>
      </c>
      <c r="AN13" s="17" t="str">
        <v>Climbing Wall</v>
      </c>
      <c r="AO13" s="17" t="str">
        <v>Artificial Hockey field</v>
      </c>
      <c r="AP13" s="17" t="str">
        <v>Artificial Hockey field - Half</v>
      </c>
      <c r="AQ13" s="17" t="str">
        <v>Artificial Soccer field</v>
      </c>
      <c r="AR13" s="17" t="str">
        <v>Artificial Soccer field - Half</v>
      </c>
      <c r="AS13" s="17" t="str">
        <v>Basketball</v>
      </c>
      <c r="AT13" s="17" t="str">
        <v>Bastille field</v>
      </c>
      <c r="AU13" s="17" t="str">
        <v>Beach fields</v>
      </c>
      <c r="AV13" s="17" t="str">
        <v>Shooting range</v>
      </c>
      <c r="AW13" s="17" t="str">
        <v>Multi/Lacrosse field</v>
      </c>
      <c r="AX13" s="17" t="str">
        <v>Multi/Lacrosse field - Half</v>
      </c>
      <c r="AY13" s="17" t="str">
        <v>Bootcamp field</v>
      </c>
      <c r="AZ13" s="17" t="str">
        <v>Multi/Baseball field</v>
      </c>
      <c r="BA13" s="17" t="str">
        <v>Tennis court</v>
      </c>
      <c r="BB13" s="17" t="str">
        <v>Utrack</v>
      </c>
      <c r="BC13" s="22" t="str">
        <v>Verreveld</v>
      </c>
      <c r="BD13" s="22" t="str">
        <v>Wsc</v>
      </c>
      <c r="BE13" s="22" t="str">
        <v>Indoor pool</v>
      </c>
      <c r="BF13" s="22" t="str">
        <v>Outdoor pool</v>
      </c>
      <c r="BG13" s="22"/>
    </row>
    <row r="14" spans="1:59">
      <c r="A14" s="175" t="s">
        <v>423</v>
      </c>
      <c r="B14" s="16"/>
      <c r="C14" s="16"/>
      <c r="D14" s="16"/>
      <c r="E14" s="16"/>
      <c r="F14" s="16"/>
      <c r="G14" s="175" t="s">
        <v>424</v>
      </c>
      <c r="I14" s="17"/>
      <c r="J14" s="17"/>
      <c r="K14" s="176" t="s">
        <v>425</v>
      </c>
      <c r="L14" s="17"/>
      <c r="M14" s="176" t="s">
        <v>426</v>
      </c>
      <c r="N14" s="17"/>
      <c r="O14" s="17"/>
      <c r="P14" s="17"/>
      <c r="Q14" s="17"/>
      <c r="R14" s="17"/>
      <c r="S14" s="16"/>
      <c r="T14" s="17"/>
      <c r="U14" s="17"/>
      <c r="V14" s="17"/>
      <c r="W14" s="17"/>
      <c r="X14" s="17"/>
      <c r="Y14" s="17"/>
      <c r="Z14" s="17"/>
      <c r="AA14" s="17"/>
      <c r="AB14" s="17"/>
      <c r="AC14" s="17"/>
      <c r="AD14" s="19">
        <v>67.5</v>
      </c>
      <c r="AE14" s="19">
        <v>35</v>
      </c>
      <c r="AF14" s="19">
        <v>67.5</v>
      </c>
      <c r="AG14" s="19">
        <v>35</v>
      </c>
      <c r="AH14" s="19">
        <v>40</v>
      </c>
      <c r="AI14" s="19">
        <v>40</v>
      </c>
      <c r="AJ14" s="19">
        <v>35</v>
      </c>
      <c r="AK14" s="19">
        <v>35</v>
      </c>
      <c r="AL14" s="19">
        <v>40</v>
      </c>
      <c r="AM14" s="19">
        <v>27.5</v>
      </c>
      <c r="AN14" s="19">
        <v>45</v>
      </c>
      <c r="AO14" s="19">
        <v>75</v>
      </c>
      <c r="AP14" s="19">
        <v>40</v>
      </c>
      <c r="AQ14" s="19">
        <v>75</v>
      </c>
      <c r="AR14" s="19">
        <v>40</v>
      </c>
      <c r="AS14" s="19">
        <v>30</v>
      </c>
      <c r="AT14" s="19">
        <v>50</v>
      </c>
      <c r="AU14" s="19">
        <v>75</v>
      </c>
      <c r="AV14" s="19">
        <v>40</v>
      </c>
      <c r="AW14" s="19">
        <v>75</v>
      </c>
      <c r="AX14" s="19">
        <v>40</v>
      </c>
      <c r="AY14" s="19">
        <v>50</v>
      </c>
      <c r="AZ14" s="19">
        <v>65</v>
      </c>
      <c r="BA14" s="19">
        <v>35</v>
      </c>
      <c r="BB14" s="19">
        <v>45</v>
      </c>
      <c r="BC14" s="19">
        <v>50</v>
      </c>
      <c r="BD14" s="19">
        <v>0</v>
      </c>
      <c r="BE14" s="19">
        <v>65</v>
      </c>
      <c r="BF14" s="20">
        <v>70</v>
      </c>
      <c r="BG14" s="20"/>
    </row>
    <row r="15" spans="1:59">
      <c r="A15" s="67"/>
      <c r="B15" s="68" t="str">
        <f>Constants!H6</f>
        <v>Performance training</v>
      </c>
      <c r="C15" s="68" t="str">
        <f>Constants!H7</f>
        <v>Performance coaching</v>
      </c>
      <c r="D15" s="68" t="str">
        <f>Constants!H8</f>
        <v>Dangerous</v>
      </c>
      <c r="E15" s="69" t="str">
        <f>Constants!H9</f>
        <v>Recreational</v>
      </c>
      <c r="F15" s="69" t="s">
        <v>290</v>
      </c>
      <c r="G15" s="70"/>
      <c r="H15" s="71" t="s">
        <v>427</v>
      </c>
      <c r="I15" s="72" t="s">
        <v>272</v>
      </c>
      <c r="J15" s="70" t="s">
        <v>5</v>
      </c>
      <c r="K15" s="72" t="s">
        <v>428</v>
      </c>
      <c r="L15" s="70" t="s">
        <v>429</v>
      </c>
      <c r="M15" s="73" cm="1">
        <f t="array" ref="M15">(SUM(IF($D$51:$D$55="PT",($F$51:$F$55)/1.5+IF($G$51:$G$55="yes",1)))+SUM(IF($D$51:$D$55="Extern",($F$51:$F$55)/1.5+IF($G$51:$G$55="yes",1)))+SUM(IF($D$51:$D$55="PT-ZZP",($F$51:$F$55)/1.5+IF($G$51:$G$55="yes",1))))*Constants!B10</f>
        <v>3500</v>
      </c>
      <c r="N15" s="17"/>
      <c r="O15" s="17"/>
      <c r="P15" s="17"/>
      <c r="Q15" s="17"/>
      <c r="R15" s="16"/>
      <c r="S15" s="17"/>
      <c r="T15" s="17"/>
      <c r="U15" s="17"/>
      <c r="V15" s="17"/>
      <c r="W15" s="17"/>
      <c r="X15" s="17"/>
      <c r="Y15" s="17"/>
      <c r="Z15" s="17"/>
      <c r="AA15" s="17"/>
      <c r="AB15" s="17"/>
      <c r="AC15" s="17"/>
      <c r="AD15" s="16">
        <f t="shared" ref="AD15:BF15" si="0">SUMIF($B$90:$B$104,AD13,$F$90:$F$104)</f>
        <v>0</v>
      </c>
      <c r="AE15" s="16">
        <f t="shared" si="0"/>
        <v>0</v>
      </c>
      <c r="AF15" s="16">
        <f t="shared" si="0"/>
        <v>0</v>
      </c>
      <c r="AG15" s="16">
        <f t="shared" si="0"/>
        <v>0</v>
      </c>
      <c r="AH15" s="16">
        <f t="shared" si="0"/>
        <v>25</v>
      </c>
      <c r="AI15" s="16">
        <f t="shared" si="0"/>
        <v>0</v>
      </c>
      <c r="AJ15" s="16">
        <f t="shared" si="0"/>
        <v>0</v>
      </c>
      <c r="AK15" s="16">
        <f t="shared" si="0"/>
        <v>0</v>
      </c>
      <c r="AL15" s="16">
        <f t="shared" si="0"/>
        <v>0</v>
      </c>
      <c r="AM15" s="16">
        <f t="shared" si="0"/>
        <v>0</v>
      </c>
      <c r="AN15" s="16">
        <f t="shared" si="0"/>
        <v>0</v>
      </c>
      <c r="AO15" s="16">
        <f t="shared" si="0"/>
        <v>0</v>
      </c>
      <c r="AP15" s="16">
        <f t="shared" si="0"/>
        <v>0</v>
      </c>
      <c r="AQ15" s="16">
        <f t="shared" si="0"/>
        <v>0</v>
      </c>
      <c r="AR15" s="16">
        <f t="shared" si="0"/>
        <v>0</v>
      </c>
      <c r="AS15" s="16">
        <f t="shared" si="0"/>
        <v>0</v>
      </c>
      <c r="AT15" s="16">
        <f t="shared" si="0"/>
        <v>0</v>
      </c>
      <c r="AU15" s="16">
        <f t="shared" si="0"/>
        <v>0</v>
      </c>
      <c r="AV15" s="16">
        <f t="shared" si="0"/>
        <v>0</v>
      </c>
      <c r="AW15" s="16">
        <f t="shared" si="0"/>
        <v>0</v>
      </c>
      <c r="AX15" s="16">
        <f t="shared" si="0"/>
        <v>0</v>
      </c>
      <c r="AY15" s="16">
        <f t="shared" si="0"/>
        <v>0</v>
      </c>
      <c r="AZ15" s="16">
        <f t="shared" si="0"/>
        <v>0</v>
      </c>
      <c r="BA15" s="16">
        <f t="shared" si="0"/>
        <v>0</v>
      </c>
      <c r="BB15" s="16">
        <f t="shared" si="0"/>
        <v>0</v>
      </c>
      <c r="BC15" s="16">
        <f t="shared" si="0"/>
        <v>0</v>
      </c>
      <c r="BD15" s="16">
        <f t="shared" si="0"/>
        <v>0</v>
      </c>
      <c r="BE15" s="16">
        <f t="shared" si="0"/>
        <v>344</v>
      </c>
      <c r="BF15" s="16">
        <f t="shared" si="0"/>
        <v>107.5</v>
      </c>
    </row>
    <row r="16" spans="1:59">
      <c r="A16" s="74" t="str">
        <f>Constants!E6</f>
        <v>PT</v>
      </c>
      <c r="B16">
        <f>SUMIFS('Piranha ZPR'!$F$60:$F$87,'Piranha ZPR'!$B$60:$B$87, B$15,'Piranha ZPR'!$H$60:$H$87,$A16)*(1+Constants!$B$7)</f>
        <v>307.8</v>
      </c>
      <c r="C16">
        <f>SUMIFS('Piranha ZPR'!$F$60:$F$87,'Piranha ZPR'!$B$60:$B$87, C$15,'Piranha ZPR'!$H$60:$H$87,$A16)</f>
        <v>0</v>
      </c>
      <c r="D16">
        <f>SUMIFS('Piranha ZPR'!$F$60:$F$87,'Piranha ZPR'!$B$60:$B$87, D$15,'Piranha ZPR'!$H$60:$H$87,$A16)*(1+Constants!$B$7)</f>
        <v>0</v>
      </c>
      <c r="E16">
        <f>SUMIFS('Piranha ZPR'!$F$60:$F$87,'Piranha ZPR'!$B$60:$B$87, E$15,'Piranha ZPR'!$H$60:$H$87,$A16)*(1+Constants!$B$7)</f>
        <v>0</v>
      </c>
      <c r="F16">
        <f>SUMIFS('Piranha ZPR'!$F$60:$F$87,'Piranha ZPR'!$B$60:$B$87, F$15,'Piranha ZPR'!$H$60:$H$87,$A16)*(1+Constants!$B$7)</f>
        <v>50.4</v>
      </c>
      <c r="G16" s="74" t="s">
        <v>430</v>
      </c>
      <c r="H16" s="16">
        <f>SUMIF('Piranha ZPR'!$B$90:$B$105,"&lt;&gt;External",'Piranha ZPR'!$F$90:$F$105)</f>
        <v>476.5</v>
      </c>
      <c r="I16" s="75">
        <f>SUMIF('Piranha ZPR'!$B$90:$B$105,"External",'Piranha ZPR'!$F$90:$F$105)</f>
        <v>106.75</v>
      </c>
      <c r="J16" s="234">
        <f>SUM($F$108:$F$150)</f>
        <v>5630.52</v>
      </c>
      <c r="K16" s="76">
        <f>IF(OR(ISBLANK(B7),ISBLANK(B9)), "ERROR",MAX(MIN(J16,B7*Constants!B15)-Constants!B14*B7,0)*IF(B9="yes",Constants!B16,IF(B9="no",Constants!B17,0)))</f>
        <v>3320.4160000000006</v>
      </c>
      <c r="L16" s="77" t="s">
        <v>360</v>
      </c>
      <c r="M16" s="76">
        <f>E16*Constants!B6+E17*Constants!B8+E22+E21</f>
        <v>0</v>
      </c>
      <c r="N16" s="17"/>
      <c r="O16" s="17"/>
      <c r="P16" s="17"/>
      <c r="Q16" s="17"/>
      <c r="R16" s="16"/>
      <c r="S16" s="17"/>
      <c r="T16" s="17"/>
      <c r="U16" s="17"/>
      <c r="V16" s="17"/>
      <c r="W16" s="17"/>
      <c r="X16" s="17"/>
      <c r="Y16" s="17"/>
      <c r="Z16" s="17"/>
      <c r="AA16" s="17"/>
      <c r="AB16" s="17"/>
      <c r="AC16" s="17"/>
      <c r="AD16" s="19">
        <f t="shared" ref="AD16:BF16" si="1">AD14*AD15</f>
        <v>0</v>
      </c>
      <c r="AE16" s="19">
        <f t="shared" si="1"/>
        <v>0</v>
      </c>
      <c r="AF16" s="19">
        <f t="shared" si="1"/>
        <v>0</v>
      </c>
      <c r="AG16" s="19">
        <f t="shared" si="1"/>
        <v>0</v>
      </c>
      <c r="AH16" s="19">
        <f t="shared" si="1"/>
        <v>1000</v>
      </c>
      <c r="AI16" s="19">
        <f t="shared" si="1"/>
        <v>0</v>
      </c>
      <c r="AJ16" s="19">
        <f t="shared" si="1"/>
        <v>0</v>
      </c>
      <c r="AK16" s="19">
        <f t="shared" si="1"/>
        <v>0</v>
      </c>
      <c r="AL16" s="19">
        <f t="shared" si="1"/>
        <v>0</v>
      </c>
      <c r="AM16" s="19">
        <f t="shared" si="1"/>
        <v>0</v>
      </c>
      <c r="AN16" s="19">
        <f t="shared" si="1"/>
        <v>0</v>
      </c>
      <c r="AO16" s="19">
        <f t="shared" si="1"/>
        <v>0</v>
      </c>
      <c r="AP16" s="19">
        <f t="shared" si="1"/>
        <v>0</v>
      </c>
      <c r="AQ16" s="19">
        <f t="shared" si="1"/>
        <v>0</v>
      </c>
      <c r="AR16" s="19">
        <f t="shared" si="1"/>
        <v>0</v>
      </c>
      <c r="AS16" s="19">
        <f t="shared" si="1"/>
        <v>0</v>
      </c>
      <c r="AT16" s="19">
        <f t="shared" si="1"/>
        <v>0</v>
      </c>
      <c r="AU16" s="19">
        <f t="shared" si="1"/>
        <v>0</v>
      </c>
      <c r="AV16" s="19">
        <f t="shared" si="1"/>
        <v>0</v>
      </c>
      <c r="AW16" s="19">
        <f t="shared" si="1"/>
        <v>0</v>
      </c>
      <c r="AX16" s="19">
        <f t="shared" si="1"/>
        <v>0</v>
      </c>
      <c r="AY16" s="19">
        <f t="shared" si="1"/>
        <v>0</v>
      </c>
      <c r="AZ16" s="19">
        <f t="shared" si="1"/>
        <v>0</v>
      </c>
      <c r="BA16" s="19">
        <f t="shared" si="1"/>
        <v>0</v>
      </c>
      <c r="BB16" s="19">
        <f t="shared" si="1"/>
        <v>0</v>
      </c>
      <c r="BC16" s="19">
        <f t="shared" si="1"/>
        <v>0</v>
      </c>
      <c r="BD16" s="19">
        <f t="shared" si="1"/>
        <v>0</v>
      </c>
      <c r="BE16" s="19">
        <f t="shared" si="1"/>
        <v>22360</v>
      </c>
      <c r="BF16" s="19">
        <f t="shared" si="1"/>
        <v>7525</v>
      </c>
    </row>
    <row r="17" spans="1:36">
      <c r="A17" s="74" t="str">
        <f>Constants!E7</f>
        <v>PT-V</v>
      </c>
      <c r="B17">
        <f>SUMIFS('Piranha ZPR'!$F$60:$F$87,'Piranha ZPR'!$B$60:$B$87, B$15,'Piranha ZPR'!$H$60:$H$87,$A17)*(1+Constants!$B$9)</f>
        <v>0</v>
      </c>
      <c r="C17">
        <f>SUMIFS('Piranha ZPR'!$F$60:$F$87,'Piranha ZPR'!$B$60:$B$87, C$15,'Piranha ZPR'!$H$60:$H$87,$A17)</f>
        <v>0</v>
      </c>
      <c r="D17">
        <f>SUMIFS('Piranha ZPR'!$F$60:$F$87,'Piranha ZPR'!$B$60:$B$87, D$15,'Piranha ZPR'!$H$60:$H$87,$A17)*(1+Constants!$B$9)</f>
        <v>0</v>
      </c>
      <c r="E17">
        <f>SUMIFS('Piranha ZPR'!$F$60:$F$87,'Piranha ZPR'!$B$60:$B$87, E$15,'Piranha ZPR'!$H$60:$H$87,$A17)*(1+Constants!$B$9)</f>
        <v>0</v>
      </c>
      <c r="F17">
        <f>SUMIFS('Piranha ZPR'!$F$60:$F$87,'Piranha ZPR'!$B$60:$B$87, F$15,'Piranha ZPR'!$H$60:$H$87,$A17)</f>
        <v>0</v>
      </c>
      <c r="G17" s="74" t="s">
        <v>38</v>
      </c>
      <c r="H17" s="78">
        <f>SUM(AD16:BZ16)</f>
        <v>30885</v>
      </c>
      <c r="I17" s="76" cm="1">
        <f t="array" ref="I17">SUM(IF($B$90:$B$103="External",$F$90:$F$103*$H$90:$H$103,0))</f>
        <v>13618.0975</v>
      </c>
      <c r="J17" s="79"/>
      <c r="K17" s="80"/>
      <c r="L17" s="77" t="s">
        <v>63</v>
      </c>
      <c r="M17" s="76">
        <f>J16-K16</f>
        <v>2310.1039999999998</v>
      </c>
      <c r="N17" s="17"/>
      <c r="O17" s="17"/>
      <c r="P17" s="17"/>
      <c r="Q17" s="17"/>
      <c r="R17" s="16"/>
      <c r="S17" s="17"/>
      <c r="T17" s="17"/>
      <c r="U17" s="17"/>
      <c r="V17" s="17"/>
      <c r="W17" s="17"/>
      <c r="X17" s="17"/>
      <c r="Y17" s="17"/>
      <c r="Z17" s="17"/>
      <c r="AA17" s="17"/>
      <c r="AB17" s="17"/>
      <c r="AC17" s="17"/>
      <c r="AD17" s="17"/>
      <c r="AE17" s="17"/>
    </row>
    <row r="18" spans="1:36">
      <c r="A18" s="74" t="str">
        <f>Constants!E8</f>
        <v>PT-ZZP</v>
      </c>
      <c r="B18">
        <f>SUMIFS('Piranha ZPR'!$F$60:$F$87,'Piranha ZPR'!$B$60:$B$87, B$15,'Piranha ZPR'!$H$60:$H$87,$A18)*(1+Constants!$B$7)</f>
        <v>0</v>
      </c>
      <c r="C18">
        <f>SUMIFS('Piranha ZPR'!$F$60:$F$87,'Piranha ZPR'!$B$60:$B$87, C$15,'Piranha ZPR'!$H$60:$H$87,$A18)</f>
        <v>0</v>
      </c>
      <c r="D18">
        <f>SUMIFS('Piranha ZPR'!$F$60:$F$87,'Piranha ZPR'!$B$60:$B$87, D$15,'Piranha ZPR'!$H$60:$H$87,$A18)*(1+Constants!$B$7)</f>
        <v>0</v>
      </c>
      <c r="E18">
        <f>SUMIFS('Piranha ZPR'!$F$60:$F$87,'Piranha ZPR'!$B$60:$B$87, E$15,'Piranha ZPR'!$H$60:$H$87,$A18)*(1+Constants!$B$7)</f>
        <v>0</v>
      </c>
      <c r="F18">
        <f>SUMIFS('Piranha ZPR'!$F$60:$F$87,'Piranha ZPR'!$B$60:$B$87, F$15,'Piranha ZPR'!$H$60:$H$87,$A18)*(1+Constants!$B$7)</f>
        <v>0</v>
      </c>
      <c r="G18" s="74"/>
      <c r="H18" s="78"/>
      <c r="I18" s="76"/>
      <c r="J18" s="79"/>
      <c r="K18" s="80"/>
      <c r="L18" s="77" t="s">
        <v>60</v>
      </c>
      <c r="M18" s="76" t="str">
        <f>IF(I17-Constants!I17*$B$7&gt;0,$I$17-Constants!I17*$B$7,"-")</f>
        <v>-</v>
      </c>
      <c r="N18" s="17"/>
      <c r="O18" s="17"/>
      <c r="P18" s="17"/>
      <c r="Q18" s="17"/>
      <c r="R18" s="16"/>
      <c r="S18" s="17"/>
      <c r="T18" s="17"/>
      <c r="U18" s="17"/>
      <c r="V18" s="17"/>
      <c r="W18" s="17"/>
      <c r="X18" s="17"/>
      <c r="Y18" s="17"/>
      <c r="Z18" s="17"/>
      <c r="AA18" s="17"/>
      <c r="AB18" s="17"/>
      <c r="AC18" s="17"/>
      <c r="AD18" s="17"/>
      <c r="AE18" s="17"/>
    </row>
    <row r="19" spans="1:36">
      <c r="A19" s="74" t="str">
        <f>Constants!E9</f>
        <v>RT</v>
      </c>
      <c r="B19">
        <f>SUMIFS('Piranha ZPR'!$F$60:$F$87,'Piranha ZPR'!$B$60:$B$87, B$15,'Piranha ZPR'!$H$60:$H$87,$A19)</f>
        <v>0</v>
      </c>
      <c r="C19">
        <f>SUMIFS('Piranha ZPR'!$F$60:$F$87,'Piranha ZPR'!$B$60:$B$87, C$15,'Piranha ZPR'!$H$60:$H$87,$A19)</f>
        <v>0</v>
      </c>
      <c r="D19">
        <f>SUMIFS('Piranha ZPR'!$F$60:$F$87,'Piranha ZPR'!$B$60:$B$87, D$15,'Piranha ZPR'!$H$60:$H$87,$A19)</f>
        <v>40</v>
      </c>
      <c r="E19">
        <f>SUMIFS('Piranha ZPR'!$F$60:$F$87,'Piranha ZPR'!$B$60:$B$87, E$15,'Piranha ZPR'!$H$60:$H$87,$A19)</f>
        <v>397</v>
      </c>
      <c r="F19">
        <f>SUMIFS('Piranha ZPR'!$F$60:$F$87,'Piranha ZPR'!$B$60:$B$87, F$15,'Piranha ZPR'!$H$60:$H$87,$A19)</f>
        <v>0</v>
      </c>
      <c r="G19" s="74" t="s">
        <v>396</v>
      </c>
      <c r="H19" s="78"/>
      <c r="I19" s="76">
        <f>IF(B7*Constants!I17&lt;I17,B7*Constants!I17,I17)</f>
        <v>13618.0975</v>
      </c>
      <c r="J19" s="79"/>
      <c r="K19" s="80"/>
      <c r="L19" s="77" t="s">
        <v>431</v>
      </c>
      <c r="M19" s="255">
        <f ca="1">Constants!C31*B7+Data!L26</f>
        <v>9540.7326925002926</v>
      </c>
      <c r="N19" s="17"/>
      <c r="O19" s="17"/>
      <c r="P19" s="17"/>
      <c r="Q19" s="17"/>
      <c r="R19" s="16"/>
      <c r="S19" s="17"/>
      <c r="T19" s="17"/>
      <c r="U19" s="17"/>
      <c r="V19" s="17"/>
      <c r="W19" s="17"/>
      <c r="X19" s="17"/>
      <c r="Y19" s="17"/>
      <c r="Z19" s="17"/>
      <c r="AA19" s="17"/>
      <c r="AB19" s="17"/>
      <c r="AC19" s="17"/>
      <c r="AD19" s="17"/>
      <c r="AE19" s="17"/>
    </row>
    <row r="20" spans="1:36">
      <c r="A20" s="74" t="str">
        <f>Constants!E10</f>
        <v>Extern</v>
      </c>
      <c r="B20">
        <f>SUMIFS('Piranha ZPR'!$F$60:$F$87,'Piranha ZPR'!$B$60:$B$87, B$15,'Piranha ZPR'!$H$60:$H$87,$A20)</f>
        <v>0</v>
      </c>
      <c r="C20">
        <f>SUMIFS('Piranha ZPR'!$F$60:$F$87,'Piranha ZPR'!$B$60:$B$87, C$15,'Piranha ZPR'!$H$60:$H$87,$A20)</f>
        <v>0</v>
      </c>
      <c r="D20">
        <f>SUMIFS('Piranha ZPR'!$F$60:$F$87,'Piranha ZPR'!$B$60:$B$87, D$15,'Piranha ZPR'!$H$60:$H$87,$A20)</f>
        <v>0</v>
      </c>
      <c r="E20">
        <f>SUMIFS('Piranha ZPR'!$F$60:$F$87,'Piranha ZPR'!$B$60:$B$87, E$15,'Piranha ZPR'!$H$60:$H$87,$A20)</f>
        <v>0</v>
      </c>
      <c r="F20">
        <f>SUMIFS('Piranha ZPR'!$F$60:$F$87,'Piranha ZPR'!$B$60:$B$87, F$15,'Piranha ZPR'!$H$60:$H$87,$A20)</f>
        <v>0</v>
      </c>
      <c r="G20" s="81"/>
      <c r="H20" s="16"/>
      <c r="I20" s="75"/>
      <c r="J20" s="79"/>
      <c r="K20" s="82"/>
      <c r="L20" s="83"/>
      <c r="M20" s="84"/>
      <c r="N20" s="17"/>
      <c r="O20" s="17"/>
      <c r="P20" s="17"/>
      <c r="Q20" s="17"/>
      <c r="R20" s="16"/>
      <c r="S20" s="17"/>
      <c r="T20" s="17"/>
      <c r="U20" s="17"/>
      <c r="V20" s="17"/>
      <c r="W20" s="17"/>
      <c r="X20" s="17"/>
      <c r="Y20" s="17"/>
      <c r="Z20" s="17"/>
      <c r="AA20" s="17"/>
      <c r="AB20" s="17"/>
      <c r="AC20" s="17"/>
      <c r="AD20" s="17"/>
      <c r="AE20" s="17"/>
    </row>
    <row r="21" spans="1:36">
      <c r="A21" s="74" t="str">
        <f>CONCATENATE(A18," Costs")</f>
        <v>PT-ZZP Costs</v>
      </c>
      <c r="B21" s="78">
        <f t="array" ref="B21">SUM(IF('Piranha ZPR'!$B$60:$B$87=B$15,IF('Piranha ZPR'!$H$60:$H$87="PT-ZZP",'Piranha ZPR'!$F$60:$F$87*'Piranha ZPR'!$I$60:$I$87*(1+Constants!$B$7),0),0))</f>
        <v>0</v>
      </c>
      <c r="C21" s="78">
        <f t="array" ref="C21">SUM(IF('Piranha ZPR'!$B$60:$B$87=C$15,IF('Piranha ZPR'!$H$60:$H$87="PT-ZZP",'Piranha ZPR'!$F$60:$F$87*'Piranha ZPR'!$I$60:$I$87,0),0))</f>
        <v>0</v>
      </c>
      <c r="D21" s="78">
        <f t="array" ref="D21">SUM(IF('Piranha ZPR'!$B$60:$B$87=D$15,IF('Piranha ZPR'!$H$60:$H$87="PT-ZZP",'Piranha ZPR'!$F$60:$F$87*'Piranha ZPR'!$I$60:$I$87*(1+Constants!$B$7),0),0))</f>
        <v>0</v>
      </c>
      <c r="E21" s="78">
        <f t="array" ref="E21">SUM(IF('Piranha ZPR'!$B$60:$B$87=E$15,IF('Piranha ZPR'!$H$60:$H$87="PT-ZZP",'Piranha ZPR'!$F$60:$F$87*'Piranha ZPR'!$I$60:$I$87*(1+Constants!$B$7),0),0))</f>
        <v>0</v>
      </c>
      <c r="F21" s="78">
        <f t="array" ref="F21">SUM(IF('Piranha ZPR'!$B$60:$B$87=F$15,IF('Piranha ZPR'!$H$60:$H$87="PT-ZZP",'Piranha ZPR'!$F$60:$F$87*'Piranha ZPR'!$I$60:$I$87*(1+Constants!$B$7),0),0))</f>
        <v>0</v>
      </c>
      <c r="G21" s="81"/>
      <c r="H21" s="16"/>
      <c r="I21" s="75"/>
      <c r="J21" s="79"/>
      <c r="K21" s="82"/>
      <c r="L21" s="77" t="s">
        <v>5</v>
      </c>
      <c r="M21" s="76">
        <f ca="1">SUM(M15:M20)</f>
        <v>15350.836692500292</v>
      </c>
      <c r="N21" s="17"/>
      <c r="O21" s="17"/>
      <c r="P21" s="17"/>
      <c r="Q21" s="17"/>
      <c r="R21" s="16"/>
      <c r="S21" s="17"/>
      <c r="T21" s="17"/>
      <c r="U21" s="17"/>
      <c r="V21" s="17"/>
      <c r="W21" s="17"/>
      <c r="X21" s="17"/>
      <c r="Y21" s="17"/>
      <c r="Z21" s="17"/>
      <c r="AA21" s="17"/>
      <c r="AB21" s="17"/>
      <c r="AC21" s="17"/>
      <c r="AD21" s="17"/>
      <c r="AE21" s="17"/>
    </row>
    <row r="22" spans="1:36" ht="15.75" customHeight="1">
      <c r="A22" s="74" t="str">
        <f>CONCATENATE(A20," Costs")</f>
        <v>Extern Costs</v>
      </c>
      <c r="B22" s="78">
        <f t="array" ref="B22">SUM(IF('Piranha ZPR'!$B$60:$B$87=B$15,IF('Piranha ZPR'!$H$60:$H$87="Extern",'Piranha ZPR'!$F$60:$F$87*'Piranha ZPR'!$I$60:$I$87,0),0))</f>
        <v>0</v>
      </c>
      <c r="C22" s="78">
        <f t="array" ref="C22">SUM(IF('Piranha ZPR'!$B$60:$B$87=C$15,IF('Piranha ZPR'!$H$60:$H$87="Extern",'Piranha ZPR'!$F$60:$F$87*'Piranha ZPR'!$I$60:$I$87,0),0))</f>
        <v>0</v>
      </c>
      <c r="D22" s="78">
        <f t="array" ref="D22">SUM(IF('Piranha ZPR'!$B$60:$B$87=D$15,IF('Piranha ZPR'!$H$60:$H$87="Extern",'Piranha ZPR'!$F$60:$F$87*'Piranha ZPR'!$I$60:$I$87,0),0))</f>
        <v>0</v>
      </c>
      <c r="E22" s="78">
        <f t="array" ref="E22">SUM(IF('Piranha ZPR'!$B$60:$B$87=E$15,IF('Piranha ZPR'!$H$60:$H$87="Extern",'Piranha ZPR'!$F$60:$F$87*'Piranha ZPR'!$I$60:$I$87,0),0))</f>
        <v>0</v>
      </c>
      <c r="F22" s="76">
        <f t="array" ref="F22">SUM(IF('Piranha ZPR'!$B$60:$B$87=F$15,IF('Piranha ZPR'!$H$60:$H$87="Extern",'Piranha ZPR'!$F$60:$F$87*'Piranha ZPR'!$I$60:$I$87,0),0))</f>
        <v>0</v>
      </c>
      <c r="G22" s="85"/>
      <c r="H22" s="177"/>
      <c r="I22" s="86"/>
      <c r="J22" s="87"/>
      <c r="K22" s="88"/>
      <c r="L22" s="87"/>
      <c r="M22" s="88"/>
      <c r="N22" s="17"/>
      <c r="O22" s="17"/>
      <c r="P22" s="17"/>
      <c r="Q22" s="17"/>
      <c r="R22" s="16"/>
      <c r="S22" s="17"/>
      <c r="T22" s="17"/>
      <c r="U22" s="17"/>
      <c r="V22" s="17"/>
      <c r="W22" s="17"/>
      <c r="X22" s="17"/>
      <c r="Y22" s="17"/>
      <c r="Z22" s="17"/>
      <c r="AA22" s="17"/>
      <c r="AB22" s="17"/>
      <c r="AC22" s="17"/>
      <c r="AD22" s="17"/>
      <c r="AE22" s="17"/>
    </row>
    <row r="23" spans="1:36" ht="15" customHeight="1">
      <c r="A23" s="74" t="s">
        <v>432</v>
      </c>
      <c r="B23" s="78"/>
      <c r="C23" s="78"/>
      <c r="D23" s="78"/>
      <c r="E23" s="78"/>
      <c r="F23" s="76">
        <f t="array" ref="F23">SUMIFS('Piranha ZPR'!$F$60:$F$87,'Piranha ZPR'!$B$60:$B$87,"Mentorship",'Piranha ZPR'!$H$60:$H$87,"PT-V")*Constants!B8+SUMIFS('Piranha ZPR'!$F$60:$F$87,'Piranha ZPR'!$B$60:$B$87,"Mentorship",'Piranha ZPR'!$H$60:$H$87,"PT")*Constants!B6+SUMPRODUCT(IF('Piranha ZPR'!$B$60:$B$87="Mentorship",IF('Piranha ZPR'!$H$60:$H$87="PT-ZZP",'Piranha ZPR'!$F$60:$F$87*'Piranha ZPR'!$I$60:$I$87,0)))</f>
        <v>2100</v>
      </c>
    </row>
    <row r="24" spans="1:36" ht="15" customHeight="1">
      <c r="A24" s="89" t="s">
        <v>433</v>
      </c>
      <c r="B24" s="178"/>
      <c r="C24" s="178"/>
      <c r="D24" s="178"/>
      <c r="E24" s="267">
        <f>SUMIF('Piranha ZPR'!$B$60:$B$87,"External Trainer Course",'Piranha ZPR'!$I$60:$I$87)</f>
        <v>0</v>
      </c>
      <c r="F24" s="90"/>
    </row>
    <row r="25" spans="1:36" ht="15.75" customHeight="1">
      <c r="A25" s="16"/>
      <c r="B25" s="16"/>
      <c r="C25" s="16"/>
      <c r="D25" s="16"/>
      <c r="E25" s="17"/>
      <c r="F25" s="17"/>
      <c r="G25" s="17"/>
      <c r="H25" s="17"/>
      <c r="I25" s="17"/>
      <c r="J25" s="17"/>
      <c r="K25" s="17"/>
      <c r="L25" s="17"/>
      <c r="M25" s="17"/>
      <c r="N25" s="17"/>
      <c r="O25" s="17"/>
      <c r="P25" s="17"/>
      <c r="Q25" s="16"/>
      <c r="R25" s="17"/>
      <c r="S25" s="17"/>
      <c r="T25" s="17"/>
      <c r="U25" s="17"/>
      <c r="V25" s="17"/>
      <c r="W25" s="17"/>
      <c r="X25" s="17"/>
      <c r="Y25" s="17"/>
      <c r="Z25" s="17"/>
      <c r="AA25" s="17"/>
      <c r="AB25" s="17"/>
      <c r="AC25" s="17"/>
      <c r="AD25" s="17"/>
    </row>
    <row r="26" spans="1:36" ht="15.75" customHeight="1">
      <c r="A26" s="16"/>
      <c r="B26" s="16"/>
      <c r="C26" s="16"/>
      <c r="D26" s="16"/>
      <c r="E26" s="17"/>
      <c r="F26" s="17"/>
      <c r="G26" s="17"/>
      <c r="H26" s="17"/>
      <c r="I26" s="17"/>
      <c r="J26" s="17"/>
      <c r="K26" s="17"/>
      <c r="L26" s="17"/>
      <c r="M26" s="17"/>
      <c r="N26" s="17"/>
      <c r="O26" s="17"/>
      <c r="P26" s="17"/>
      <c r="Q26" s="16"/>
      <c r="R26" s="17"/>
      <c r="S26" s="17"/>
      <c r="T26" s="17"/>
      <c r="U26" s="17"/>
      <c r="V26" s="17"/>
      <c r="W26" s="17"/>
      <c r="X26" s="17"/>
      <c r="Y26" s="17"/>
      <c r="Z26" s="17"/>
      <c r="AA26" s="17"/>
      <c r="AB26" s="17"/>
      <c r="AC26" s="17"/>
      <c r="AD26" s="17"/>
    </row>
    <row r="27" spans="1:36" ht="15.75" customHeight="1" thickBot="1">
      <c r="A27" s="91" t="s">
        <v>434</v>
      </c>
      <c r="B27" s="17"/>
      <c r="C27" s="17"/>
      <c r="D27" s="17"/>
      <c r="E27" s="17"/>
      <c r="F27" s="17"/>
      <c r="G27" s="92"/>
      <c r="H27" s="19"/>
      <c r="I27" s="17"/>
      <c r="J27" s="17"/>
      <c r="K27" s="17"/>
      <c r="L27" s="17"/>
      <c r="M27" s="17"/>
      <c r="N27" s="17"/>
      <c r="O27" s="17"/>
      <c r="P27" s="17"/>
      <c r="Q27" s="16"/>
      <c r="R27" s="17"/>
      <c r="S27" s="17"/>
      <c r="T27" s="17"/>
      <c r="U27" s="17"/>
      <c r="V27" s="17"/>
      <c r="W27" s="17"/>
      <c r="X27" s="17"/>
      <c r="Y27" s="17"/>
      <c r="Z27" s="17"/>
      <c r="AA27" s="17"/>
      <c r="AB27" s="17"/>
      <c r="AC27" s="17"/>
      <c r="AD27" s="17"/>
    </row>
    <row r="28" spans="1:36" ht="15.75" customHeight="1" thickTop="1" thickBot="1">
      <c r="A28" s="706" t="s">
        <v>435</v>
      </c>
      <c r="B28" s="707"/>
      <c r="C28" s="707"/>
      <c r="D28" s="707"/>
      <c r="E28" s="707"/>
      <c r="F28" s="708"/>
      <c r="G28" s="15"/>
      <c r="H28" s="17"/>
      <c r="I28" s="17"/>
      <c r="J28" s="17"/>
      <c r="K28" s="17"/>
      <c r="L28" s="17"/>
      <c r="M28" s="17"/>
      <c r="N28" s="17"/>
      <c r="O28" s="17"/>
      <c r="P28" s="17"/>
      <c r="Q28" s="16"/>
      <c r="R28" s="17"/>
      <c r="S28" s="17"/>
      <c r="T28" s="17"/>
      <c r="U28" s="17"/>
      <c r="V28" s="17"/>
      <c r="W28" s="17"/>
      <c r="X28" s="17"/>
      <c r="Y28" s="17"/>
      <c r="Z28" s="17"/>
      <c r="AA28" s="17"/>
      <c r="AB28" s="17"/>
      <c r="AC28" s="17"/>
      <c r="AD28" s="242" t="s">
        <v>436</v>
      </c>
      <c r="AE28" s="16"/>
      <c r="AF28" s="128"/>
      <c r="AG28" s="51"/>
      <c r="AH28" s="51"/>
      <c r="AI28" s="51"/>
      <c r="AJ28" s="51"/>
    </row>
    <row r="29" spans="1:36" ht="15.75" customHeight="1" thickBot="1">
      <c r="A29" s="709" t="s">
        <v>437</v>
      </c>
      <c r="B29" s="696"/>
      <c r="C29" s="696"/>
      <c r="D29" s="696"/>
      <c r="E29" s="696"/>
      <c r="F29" s="710"/>
      <c r="G29" s="17"/>
      <c r="H29" s="17"/>
      <c r="I29" s="17"/>
      <c r="J29" s="17"/>
      <c r="K29" s="17"/>
      <c r="L29" s="17"/>
      <c r="M29" s="17"/>
      <c r="N29" s="17"/>
      <c r="O29" s="17"/>
      <c r="P29" s="17"/>
      <c r="Q29" s="16"/>
      <c r="R29" s="17"/>
      <c r="S29" s="17"/>
      <c r="T29" s="17"/>
      <c r="U29" s="17"/>
      <c r="V29" s="17"/>
      <c r="W29" s="17"/>
      <c r="X29" s="17"/>
      <c r="Y29" s="17"/>
      <c r="Z29" s="17"/>
      <c r="AA29" s="17"/>
      <c r="AB29" s="17"/>
      <c r="AC29" s="17"/>
      <c r="AD29" s="243" t="s">
        <v>438</v>
      </c>
      <c r="AE29" s="243" t="s">
        <v>439</v>
      </c>
      <c r="AF29" s="243" t="s">
        <v>440</v>
      </c>
      <c r="AG29" s="711" t="s">
        <v>441</v>
      </c>
      <c r="AH29" s="712"/>
      <c r="AI29" s="711" t="s">
        <v>434</v>
      </c>
      <c r="AJ29" s="712"/>
    </row>
    <row r="30" spans="1:36" ht="15.75" customHeight="1" thickBot="1">
      <c r="A30" s="709" t="s">
        <v>442</v>
      </c>
      <c r="B30" s="696"/>
      <c r="C30" s="696"/>
      <c r="D30" s="696"/>
      <c r="E30" s="696"/>
      <c r="F30" s="710"/>
      <c r="G30" s="17"/>
      <c r="H30" s="17"/>
      <c r="I30" s="17"/>
      <c r="J30" s="17"/>
      <c r="K30" s="17"/>
      <c r="L30" s="17"/>
      <c r="M30" s="17"/>
      <c r="N30" s="17"/>
      <c r="O30" s="17"/>
      <c r="P30" s="17"/>
      <c r="Q30" s="16"/>
      <c r="R30" s="17"/>
      <c r="S30" s="17"/>
      <c r="T30" s="17"/>
      <c r="U30" s="17"/>
      <c r="V30" s="17"/>
      <c r="W30" s="17"/>
      <c r="X30" s="17"/>
      <c r="Y30" s="17"/>
      <c r="Z30" s="17"/>
      <c r="AA30" s="17"/>
      <c r="AB30" s="17"/>
      <c r="AC30" s="17"/>
      <c r="AD30" s="244" t="str">
        <f>IF($B$12="individual",Constants!F55,Constants!L55)</f>
        <v>member count</v>
      </c>
      <c r="AE30" s="244">
        <f>B7</f>
        <v>148</v>
      </c>
      <c r="AF30" s="269">
        <f>IF(AE30&gt;=301,5,IF(AE30&gt;=176,4,IF(AE30&gt;=101,3,IF(AE30&gt;=51,2,1))))</f>
        <v>3</v>
      </c>
      <c r="AG30" s="560"/>
      <c r="AH30" s="560"/>
      <c r="AI30" s="560" t="s">
        <v>443</v>
      </c>
      <c r="AJ30" s="560"/>
    </row>
    <row r="31" spans="1:36" ht="15" customHeight="1" thickBot="1">
      <c r="A31" s="709" t="s">
        <v>444</v>
      </c>
      <c r="B31" s="696"/>
      <c r="C31" s="696"/>
      <c r="D31" s="696"/>
      <c r="E31" s="696"/>
      <c r="F31" s="710"/>
      <c r="G31" s="17"/>
      <c r="H31" s="17"/>
      <c r="I31" s="17"/>
      <c r="J31" s="17"/>
      <c r="K31" s="17"/>
      <c r="L31" s="17"/>
      <c r="M31" s="17"/>
      <c r="N31" s="17"/>
      <c r="O31" s="17"/>
      <c r="P31" s="17"/>
      <c r="Q31" s="16"/>
      <c r="R31" s="17"/>
      <c r="S31" s="17"/>
      <c r="T31" s="17"/>
      <c r="U31" s="17"/>
      <c r="V31" s="17"/>
      <c r="W31" s="17"/>
      <c r="X31" s="17"/>
      <c r="Y31" s="17"/>
      <c r="Z31" s="17"/>
      <c r="AA31" s="17"/>
      <c r="AB31" s="17"/>
      <c r="AC31" s="17"/>
      <c r="AD31" s="244" t="str">
        <f>IF($B$12="individual",Constants!F56,Constants!L56)</f>
        <v>number of trainings per week</v>
      </c>
      <c r="AE31" s="244" cm="1">
        <f t="array" ref="AE31">SUMPRODUCT(C60:C87*D60:D87)/42</f>
        <v>16.214285714285715</v>
      </c>
      <c r="AF31" s="270">
        <f>IF(AE31&gt;=4,3,IF(AE31&gt;=3,2,IF(AE31&gt;=2,1,0)))</f>
        <v>3</v>
      </c>
      <c r="AG31" s="560"/>
      <c r="AH31" s="560"/>
      <c r="AI31" s="560"/>
      <c r="AJ31" s="560"/>
    </row>
    <row r="32" spans="1:36" ht="15.75" customHeight="1" thickBot="1">
      <c r="A32" s="709" t="s">
        <v>445</v>
      </c>
      <c r="B32" s="696"/>
      <c r="C32" s="696"/>
      <c r="D32" s="696"/>
      <c r="E32" s="696"/>
      <c r="F32" s="710"/>
      <c r="G32" s="17"/>
      <c r="H32" s="16"/>
      <c r="I32" s="16"/>
      <c r="J32" s="16"/>
      <c r="K32" s="17"/>
      <c r="L32" s="17"/>
      <c r="M32" s="17"/>
      <c r="N32" s="17"/>
      <c r="O32" s="17"/>
      <c r="P32" s="17"/>
      <c r="Q32" s="16"/>
      <c r="R32" s="17"/>
      <c r="S32" s="17"/>
      <c r="T32" s="17"/>
      <c r="U32" s="17"/>
      <c r="V32" s="17"/>
      <c r="W32" s="17"/>
      <c r="X32" s="17"/>
      <c r="Y32" s="17"/>
      <c r="Z32" s="17"/>
      <c r="AA32" s="17"/>
      <c r="AB32" s="17"/>
      <c r="AC32" s="17"/>
      <c r="AD32" s="244" t="str">
        <f>IF($B$12="individual",Constants!F57,Constants!L57)</f>
        <v>number of trainings weeks per year</v>
      </c>
      <c r="AE32" s="266">
        <f>MAX(C60:C87)</f>
        <v>42</v>
      </c>
      <c r="AF32" s="250">
        <f>IF(AE32&gt;=40,3,IF(AE32&gt;=35,2,1))</f>
        <v>3</v>
      </c>
      <c r="AG32" s="560"/>
      <c r="AH32" s="560"/>
      <c r="AI32" s="560"/>
      <c r="AJ32" s="560"/>
    </row>
    <row r="33" spans="1:58" ht="15.75" customHeight="1" thickBot="1">
      <c r="A33" s="93" t="s">
        <v>446</v>
      </c>
      <c r="F33" s="94"/>
      <c r="G33" s="17"/>
      <c r="H33" s="16"/>
      <c r="I33" s="16"/>
      <c r="J33" s="16"/>
      <c r="K33" s="17"/>
      <c r="L33" s="17"/>
      <c r="M33" s="17"/>
      <c r="N33" s="17"/>
      <c r="O33" s="17"/>
      <c r="P33" s="17"/>
      <c r="Q33" s="16"/>
      <c r="R33" s="17"/>
      <c r="S33" s="17"/>
      <c r="T33" s="17"/>
      <c r="U33" s="17"/>
      <c r="V33" s="17"/>
      <c r="W33" s="17"/>
      <c r="X33" s="17"/>
      <c r="Y33" s="17"/>
      <c r="Z33" s="17"/>
      <c r="AA33" s="17"/>
      <c r="AB33" s="17"/>
      <c r="AC33" s="17"/>
      <c r="AD33" s="244" t="str">
        <f>IF($B$12="individual",Constants!F58,Constants!L58)</f>
        <v>number of training hours by RT / PT-V</v>
      </c>
      <c r="AE33" s="265">
        <f>(SUMIF(H60:H87,"RT",F60:F87)+SUMIF(H60:H87,"PT-V",F60:F87))/SUM(F60:F87)</f>
        <v>0.54522769806612603</v>
      </c>
      <c r="AF33" s="270">
        <f>IF(AE33&gt;0.9,3,IF(AE33&gt;0.6,2,IF(AE33&gt;0.3,1,0)))</f>
        <v>1</v>
      </c>
      <c r="AG33" s="560"/>
      <c r="AH33" s="560"/>
      <c r="AI33" s="560"/>
      <c r="AJ33" s="560"/>
    </row>
    <row r="34" spans="1:58" ht="15.75" customHeight="1" thickBot="1">
      <c r="A34" s="713" t="s">
        <v>447</v>
      </c>
      <c r="B34" s="714"/>
      <c r="C34" s="714"/>
      <c r="D34" s="714"/>
      <c r="E34" s="714"/>
      <c r="F34" s="715"/>
      <c r="G34" s="17"/>
      <c r="H34" s="16"/>
      <c r="I34" s="16"/>
      <c r="J34" s="16"/>
      <c r="K34" s="17"/>
      <c r="L34" s="17"/>
      <c r="M34" s="17"/>
      <c r="N34" s="17"/>
      <c r="O34" s="17"/>
      <c r="P34" s="17"/>
      <c r="Q34" s="16"/>
      <c r="R34" s="17"/>
      <c r="S34" s="17"/>
      <c r="T34" s="17"/>
      <c r="U34" s="17"/>
      <c r="V34" s="17"/>
      <c r="W34" s="17"/>
      <c r="X34" s="17"/>
      <c r="Y34" s="17"/>
      <c r="Z34" s="17"/>
      <c r="AA34" s="17"/>
      <c r="AB34" s="17"/>
      <c r="AC34" s="17"/>
      <c r="AD34" s="244" t="str">
        <f>IF($B$12="individual",Constants!F59,Constants!L59)</f>
        <v>number of training groups / teams</v>
      </c>
      <c r="AE34" s="244">
        <f>B10</f>
        <v>11</v>
      </c>
      <c r="AF34" s="271">
        <f>IF(AE34&gt;9,3,IF(AE34&gt;4,2,IF(AE34&gt;2,1,0)))</f>
        <v>3</v>
      </c>
      <c r="AG34" s="560"/>
      <c r="AH34" s="560"/>
      <c r="AI34" s="560"/>
      <c r="AJ34" s="560"/>
    </row>
    <row r="35" spans="1:58" ht="15.75" customHeight="1" thickTop="1" thickBot="1">
      <c r="A35" s="16"/>
      <c r="G35" s="17"/>
      <c r="H35" s="16"/>
      <c r="I35" s="16"/>
      <c r="J35" s="16"/>
      <c r="K35" s="17"/>
      <c r="L35" s="17"/>
      <c r="M35" s="17"/>
      <c r="N35" s="17"/>
      <c r="O35" s="17"/>
      <c r="P35" s="17"/>
      <c r="Q35" s="16"/>
      <c r="R35" s="17"/>
      <c r="S35" s="17"/>
      <c r="T35" s="17"/>
      <c r="U35" s="17"/>
      <c r="V35" s="17"/>
      <c r="W35" s="17"/>
      <c r="X35" s="17"/>
      <c r="Y35" s="17"/>
      <c r="Z35" s="17"/>
      <c r="AA35" s="17"/>
      <c r="AB35" s="17"/>
      <c r="AC35" s="17"/>
      <c r="AD35" s="244" t="str">
        <f>IF($B$12="individual",Constants!F60,Constants!L60)</f>
        <v>number of competitions organised</v>
      </c>
      <c r="AE35" s="249">
        <v>13</v>
      </c>
      <c r="AF35" s="271">
        <f>IF(AE35&gt;=4,5,IF(AE35&gt;=2,3,IF(AE35&gt;=1,1,0)))</f>
        <v>5</v>
      </c>
      <c r="AG35" s="560"/>
      <c r="AH35" s="560"/>
      <c r="AI35" s="560"/>
      <c r="AJ35" s="560"/>
    </row>
    <row r="36" spans="1:58" ht="15.75" customHeight="1" thickBot="1">
      <c r="A36" s="179" t="s">
        <v>448</v>
      </c>
      <c r="B36" s="16"/>
      <c r="C36" s="16"/>
      <c r="D36" s="16"/>
      <c r="E36" s="16"/>
      <c r="F36" s="16"/>
      <c r="G36" s="16"/>
      <c r="H36" s="16"/>
      <c r="I36" s="16"/>
      <c r="J36" s="16"/>
      <c r="K36" s="16"/>
      <c r="L36" s="16"/>
      <c r="M36" s="16"/>
      <c r="N36" s="16"/>
      <c r="O36" s="16"/>
      <c r="P36" s="16"/>
      <c r="Q36" s="16"/>
      <c r="R36" s="16"/>
      <c r="S36" s="16"/>
      <c r="T36" s="16"/>
      <c r="U36" s="16"/>
      <c r="V36" s="16"/>
      <c r="W36" s="16"/>
      <c r="X36" s="16"/>
      <c r="Y36" s="16"/>
      <c r="Z36" s="16"/>
      <c r="AA36" s="16"/>
      <c r="AB36" s="18"/>
      <c r="AC36" s="16"/>
      <c r="AD36" s="244" t="str">
        <f>IF($B$12="individual",Constants!F61,Constants!L61)</f>
        <v>number of social activities</v>
      </c>
      <c r="AE36" s="249">
        <v>20</v>
      </c>
      <c r="AF36" s="271">
        <f>IF(AE36&gt;=20,2,IF(AE36&gt;=10,1,0))</f>
        <v>2</v>
      </c>
      <c r="AG36" s="560"/>
      <c r="AH36" s="560"/>
      <c r="AI36" s="560"/>
      <c r="AJ36" s="560"/>
    </row>
    <row r="37" spans="1:58" ht="15" customHeight="1" thickTop="1" thickBot="1">
      <c r="A37" s="258" t="s">
        <v>449</v>
      </c>
      <c r="B37" s="259" t="s">
        <v>450</v>
      </c>
      <c r="C37" s="258" t="s">
        <v>451</v>
      </c>
      <c r="D37" s="258" t="s">
        <v>452</v>
      </c>
      <c r="E37" s="258" t="s">
        <v>453</v>
      </c>
      <c r="F37" s="258" t="s">
        <v>454</v>
      </c>
      <c r="G37" s="259" t="s">
        <v>455</v>
      </c>
      <c r="H37" s="561" t="s">
        <v>456</v>
      </c>
      <c r="I37" s="716"/>
      <c r="J37" s="717"/>
      <c r="K37" s="98"/>
      <c r="L37" s="98"/>
      <c r="M37" s="98"/>
      <c r="N37" s="98"/>
      <c r="O37" s="98"/>
      <c r="P37" s="98"/>
      <c r="Q37" s="98"/>
      <c r="R37" s="98"/>
      <c r="S37" s="98"/>
      <c r="T37" s="98"/>
      <c r="U37" s="96"/>
      <c r="V37" s="96"/>
      <c r="W37" s="96"/>
      <c r="X37" s="96"/>
      <c r="Y37" s="99"/>
      <c r="Z37" s="96"/>
      <c r="AA37" s="96"/>
      <c r="AB37" s="100"/>
      <c r="AC37" s="100"/>
      <c r="AD37" s="244" t="str">
        <f>IF($B$12="individual",Constants!F62,Constants!L62)</f>
        <v>number of bar days</v>
      </c>
      <c r="AE37" s="249">
        <v>17</v>
      </c>
      <c r="AF37" s="271">
        <f>IF(AE37&gt;=15,2,IF(AE37&gt;=8,1,0))</f>
        <v>2</v>
      </c>
      <c r="AG37" s="560"/>
      <c r="AH37" s="560"/>
      <c r="AI37" s="560"/>
      <c r="AJ37" s="560"/>
      <c r="AK37" s="100"/>
      <c r="AL37" s="100"/>
      <c r="AM37" s="100"/>
      <c r="AN37" s="100"/>
      <c r="AO37" s="100"/>
      <c r="AP37" s="100"/>
      <c r="AQ37" s="100"/>
      <c r="AR37" s="100"/>
      <c r="AS37" s="100"/>
      <c r="AT37" s="100"/>
      <c r="AU37" s="100"/>
      <c r="AV37" s="100"/>
      <c r="AW37" s="100"/>
      <c r="AX37" s="100"/>
      <c r="AY37" s="100"/>
      <c r="AZ37" s="100"/>
      <c r="BA37" s="100"/>
      <c r="BB37" s="100"/>
      <c r="BC37" s="100"/>
      <c r="BD37" s="100"/>
      <c r="BE37" s="100"/>
      <c r="BF37" s="100"/>
    </row>
    <row r="38" spans="1:58" ht="15" customHeight="1" thickTop="1" thickBot="1">
      <c r="A38" s="386" t="s">
        <v>1471</v>
      </c>
      <c r="B38" s="232">
        <v>15</v>
      </c>
      <c r="C38" s="273">
        <v>2</v>
      </c>
      <c r="D38" s="273">
        <v>45</v>
      </c>
      <c r="E38" s="272" t="s">
        <v>57</v>
      </c>
      <c r="F38" s="272" t="s">
        <v>1472</v>
      </c>
      <c r="G38" s="259"/>
      <c r="H38" s="594"/>
      <c r="I38" s="606"/>
      <c r="J38" s="595"/>
      <c r="K38" s="98"/>
      <c r="L38" s="98"/>
      <c r="M38" s="98"/>
      <c r="N38" s="98"/>
      <c r="O38" s="98"/>
      <c r="P38" s="98"/>
      <c r="Q38" s="98"/>
      <c r="R38" s="98"/>
      <c r="S38" s="98"/>
      <c r="T38" s="98"/>
      <c r="U38" s="96"/>
      <c r="V38" s="96"/>
      <c r="W38" s="96"/>
      <c r="X38" s="96"/>
      <c r="Y38" s="99"/>
      <c r="Z38" s="96"/>
      <c r="AA38" s="96"/>
      <c r="AB38" s="100"/>
      <c r="AC38" s="100"/>
      <c r="AD38" s="244" t="str">
        <f>IF($B$12="individual",Constants!F63,Constants!L63)</f>
        <v>own bar / extra location</v>
      </c>
      <c r="AE38" s="249">
        <v>10</v>
      </c>
      <c r="AF38" s="271">
        <f>IF(AE38&gt;=15,2,IF(AE38&gt;=8,1,0))</f>
        <v>1</v>
      </c>
      <c r="AG38" s="560"/>
      <c r="AH38" s="560"/>
      <c r="AI38" s="560"/>
      <c r="AJ38" s="560"/>
      <c r="AK38" s="100"/>
      <c r="AL38" s="100"/>
      <c r="AM38" s="100"/>
      <c r="AN38" s="100"/>
      <c r="AO38" s="100"/>
      <c r="AP38" s="100"/>
      <c r="AQ38" s="100"/>
      <c r="AR38" s="100"/>
      <c r="AS38" s="100"/>
      <c r="AT38" s="100"/>
      <c r="AU38" s="100"/>
      <c r="AV38" s="100"/>
      <c r="AW38" s="100"/>
      <c r="AX38" s="100"/>
      <c r="AY38" s="100"/>
      <c r="AZ38" s="100"/>
      <c r="BA38" s="100"/>
      <c r="BB38" s="100"/>
      <c r="BC38" s="100"/>
      <c r="BD38" s="100"/>
      <c r="BE38" s="100"/>
      <c r="BF38" s="100"/>
    </row>
    <row r="39" spans="1:58" ht="15" customHeight="1" thickBot="1">
      <c r="A39" s="386" t="s">
        <v>1473</v>
      </c>
      <c r="B39" s="232">
        <v>20</v>
      </c>
      <c r="C39" s="273">
        <v>2</v>
      </c>
      <c r="D39" s="273">
        <v>45</v>
      </c>
      <c r="E39" s="272" t="s">
        <v>55</v>
      </c>
      <c r="F39" s="272" t="s">
        <v>1474</v>
      </c>
      <c r="G39" s="259"/>
      <c r="H39" s="596"/>
      <c r="I39" s="589"/>
      <c r="J39" s="597"/>
      <c r="K39" s="98"/>
      <c r="L39" s="98"/>
      <c r="M39" s="98"/>
      <c r="N39" s="98"/>
      <c r="O39" s="98"/>
      <c r="P39" s="98"/>
      <c r="Q39" s="98"/>
      <c r="R39" s="98"/>
      <c r="S39" s="98"/>
      <c r="T39" s="98"/>
      <c r="U39" s="96"/>
      <c r="V39" s="96"/>
      <c r="W39" s="96"/>
      <c r="X39" s="96"/>
      <c r="Y39" s="99"/>
      <c r="Z39" s="96"/>
      <c r="AA39" s="96"/>
      <c r="AB39" s="100"/>
      <c r="AC39" s="100"/>
      <c r="AD39" s="244" t="str">
        <f>IF($B$12="individual",Constants!F65,Constants!L64)</f>
        <v>number of competitions attended</v>
      </c>
      <c r="AE39" s="249">
        <v>12</v>
      </c>
      <c r="AF39" s="273">
        <f>IF(B12="individual", IF(AE39&gt;10, 5, IF(AE39&gt;6, 3, IF(AE39&gt;2, 1, 0))), IF(AE39&gt;3, 3, IF(AE39&gt;1, 2, 1)))</f>
        <v>5</v>
      </c>
      <c r="AG39" s="560"/>
      <c r="AH39" s="560"/>
      <c r="AI39" s="560"/>
      <c r="AJ39" s="560"/>
      <c r="AK39" s="100"/>
      <c r="AL39" s="100"/>
      <c r="AM39" s="100"/>
      <c r="AN39" s="100"/>
      <c r="AO39" s="100"/>
      <c r="AP39" s="100"/>
      <c r="AQ39" s="100"/>
      <c r="AR39" s="100"/>
      <c r="AS39" s="100"/>
      <c r="AT39" s="100"/>
      <c r="AU39" s="100"/>
      <c r="AV39" s="100"/>
      <c r="AW39" s="100"/>
      <c r="AX39" s="100"/>
      <c r="AY39" s="100"/>
      <c r="AZ39" s="100"/>
      <c r="BA39" s="100"/>
      <c r="BB39" s="100"/>
      <c r="BC39" s="100"/>
      <c r="BD39" s="100"/>
      <c r="BE39" s="100"/>
      <c r="BF39" s="100"/>
    </row>
    <row r="40" spans="1:58" ht="15" customHeight="1" thickBot="1">
      <c r="A40" s="386" t="s">
        <v>1475</v>
      </c>
      <c r="B40" s="232">
        <v>20</v>
      </c>
      <c r="C40" s="273">
        <v>2</v>
      </c>
      <c r="D40" s="273">
        <v>45</v>
      </c>
      <c r="E40" s="272" t="s">
        <v>57</v>
      </c>
      <c r="F40" s="272" t="s">
        <v>1476</v>
      </c>
      <c r="G40" s="259"/>
      <c r="H40" s="596"/>
      <c r="I40" s="589"/>
      <c r="J40" s="597"/>
      <c r="K40" s="98"/>
      <c r="L40" s="98"/>
      <c r="M40" s="98"/>
      <c r="N40" s="98"/>
      <c r="O40" s="98"/>
      <c r="P40" s="98"/>
      <c r="Q40" s="98"/>
      <c r="R40" s="98"/>
      <c r="S40" s="98"/>
      <c r="T40" s="98"/>
      <c r="U40" s="96"/>
      <c r="V40" s="96"/>
      <c r="W40" s="96"/>
      <c r="X40" s="96"/>
      <c r="Y40" s="99"/>
      <c r="Z40" s="96"/>
      <c r="AA40" s="96"/>
      <c r="AB40" s="100"/>
      <c r="AC40" s="100"/>
      <c r="AD40" s="231" t="str">
        <f>IF($B$12="individual",Constants!F64,Constants!L65)</f>
        <v>n/a</v>
      </c>
      <c r="AE40" s="248"/>
      <c r="AF40" s="272" t="str">
        <f>IF(B12="group", IF(AE40&gt;0.15, 5, IF(AE40&gt;0.1, 3, IF(AE40&gt;0.05, 1, 0))), " ")</f>
        <v xml:space="preserve"> </v>
      </c>
      <c r="AG40" s="560"/>
      <c r="AH40" s="560"/>
      <c r="AI40" s="560"/>
      <c r="AJ40" s="560"/>
      <c r="AK40" s="100"/>
      <c r="AL40" s="100"/>
      <c r="AM40" s="100"/>
      <c r="AN40" s="100"/>
      <c r="AO40" s="100"/>
      <c r="AP40" s="100"/>
      <c r="AQ40" s="100"/>
      <c r="AR40" s="100"/>
      <c r="AS40" s="100"/>
      <c r="AT40" s="100"/>
      <c r="AU40" s="100"/>
      <c r="AV40" s="100"/>
      <c r="AW40" s="100"/>
      <c r="AX40" s="100"/>
      <c r="AY40" s="100"/>
      <c r="AZ40" s="100"/>
      <c r="BA40" s="100"/>
      <c r="BB40" s="100"/>
      <c r="BC40" s="100"/>
      <c r="BD40" s="100"/>
      <c r="BE40" s="100"/>
      <c r="BF40" s="100"/>
    </row>
    <row r="41" spans="1:58" ht="15" customHeight="1" thickBot="1">
      <c r="A41" s="386" t="s">
        <v>1477</v>
      </c>
      <c r="B41" s="232">
        <v>20</v>
      </c>
      <c r="C41" s="273">
        <v>3</v>
      </c>
      <c r="D41" s="273">
        <v>45</v>
      </c>
      <c r="E41" s="272" t="s">
        <v>57</v>
      </c>
      <c r="F41" s="272" t="s">
        <v>328</v>
      </c>
      <c r="G41" s="259"/>
      <c r="H41" s="596"/>
      <c r="I41" s="589"/>
      <c r="J41" s="597"/>
      <c r="K41" s="98"/>
      <c r="L41" s="98"/>
      <c r="M41" s="98"/>
      <c r="N41" s="98"/>
      <c r="O41" s="98"/>
      <c r="P41" s="98"/>
      <c r="Q41" s="98"/>
      <c r="R41" s="98"/>
      <c r="S41" s="98"/>
      <c r="T41" s="98"/>
      <c r="U41" s="96"/>
      <c r="V41" s="96"/>
      <c r="W41" s="96"/>
      <c r="X41" s="96"/>
      <c r="Y41" s="99"/>
      <c r="Z41" s="96"/>
      <c r="AA41" s="96"/>
      <c r="AB41" s="100"/>
      <c r="AC41" s="100"/>
      <c r="AD41" s="16"/>
      <c r="AE41" s="275" t="s">
        <v>461</v>
      </c>
      <c r="AF41" s="274">
        <f>SUM(AF30:AF40)</f>
        <v>28</v>
      </c>
      <c r="AG41" s="247"/>
      <c r="AH41" s="245"/>
      <c r="AI41" s="246"/>
      <c r="AJ41" s="247"/>
      <c r="AK41" s="100"/>
      <c r="AL41" s="100"/>
      <c r="AM41" s="100"/>
      <c r="AN41" s="100"/>
      <c r="AO41" s="100"/>
      <c r="AP41" s="100"/>
      <c r="AQ41" s="100"/>
      <c r="AR41" s="100"/>
      <c r="AS41" s="100"/>
      <c r="AT41" s="100"/>
      <c r="AU41" s="100"/>
      <c r="AV41" s="100"/>
      <c r="AW41" s="100"/>
      <c r="AX41" s="100"/>
      <c r="AY41" s="100"/>
      <c r="AZ41" s="100"/>
      <c r="BA41" s="100"/>
      <c r="BB41" s="100"/>
      <c r="BC41" s="100"/>
      <c r="BD41" s="100"/>
      <c r="BE41" s="100"/>
      <c r="BF41" s="100"/>
    </row>
    <row r="42" spans="1:58" ht="15" customHeight="1">
      <c r="A42" s="386" t="s">
        <v>1478</v>
      </c>
      <c r="B42" s="232">
        <v>25</v>
      </c>
      <c r="C42" s="273">
        <v>3</v>
      </c>
      <c r="D42" s="273">
        <v>45</v>
      </c>
      <c r="E42" s="272" t="s">
        <v>55</v>
      </c>
      <c r="F42" s="272" t="s">
        <v>328</v>
      </c>
      <c r="G42" s="259"/>
      <c r="H42" s="596"/>
      <c r="I42" s="589"/>
      <c r="J42" s="597"/>
      <c r="K42" s="98"/>
      <c r="L42" s="98"/>
      <c r="M42" s="98"/>
      <c r="N42" s="98"/>
      <c r="O42" s="98"/>
      <c r="P42" s="98"/>
      <c r="Q42" s="98"/>
      <c r="R42" s="98"/>
      <c r="S42" s="98"/>
      <c r="T42" s="98"/>
      <c r="U42" s="96"/>
      <c r="V42" s="96"/>
      <c r="W42" s="96"/>
      <c r="X42" s="96"/>
      <c r="Y42" s="99"/>
      <c r="Z42" s="96"/>
      <c r="AA42" s="96"/>
      <c r="AB42" s="100"/>
      <c r="AC42" s="100"/>
      <c r="AD42" s="100"/>
      <c r="AE42" s="100"/>
      <c r="AF42" s="100"/>
      <c r="AG42" s="100"/>
      <c r="AH42" s="100"/>
      <c r="AI42" s="100"/>
      <c r="AJ42" s="100"/>
      <c r="AK42" s="100"/>
      <c r="AL42" s="100"/>
      <c r="AM42" s="100"/>
      <c r="AN42" s="100"/>
      <c r="AO42" s="100"/>
      <c r="AP42" s="100"/>
      <c r="AQ42" s="100"/>
      <c r="AR42" s="100"/>
      <c r="AS42" s="100"/>
      <c r="AT42" s="100"/>
      <c r="AU42" s="100"/>
      <c r="AV42" s="100"/>
      <c r="AW42" s="100"/>
      <c r="AX42" s="100"/>
      <c r="AY42" s="100"/>
      <c r="AZ42" s="100"/>
      <c r="BA42" s="100"/>
      <c r="BB42" s="100"/>
      <c r="BC42" s="100"/>
      <c r="BD42" s="100"/>
      <c r="BE42" s="100"/>
      <c r="BF42" s="100"/>
    </row>
    <row r="43" spans="1:58" ht="14.25" customHeight="1">
      <c r="A43" s="386" t="s">
        <v>1479</v>
      </c>
      <c r="B43" s="232">
        <v>40</v>
      </c>
      <c r="C43" s="273">
        <v>3</v>
      </c>
      <c r="D43" s="273">
        <v>45</v>
      </c>
      <c r="E43" s="272" t="s">
        <v>55</v>
      </c>
      <c r="F43" s="369" t="s">
        <v>328</v>
      </c>
      <c r="G43" s="323"/>
      <c r="H43" s="596"/>
      <c r="I43" s="589"/>
      <c r="J43" s="597"/>
      <c r="K43" s="16"/>
      <c r="L43" s="16"/>
      <c r="M43" s="16"/>
      <c r="N43" s="16"/>
      <c r="O43" s="16"/>
      <c r="P43" s="16"/>
      <c r="Q43" s="16"/>
      <c r="R43" s="16"/>
      <c r="S43" s="16"/>
      <c r="T43" s="16"/>
      <c r="U43" s="16"/>
      <c r="V43" s="16"/>
      <c r="W43" s="16"/>
      <c r="X43" s="16"/>
      <c r="Y43" s="17"/>
      <c r="Z43" s="16"/>
      <c r="AA43" s="16"/>
    </row>
    <row r="44" spans="1:58" ht="14.25" customHeight="1">
      <c r="A44" s="386" t="s">
        <v>1480</v>
      </c>
      <c r="B44" s="232">
        <v>23</v>
      </c>
      <c r="C44" s="273">
        <v>2</v>
      </c>
      <c r="D44" s="273">
        <v>45</v>
      </c>
      <c r="E44" s="245" t="s">
        <v>55</v>
      </c>
      <c r="F44" s="261" t="s">
        <v>328</v>
      </c>
      <c r="G44" s="325"/>
      <c r="H44" s="596"/>
      <c r="I44" s="589"/>
      <c r="J44" s="597"/>
      <c r="K44" s="16"/>
      <c r="L44" s="16"/>
      <c r="M44" s="16"/>
      <c r="N44" s="16"/>
      <c r="O44" s="16"/>
      <c r="P44" s="16"/>
      <c r="Q44" s="16"/>
      <c r="R44" s="16"/>
      <c r="S44" s="16"/>
      <c r="T44" s="16"/>
      <c r="U44" s="16"/>
      <c r="V44" s="16"/>
      <c r="W44" s="16"/>
      <c r="X44" s="16"/>
      <c r="Y44" s="17"/>
      <c r="Z44" s="16"/>
      <c r="AA44" s="16"/>
    </row>
    <row r="45" spans="1:58" ht="15.75" customHeight="1">
      <c r="A45" s="231" t="s">
        <v>1481</v>
      </c>
      <c r="B45" s="232">
        <v>10</v>
      </c>
      <c r="C45" s="373">
        <v>1</v>
      </c>
      <c r="D45" s="373">
        <v>15</v>
      </c>
      <c r="E45" s="245" t="s">
        <v>55</v>
      </c>
      <c r="F45" s="261" t="s">
        <v>328</v>
      </c>
      <c r="G45" s="231"/>
      <c r="H45" s="596"/>
      <c r="I45" s="589"/>
      <c r="J45" s="597"/>
      <c r="K45" s="16"/>
      <c r="L45" s="16"/>
      <c r="M45" s="16"/>
      <c r="N45" s="16"/>
      <c r="O45" s="16"/>
      <c r="P45" s="16"/>
      <c r="Q45" s="16"/>
      <c r="R45" s="16"/>
      <c r="S45" s="16"/>
      <c r="T45" s="16"/>
      <c r="U45" s="16"/>
      <c r="V45" s="16"/>
      <c r="W45" s="16"/>
      <c r="X45" s="16"/>
      <c r="Y45" s="16"/>
      <c r="Z45" s="16"/>
      <c r="AA45" s="16"/>
    </row>
    <row r="46" spans="1:58" ht="15.75" customHeight="1">
      <c r="A46" s="231"/>
      <c r="B46" s="232"/>
      <c r="C46" s="231"/>
      <c r="D46" s="232"/>
      <c r="E46" s="245"/>
      <c r="F46" s="261"/>
      <c r="G46" s="231"/>
      <c r="H46" s="596"/>
      <c r="I46" s="589"/>
      <c r="J46" s="597"/>
      <c r="K46" s="16"/>
      <c r="L46" s="16"/>
      <c r="M46" s="16"/>
      <c r="N46" s="16"/>
      <c r="O46" s="16"/>
      <c r="P46" s="16"/>
      <c r="Q46" s="16"/>
      <c r="R46" s="16"/>
      <c r="S46" s="16"/>
      <c r="T46" s="16"/>
      <c r="U46" s="16"/>
      <c r="V46" s="16"/>
      <c r="W46" s="16"/>
      <c r="X46" s="16"/>
      <c r="Y46" s="16"/>
      <c r="Z46" s="16"/>
      <c r="AA46" s="16"/>
    </row>
    <row r="47" spans="1:58" ht="15.75" customHeight="1" thickBot="1">
      <c r="A47" s="231"/>
      <c r="B47" s="326"/>
      <c r="C47" s="245"/>
      <c r="D47" s="232"/>
      <c r="E47" s="261"/>
      <c r="F47" s="261"/>
      <c r="G47" s="231"/>
      <c r="H47" s="598"/>
      <c r="I47" s="607"/>
      <c r="J47" s="599"/>
      <c r="K47" s="16"/>
      <c r="L47" s="16"/>
      <c r="M47" s="16"/>
      <c r="N47" s="16"/>
      <c r="O47" s="16"/>
      <c r="P47" s="16"/>
      <c r="Q47" s="16"/>
      <c r="R47" s="16"/>
      <c r="S47" s="16"/>
      <c r="T47" s="16"/>
      <c r="U47" s="16"/>
      <c r="V47" s="16"/>
      <c r="W47" s="16"/>
      <c r="X47" s="16"/>
      <c r="Y47" s="16"/>
      <c r="Z47" s="16"/>
      <c r="AA47" s="16"/>
    </row>
    <row r="48" spans="1:58" ht="15.75" customHeight="1" thickTop="1">
      <c r="A48" s="18"/>
      <c r="B48" s="18"/>
      <c r="C48" s="18"/>
      <c r="D48" s="18"/>
      <c r="E48" s="18"/>
      <c r="F48" s="18"/>
      <c r="G48" s="17"/>
      <c r="H48" s="17"/>
      <c r="I48" s="17"/>
      <c r="J48" s="17"/>
      <c r="K48" s="17"/>
      <c r="L48" s="17"/>
      <c r="M48" s="17"/>
      <c r="N48" s="17"/>
      <c r="O48" s="17"/>
      <c r="P48" s="17"/>
      <c r="Q48" s="16"/>
      <c r="R48" s="17"/>
      <c r="S48" s="17"/>
      <c r="T48" s="17"/>
      <c r="U48" s="17"/>
      <c r="V48" s="17"/>
      <c r="W48" s="17"/>
      <c r="X48" s="17"/>
      <c r="Y48" s="17"/>
      <c r="Z48" s="17"/>
      <c r="AA48" s="17"/>
      <c r="AB48" s="17"/>
      <c r="AC48" s="17"/>
      <c r="AD48" s="17"/>
    </row>
    <row r="49" spans="1:58" ht="15.75" customHeight="1" thickBot="1">
      <c r="A49" s="179" t="s">
        <v>462</v>
      </c>
      <c r="B49" s="169"/>
      <c r="C49" s="16"/>
      <c r="D49" s="16"/>
      <c r="E49" s="16"/>
      <c r="F49" s="16"/>
      <c r="G49" s="16"/>
      <c r="H49" s="16"/>
      <c r="I49" s="16"/>
      <c r="J49" s="16"/>
      <c r="K49" s="16"/>
      <c r="L49" s="16"/>
      <c r="M49" s="16"/>
      <c r="N49" s="16"/>
      <c r="O49" s="16"/>
      <c r="P49" s="16"/>
      <c r="Q49" s="16"/>
      <c r="R49" s="16"/>
      <c r="S49" s="16"/>
      <c r="T49" s="16"/>
      <c r="U49" s="16"/>
      <c r="V49" s="16"/>
      <c r="W49" s="16"/>
      <c r="X49" s="16"/>
      <c r="Y49" s="16"/>
      <c r="Z49" s="16"/>
      <c r="AA49" s="16"/>
      <c r="AB49" s="18"/>
      <c r="AC49" s="16"/>
      <c r="AD49" s="16"/>
    </row>
    <row r="50" spans="1:58" ht="15" customHeight="1" thickTop="1" thickBot="1">
      <c r="A50" s="258" t="s">
        <v>449</v>
      </c>
      <c r="B50" s="259" t="s">
        <v>450</v>
      </c>
      <c r="C50" s="258" t="s">
        <v>463</v>
      </c>
      <c r="D50" s="258" t="s">
        <v>464</v>
      </c>
      <c r="E50" s="258" t="s">
        <v>465</v>
      </c>
      <c r="F50" s="258" t="s">
        <v>466</v>
      </c>
      <c r="G50" s="258" t="s">
        <v>467</v>
      </c>
      <c r="H50" s="259" t="s">
        <v>455</v>
      </c>
      <c r="I50" s="561" t="s">
        <v>456</v>
      </c>
      <c r="J50" s="716"/>
      <c r="K50" s="717"/>
      <c r="L50" s="98"/>
      <c r="M50" s="98"/>
      <c r="N50" s="98"/>
      <c r="O50" s="98"/>
      <c r="P50" s="98"/>
      <c r="Q50" s="98"/>
      <c r="R50" s="98"/>
      <c r="S50" s="98"/>
      <c r="T50" s="98"/>
      <c r="U50" s="98"/>
      <c r="V50" s="96"/>
      <c r="W50" s="96"/>
      <c r="X50" s="96"/>
      <c r="Y50" s="96"/>
      <c r="Z50" s="99"/>
      <c r="AA50" s="96"/>
      <c r="AB50" s="96"/>
      <c r="AC50" s="100"/>
      <c r="AD50" s="100"/>
      <c r="AE50" s="100"/>
      <c r="AF50" s="100"/>
      <c r="AG50" s="100"/>
      <c r="AH50" s="100"/>
      <c r="AI50" s="100"/>
      <c r="AJ50" s="100"/>
      <c r="AK50" s="100"/>
      <c r="AL50" s="100"/>
      <c r="AM50" s="100"/>
      <c r="AN50" s="100"/>
      <c r="AO50" s="100"/>
      <c r="AP50" s="100"/>
      <c r="AQ50" s="100"/>
      <c r="AR50" s="100"/>
      <c r="AS50" s="100"/>
      <c r="AT50" s="100"/>
      <c r="AU50" s="100"/>
      <c r="AV50" s="100"/>
      <c r="AW50" s="100"/>
      <c r="AX50" s="100"/>
      <c r="AY50" s="100"/>
      <c r="AZ50" s="100"/>
      <c r="BA50" s="100"/>
      <c r="BB50" s="100"/>
      <c r="BC50" s="100"/>
      <c r="BD50" s="100"/>
      <c r="BE50" s="100"/>
      <c r="BF50" s="100"/>
    </row>
    <row r="51" spans="1:58" ht="14.25" customHeight="1" thickTop="1">
      <c r="A51" s="312" t="s">
        <v>1482</v>
      </c>
      <c r="B51" s="232">
        <v>9</v>
      </c>
      <c r="C51" s="269" t="s">
        <v>1483</v>
      </c>
      <c r="D51" s="269" t="s">
        <v>57</v>
      </c>
      <c r="E51" s="261">
        <v>2</v>
      </c>
      <c r="F51" s="261">
        <v>3</v>
      </c>
      <c r="G51" s="231" t="s">
        <v>419</v>
      </c>
      <c r="H51" s="325"/>
      <c r="I51" s="618"/>
      <c r="J51" s="741"/>
      <c r="K51" s="742"/>
      <c r="L51" s="16"/>
      <c r="M51" s="16"/>
      <c r="N51" s="16"/>
      <c r="O51" s="16"/>
      <c r="P51" s="16"/>
      <c r="Q51" s="16"/>
      <c r="R51" s="16"/>
      <c r="S51" s="16"/>
      <c r="T51" s="16"/>
      <c r="U51" s="16"/>
      <c r="V51" s="16"/>
      <c r="W51" s="16"/>
      <c r="X51" s="16"/>
      <c r="Y51" s="16"/>
      <c r="Z51" s="17"/>
      <c r="AA51" s="16"/>
      <c r="AB51" s="16"/>
    </row>
    <row r="52" spans="1:58" ht="14.25" customHeight="1">
      <c r="A52" s="312" t="s">
        <v>1484</v>
      </c>
      <c r="B52" s="232">
        <v>12</v>
      </c>
      <c r="C52" s="269" t="s">
        <v>1483</v>
      </c>
      <c r="D52" s="269" t="s">
        <v>57</v>
      </c>
      <c r="E52" s="245">
        <v>2</v>
      </c>
      <c r="F52" s="261">
        <v>3</v>
      </c>
      <c r="G52" s="231" t="s">
        <v>471</v>
      </c>
      <c r="H52" s="323" t="s">
        <v>1485</v>
      </c>
      <c r="I52" s="743"/>
      <c r="J52" s="744"/>
      <c r="K52" s="745"/>
      <c r="L52" s="16"/>
      <c r="M52" s="16"/>
      <c r="N52" s="16"/>
      <c r="O52" s="16"/>
      <c r="P52" s="16"/>
      <c r="Q52" s="16"/>
      <c r="R52" s="16"/>
      <c r="S52" s="16"/>
      <c r="T52" s="16"/>
      <c r="U52" s="16"/>
      <c r="V52" s="16"/>
      <c r="W52" s="16"/>
      <c r="X52" s="16"/>
      <c r="Y52" s="16"/>
      <c r="Z52" s="17"/>
      <c r="AA52" s="16"/>
      <c r="AB52" s="16"/>
    </row>
    <row r="53" spans="1:58" ht="15.75" customHeight="1">
      <c r="A53" s="231" t="s">
        <v>1477</v>
      </c>
      <c r="B53" s="232">
        <v>25</v>
      </c>
      <c r="C53" s="269" t="s">
        <v>1483</v>
      </c>
      <c r="D53" s="269" t="s">
        <v>57</v>
      </c>
      <c r="E53" s="245">
        <v>3</v>
      </c>
      <c r="F53" s="261">
        <v>3</v>
      </c>
      <c r="G53" s="263" t="s">
        <v>471</v>
      </c>
      <c r="H53" s="231"/>
      <c r="I53" s="743"/>
      <c r="J53" s="744"/>
      <c r="K53" s="745"/>
      <c r="L53" s="16"/>
      <c r="M53" s="16"/>
      <c r="N53" s="16"/>
      <c r="O53" s="16"/>
      <c r="P53" s="16"/>
      <c r="Q53" s="16"/>
      <c r="R53" s="16"/>
      <c r="S53" s="16"/>
      <c r="T53" s="16"/>
      <c r="U53" s="16"/>
      <c r="V53" s="16"/>
      <c r="W53" s="16"/>
      <c r="X53" s="16"/>
      <c r="Y53" s="16"/>
      <c r="Z53" s="16"/>
      <c r="AA53" s="16"/>
      <c r="AB53" s="16"/>
    </row>
    <row r="54" spans="1:58" ht="15.75" customHeight="1">
      <c r="A54" s="231"/>
      <c r="B54" s="232"/>
      <c r="C54" s="231"/>
      <c r="D54" s="269"/>
      <c r="E54" s="245"/>
      <c r="F54" s="261"/>
      <c r="G54" s="263"/>
      <c r="H54" s="231"/>
      <c r="I54" s="743"/>
      <c r="J54" s="744"/>
      <c r="K54" s="745"/>
      <c r="L54" s="16"/>
      <c r="M54" s="16"/>
      <c r="N54" s="16"/>
      <c r="O54" s="16"/>
      <c r="P54" s="16"/>
      <c r="Q54" s="16"/>
      <c r="R54" s="16"/>
      <c r="S54" s="16"/>
      <c r="T54" s="16"/>
      <c r="U54" s="16"/>
      <c r="V54" s="16"/>
      <c r="W54" s="16"/>
      <c r="X54" s="16"/>
      <c r="Y54" s="16"/>
      <c r="Z54" s="16"/>
      <c r="AA54" s="16"/>
      <c r="AB54" s="16"/>
    </row>
    <row r="55" spans="1:58" ht="15.75" customHeight="1" thickBot="1">
      <c r="A55" s="231"/>
      <c r="B55" s="326"/>
      <c r="C55" s="245"/>
      <c r="D55" s="245"/>
      <c r="E55" s="261"/>
      <c r="F55" s="261"/>
      <c r="G55" s="263"/>
      <c r="H55" s="231"/>
      <c r="I55" s="746"/>
      <c r="J55" s="747"/>
      <c r="K55" s="748"/>
      <c r="L55" s="16"/>
      <c r="M55" s="16"/>
      <c r="N55" s="16"/>
      <c r="O55" s="16"/>
      <c r="P55" s="16"/>
      <c r="Q55" s="16"/>
      <c r="R55" s="16"/>
      <c r="S55" s="16"/>
      <c r="T55" s="16"/>
      <c r="U55" s="16"/>
      <c r="V55" s="16"/>
      <c r="W55" s="16"/>
      <c r="X55" s="16"/>
      <c r="Y55" s="16"/>
      <c r="Z55" s="16"/>
      <c r="AA55" s="16"/>
      <c r="AB55" s="16"/>
    </row>
    <row r="56" spans="1:58" ht="15.75" customHeight="1" thickTop="1">
      <c r="A56" s="15"/>
      <c r="B56" s="16"/>
      <c r="C56" s="16"/>
      <c r="D56" s="16"/>
      <c r="E56" s="16"/>
      <c r="F56" s="16"/>
      <c r="G56" s="16"/>
      <c r="H56" s="16"/>
      <c r="I56" s="16"/>
      <c r="J56" s="16"/>
      <c r="K56" s="16"/>
      <c r="L56" s="16"/>
      <c r="M56" s="16"/>
      <c r="N56" s="16"/>
      <c r="O56" s="16"/>
      <c r="P56" s="16"/>
      <c r="Q56" s="16"/>
      <c r="R56" s="16"/>
      <c r="S56" s="16"/>
      <c r="T56" s="16"/>
      <c r="U56" s="16"/>
      <c r="V56" s="16"/>
      <c r="W56" s="16"/>
      <c r="X56" s="16"/>
      <c r="Y56" s="16"/>
      <c r="Z56" s="16"/>
      <c r="AA56" s="16"/>
      <c r="AB56" s="16"/>
      <c r="AC56" s="16"/>
      <c r="AD56" s="16"/>
    </row>
    <row r="57" spans="1:58" ht="15.75" customHeight="1">
      <c r="A57" s="15"/>
      <c r="B57" s="16"/>
      <c r="C57" s="16"/>
      <c r="D57" s="16"/>
      <c r="E57" s="16"/>
      <c r="F57" s="16"/>
      <c r="G57" s="16"/>
      <c r="H57" s="16"/>
      <c r="I57" s="16"/>
      <c r="J57" s="16"/>
      <c r="K57" s="16"/>
      <c r="L57" s="16"/>
      <c r="M57" s="16"/>
      <c r="N57" s="16"/>
      <c r="O57" s="16"/>
      <c r="P57" s="16"/>
      <c r="Q57" s="16"/>
      <c r="W57" s="16"/>
      <c r="X57" s="16"/>
      <c r="Y57" s="16"/>
      <c r="Z57" s="16"/>
      <c r="AA57" s="16"/>
      <c r="AB57" s="16"/>
      <c r="AC57" s="16"/>
      <c r="AD57" s="16"/>
    </row>
    <row r="58" spans="1:58" ht="15.75" customHeight="1" thickBot="1">
      <c r="A58" s="186" t="s">
        <v>475</v>
      </c>
      <c r="B58" s="231"/>
      <c r="C58" s="231"/>
      <c r="D58" s="231"/>
      <c r="E58" s="231"/>
      <c r="F58" s="231"/>
      <c r="G58" s="231"/>
      <c r="H58" s="231"/>
      <c r="I58" s="231"/>
      <c r="J58" s="231"/>
      <c r="K58" s="16"/>
      <c r="L58" s="16"/>
      <c r="M58" s="16"/>
      <c r="N58" s="16"/>
      <c r="O58" s="16"/>
      <c r="P58" s="16"/>
      <c r="Q58" s="16"/>
      <c r="W58" s="16"/>
      <c r="X58" s="16"/>
      <c r="Y58" s="16"/>
      <c r="Z58" s="16"/>
      <c r="AA58" s="16"/>
      <c r="AB58" s="16"/>
      <c r="AC58" s="16"/>
      <c r="AD58" s="16"/>
    </row>
    <row r="59" spans="1:58" ht="15.75" customHeight="1" thickTop="1" thickBot="1">
      <c r="A59" s="230" t="s">
        <v>476</v>
      </c>
      <c r="B59" s="230" t="s">
        <v>477</v>
      </c>
      <c r="C59" s="230" t="s">
        <v>478</v>
      </c>
      <c r="D59" s="230" t="s">
        <v>479</v>
      </c>
      <c r="E59" s="230" t="s">
        <v>480</v>
      </c>
      <c r="F59" s="230" t="s">
        <v>481</v>
      </c>
      <c r="G59" s="230" t="s">
        <v>482</v>
      </c>
      <c r="H59" s="230" t="s">
        <v>453</v>
      </c>
      <c r="I59" s="230" t="s">
        <v>483</v>
      </c>
      <c r="J59" s="230" t="s">
        <v>484</v>
      </c>
      <c r="K59" s="721" t="s">
        <v>485</v>
      </c>
      <c r="L59" s="716"/>
      <c r="M59" s="722"/>
      <c r="N59" s="15"/>
      <c r="O59" s="16"/>
      <c r="P59" s="16"/>
      <c r="Q59" s="16"/>
      <c r="W59" s="16"/>
      <c r="X59" s="16"/>
      <c r="Y59" s="16"/>
      <c r="Z59" s="16"/>
      <c r="AA59" s="16"/>
      <c r="AB59" s="16"/>
    </row>
    <row r="60" spans="1:58" ht="15.75" customHeight="1" thickTop="1">
      <c r="A60" s="319" t="s">
        <v>1486</v>
      </c>
      <c r="B60" s="319" t="s">
        <v>278</v>
      </c>
      <c r="C60" s="261">
        <v>32</v>
      </c>
      <c r="D60" s="261">
        <v>2</v>
      </c>
      <c r="E60" s="261">
        <v>2</v>
      </c>
      <c r="F60" s="261">
        <f>Table_4168218[[#This Row],['# Weeks]]*Table_4168218[[#This Row],[Total hours/week]]</f>
        <v>64</v>
      </c>
      <c r="G60" s="384" t="s">
        <v>1487</v>
      </c>
      <c r="H60" s="261" t="s">
        <v>57</v>
      </c>
      <c r="I60" s="438" t="s">
        <v>328</v>
      </c>
      <c r="J60" s="231" t="s">
        <v>1488</v>
      </c>
      <c r="K60" s="594"/>
      <c r="L60" s="606"/>
      <c r="M60" s="595"/>
      <c r="N60" s="15"/>
      <c r="O60" s="16"/>
      <c r="P60" s="16"/>
      <c r="Q60" s="16"/>
      <c r="W60" s="16"/>
      <c r="X60" s="16"/>
      <c r="Y60" s="16"/>
      <c r="Z60" s="16"/>
      <c r="AA60" s="16"/>
      <c r="AB60" s="16"/>
    </row>
    <row r="61" spans="1:58" ht="15.75" customHeight="1">
      <c r="A61" s="231" t="s">
        <v>1489</v>
      </c>
      <c r="B61" s="319" t="s">
        <v>287</v>
      </c>
      <c r="C61" s="261">
        <v>32</v>
      </c>
      <c r="D61" s="261">
        <v>2</v>
      </c>
      <c r="E61" s="261">
        <v>2</v>
      </c>
      <c r="F61" s="261">
        <f>Table_4168218[[#This Row],['# Weeks]]*Table_4168218[[#This Row],[Total hours/week]]</f>
        <v>64</v>
      </c>
      <c r="G61" s="384" t="s">
        <v>570</v>
      </c>
      <c r="H61" s="261" t="s">
        <v>55</v>
      </c>
      <c r="I61" s="438" t="s">
        <v>328</v>
      </c>
      <c r="J61" s="231"/>
      <c r="K61" s="596"/>
      <c r="L61" s="589"/>
      <c r="M61" s="597"/>
      <c r="N61" s="15"/>
      <c r="O61" s="16"/>
      <c r="P61" s="16"/>
      <c r="Q61" s="16"/>
      <c r="W61" s="16"/>
      <c r="X61" s="16"/>
      <c r="Y61" s="16"/>
      <c r="Z61" s="16"/>
      <c r="AA61" s="16"/>
      <c r="AB61" s="16"/>
    </row>
    <row r="62" spans="1:58" ht="15.75" customHeight="1">
      <c r="A62" s="231" t="s">
        <v>1490</v>
      </c>
      <c r="B62" s="319" t="s">
        <v>287</v>
      </c>
      <c r="C62" s="261">
        <v>32</v>
      </c>
      <c r="D62" s="261">
        <v>1</v>
      </c>
      <c r="E62" s="261">
        <v>1</v>
      </c>
      <c r="F62" s="261">
        <f>Table_4168218[[#This Row],['# Weeks]]*Table_4168218[[#This Row],[Total hours/week]]</f>
        <v>32</v>
      </c>
      <c r="G62" s="384" t="s">
        <v>570</v>
      </c>
      <c r="H62" s="261" t="s">
        <v>55</v>
      </c>
      <c r="I62" s="438" t="s">
        <v>328</v>
      </c>
      <c r="J62" s="231"/>
      <c r="K62" s="596"/>
      <c r="L62" s="589"/>
      <c r="M62" s="597"/>
      <c r="N62" s="15"/>
      <c r="O62" s="16"/>
      <c r="P62" s="16"/>
      <c r="Q62" s="16"/>
      <c r="W62" s="16"/>
      <c r="X62" s="16"/>
      <c r="Y62" s="16"/>
      <c r="Z62" s="16"/>
      <c r="AA62" s="16"/>
      <c r="AB62" s="16"/>
    </row>
    <row r="63" spans="1:58" ht="15.75" customHeight="1">
      <c r="A63" s="231" t="s">
        <v>1491</v>
      </c>
      <c r="B63" s="319" t="s">
        <v>287</v>
      </c>
      <c r="C63" s="261">
        <v>32</v>
      </c>
      <c r="D63" s="261">
        <v>1</v>
      </c>
      <c r="E63" s="261">
        <v>1.5</v>
      </c>
      <c r="F63" s="261">
        <f>Table_4168218[[#This Row],['# Weeks]]*Table_4168218[[#This Row],[Total hours/week]]</f>
        <v>48</v>
      </c>
      <c r="G63" s="384" t="s">
        <v>570</v>
      </c>
      <c r="H63" s="261" t="s">
        <v>55</v>
      </c>
      <c r="I63" s="438" t="s">
        <v>328</v>
      </c>
      <c r="J63" s="231" t="s">
        <v>1492</v>
      </c>
      <c r="K63" s="596"/>
      <c r="L63" s="589"/>
      <c r="M63" s="597"/>
      <c r="N63" s="15"/>
      <c r="O63" s="16"/>
      <c r="P63" s="16"/>
      <c r="Q63" s="16"/>
      <c r="W63" s="16"/>
      <c r="X63" s="16"/>
      <c r="Y63" s="16"/>
      <c r="Z63" s="16"/>
      <c r="AA63" s="16"/>
      <c r="AB63" s="16"/>
    </row>
    <row r="64" spans="1:58" ht="15.75" customHeight="1">
      <c r="A64" s="231" t="s">
        <v>1491</v>
      </c>
      <c r="B64" s="319" t="s">
        <v>287</v>
      </c>
      <c r="C64" s="261">
        <v>32</v>
      </c>
      <c r="D64" s="261">
        <v>1</v>
      </c>
      <c r="E64" s="261">
        <v>1.5</v>
      </c>
      <c r="F64" s="261">
        <f>Table_4168218[[#This Row],['# Weeks]]*Table_4168218[[#This Row],[Total hours/week]]</f>
        <v>48</v>
      </c>
      <c r="G64" s="384" t="s">
        <v>570</v>
      </c>
      <c r="H64" s="261" t="s">
        <v>55</v>
      </c>
      <c r="I64" s="438" t="s">
        <v>328</v>
      </c>
      <c r="J64" s="190"/>
      <c r="K64" s="596"/>
      <c r="L64" s="589"/>
      <c r="M64" s="597"/>
      <c r="N64" s="15"/>
      <c r="O64" s="16"/>
      <c r="P64" s="16"/>
      <c r="Q64" s="16"/>
      <c r="W64" s="16"/>
      <c r="X64" s="16"/>
      <c r="Y64" s="16"/>
      <c r="Z64" s="16"/>
      <c r="AA64" s="16"/>
      <c r="AB64" s="16"/>
    </row>
    <row r="65" spans="1:28" ht="15.75" customHeight="1">
      <c r="A65" s="231" t="s">
        <v>1493</v>
      </c>
      <c r="B65" s="319" t="s">
        <v>278</v>
      </c>
      <c r="C65" s="261">
        <v>10</v>
      </c>
      <c r="D65" s="261">
        <v>2</v>
      </c>
      <c r="E65" s="261">
        <v>2</v>
      </c>
      <c r="F65" s="261">
        <f>Table_4168218[[#This Row],['# Weeks]]*Table_4168218[[#This Row],[Total hours/week]]</f>
        <v>20</v>
      </c>
      <c r="G65" s="384" t="s">
        <v>1487</v>
      </c>
      <c r="H65" s="261" t="s">
        <v>57</v>
      </c>
      <c r="I65" s="438" t="s">
        <v>328</v>
      </c>
      <c r="J65" s="231"/>
      <c r="K65" s="596"/>
      <c r="L65" s="589"/>
      <c r="M65" s="597"/>
      <c r="N65" s="15"/>
      <c r="O65" s="16"/>
      <c r="P65" s="16"/>
      <c r="Q65" s="16"/>
      <c r="W65" s="16"/>
      <c r="X65" s="16"/>
      <c r="Y65" s="16"/>
      <c r="Z65" s="16"/>
      <c r="AA65" s="16"/>
      <c r="AB65" s="16"/>
    </row>
    <row r="66" spans="1:28" ht="15.75" customHeight="1">
      <c r="A66" s="231" t="s">
        <v>1494</v>
      </c>
      <c r="B66" s="319" t="s">
        <v>287</v>
      </c>
      <c r="C66" s="261">
        <v>10</v>
      </c>
      <c r="D66" s="261">
        <v>2</v>
      </c>
      <c r="E66" s="261">
        <v>2</v>
      </c>
      <c r="F66" s="261">
        <f>Table_4168218[[#This Row],['# Weeks]]*Table_4168218[[#This Row],[Total hours/week]]</f>
        <v>20</v>
      </c>
      <c r="G66" s="384" t="s">
        <v>570</v>
      </c>
      <c r="H66" s="261" t="s">
        <v>55</v>
      </c>
      <c r="I66" s="438" t="s">
        <v>328</v>
      </c>
      <c r="J66" s="231"/>
      <c r="K66" s="596"/>
      <c r="L66" s="589"/>
      <c r="M66" s="597"/>
      <c r="N66" s="15"/>
      <c r="O66" s="16"/>
      <c r="P66" s="16"/>
      <c r="Q66" s="16"/>
      <c r="W66" s="16"/>
      <c r="X66" s="16"/>
      <c r="Y66" s="16"/>
      <c r="Z66" s="16"/>
      <c r="AA66" s="16"/>
      <c r="AB66" s="16"/>
    </row>
    <row r="67" spans="1:28" ht="15.75" customHeight="1">
      <c r="A67" s="231" t="s">
        <v>1495</v>
      </c>
      <c r="B67" s="319" t="s">
        <v>287</v>
      </c>
      <c r="C67" s="261">
        <v>10</v>
      </c>
      <c r="D67" s="261">
        <v>1</v>
      </c>
      <c r="E67" s="261">
        <v>1</v>
      </c>
      <c r="F67" s="261">
        <f>Table_4168218[[#This Row],['# Weeks]]*Table_4168218[[#This Row],[Total hours/week]]</f>
        <v>10</v>
      </c>
      <c r="G67" s="384" t="s">
        <v>570</v>
      </c>
      <c r="H67" s="261" t="s">
        <v>55</v>
      </c>
      <c r="I67" s="438" t="s">
        <v>328</v>
      </c>
      <c r="J67" s="231"/>
      <c r="K67" s="596"/>
      <c r="L67" s="589"/>
      <c r="M67" s="597"/>
      <c r="N67" s="15"/>
      <c r="O67" s="16"/>
      <c r="P67" s="16"/>
      <c r="Q67" s="16"/>
      <c r="W67" s="16"/>
      <c r="X67" s="16"/>
      <c r="Y67" s="16"/>
      <c r="Z67" s="16"/>
      <c r="AA67" s="16"/>
      <c r="AB67" s="16"/>
    </row>
    <row r="68" spans="1:28" ht="15.75" customHeight="1">
      <c r="A68" s="231" t="s">
        <v>1496</v>
      </c>
      <c r="B68" s="319" t="s">
        <v>287</v>
      </c>
      <c r="C68" s="261">
        <v>10</v>
      </c>
      <c r="D68" s="261">
        <v>1</v>
      </c>
      <c r="E68" s="261">
        <v>1.5</v>
      </c>
      <c r="F68" s="261">
        <f>Table_4168218[[#This Row],['# Weeks]]*Table_4168218[[#This Row],[Total hours/week]]</f>
        <v>15</v>
      </c>
      <c r="G68" s="384" t="s">
        <v>570</v>
      </c>
      <c r="H68" s="261" t="s">
        <v>55</v>
      </c>
      <c r="I68" s="438" t="s">
        <v>328</v>
      </c>
      <c r="J68" s="190"/>
      <c r="K68" s="596"/>
      <c r="L68" s="589"/>
      <c r="M68" s="597"/>
      <c r="N68" s="15"/>
      <c r="O68" s="16"/>
      <c r="P68" s="16"/>
      <c r="Q68" s="16"/>
      <c r="W68" s="16"/>
      <c r="X68" s="16"/>
      <c r="Y68" s="16"/>
      <c r="Z68" s="16"/>
      <c r="AA68" s="16"/>
      <c r="AB68" s="16"/>
    </row>
    <row r="69" spans="1:28" ht="15.75" customHeight="1">
      <c r="A69" s="231" t="s">
        <v>1496</v>
      </c>
      <c r="B69" s="319" t="s">
        <v>287</v>
      </c>
      <c r="C69" s="261">
        <v>10</v>
      </c>
      <c r="D69" s="261">
        <v>1</v>
      </c>
      <c r="E69" s="261">
        <v>1.5</v>
      </c>
      <c r="F69" s="261">
        <f>Table_4168218[[#This Row],['# Weeks]]*Table_4168218[[#This Row],[Total hours/week]]</f>
        <v>15</v>
      </c>
      <c r="G69" s="384" t="s">
        <v>570</v>
      </c>
      <c r="H69" s="261" t="s">
        <v>55</v>
      </c>
      <c r="I69" s="438" t="s">
        <v>328</v>
      </c>
      <c r="J69" s="231" t="s">
        <v>1492</v>
      </c>
      <c r="K69" s="596"/>
      <c r="L69" s="589"/>
      <c r="M69" s="597"/>
      <c r="N69" s="15"/>
      <c r="O69" s="16"/>
      <c r="P69" s="16"/>
      <c r="Q69" s="16"/>
      <c r="W69" s="16"/>
      <c r="X69" s="16"/>
      <c r="Y69" s="16"/>
      <c r="Z69" s="16"/>
      <c r="AA69" s="16"/>
      <c r="AB69" s="16"/>
    </row>
    <row r="70" spans="1:28" ht="15.75" customHeight="1">
      <c r="A70" s="231"/>
      <c r="B70" s="319"/>
      <c r="C70" s="261"/>
      <c r="D70" s="261"/>
      <c r="E70" s="261"/>
      <c r="F70" s="261">
        <f>Table_4168218[[#This Row],['# Weeks]]*Table_4168218[[#This Row],[Total hours/week]]</f>
        <v>0</v>
      </c>
      <c r="G70" s="384"/>
      <c r="H70" s="261"/>
      <c r="I70" s="438"/>
      <c r="J70" s="231"/>
      <c r="K70" s="596"/>
      <c r="L70" s="589"/>
      <c r="M70" s="597"/>
      <c r="N70" s="15"/>
      <c r="O70" s="16"/>
      <c r="P70" s="16"/>
      <c r="Q70" s="16"/>
      <c r="W70" s="16"/>
      <c r="X70" s="16"/>
      <c r="Y70" s="16"/>
      <c r="Z70" s="16"/>
      <c r="AA70" s="16"/>
      <c r="AB70" s="16"/>
    </row>
    <row r="71" spans="1:28" ht="15.75" customHeight="1">
      <c r="A71" s="231" t="s">
        <v>1497</v>
      </c>
      <c r="B71" s="319" t="s">
        <v>287</v>
      </c>
      <c r="C71" s="261">
        <v>32</v>
      </c>
      <c r="D71" s="261">
        <v>1</v>
      </c>
      <c r="E71" s="261">
        <v>0.75</v>
      </c>
      <c r="F71" s="261">
        <f>Table_4168218[[#This Row],['# Weeks]]*Table_4168218[[#This Row],[Total hours/week]]</f>
        <v>24</v>
      </c>
      <c r="G71" s="384" t="s">
        <v>1498</v>
      </c>
      <c r="H71" s="261" t="s">
        <v>55</v>
      </c>
      <c r="I71" s="438" t="s">
        <v>328</v>
      </c>
      <c r="J71" s="231" t="s">
        <v>1499</v>
      </c>
      <c r="K71" s="596"/>
      <c r="L71" s="589"/>
      <c r="M71" s="597"/>
      <c r="N71" s="15"/>
      <c r="O71" s="16"/>
      <c r="P71" s="16"/>
      <c r="Q71" s="16"/>
      <c r="W71" s="16"/>
      <c r="X71" s="16"/>
      <c r="Y71" s="16"/>
      <c r="Z71" s="16"/>
      <c r="AA71" s="16"/>
      <c r="AB71" s="16"/>
    </row>
    <row r="72" spans="1:28" ht="15.75" customHeight="1">
      <c r="A72" s="231" t="s">
        <v>1497</v>
      </c>
      <c r="B72" s="319" t="s">
        <v>287</v>
      </c>
      <c r="C72" s="261">
        <v>32</v>
      </c>
      <c r="D72" s="261">
        <v>1</v>
      </c>
      <c r="E72" s="261">
        <v>0.75</v>
      </c>
      <c r="F72" s="261">
        <f>Table_4168218[[#This Row],['# Weeks]]*Table_4168218[[#This Row],[Total hours/week]]</f>
        <v>24</v>
      </c>
      <c r="G72" s="384" t="s">
        <v>570</v>
      </c>
      <c r="H72" s="261" t="s">
        <v>55</v>
      </c>
      <c r="I72" s="438" t="s">
        <v>328</v>
      </c>
      <c r="J72" s="231" t="s">
        <v>1499</v>
      </c>
      <c r="K72" s="596"/>
      <c r="L72" s="589"/>
      <c r="M72" s="597"/>
      <c r="N72" s="15"/>
      <c r="O72" s="16"/>
      <c r="P72" s="16"/>
      <c r="Q72" s="16"/>
      <c r="W72" s="16"/>
      <c r="X72" s="16"/>
      <c r="Y72" s="16"/>
      <c r="Z72" s="16"/>
      <c r="AA72" s="16"/>
      <c r="AB72" s="16"/>
    </row>
    <row r="73" spans="1:28" ht="15.75" customHeight="1">
      <c r="A73" s="231" t="s">
        <v>1500</v>
      </c>
      <c r="B73" s="319" t="s">
        <v>287</v>
      </c>
      <c r="C73" s="261">
        <v>10</v>
      </c>
      <c r="D73" s="261">
        <v>1</v>
      </c>
      <c r="E73" s="261">
        <v>0.75</v>
      </c>
      <c r="F73" s="261">
        <f>Table_4168218[[#This Row],['# Weeks]]*Table_4168218[[#This Row],[Total hours/week]]</f>
        <v>7.5</v>
      </c>
      <c r="G73" s="384" t="s">
        <v>1498</v>
      </c>
      <c r="H73" s="261" t="s">
        <v>55</v>
      </c>
      <c r="I73" s="438" t="s">
        <v>328</v>
      </c>
      <c r="J73" s="231" t="s">
        <v>1499</v>
      </c>
      <c r="K73" s="596"/>
      <c r="L73" s="589"/>
      <c r="M73" s="597"/>
      <c r="N73" s="15"/>
      <c r="O73" s="16"/>
      <c r="P73" s="16"/>
      <c r="Q73" s="16"/>
      <c r="W73" s="16"/>
      <c r="X73" s="16"/>
      <c r="Y73" s="16"/>
      <c r="Z73" s="16"/>
      <c r="AA73" s="16"/>
      <c r="AB73" s="16"/>
    </row>
    <row r="74" spans="1:28" ht="15.75" customHeight="1">
      <c r="A74" s="231" t="s">
        <v>1500</v>
      </c>
      <c r="B74" s="319" t="s">
        <v>287</v>
      </c>
      <c r="C74" s="261">
        <v>10</v>
      </c>
      <c r="D74" s="261">
        <v>1</v>
      </c>
      <c r="E74" s="261">
        <v>0.75</v>
      </c>
      <c r="F74" s="261">
        <f>Table_4168218[[#This Row],['# Weeks]]*Table_4168218[[#This Row],[Total hours/week]]</f>
        <v>7.5</v>
      </c>
      <c r="G74" s="384" t="s">
        <v>570</v>
      </c>
      <c r="H74" s="261" t="s">
        <v>55</v>
      </c>
      <c r="I74" s="438" t="s">
        <v>328</v>
      </c>
      <c r="J74" s="231" t="s">
        <v>1499</v>
      </c>
      <c r="K74" s="596"/>
      <c r="L74" s="589"/>
      <c r="M74" s="597"/>
      <c r="N74" s="15"/>
      <c r="O74" s="16"/>
      <c r="P74" s="16"/>
      <c r="Q74" s="16"/>
      <c r="W74" s="16"/>
      <c r="X74" s="16"/>
      <c r="Y74" s="16"/>
      <c r="Z74" s="16"/>
      <c r="AA74" s="16"/>
      <c r="AB74" s="16"/>
    </row>
    <row r="75" spans="1:28" ht="15.75" customHeight="1">
      <c r="A75" s="231" t="s">
        <v>1501</v>
      </c>
      <c r="B75" s="319" t="s">
        <v>285</v>
      </c>
      <c r="C75" s="261">
        <v>10</v>
      </c>
      <c r="D75" s="261">
        <v>1</v>
      </c>
      <c r="E75" s="261">
        <v>4</v>
      </c>
      <c r="F75" s="261">
        <f>Table_4168218[[#This Row],['# Weeks]]*Table_4168218[[#This Row],[Total hours/week]]</f>
        <v>40</v>
      </c>
      <c r="G75" s="384" t="s">
        <v>1498</v>
      </c>
      <c r="H75" s="261" t="s">
        <v>55</v>
      </c>
      <c r="I75" s="438" t="s">
        <v>328</v>
      </c>
      <c r="J75" s="231" t="s">
        <v>1502</v>
      </c>
      <c r="K75" s="596"/>
      <c r="L75" s="589"/>
      <c r="M75" s="597"/>
      <c r="N75" s="15"/>
      <c r="O75" s="16"/>
      <c r="P75" s="16"/>
      <c r="Q75" s="16"/>
      <c r="W75" s="16"/>
      <c r="X75" s="16"/>
      <c r="Y75" s="16"/>
      <c r="Z75" s="16"/>
      <c r="AA75" s="16"/>
      <c r="AB75" s="16"/>
    </row>
    <row r="76" spans="1:28" ht="15.75" customHeight="1">
      <c r="A76" s="231"/>
      <c r="B76" s="319"/>
      <c r="C76" s="261"/>
      <c r="D76" s="261"/>
      <c r="E76" s="261"/>
      <c r="F76" s="261">
        <f>Table_4168218[[#This Row],['# Weeks]]*Table_4168218[[#This Row],[Total hours/week]]</f>
        <v>0</v>
      </c>
      <c r="G76" s="384"/>
      <c r="H76" s="261"/>
      <c r="I76" s="438"/>
      <c r="J76" s="231"/>
      <c r="K76" s="596"/>
      <c r="L76" s="589"/>
      <c r="M76" s="597"/>
      <c r="N76" s="15"/>
      <c r="O76" s="16"/>
      <c r="P76" s="16"/>
      <c r="Q76" s="16"/>
      <c r="W76" s="16"/>
      <c r="X76" s="16"/>
      <c r="Y76" s="16"/>
      <c r="Z76" s="16"/>
      <c r="AA76" s="16"/>
      <c r="AB76" s="16"/>
    </row>
    <row r="77" spans="1:28" ht="15" customHeight="1">
      <c r="A77" s="231" t="s">
        <v>1503</v>
      </c>
      <c r="B77" s="319" t="s">
        <v>278</v>
      </c>
      <c r="C77" s="261">
        <v>32</v>
      </c>
      <c r="D77" s="261">
        <v>1</v>
      </c>
      <c r="E77" s="261">
        <v>1.25</v>
      </c>
      <c r="F77" s="261">
        <f>Table_4168218[[#This Row],['# Weeks]]*Table_4168218[[#This Row],[Total hours/week]]</f>
        <v>40</v>
      </c>
      <c r="G77" s="384" t="s">
        <v>1487</v>
      </c>
      <c r="H77" s="261" t="s">
        <v>57</v>
      </c>
      <c r="I77" s="438" t="s">
        <v>328</v>
      </c>
      <c r="J77" s="231"/>
      <c r="K77" s="596"/>
      <c r="L77" s="589"/>
      <c r="M77" s="597"/>
      <c r="N77" s="16"/>
      <c r="O77" s="16"/>
      <c r="P77" s="16"/>
      <c r="Q77" s="16"/>
      <c r="W77" s="16"/>
      <c r="X77" s="16"/>
      <c r="Y77" s="16"/>
      <c r="Z77" s="16"/>
      <c r="AA77" s="16"/>
      <c r="AB77" s="16"/>
    </row>
    <row r="78" spans="1:28" ht="15.75" customHeight="1">
      <c r="A78" s="231" t="s">
        <v>1504</v>
      </c>
      <c r="B78" s="319" t="s">
        <v>278</v>
      </c>
      <c r="C78" s="261">
        <v>32</v>
      </c>
      <c r="D78" s="261">
        <v>2</v>
      </c>
      <c r="E78" s="261">
        <v>2</v>
      </c>
      <c r="F78" s="261">
        <f>Table_4168218[[#This Row],['# Weeks]]*Table_4168218[[#This Row],[Total hours/week]]</f>
        <v>64</v>
      </c>
      <c r="G78" s="384" t="s">
        <v>1487</v>
      </c>
      <c r="H78" s="261" t="s">
        <v>57</v>
      </c>
      <c r="I78" s="438" t="s">
        <v>328</v>
      </c>
      <c r="J78" s="231" t="s">
        <v>1505</v>
      </c>
      <c r="K78" s="596"/>
      <c r="L78" s="589"/>
      <c r="M78" s="597"/>
      <c r="N78" s="16"/>
      <c r="O78" s="16"/>
      <c r="P78" s="16"/>
      <c r="Q78" s="16"/>
      <c r="W78" s="16"/>
      <c r="X78" s="16"/>
      <c r="Y78" s="16"/>
      <c r="Z78" s="16"/>
      <c r="AA78" s="16"/>
      <c r="AB78" s="16"/>
    </row>
    <row r="79" spans="1:28" ht="15.75" customHeight="1">
      <c r="A79" s="231" t="s">
        <v>1506</v>
      </c>
      <c r="B79" s="319" t="s">
        <v>278</v>
      </c>
      <c r="C79" s="261">
        <v>16</v>
      </c>
      <c r="D79" s="261">
        <v>1</v>
      </c>
      <c r="E79" s="261">
        <v>1</v>
      </c>
      <c r="F79" s="261">
        <f>Table_4168218[[#This Row],['# Weeks]]*Table_4168218[[#This Row],[Total hours/week]]</f>
        <v>16</v>
      </c>
      <c r="G79" s="384" t="s">
        <v>1487</v>
      </c>
      <c r="H79" s="261" t="s">
        <v>57</v>
      </c>
      <c r="I79" s="438"/>
      <c r="J79" s="231"/>
      <c r="K79" s="596"/>
      <c r="L79" s="589"/>
      <c r="M79" s="597"/>
      <c r="N79" s="16"/>
      <c r="O79" s="16"/>
      <c r="P79" s="16"/>
      <c r="Q79" s="16"/>
      <c r="W79" s="16"/>
      <c r="X79" s="16"/>
      <c r="Y79" s="16"/>
      <c r="Z79" s="16"/>
      <c r="AA79" s="16"/>
      <c r="AB79" s="16"/>
    </row>
    <row r="80" spans="1:28" ht="14.25" customHeight="1">
      <c r="A80" s="231" t="s">
        <v>1507</v>
      </c>
      <c r="B80" s="319" t="s">
        <v>287</v>
      </c>
      <c r="C80" s="261">
        <v>32</v>
      </c>
      <c r="D80" s="261">
        <v>1</v>
      </c>
      <c r="E80" s="261">
        <v>1</v>
      </c>
      <c r="F80" s="261">
        <f>Table_4168218[[#This Row],['# Weeks]]*Table_4168218[[#This Row],[Total hours/week]]</f>
        <v>32</v>
      </c>
      <c r="G80" s="384" t="s">
        <v>570</v>
      </c>
      <c r="H80" s="261" t="s">
        <v>55</v>
      </c>
      <c r="I80" s="438" t="s">
        <v>328</v>
      </c>
      <c r="J80" s="231"/>
      <c r="K80" s="596"/>
      <c r="L80" s="589"/>
      <c r="M80" s="597"/>
      <c r="N80" s="16"/>
      <c r="O80" s="16"/>
      <c r="P80" s="16"/>
      <c r="Q80" s="16"/>
      <c r="W80" s="16"/>
      <c r="X80" s="16"/>
      <c r="Y80" s="16"/>
      <c r="Z80" s="16"/>
      <c r="AA80" s="16"/>
      <c r="AB80" s="16"/>
    </row>
    <row r="81" spans="1:30" ht="15.75" customHeight="1">
      <c r="A81" s="231" t="s">
        <v>1508</v>
      </c>
      <c r="B81" s="319" t="s">
        <v>278</v>
      </c>
      <c r="C81" s="261">
        <v>10</v>
      </c>
      <c r="D81" s="261">
        <v>4</v>
      </c>
      <c r="E81" s="261">
        <v>5.25</v>
      </c>
      <c r="F81" s="261">
        <f>Table_4168218[[#This Row],['# Weeks]]*Table_4168218[[#This Row],[Total hours/week]]</f>
        <v>52.5</v>
      </c>
      <c r="G81" s="384" t="s">
        <v>1487</v>
      </c>
      <c r="H81" s="261" t="s">
        <v>57</v>
      </c>
      <c r="I81" s="438" t="s">
        <v>328</v>
      </c>
      <c r="J81" s="231" t="s">
        <v>1509</v>
      </c>
      <c r="K81" s="596"/>
      <c r="L81" s="589"/>
      <c r="M81" s="597"/>
      <c r="N81" s="16"/>
      <c r="O81" s="16"/>
      <c r="P81" s="16"/>
      <c r="Q81" s="16"/>
      <c r="W81" s="16"/>
      <c r="X81" s="16"/>
      <c r="Y81" s="16"/>
      <c r="Z81" s="16"/>
      <c r="AA81" s="16"/>
      <c r="AB81" s="16"/>
    </row>
    <row r="82" spans="1:30" ht="15.75" customHeight="1">
      <c r="A82" s="231" t="s">
        <v>1510</v>
      </c>
      <c r="B82" s="319" t="s">
        <v>287</v>
      </c>
      <c r="C82" s="261">
        <v>10</v>
      </c>
      <c r="D82" s="261">
        <v>2</v>
      </c>
      <c r="E82" s="261">
        <v>2.5</v>
      </c>
      <c r="F82" s="261">
        <f>Table_4168218[[#This Row],['# Weeks]]*Table_4168218[[#This Row],[Total hours/week]]</f>
        <v>25</v>
      </c>
      <c r="G82" s="384" t="s">
        <v>570</v>
      </c>
      <c r="H82" s="261" t="s">
        <v>55</v>
      </c>
      <c r="I82" s="438" t="s">
        <v>328</v>
      </c>
      <c r="J82" s="231"/>
      <c r="K82" s="596"/>
      <c r="L82" s="589"/>
      <c r="M82" s="597"/>
      <c r="N82" s="16"/>
      <c r="O82" s="16"/>
      <c r="P82" s="16"/>
      <c r="Q82" s="16"/>
      <c r="W82" s="16"/>
      <c r="X82" s="16"/>
      <c r="Y82" s="16"/>
      <c r="Z82" s="16"/>
      <c r="AA82" s="16"/>
      <c r="AB82" s="16"/>
    </row>
    <row r="83" spans="1:30" ht="15.75" customHeight="1">
      <c r="A83" s="231" t="s">
        <v>1511</v>
      </c>
      <c r="B83" s="319" t="s">
        <v>287</v>
      </c>
      <c r="C83" s="261">
        <v>25</v>
      </c>
      <c r="D83" s="261">
        <v>1</v>
      </c>
      <c r="E83" s="261">
        <v>1</v>
      </c>
      <c r="F83" s="261">
        <f>Table_4168218[[#This Row],['# Weeks]]*Table_4168218[[#This Row],[Total hours/week]]</f>
        <v>25</v>
      </c>
      <c r="G83" s="384" t="s">
        <v>570</v>
      </c>
      <c r="H83" s="261" t="s">
        <v>55</v>
      </c>
      <c r="I83" s="438" t="s">
        <v>328</v>
      </c>
      <c r="J83" s="231" t="s">
        <v>1512</v>
      </c>
      <c r="K83" s="596"/>
      <c r="L83" s="589"/>
      <c r="M83" s="597"/>
      <c r="N83" s="16"/>
      <c r="O83" s="16"/>
      <c r="P83" s="16"/>
      <c r="Q83" s="16"/>
      <c r="W83" s="16"/>
      <c r="X83" s="16"/>
      <c r="Y83" s="16"/>
      <c r="Z83" s="16"/>
      <c r="AA83" s="16"/>
      <c r="AB83" s="16"/>
    </row>
    <row r="84" spans="1:30" ht="15.75" customHeight="1">
      <c r="A84" s="231"/>
      <c r="B84" s="319"/>
      <c r="C84" s="261"/>
      <c r="D84" s="261"/>
      <c r="E84" s="261"/>
      <c r="F84" s="261">
        <f>Table_4168218[[#This Row],['# Weeks]]*Table_4168218[[#This Row],[Total hours/week]]</f>
        <v>0</v>
      </c>
      <c r="G84" s="384"/>
      <c r="H84" s="261"/>
      <c r="I84" s="438">
        <v>0</v>
      </c>
      <c r="J84" s="231"/>
      <c r="K84" s="596"/>
      <c r="L84" s="589"/>
      <c r="M84" s="597"/>
      <c r="N84" s="16"/>
      <c r="O84" s="16"/>
      <c r="P84" s="16"/>
      <c r="Q84" s="16"/>
      <c r="W84" s="16"/>
      <c r="X84" s="16"/>
      <c r="Y84" s="16"/>
      <c r="Z84" s="16"/>
      <c r="AA84" s="16"/>
      <c r="AB84" s="16"/>
    </row>
    <row r="85" spans="1:30" ht="15.75" customHeight="1">
      <c r="A85" s="231" t="s">
        <v>1513</v>
      </c>
      <c r="B85" s="319" t="s">
        <v>1514</v>
      </c>
      <c r="C85" s="261">
        <v>22</v>
      </c>
      <c r="D85" s="261">
        <v>1</v>
      </c>
      <c r="E85" s="261">
        <v>3</v>
      </c>
      <c r="F85" s="261">
        <f>Table_4168218[[#This Row],['# Weeks]]*Table_4168218[[#This Row],[Total hours/week]]</f>
        <v>66</v>
      </c>
      <c r="G85" s="384" t="s">
        <v>1487</v>
      </c>
      <c r="H85" s="261" t="s">
        <v>57</v>
      </c>
      <c r="I85" s="438" t="s">
        <v>328</v>
      </c>
      <c r="J85" s="231" t="s">
        <v>1515</v>
      </c>
      <c r="K85" s="596"/>
      <c r="L85" s="589"/>
      <c r="M85" s="597"/>
      <c r="N85" s="16"/>
      <c r="O85" s="16"/>
      <c r="P85" s="16"/>
      <c r="Q85" s="16"/>
      <c r="W85" s="16"/>
      <c r="X85" s="16"/>
      <c r="Y85" s="16"/>
      <c r="Z85" s="16"/>
      <c r="AA85" s="16"/>
      <c r="AB85" s="16"/>
    </row>
    <row r="86" spans="1:30" ht="15.75" customHeight="1">
      <c r="A86" s="231"/>
      <c r="B86" s="319"/>
      <c r="C86" s="261"/>
      <c r="D86" s="261"/>
      <c r="E86" s="261"/>
      <c r="F86" s="261">
        <f>Table_4168218[[#This Row],['# Weeks]]*Table_4168218[[#This Row],[Total hours/week]]</f>
        <v>0</v>
      </c>
      <c r="G86" s="384"/>
      <c r="H86" s="261"/>
      <c r="I86" s="438" t="s">
        <v>328</v>
      </c>
      <c r="J86" s="231"/>
      <c r="K86" s="596"/>
      <c r="L86" s="589"/>
      <c r="M86" s="597"/>
      <c r="N86" s="16"/>
      <c r="O86" s="16"/>
      <c r="P86" s="16"/>
      <c r="Q86" s="16"/>
      <c r="W86" s="16"/>
      <c r="X86" s="16"/>
      <c r="Y86" s="16"/>
      <c r="Z86" s="16"/>
      <c r="AA86" s="16"/>
      <c r="AB86" s="16"/>
    </row>
    <row r="87" spans="1:30" ht="15.75" customHeight="1" thickBot="1">
      <c r="A87" s="231" t="s">
        <v>290</v>
      </c>
      <c r="B87" s="319" t="s">
        <v>290</v>
      </c>
      <c r="C87" s="261">
        <v>42</v>
      </c>
      <c r="D87" s="261">
        <v>1</v>
      </c>
      <c r="E87" s="261">
        <v>1</v>
      </c>
      <c r="F87" s="261">
        <f>Table_4168218[[#This Row],['# Weeks]]*Table_4168218[[#This Row],[Total hours/week]]</f>
        <v>42</v>
      </c>
      <c r="G87" s="384" t="s">
        <v>1487</v>
      </c>
      <c r="H87" s="261" t="s">
        <v>57</v>
      </c>
      <c r="I87" s="438" t="s">
        <v>328</v>
      </c>
      <c r="J87" s="231"/>
      <c r="K87" s="598"/>
      <c r="L87" s="607"/>
      <c r="M87" s="599"/>
      <c r="N87" s="16"/>
      <c r="O87" s="16"/>
      <c r="P87" s="16"/>
      <c r="Q87" s="16"/>
      <c r="W87" s="16"/>
      <c r="X87" s="16"/>
      <c r="Y87" s="16"/>
      <c r="Z87" s="16"/>
      <c r="AA87" s="16"/>
      <c r="AB87" s="16"/>
    </row>
    <row r="88" spans="1:30" ht="15.75" customHeight="1" thickTop="1">
      <c r="A88" s="186" t="s">
        <v>499</v>
      </c>
      <c r="B88" s="231"/>
      <c r="C88" s="231"/>
      <c r="D88" s="231"/>
      <c r="E88" s="231"/>
      <c r="F88" s="231"/>
      <c r="G88" s="231"/>
      <c r="H88" s="231"/>
      <c r="I88" s="231"/>
      <c r="J88" s="231"/>
      <c r="K88" s="16"/>
      <c r="L88" s="16"/>
      <c r="M88" s="16"/>
      <c r="N88" s="16"/>
      <c r="O88" s="16"/>
      <c r="P88" s="16"/>
      <c r="Q88" s="16"/>
      <c r="W88" s="16"/>
      <c r="X88" s="16"/>
      <c r="Y88" s="16"/>
      <c r="Z88" s="16"/>
      <c r="AA88" s="16"/>
      <c r="AB88" s="16"/>
      <c r="AC88" s="16"/>
      <c r="AD88" s="16"/>
    </row>
    <row r="89" spans="1:30" ht="15.75" customHeight="1" thickBot="1">
      <c r="A89" s="230" t="s">
        <v>476</v>
      </c>
      <c r="B89" s="230" t="s">
        <v>500</v>
      </c>
      <c r="C89" s="230" t="s">
        <v>501</v>
      </c>
      <c r="D89" s="230" t="s">
        <v>502</v>
      </c>
      <c r="E89" s="230" t="s">
        <v>503</v>
      </c>
      <c r="F89" s="230" t="s">
        <v>504</v>
      </c>
      <c r="G89" s="230" t="s">
        <v>505</v>
      </c>
      <c r="H89" s="230" t="s">
        <v>506</v>
      </c>
      <c r="I89" s="230" t="s">
        <v>507</v>
      </c>
      <c r="J89" s="230" t="s">
        <v>508</v>
      </c>
      <c r="K89" s="123"/>
      <c r="L89" s="123"/>
      <c r="M89" s="16"/>
      <c r="N89" s="16"/>
      <c r="O89" s="16"/>
      <c r="P89" s="16"/>
      <c r="Q89" s="16"/>
      <c r="W89" s="16"/>
      <c r="X89" s="16"/>
      <c r="Y89" s="16"/>
      <c r="Z89" s="16"/>
      <c r="AA89" s="16"/>
      <c r="AB89" s="16"/>
      <c r="AC89" s="16"/>
      <c r="AD89" s="16"/>
    </row>
    <row r="90" spans="1:30" ht="15.75" customHeight="1" thickTop="1" thickBot="1">
      <c r="A90" s="319" t="s">
        <v>1516</v>
      </c>
      <c r="B90" s="231" t="s">
        <v>272</v>
      </c>
      <c r="C90" s="232" t="s">
        <v>857</v>
      </c>
      <c r="D90" s="261">
        <v>1.5</v>
      </c>
      <c r="E90" s="245">
        <v>32</v>
      </c>
      <c r="F90" s="326">
        <f>'Piranha ZPR'!$D90*'Piranha ZPR'!$E90</f>
        <v>48</v>
      </c>
      <c r="G90" s="245"/>
      <c r="H90" s="247">
        <v>127.57</v>
      </c>
      <c r="I90" s="333">
        <f t="shared" ref="I90:I103" si="2">IF($H90="-","-",IF($H90="Specify location tariff","-",$H90*$F90))</f>
        <v>6123.36</v>
      </c>
      <c r="J90" s="247"/>
      <c r="K90" s="561" t="s">
        <v>441</v>
      </c>
      <c r="L90" s="561"/>
      <c r="M90" s="561"/>
      <c r="N90" s="561"/>
      <c r="O90" s="570"/>
      <c r="P90" s="726" t="s">
        <v>434</v>
      </c>
      <c r="Q90" s="727"/>
      <c r="R90" s="16"/>
      <c r="S90" s="16"/>
      <c r="V90" s="16"/>
      <c r="W90" s="16"/>
      <c r="X90" s="16"/>
      <c r="Y90" s="16"/>
      <c r="Z90" s="16"/>
      <c r="AA90" s="16"/>
    </row>
    <row r="91" spans="1:30" ht="15.75" customHeight="1" thickTop="1">
      <c r="A91" s="231" t="s">
        <v>1517</v>
      </c>
      <c r="B91" s="231" t="s">
        <v>270</v>
      </c>
      <c r="C91" s="232" t="s">
        <v>1518</v>
      </c>
      <c r="D91" s="261">
        <v>4</v>
      </c>
      <c r="E91" s="245">
        <v>32</v>
      </c>
      <c r="F91" s="326">
        <f>'Piranha ZPR'!$D91*'Piranha ZPR'!$E91</f>
        <v>128</v>
      </c>
      <c r="G91" s="245"/>
      <c r="H91" s="332">
        <f>IF($B91= "","-",IF($B91= "External","Specify location tariff", INDEX(Constants!$3:$3,MATCH($B91,Constants!$2:$2,0))))</f>
        <v>65</v>
      </c>
      <c r="I91" s="333">
        <f t="shared" si="2"/>
        <v>8320</v>
      </c>
      <c r="J91" s="247"/>
      <c r="K91" s="611"/>
      <c r="L91" s="611"/>
      <c r="M91" s="611"/>
      <c r="N91" s="611"/>
      <c r="O91" s="612"/>
      <c r="P91" s="564" t="s">
        <v>511</v>
      </c>
      <c r="Q91" s="565"/>
      <c r="R91" s="16"/>
      <c r="S91" s="16"/>
      <c r="V91" s="16"/>
      <c r="W91" s="16"/>
      <c r="X91" s="16"/>
      <c r="Y91" s="16"/>
      <c r="Z91" s="16"/>
      <c r="AA91" s="16"/>
    </row>
    <row r="92" spans="1:30" ht="15.75" customHeight="1">
      <c r="A92" s="231" t="s">
        <v>1519</v>
      </c>
      <c r="B92" s="231" t="s">
        <v>271</v>
      </c>
      <c r="C92" s="232" t="s">
        <v>1520</v>
      </c>
      <c r="D92" s="261">
        <v>3.5</v>
      </c>
      <c r="E92" s="245">
        <v>10</v>
      </c>
      <c r="F92" s="326">
        <f>'Piranha ZPR'!$D92*'Piranha ZPR'!$E92</f>
        <v>35</v>
      </c>
      <c r="G92" s="245"/>
      <c r="H92" s="332">
        <f>IF($B92= "","-",IF($B92= "External","Specify location tariff", INDEX(Constants!$3:$3,MATCH($B92,Constants!$2:$2,0))))</f>
        <v>70</v>
      </c>
      <c r="I92" s="333">
        <f t="shared" si="2"/>
        <v>2450</v>
      </c>
      <c r="J92" s="247"/>
      <c r="K92" s="562"/>
      <c r="L92" s="562"/>
      <c r="M92" s="562"/>
      <c r="N92" s="562"/>
      <c r="O92" s="614"/>
      <c r="P92" s="566"/>
      <c r="Q92" s="567"/>
      <c r="R92" s="16"/>
      <c r="S92" s="16"/>
      <c r="V92" s="16"/>
      <c r="W92" s="16"/>
      <c r="X92" s="16"/>
      <c r="Y92" s="16"/>
      <c r="Z92" s="16"/>
      <c r="AA92" s="16"/>
    </row>
    <row r="93" spans="1:30" ht="15.75" customHeight="1">
      <c r="A93" s="231" t="s">
        <v>1497</v>
      </c>
      <c r="B93" s="231" t="s">
        <v>270</v>
      </c>
      <c r="C93" s="232" t="s">
        <v>1521</v>
      </c>
      <c r="D93" s="261">
        <v>2.5</v>
      </c>
      <c r="E93" s="245">
        <v>32</v>
      </c>
      <c r="F93" s="326">
        <f>'Piranha ZPR'!$D93*'Piranha ZPR'!$E93</f>
        <v>80</v>
      </c>
      <c r="G93" s="245"/>
      <c r="H93" s="332">
        <f>IF($B93= "","-",IF($B93= "External","Specify location tariff", INDEX(Constants!$3:$3,MATCH($B93,Constants!$2:$2,0))))</f>
        <v>65</v>
      </c>
      <c r="I93" s="333">
        <f t="shared" si="2"/>
        <v>5200</v>
      </c>
      <c r="J93" s="247"/>
      <c r="K93" s="562"/>
      <c r="L93" s="562"/>
      <c r="M93" s="562"/>
      <c r="N93" s="562"/>
      <c r="O93" s="614"/>
      <c r="P93" s="566"/>
      <c r="Q93" s="567"/>
      <c r="R93" s="16"/>
      <c r="S93" s="16"/>
      <c r="V93" s="16"/>
      <c r="W93" s="16"/>
      <c r="X93" s="16"/>
      <c r="Y93" s="16"/>
      <c r="Z93" s="16"/>
      <c r="AA93" s="16"/>
    </row>
    <row r="94" spans="1:30" ht="15.75" customHeight="1">
      <c r="A94" s="231" t="s">
        <v>1500</v>
      </c>
      <c r="B94" s="231" t="s">
        <v>271</v>
      </c>
      <c r="C94" s="232" t="s">
        <v>1522</v>
      </c>
      <c r="D94" s="261">
        <v>2</v>
      </c>
      <c r="E94" s="245">
        <v>10</v>
      </c>
      <c r="F94" s="326">
        <f>'Piranha ZPR'!$D94*'Piranha ZPR'!$E94</f>
        <v>20</v>
      </c>
      <c r="G94" s="245"/>
      <c r="H94" s="332">
        <f>IF($B94= "","-",IF($B94= "External","Specify location tariff", INDEX(Constants!$3:$3,MATCH($B94,Constants!$2:$2,0))))</f>
        <v>70</v>
      </c>
      <c r="I94" s="333">
        <f t="shared" si="2"/>
        <v>1400</v>
      </c>
      <c r="J94" s="247"/>
      <c r="K94" s="562"/>
      <c r="L94" s="562"/>
      <c r="M94" s="562"/>
      <c r="N94" s="562"/>
      <c r="O94" s="614"/>
      <c r="P94" s="566"/>
      <c r="Q94" s="567"/>
      <c r="R94" s="16"/>
      <c r="S94" s="16"/>
      <c r="V94" s="16"/>
      <c r="W94" s="16"/>
      <c r="X94" s="16"/>
      <c r="Y94" s="16"/>
      <c r="Z94" s="16"/>
      <c r="AA94" s="16"/>
    </row>
    <row r="95" spans="1:30" ht="15.75" customHeight="1">
      <c r="A95" s="231" t="s">
        <v>1523</v>
      </c>
      <c r="B95" s="231" t="s">
        <v>272</v>
      </c>
      <c r="C95" s="232" t="s">
        <v>861</v>
      </c>
      <c r="D95" s="261">
        <v>1.25</v>
      </c>
      <c r="E95" s="245">
        <v>32</v>
      </c>
      <c r="F95" s="326">
        <f>'Piranha ZPR'!$D95*'Piranha ZPR'!$E95</f>
        <v>40</v>
      </c>
      <c r="G95" s="245"/>
      <c r="H95" s="247">
        <v>127.57</v>
      </c>
      <c r="I95" s="333">
        <f t="shared" si="2"/>
        <v>5102.7999999999993</v>
      </c>
      <c r="J95" s="247"/>
      <c r="K95" s="562"/>
      <c r="L95" s="562"/>
      <c r="M95" s="562"/>
      <c r="N95" s="562"/>
      <c r="O95" s="614"/>
      <c r="P95" s="566"/>
      <c r="Q95" s="567"/>
      <c r="R95" s="16"/>
      <c r="S95" s="16"/>
      <c r="V95" s="16"/>
      <c r="W95" s="16"/>
      <c r="X95" s="16"/>
      <c r="Y95" s="16"/>
      <c r="Z95" s="16"/>
      <c r="AA95" s="16"/>
    </row>
    <row r="96" spans="1:30" ht="15.75" customHeight="1">
      <c r="A96" s="231" t="s">
        <v>1524</v>
      </c>
      <c r="B96" s="231" t="s">
        <v>270</v>
      </c>
      <c r="C96" s="232" t="s">
        <v>1525</v>
      </c>
      <c r="D96" s="261">
        <v>4.25</v>
      </c>
      <c r="E96" s="245">
        <v>32</v>
      </c>
      <c r="F96" s="326">
        <f>'Piranha ZPR'!$D96*'Piranha ZPR'!$E96</f>
        <v>136</v>
      </c>
      <c r="G96" s="245"/>
      <c r="H96" s="332">
        <f>IF($B96= "","-",IF($B96= "External","Specify location tariff", INDEX(Constants!$3:$3,MATCH($B96,Constants!$2:$2,0))))</f>
        <v>65</v>
      </c>
      <c r="I96" s="333">
        <f t="shared" si="2"/>
        <v>8840</v>
      </c>
      <c r="J96" s="247"/>
      <c r="K96" s="562"/>
      <c r="L96" s="562"/>
      <c r="M96" s="562"/>
      <c r="N96" s="562"/>
      <c r="O96" s="614"/>
      <c r="P96" s="566"/>
      <c r="Q96" s="567"/>
      <c r="R96" s="16"/>
      <c r="S96" s="16"/>
      <c r="V96" s="16"/>
      <c r="W96" s="16"/>
      <c r="X96" s="16"/>
      <c r="Y96" s="16"/>
      <c r="Z96" s="16"/>
      <c r="AA96" s="16"/>
    </row>
    <row r="97" spans="1:30" ht="15.75" customHeight="1">
      <c r="A97" s="231" t="s">
        <v>1508</v>
      </c>
      <c r="B97" s="231" t="s">
        <v>271</v>
      </c>
      <c r="C97" s="232" t="s">
        <v>1525</v>
      </c>
      <c r="D97" s="261">
        <v>5.25</v>
      </c>
      <c r="E97" s="245">
        <v>10</v>
      </c>
      <c r="F97" s="326">
        <f>'Piranha ZPR'!$D97*'Piranha ZPR'!$E97</f>
        <v>52.5</v>
      </c>
      <c r="G97" s="245"/>
      <c r="H97" s="332">
        <f>IF($B97= "","-",IF($B97= "External","Specify location tariff", INDEX(Constants!$3:$3,MATCH($B97,Constants!$2:$2,0))))</f>
        <v>70</v>
      </c>
      <c r="I97" s="333">
        <f t="shared" si="2"/>
        <v>3675</v>
      </c>
      <c r="J97" s="247"/>
      <c r="K97" s="562"/>
      <c r="L97" s="562"/>
      <c r="M97" s="562"/>
      <c r="N97" s="562"/>
      <c r="O97" s="614"/>
      <c r="P97" s="566"/>
      <c r="Q97" s="567"/>
      <c r="R97" s="16"/>
      <c r="S97" s="16"/>
      <c r="V97" s="16"/>
      <c r="W97" s="16"/>
      <c r="X97" s="16"/>
      <c r="Y97" s="16"/>
      <c r="Z97" s="16"/>
      <c r="AA97" s="16"/>
    </row>
    <row r="98" spans="1:30" ht="15.75" customHeight="1">
      <c r="A98" s="231"/>
      <c r="B98" s="231"/>
      <c r="C98" s="232"/>
      <c r="D98" s="261"/>
      <c r="E98" s="245"/>
      <c r="F98" s="326">
        <f>'Piranha ZPR'!$D98*'Piranha ZPR'!$E98</f>
        <v>0</v>
      </c>
      <c r="G98" s="245"/>
      <c r="H98" s="332" t="str">
        <f>IF($B98= "","-",IF($B98= "External","Specify location tariff", INDEX(Constants!$3:$3,MATCH($B98,Constants!$2:$2,0))))</f>
        <v>-</v>
      </c>
      <c r="I98" s="333" t="str">
        <f t="shared" si="2"/>
        <v>-</v>
      </c>
      <c r="J98" s="247"/>
      <c r="K98" s="562"/>
      <c r="L98" s="562"/>
      <c r="M98" s="562"/>
      <c r="N98" s="562"/>
      <c r="O98" s="614"/>
      <c r="P98" s="566"/>
      <c r="Q98" s="567"/>
      <c r="R98" s="16"/>
      <c r="S98" s="16"/>
      <c r="V98" s="16"/>
      <c r="W98" s="16"/>
      <c r="X98" s="16"/>
      <c r="Y98" s="16"/>
      <c r="Z98" s="16"/>
      <c r="AA98" s="16"/>
    </row>
    <row r="99" spans="1:30" ht="15.75" customHeight="1">
      <c r="A99" s="231" t="s">
        <v>1526</v>
      </c>
      <c r="B99" s="231" t="s">
        <v>272</v>
      </c>
      <c r="C99" s="232" t="s">
        <v>1527</v>
      </c>
      <c r="D99" s="261">
        <v>1</v>
      </c>
      <c r="E99" s="245">
        <v>9</v>
      </c>
      <c r="F99" s="326">
        <f>'Piranha ZPR'!$D99*'Piranha ZPR'!$E99</f>
        <v>9</v>
      </c>
      <c r="G99" s="245"/>
      <c r="H99" s="247">
        <v>127.57</v>
      </c>
      <c r="I99" s="333">
        <f t="shared" si="2"/>
        <v>1148.1299999999999</v>
      </c>
      <c r="J99" s="247"/>
      <c r="K99" s="562"/>
      <c r="L99" s="562"/>
      <c r="M99" s="562"/>
      <c r="N99" s="562"/>
      <c r="O99" s="614"/>
      <c r="P99" s="566"/>
      <c r="Q99" s="567"/>
      <c r="R99" s="16"/>
      <c r="S99" s="16"/>
      <c r="V99" s="16"/>
      <c r="W99" s="16"/>
      <c r="X99" s="16"/>
      <c r="Y99" s="16"/>
      <c r="Z99" s="16"/>
      <c r="AA99" s="16"/>
    </row>
    <row r="100" spans="1:30" ht="15.75" customHeight="1">
      <c r="A100" s="231" t="s">
        <v>1528</v>
      </c>
      <c r="B100" s="231" t="s">
        <v>272</v>
      </c>
      <c r="C100" s="232" t="s">
        <v>1527</v>
      </c>
      <c r="D100" s="261">
        <v>0.75</v>
      </c>
      <c r="E100" s="245">
        <v>13</v>
      </c>
      <c r="F100" s="326">
        <f>'Piranha ZPR'!$D100*'Piranha ZPR'!$E100</f>
        <v>9.75</v>
      </c>
      <c r="G100" s="245"/>
      <c r="H100" s="247">
        <v>127.57</v>
      </c>
      <c r="I100" s="333">
        <f t="shared" si="2"/>
        <v>1243.8074999999999</v>
      </c>
      <c r="J100" s="247"/>
      <c r="K100" s="562"/>
      <c r="L100" s="562"/>
      <c r="M100" s="562"/>
      <c r="N100" s="562"/>
      <c r="O100" s="614"/>
      <c r="P100" s="566"/>
      <c r="Q100" s="567"/>
      <c r="R100" s="16"/>
      <c r="S100" s="16"/>
      <c r="V100" s="16"/>
      <c r="W100" s="16"/>
      <c r="X100" s="16"/>
      <c r="Y100" s="16"/>
      <c r="Z100" s="16"/>
      <c r="AA100" s="16"/>
    </row>
    <row r="101" spans="1:30" ht="15.75" customHeight="1">
      <c r="A101" s="231"/>
      <c r="B101" s="231"/>
      <c r="C101" s="232"/>
      <c r="D101" s="261"/>
      <c r="E101" s="245"/>
      <c r="F101" s="326">
        <f>'Piranha ZPR'!$D101*'Piranha ZPR'!$E101</f>
        <v>0</v>
      </c>
      <c r="G101" s="245"/>
      <c r="H101" s="332" t="str">
        <f>IF($B101= "","-",IF($B101= "External","Specify location tariff", INDEX(Constants!$3:$3,MATCH($B101,Constants!$2:$2,0))))</f>
        <v>-</v>
      </c>
      <c r="I101" s="333" t="str">
        <f t="shared" si="2"/>
        <v>-</v>
      </c>
      <c r="J101" s="247"/>
      <c r="K101" s="562"/>
      <c r="L101" s="562"/>
      <c r="M101" s="562"/>
      <c r="N101" s="562"/>
      <c r="O101" s="614"/>
      <c r="P101" s="566"/>
      <c r="Q101" s="567"/>
      <c r="R101" s="16"/>
      <c r="S101" s="16"/>
      <c r="V101" s="16"/>
      <c r="W101" s="16"/>
      <c r="X101" s="16"/>
      <c r="Y101" s="16"/>
      <c r="Z101" s="16"/>
      <c r="AA101" s="16"/>
    </row>
    <row r="102" spans="1:30" ht="15.75" customHeight="1">
      <c r="A102" s="319"/>
      <c r="B102" s="231"/>
      <c r="C102" s="232"/>
      <c r="D102" s="261"/>
      <c r="E102" s="245"/>
      <c r="F102" s="326">
        <f>'Piranha ZPR'!$D102*'Piranha ZPR'!$E102</f>
        <v>0</v>
      </c>
      <c r="G102" s="245"/>
      <c r="H102" s="332" t="str">
        <f>IF($B102= "","-",IF($B102= "External","Specify location tariff", INDEX(Constants!$3:$3,MATCH($B102,Constants!$2:$2,0))))</f>
        <v>-</v>
      </c>
      <c r="I102" s="333" t="str">
        <f t="shared" si="2"/>
        <v>-</v>
      </c>
      <c r="J102" s="247"/>
      <c r="K102" s="562"/>
      <c r="L102" s="562"/>
      <c r="M102" s="562"/>
      <c r="N102" s="562"/>
      <c r="O102" s="614"/>
      <c r="P102" s="566"/>
      <c r="Q102" s="567"/>
      <c r="R102" s="16"/>
      <c r="S102" s="16"/>
      <c r="V102" s="16"/>
      <c r="W102" s="16"/>
      <c r="X102" s="16"/>
      <c r="Y102" s="16"/>
      <c r="Z102" s="16"/>
      <c r="AA102" s="16"/>
    </row>
    <row r="103" spans="1:30" ht="15.75" customHeight="1">
      <c r="A103" s="231" t="s">
        <v>1511</v>
      </c>
      <c r="B103" s="231" t="s">
        <v>247</v>
      </c>
      <c r="C103" s="232" t="s">
        <v>1435</v>
      </c>
      <c r="D103" s="261">
        <v>1</v>
      </c>
      <c r="E103" s="245">
        <v>25</v>
      </c>
      <c r="F103" s="326">
        <f>'Piranha ZPR'!$D103*'Piranha ZPR'!$E103</f>
        <v>25</v>
      </c>
      <c r="G103" s="245"/>
      <c r="H103" s="332">
        <f>IF($B103= "","-",IF($B103= "External","Specify location tariff", INDEX(Constants!$3:$3,MATCH($B103,Constants!$2:$2,0))))</f>
        <v>40</v>
      </c>
      <c r="I103" s="333">
        <f t="shared" si="2"/>
        <v>1000</v>
      </c>
      <c r="J103" s="247"/>
      <c r="K103" s="562"/>
      <c r="L103" s="562"/>
      <c r="M103" s="562"/>
      <c r="N103" s="562"/>
      <c r="O103" s="614"/>
      <c r="P103" s="566"/>
      <c r="Q103" s="567"/>
      <c r="R103" s="16"/>
      <c r="S103" s="16"/>
      <c r="V103" s="16"/>
      <c r="W103" s="16"/>
      <c r="X103" s="16"/>
      <c r="Y103" s="16"/>
      <c r="Z103" s="16"/>
      <c r="AA103" s="16"/>
    </row>
    <row r="104" spans="1:30" ht="15.75" customHeight="1" thickBot="1">
      <c r="A104" s="15"/>
      <c r="B104" s="16"/>
      <c r="C104" s="16"/>
      <c r="D104" s="16"/>
      <c r="E104" s="16"/>
      <c r="F104" s="16"/>
      <c r="G104" s="16"/>
      <c r="H104" s="16"/>
      <c r="I104" s="16"/>
      <c r="J104" s="16"/>
      <c r="K104" s="615"/>
      <c r="L104" s="616"/>
      <c r="M104" s="616"/>
      <c r="N104" s="616"/>
      <c r="O104" s="617"/>
      <c r="P104" s="568"/>
      <c r="Q104" s="569"/>
      <c r="R104" s="16"/>
      <c r="S104" s="16"/>
      <c r="V104" s="16"/>
      <c r="W104" s="16"/>
      <c r="X104" s="16"/>
      <c r="Y104" s="16"/>
      <c r="Z104" s="16"/>
      <c r="AA104" s="16"/>
    </row>
    <row r="105" spans="1:30" ht="15.75" customHeight="1" thickTop="1">
      <c r="A105" s="15"/>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c r="AA105" s="16"/>
      <c r="AB105" s="16"/>
      <c r="AC105" s="16"/>
      <c r="AD105" s="16"/>
    </row>
    <row r="106" spans="1:30" ht="15.75" customHeight="1" thickBot="1">
      <c r="A106" s="186" t="s">
        <v>519</v>
      </c>
      <c r="B106" s="16"/>
      <c r="C106" s="128"/>
      <c r="D106" s="51"/>
      <c r="E106" s="51"/>
      <c r="F106" s="51"/>
      <c r="G106" s="51"/>
      <c r="H106" s="51"/>
      <c r="I106" s="51"/>
      <c r="J106" s="51"/>
      <c r="K106" s="16"/>
      <c r="L106" s="16"/>
      <c r="M106" s="16"/>
      <c r="N106" s="16"/>
      <c r="O106" s="16"/>
      <c r="P106" s="16"/>
      <c r="Q106" s="16"/>
      <c r="R106" s="16"/>
      <c r="S106" s="16"/>
      <c r="T106" s="16"/>
      <c r="U106" s="16"/>
      <c r="V106" s="16"/>
      <c r="W106" s="16"/>
      <c r="X106" s="16"/>
      <c r="Y106" s="16"/>
      <c r="Z106" s="16"/>
      <c r="AA106" s="16"/>
      <c r="AB106" s="16"/>
      <c r="AC106" s="16"/>
      <c r="AD106" s="16"/>
    </row>
    <row r="107" spans="1:30" ht="15.75" customHeight="1" thickTop="1" thickBot="1">
      <c r="A107" s="230" t="s">
        <v>438</v>
      </c>
      <c r="B107" s="230" t="s">
        <v>439</v>
      </c>
      <c r="C107" s="230" t="s">
        <v>520</v>
      </c>
      <c r="D107" s="230" t="s">
        <v>521</v>
      </c>
      <c r="E107" s="230" t="s">
        <v>522</v>
      </c>
      <c r="F107" s="230" t="s">
        <v>523</v>
      </c>
      <c r="G107" s="230" t="s">
        <v>508</v>
      </c>
      <c r="H107" s="721" t="s">
        <v>441</v>
      </c>
      <c r="I107" s="716"/>
      <c r="J107" s="609" t="s">
        <v>434</v>
      </c>
      <c r="K107" s="685"/>
      <c r="L107" s="232"/>
      <c r="M107" s="231"/>
      <c r="N107" s="16"/>
      <c r="O107" s="16"/>
      <c r="P107" s="16"/>
      <c r="Q107" s="16"/>
      <c r="R107" s="16"/>
      <c r="S107" s="16"/>
      <c r="T107" s="16"/>
      <c r="U107" s="16"/>
      <c r="V107" s="16"/>
      <c r="W107" s="16"/>
      <c r="X107" s="16"/>
      <c r="Y107" s="16"/>
      <c r="Z107" s="16"/>
      <c r="AA107" s="16"/>
      <c r="AB107" s="16"/>
      <c r="AC107" s="16"/>
      <c r="AD107" s="16"/>
    </row>
    <row r="108" spans="1:30" ht="15" customHeight="1" thickTop="1">
      <c r="A108" s="244" t="s">
        <v>1529</v>
      </c>
      <c r="B108" s="244" t="s">
        <v>528</v>
      </c>
      <c r="C108" s="331">
        <v>28.44</v>
      </c>
      <c r="D108" s="371">
        <v>4</v>
      </c>
      <c r="E108" s="338">
        <v>124</v>
      </c>
      <c r="F108" s="339">
        <v>881.64</v>
      </c>
      <c r="G108" s="230"/>
      <c r="H108" s="606"/>
      <c r="I108" s="595"/>
      <c r="J108" s="594" t="s">
        <v>526</v>
      </c>
      <c r="K108" s="595"/>
      <c r="L108" s="16"/>
      <c r="M108" s="16"/>
      <c r="N108" s="16"/>
      <c r="O108" s="16"/>
      <c r="P108" s="117"/>
      <c r="Q108" s="15"/>
      <c r="R108" s="16"/>
      <c r="S108" s="130"/>
      <c r="T108" s="16"/>
      <c r="U108" s="16"/>
      <c r="V108" s="16"/>
      <c r="W108" s="241"/>
      <c r="X108" s="16"/>
      <c r="Y108" s="16"/>
      <c r="Z108" s="16"/>
      <c r="AA108" s="16"/>
      <c r="AB108" s="16"/>
    </row>
    <row r="109" spans="1:30" ht="15" customHeight="1">
      <c r="A109" s="244" t="s">
        <v>1530</v>
      </c>
      <c r="B109" s="244" t="s">
        <v>528</v>
      </c>
      <c r="C109" s="331" t="s">
        <v>1531</v>
      </c>
      <c r="D109" s="371">
        <v>10</v>
      </c>
      <c r="E109" s="338">
        <v>6</v>
      </c>
      <c r="F109" s="339">
        <v>18</v>
      </c>
      <c r="G109" s="230"/>
      <c r="H109" s="589"/>
      <c r="I109" s="597"/>
      <c r="J109" s="596"/>
      <c r="K109" s="597"/>
      <c r="L109" s="16"/>
      <c r="M109" s="16"/>
      <c r="N109" s="16"/>
      <c r="O109" s="16"/>
      <c r="P109" s="117"/>
      <c r="Q109" s="15"/>
      <c r="R109" s="16"/>
      <c r="S109" s="130"/>
      <c r="T109" s="16"/>
      <c r="U109" s="16"/>
      <c r="V109" s="16"/>
      <c r="W109" s="241"/>
      <c r="X109" s="16"/>
      <c r="Y109" s="16"/>
      <c r="Z109" s="16"/>
      <c r="AA109" s="16"/>
      <c r="AB109" s="16"/>
    </row>
    <row r="110" spans="1:30" ht="15" customHeight="1">
      <c r="A110" s="244" t="s">
        <v>1532</v>
      </c>
      <c r="B110" s="244" t="s">
        <v>528</v>
      </c>
      <c r="C110" s="331" t="s">
        <v>1533</v>
      </c>
      <c r="D110" s="371">
        <v>10</v>
      </c>
      <c r="E110" s="338">
        <v>3</v>
      </c>
      <c r="F110" s="339">
        <v>8.1</v>
      </c>
      <c r="G110" s="230"/>
      <c r="H110" s="589"/>
      <c r="I110" s="597"/>
      <c r="J110" s="596"/>
      <c r="K110" s="597"/>
      <c r="L110" s="16"/>
      <c r="M110" s="16"/>
      <c r="N110" s="16"/>
      <c r="O110" s="16"/>
      <c r="P110" s="117"/>
      <c r="Q110" s="15"/>
      <c r="R110" s="16"/>
      <c r="S110" s="130"/>
      <c r="T110" s="16"/>
      <c r="U110" s="16"/>
      <c r="V110" s="16"/>
      <c r="W110" s="241"/>
      <c r="X110" s="16"/>
      <c r="Y110" s="16"/>
      <c r="Z110" s="16"/>
      <c r="AA110" s="16"/>
      <c r="AB110" s="16"/>
    </row>
    <row r="111" spans="1:30" ht="15" customHeight="1">
      <c r="A111" s="244" t="s">
        <v>1534</v>
      </c>
      <c r="B111" s="244" t="s">
        <v>528</v>
      </c>
      <c r="C111" s="331" t="s">
        <v>1535</v>
      </c>
      <c r="D111" s="371">
        <v>10</v>
      </c>
      <c r="E111" s="338">
        <v>3</v>
      </c>
      <c r="F111" s="339">
        <v>13.5</v>
      </c>
      <c r="G111" s="230"/>
      <c r="H111" s="589"/>
      <c r="I111" s="597"/>
      <c r="J111" s="596"/>
      <c r="K111" s="597"/>
      <c r="L111" s="16"/>
      <c r="M111" s="16"/>
      <c r="N111" s="16"/>
      <c r="O111" s="16"/>
      <c r="P111" s="117"/>
      <c r="Q111" s="15"/>
      <c r="R111" s="16"/>
      <c r="S111" s="130"/>
      <c r="T111" s="16"/>
      <c r="U111" s="16"/>
      <c r="V111" s="16"/>
      <c r="W111" s="241"/>
      <c r="X111" s="16"/>
      <c r="Y111" s="16"/>
      <c r="Z111" s="16"/>
      <c r="AA111" s="16"/>
      <c r="AB111" s="16"/>
    </row>
    <row r="112" spans="1:30" ht="15" customHeight="1">
      <c r="A112" s="244" t="s">
        <v>1536</v>
      </c>
      <c r="B112" s="244" t="s">
        <v>528</v>
      </c>
      <c r="C112" s="331" t="s">
        <v>1537</v>
      </c>
      <c r="D112" s="371">
        <v>5</v>
      </c>
      <c r="E112" s="338">
        <v>3</v>
      </c>
      <c r="F112" s="339">
        <v>390</v>
      </c>
      <c r="G112" s="230"/>
      <c r="H112" s="589"/>
      <c r="I112" s="597"/>
      <c r="J112" s="596"/>
      <c r="K112" s="597"/>
      <c r="L112" s="16"/>
      <c r="M112" s="16"/>
      <c r="N112" s="16"/>
      <c r="O112" s="16"/>
      <c r="P112" s="117"/>
      <c r="Q112" s="15"/>
      <c r="R112" s="16"/>
      <c r="S112" s="130"/>
      <c r="T112" s="16"/>
      <c r="U112" s="16"/>
      <c r="V112" s="16"/>
      <c r="W112" s="241"/>
      <c r="X112" s="16"/>
      <c r="Y112" s="16"/>
      <c r="Z112" s="16"/>
      <c r="AA112" s="16"/>
      <c r="AB112" s="16"/>
    </row>
    <row r="113" spans="1:28" ht="15" customHeight="1">
      <c r="A113" s="244" t="s">
        <v>1538</v>
      </c>
      <c r="B113" s="244" t="s">
        <v>528</v>
      </c>
      <c r="C113" s="331" t="s">
        <v>1537</v>
      </c>
      <c r="D113" s="371">
        <v>5</v>
      </c>
      <c r="E113" s="338">
        <v>3</v>
      </c>
      <c r="F113" s="339">
        <v>390</v>
      </c>
      <c r="G113" s="230"/>
      <c r="H113" s="589"/>
      <c r="I113" s="597"/>
      <c r="J113" s="596"/>
      <c r="K113" s="597"/>
      <c r="L113" s="16"/>
      <c r="M113" s="16"/>
      <c r="N113" s="16"/>
      <c r="O113" s="16"/>
      <c r="P113" s="117"/>
      <c r="Q113" s="15"/>
      <c r="R113" s="16"/>
      <c r="S113" s="130"/>
      <c r="T113" s="16"/>
      <c r="U113" s="16"/>
      <c r="V113" s="16"/>
      <c r="W113" s="241"/>
      <c r="X113" s="16"/>
      <c r="Y113" s="16"/>
      <c r="Z113" s="16"/>
      <c r="AA113" s="16"/>
      <c r="AB113" s="16"/>
    </row>
    <row r="114" spans="1:28" ht="15" customHeight="1">
      <c r="A114" s="244" t="s">
        <v>1539</v>
      </c>
      <c r="B114" s="244" t="s">
        <v>528</v>
      </c>
      <c r="C114" s="331" t="s">
        <v>1540</v>
      </c>
      <c r="D114" s="371">
        <v>3</v>
      </c>
      <c r="E114" s="338">
        <v>1</v>
      </c>
      <c r="F114" s="339">
        <v>19.98</v>
      </c>
      <c r="G114" s="230"/>
      <c r="H114" s="589"/>
      <c r="I114" s="597"/>
      <c r="J114" s="596"/>
      <c r="K114" s="597"/>
      <c r="L114" s="16"/>
      <c r="M114" s="16"/>
      <c r="N114" s="16"/>
      <c r="O114" s="16"/>
      <c r="P114" s="117"/>
      <c r="Q114" s="15"/>
      <c r="R114" s="16"/>
      <c r="S114" s="130"/>
      <c r="T114" s="16"/>
      <c r="U114" s="16"/>
      <c r="V114" s="16"/>
      <c r="W114" s="241"/>
      <c r="X114" s="16"/>
      <c r="Y114" s="16"/>
      <c r="Z114" s="16"/>
      <c r="AA114" s="16"/>
      <c r="AB114" s="16"/>
    </row>
    <row r="115" spans="1:28" ht="15" customHeight="1">
      <c r="A115" s="244" t="s">
        <v>1541</v>
      </c>
      <c r="B115" s="244" t="s">
        <v>528</v>
      </c>
      <c r="C115" s="331" t="s">
        <v>1542</v>
      </c>
      <c r="D115" s="371">
        <v>5</v>
      </c>
      <c r="E115" s="338">
        <v>3</v>
      </c>
      <c r="F115" s="339">
        <v>21</v>
      </c>
      <c r="G115" s="230"/>
      <c r="H115" s="589"/>
      <c r="I115" s="597"/>
      <c r="J115" s="596"/>
      <c r="K115" s="597"/>
      <c r="L115" s="16"/>
      <c r="M115" s="16"/>
      <c r="N115" s="16"/>
      <c r="O115" s="16"/>
      <c r="P115" s="117"/>
      <c r="Q115" s="15"/>
      <c r="R115" s="16"/>
      <c r="S115" s="130"/>
      <c r="T115" s="16"/>
      <c r="U115" s="16"/>
      <c r="V115" s="16"/>
      <c r="W115" s="241"/>
      <c r="X115" s="16"/>
      <c r="Y115" s="16"/>
      <c r="Z115" s="16"/>
      <c r="AA115" s="16"/>
      <c r="AB115" s="16"/>
    </row>
    <row r="116" spans="1:28" ht="15" customHeight="1">
      <c r="A116" s="244" t="s">
        <v>1366</v>
      </c>
      <c r="B116" s="244" t="s">
        <v>528</v>
      </c>
      <c r="C116" s="331" t="s">
        <v>1543</v>
      </c>
      <c r="D116" s="371">
        <v>5</v>
      </c>
      <c r="E116" s="338">
        <v>8</v>
      </c>
      <c r="F116" s="339">
        <v>24</v>
      </c>
      <c r="G116" s="230"/>
      <c r="H116" s="589"/>
      <c r="I116" s="597"/>
      <c r="J116" s="596"/>
      <c r="K116" s="597"/>
      <c r="L116" s="16"/>
      <c r="M116" s="16"/>
      <c r="N116" s="16"/>
      <c r="O116" s="16"/>
      <c r="P116" s="117"/>
      <c r="Q116" s="15"/>
      <c r="R116" s="16"/>
      <c r="S116" s="130"/>
      <c r="T116" s="16"/>
      <c r="U116" s="16"/>
      <c r="V116" s="16"/>
      <c r="W116" s="241"/>
      <c r="X116" s="16"/>
      <c r="Y116" s="16"/>
      <c r="Z116" s="16"/>
      <c r="AA116" s="16"/>
      <c r="AB116" s="16"/>
    </row>
    <row r="117" spans="1:28" ht="15" customHeight="1">
      <c r="A117" s="244" t="s">
        <v>1045</v>
      </c>
      <c r="B117" s="244" t="s">
        <v>528</v>
      </c>
      <c r="C117" s="331" t="s">
        <v>1544</v>
      </c>
      <c r="D117" s="371">
        <v>4</v>
      </c>
      <c r="E117" s="338">
        <v>50</v>
      </c>
      <c r="F117" s="339">
        <v>162.38</v>
      </c>
      <c r="G117" s="230"/>
      <c r="H117" s="589"/>
      <c r="I117" s="597"/>
      <c r="J117" s="596"/>
      <c r="K117" s="597"/>
      <c r="L117" s="16"/>
      <c r="M117" s="16"/>
      <c r="N117" s="16"/>
      <c r="O117" s="16"/>
      <c r="P117" s="117"/>
      <c r="Q117" s="15"/>
      <c r="R117" s="16"/>
      <c r="S117" s="130"/>
      <c r="T117" s="16"/>
      <c r="U117" s="16"/>
      <c r="V117" s="16"/>
      <c r="W117" s="241"/>
      <c r="X117" s="16"/>
      <c r="Y117" s="16"/>
      <c r="Z117" s="16"/>
      <c r="AA117" s="16"/>
      <c r="AB117" s="16"/>
    </row>
    <row r="118" spans="1:28" ht="15" customHeight="1">
      <c r="A118" s="244" t="s">
        <v>1545</v>
      </c>
      <c r="B118" s="244" t="s">
        <v>528</v>
      </c>
      <c r="C118" s="331" t="s">
        <v>1546</v>
      </c>
      <c r="D118" s="371">
        <v>4</v>
      </c>
      <c r="E118" s="338">
        <v>30</v>
      </c>
      <c r="F118" s="339">
        <v>150</v>
      </c>
      <c r="G118" s="230"/>
      <c r="H118" s="589"/>
      <c r="I118" s="597"/>
      <c r="J118" s="596"/>
      <c r="K118" s="597"/>
      <c r="L118" s="16"/>
      <c r="M118" s="16"/>
      <c r="N118" s="16"/>
      <c r="O118" s="16"/>
      <c r="P118" s="117"/>
      <c r="Q118" s="15"/>
      <c r="R118" s="16"/>
      <c r="S118" s="130"/>
      <c r="T118" s="16"/>
      <c r="U118" s="16"/>
      <c r="V118" s="16"/>
      <c r="W118" s="241"/>
      <c r="X118" s="16"/>
      <c r="Y118" s="16"/>
      <c r="Z118" s="16"/>
      <c r="AA118" s="16"/>
      <c r="AB118" s="16"/>
    </row>
    <row r="119" spans="1:28" ht="15" customHeight="1">
      <c r="A119" s="244" t="s">
        <v>1547</v>
      </c>
      <c r="B119" s="244" t="s">
        <v>528</v>
      </c>
      <c r="C119" s="331" t="s">
        <v>1548</v>
      </c>
      <c r="D119" s="371">
        <v>4</v>
      </c>
      <c r="E119" s="338">
        <v>50</v>
      </c>
      <c r="F119" s="339">
        <v>187.38</v>
      </c>
      <c r="G119" s="230"/>
      <c r="H119" s="589"/>
      <c r="I119" s="597"/>
      <c r="J119" s="596"/>
      <c r="K119" s="597"/>
      <c r="L119" s="16"/>
      <c r="M119" s="16"/>
      <c r="N119" s="16"/>
      <c r="O119" s="16"/>
      <c r="P119" s="117"/>
      <c r="Q119" s="15"/>
      <c r="R119" s="16"/>
      <c r="S119" s="130"/>
      <c r="T119" s="16"/>
      <c r="U119" s="16"/>
      <c r="V119" s="16"/>
      <c r="W119" s="241"/>
      <c r="X119" s="16"/>
      <c r="Y119" s="16"/>
      <c r="Z119" s="16"/>
      <c r="AA119" s="16"/>
      <c r="AB119" s="16"/>
    </row>
    <row r="120" spans="1:28" ht="15" customHeight="1">
      <c r="A120" s="244" t="s">
        <v>1549</v>
      </c>
      <c r="B120" s="244" t="s">
        <v>528</v>
      </c>
      <c r="C120" s="331" t="s">
        <v>1550</v>
      </c>
      <c r="D120" s="371">
        <v>4</v>
      </c>
      <c r="E120" s="338">
        <v>1</v>
      </c>
      <c r="F120" s="339">
        <v>105</v>
      </c>
      <c r="G120" s="230"/>
      <c r="H120" s="589"/>
      <c r="I120" s="597"/>
      <c r="J120" s="596"/>
      <c r="K120" s="597"/>
      <c r="L120" s="16"/>
      <c r="M120" s="16"/>
      <c r="N120" s="16"/>
      <c r="O120" s="16"/>
      <c r="P120" s="117"/>
      <c r="Q120" s="15"/>
      <c r="R120" s="16"/>
      <c r="S120" s="130"/>
      <c r="T120" s="16"/>
      <c r="U120" s="16"/>
      <c r="V120" s="16"/>
      <c r="W120" s="241"/>
      <c r="X120" s="16"/>
      <c r="Y120" s="16"/>
      <c r="Z120" s="16"/>
      <c r="AA120" s="16"/>
      <c r="AB120" s="16"/>
    </row>
    <row r="121" spans="1:28" ht="15" customHeight="1">
      <c r="A121" s="244" t="s">
        <v>1551</v>
      </c>
      <c r="B121" s="244" t="s">
        <v>528</v>
      </c>
      <c r="C121" s="331" t="s">
        <v>1552</v>
      </c>
      <c r="D121" s="371">
        <v>4</v>
      </c>
      <c r="E121" s="338">
        <v>1</v>
      </c>
      <c r="F121" s="339">
        <v>8.66</v>
      </c>
      <c r="G121" s="230"/>
      <c r="H121" s="589"/>
      <c r="I121" s="597"/>
      <c r="J121" s="596"/>
      <c r="K121" s="597"/>
      <c r="L121" s="16"/>
      <c r="M121" s="16"/>
      <c r="N121" s="16"/>
      <c r="O121" s="16"/>
      <c r="P121" s="117"/>
      <c r="Q121" s="15"/>
      <c r="R121" s="16"/>
      <c r="S121" s="130"/>
      <c r="T121" s="16"/>
      <c r="U121" s="16"/>
      <c r="V121" s="16"/>
      <c r="W121" s="241"/>
      <c r="X121" s="16"/>
      <c r="Y121" s="16"/>
      <c r="Z121" s="16"/>
      <c r="AA121" s="16"/>
      <c r="AB121" s="16"/>
    </row>
    <row r="122" spans="1:28" ht="15" customHeight="1">
      <c r="A122" s="244" t="s">
        <v>1553</v>
      </c>
      <c r="B122" s="244" t="s">
        <v>528</v>
      </c>
      <c r="C122" s="244" t="s">
        <v>1554</v>
      </c>
      <c r="D122" s="250">
        <v>4</v>
      </c>
      <c r="E122" s="250">
        <v>3</v>
      </c>
      <c r="F122" s="391">
        <v>35.15</v>
      </c>
      <c r="G122" s="230"/>
      <c r="H122" s="589"/>
      <c r="I122" s="597"/>
      <c r="J122" s="596"/>
      <c r="K122" s="597"/>
      <c r="L122" s="16"/>
      <c r="M122" s="16"/>
      <c r="N122" s="16"/>
      <c r="O122" s="16"/>
      <c r="P122" s="117"/>
      <c r="Q122" s="15"/>
      <c r="R122" s="16"/>
      <c r="S122" s="130"/>
      <c r="T122" s="16"/>
      <c r="U122" s="16"/>
      <c r="V122" s="16"/>
      <c r="W122" s="241"/>
      <c r="X122" s="16"/>
      <c r="Y122" s="16"/>
      <c r="Z122" s="16"/>
      <c r="AA122" s="16"/>
      <c r="AB122" s="16"/>
    </row>
    <row r="123" spans="1:28" ht="15" customHeight="1">
      <c r="A123" s="244"/>
      <c r="B123" s="244"/>
      <c r="C123" s="244"/>
      <c r="D123" s="250"/>
      <c r="E123" s="250"/>
      <c r="F123" s="391"/>
      <c r="G123" s="230"/>
      <c r="H123" s="589"/>
      <c r="I123" s="597"/>
      <c r="J123" s="596"/>
      <c r="K123" s="597"/>
      <c r="L123" s="16"/>
      <c r="M123" s="16"/>
      <c r="N123" s="16"/>
      <c r="O123" s="16"/>
      <c r="P123" s="117"/>
      <c r="Q123" s="15"/>
      <c r="R123" s="16"/>
      <c r="S123" s="130"/>
      <c r="T123" s="16"/>
      <c r="U123" s="16"/>
      <c r="V123" s="16"/>
      <c r="W123" s="241"/>
      <c r="X123" s="16"/>
      <c r="Y123" s="16"/>
      <c r="Z123" s="16"/>
      <c r="AA123" s="16"/>
      <c r="AB123" s="16"/>
    </row>
    <row r="124" spans="1:28" ht="15" customHeight="1">
      <c r="A124" s="244" t="s">
        <v>1555</v>
      </c>
      <c r="B124" s="244" t="s">
        <v>528</v>
      </c>
      <c r="C124" s="244" t="s">
        <v>1556</v>
      </c>
      <c r="D124" s="250">
        <v>10</v>
      </c>
      <c r="E124" s="250">
        <v>1</v>
      </c>
      <c r="F124" s="391">
        <v>23.5</v>
      </c>
      <c r="G124" s="230"/>
      <c r="H124" s="589"/>
      <c r="I124" s="597"/>
      <c r="J124" s="596"/>
      <c r="K124" s="597"/>
      <c r="L124" s="16"/>
      <c r="M124" s="16"/>
      <c r="N124" s="16"/>
      <c r="O124" s="16"/>
      <c r="P124" s="117"/>
      <c r="Q124" s="15"/>
      <c r="R124" s="16"/>
      <c r="S124" s="130"/>
      <c r="T124" s="16"/>
      <c r="U124" s="16"/>
      <c r="V124" s="16"/>
      <c r="W124" s="241"/>
      <c r="X124" s="16"/>
      <c r="Y124" s="16"/>
      <c r="Z124" s="16"/>
      <c r="AA124" s="16"/>
      <c r="AB124" s="16"/>
    </row>
    <row r="125" spans="1:28" ht="15" customHeight="1">
      <c r="A125" s="244" t="s">
        <v>1557</v>
      </c>
      <c r="B125" s="244" t="s">
        <v>528</v>
      </c>
      <c r="C125" s="244" t="s">
        <v>1542</v>
      </c>
      <c r="D125" s="250">
        <v>3</v>
      </c>
      <c r="E125" s="250">
        <v>3</v>
      </c>
      <c r="F125" s="391">
        <v>35</v>
      </c>
      <c r="G125" s="230"/>
      <c r="H125" s="589"/>
      <c r="I125" s="597"/>
      <c r="J125" s="596"/>
      <c r="K125" s="597"/>
      <c r="L125" s="16"/>
      <c r="M125" s="16"/>
      <c r="N125" s="16"/>
      <c r="O125" s="16"/>
      <c r="P125" s="117"/>
      <c r="Q125" s="15"/>
      <c r="R125" s="16"/>
      <c r="S125" s="130"/>
      <c r="T125" s="16"/>
      <c r="U125" s="16"/>
      <c r="V125" s="16"/>
      <c r="W125" s="241"/>
      <c r="X125" s="16"/>
      <c r="Y125" s="16"/>
      <c r="Z125" s="16"/>
      <c r="AA125" s="16"/>
      <c r="AB125" s="16"/>
    </row>
    <row r="126" spans="1:28" ht="15" customHeight="1">
      <c r="A126" s="244" t="s">
        <v>1558</v>
      </c>
      <c r="B126" s="244" t="s">
        <v>528</v>
      </c>
      <c r="C126" s="244" t="s">
        <v>1559</v>
      </c>
      <c r="D126" s="250">
        <v>5</v>
      </c>
      <c r="E126" s="250">
        <v>2</v>
      </c>
      <c r="F126" s="391">
        <v>10.3</v>
      </c>
      <c r="G126" s="230"/>
      <c r="H126" s="589"/>
      <c r="I126" s="597"/>
      <c r="J126" s="596"/>
      <c r="K126" s="597"/>
      <c r="L126" s="16"/>
      <c r="M126" s="16"/>
      <c r="N126" s="16"/>
      <c r="O126" s="16"/>
      <c r="P126" s="117"/>
      <c r="Q126" s="15"/>
      <c r="R126" s="16"/>
      <c r="S126" s="130"/>
      <c r="T126" s="16"/>
      <c r="U126" s="16"/>
      <c r="V126" s="16"/>
      <c r="W126" s="241"/>
      <c r="X126" s="16"/>
      <c r="Y126" s="16"/>
      <c r="Z126" s="16"/>
      <c r="AA126" s="16"/>
      <c r="AB126" s="16"/>
    </row>
    <row r="127" spans="1:28" ht="15" customHeight="1">
      <c r="A127" s="244" t="s">
        <v>1560</v>
      </c>
      <c r="B127" s="244" t="s">
        <v>528</v>
      </c>
      <c r="C127" s="244" t="s">
        <v>1561</v>
      </c>
      <c r="D127" s="250">
        <v>5</v>
      </c>
      <c r="E127" s="250">
        <v>2</v>
      </c>
      <c r="F127" s="391">
        <v>15.38</v>
      </c>
      <c r="G127" s="230"/>
      <c r="H127" s="589"/>
      <c r="I127" s="597"/>
      <c r="J127" s="596"/>
      <c r="K127" s="597"/>
      <c r="L127" s="16"/>
      <c r="M127" s="16"/>
      <c r="N127" s="16"/>
      <c r="O127" s="16"/>
      <c r="P127" s="117"/>
      <c r="Q127" s="15"/>
      <c r="R127" s="16"/>
      <c r="S127" s="130"/>
      <c r="T127" s="16"/>
      <c r="U127" s="16"/>
      <c r="V127" s="16"/>
      <c r="W127" s="241"/>
      <c r="X127" s="16"/>
      <c r="Y127" s="16"/>
      <c r="Z127" s="16"/>
      <c r="AA127" s="16"/>
      <c r="AB127" s="16"/>
    </row>
    <row r="128" spans="1:28" ht="15" customHeight="1">
      <c r="A128" s="244" t="s">
        <v>1562</v>
      </c>
      <c r="B128" s="244" t="s">
        <v>528</v>
      </c>
      <c r="C128" s="244" t="s">
        <v>1563</v>
      </c>
      <c r="D128" s="250">
        <v>5</v>
      </c>
      <c r="E128" s="250">
        <v>2</v>
      </c>
      <c r="F128" s="391">
        <v>15.2</v>
      </c>
      <c r="G128" s="230"/>
      <c r="H128" s="589"/>
      <c r="I128" s="597"/>
      <c r="J128" s="596"/>
      <c r="K128" s="597"/>
      <c r="L128" s="16"/>
      <c r="M128" s="16"/>
      <c r="N128" s="16"/>
      <c r="O128" s="16"/>
      <c r="P128" s="117"/>
      <c r="Q128" s="15"/>
      <c r="R128" s="16"/>
      <c r="S128" s="130"/>
      <c r="T128" s="16"/>
      <c r="U128" s="16"/>
      <c r="V128" s="16"/>
      <c r="W128" s="241"/>
      <c r="X128" s="16"/>
      <c r="Y128" s="16"/>
      <c r="Z128" s="16"/>
      <c r="AA128" s="16"/>
      <c r="AB128" s="16"/>
    </row>
    <row r="129" spans="1:28" ht="15" customHeight="1">
      <c r="A129" s="244" t="s">
        <v>1564</v>
      </c>
      <c r="B129" s="244" t="s">
        <v>528</v>
      </c>
      <c r="C129" s="244" t="s">
        <v>1565</v>
      </c>
      <c r="D129" s="250">
        <v>8</v>
      </c>
      <c r="E129" s="250">
        <v>3</v>
      </c>
      <c r="F129" s="391">
        <v>5.98</v>
      </c>
      <c r="G129" s="230"/>
      <c r="H129" s="589"/>
      <c r="I129" s="597"/>
      <c r="J129" s="596"/>
      <c r="K129" s="597"/>
      <c r="L129" s="16"/>
      <c r="M129" s="16"/>
      <c r="N129" s="16"/>
      <c r="O129" s="16"/>
      <c r="P129" s="117"/>
      <c r="Q129" s="15"/>
      <c r="R129" s="16"/>
      <c r="S129" s="130"/>
      <c r="T129" s="16"/>
      <c r="U129" s="16"/>
      <c r="V129" s="16"/>
      <c r="W129" s="241"/>
      <c r="X129" s="16"/>
      <c r="Y129" s="16"/>
      <c r="Z129" s="16"/>
      <c r="AA129" s="16"/>
      <c r="AB129" s="16"/>
    </row>
    <row r="130" spans="1:28" ht="15" customHeight="1">
      <c r="A130" s="244" t="s">
        <v>1566</v>
      </c>
      <c r="B130" s="244" t="s">
        <v>528</v>
      </c>
      <c r="C130" s="244" t="s">
        <v>1567</v>
      </c>
      <c r="D130" s="250">
        <v>5</v>
      </c>
      <c r="E130" s="250">
        <v>3</v>
      </c>
      <c r="F130" s="391">
        <v>19.5</v>
      </c>
      <c r="G130" s="230"/>
      <c r="H130" s="589"/>
      <c r="I130" s="597"/>
      <c r="J130" s="596"/>
      <c r="K130" s="597"/>
      <c r="L130" s="16"/>
      <c r="M130" s="16"/>
      <c r="N130" s="16"/>
      <c r="O130" s="16"/>
      <c r="P130" s="117"/>
      <c r="Q130" s="15"/>
      <c r="R130" s="16"/>
      <c r="S130" s="130"/>
      <c r="T130" s="16"/>
      <c r="U130" s="16"/>
      <c r="V130" s="16"/>
      <c r="W130" s="241"/>
      <c r="X130" s="16"/>
      <c r="Y130" s="16"/>
      <c r="Z130" s="16"/>
      <c r="AA130" s="16"/>
      <c r="AB130" s="16"/>
    </row>
    <row r="131" spans="1:28" ht="15" customHeight="1">
      <c r="A131" s="244" t="s">
        <v>1568</v>
      </c>
      <c r="B131" s="244" t="s">
        <v>528</v>
      </c>
      <c r="C131" s="244" t="s">
        <v>1569</v>
      </c>
      <c r="D131" s="250">
        <v>5</v>
      </c>
      <c r="E131" s="250">
        <v>1</v>
      </c>
      <c r="F131" s="391">
        <v>8</v>
      </c>
      <c r="G131" s="230"/>
      <c r="H131" s="589"/>
      <c r="I131" s="597"/>
      <c r="J131" s="596"/>
      <c r="K131" s="597"/>
      <c r="L131" s="16"/>
      <c r="M131" s="16"/>
      <c r="N131" s="16"/>
      <c r="O131" s="16"/>
      <c r="P131" s="117"/>
      <c r="Q131" s="15"/>
      <c r="R131" s="16"/>
      <c r="S131" s="130"/>
      <c r="T131" s="16"/>
      <c r="U131" s="16"/>
      <c r="V131" s="16"/>
      <c r="W131" s="241"/>
      <c r="X131" s="16"/>
      <c r="Y131" s="16"/>
      <c r="Z131" s="16"/>
      <c r="AA131" s="16"/>
      <c r="AB131" s="16"/>
    </row>
    <row r="132" spans="1:28" ht="15" customHeight="1">
      <c r="A132" s="244" t="s">
        <v>1570</v>
      </c>
      <c r="B132" s="244" t="s">
        <v>528</v>
      </c>
      <c r="C132" s="244" t="s">
        <v>1569</v>
      </c>
      <c r="D132" s="250">
        <v>5</v>
      </c>
      <c r="E132" s="250">
        <v>1</v>
      </c>
      <c r="F132" s="391">
        <v>8</v>
      </c>
      <c r="G132" s="230"/>
      <c r="H132" s="589"/>
      <c r="I132" s="597"/>
      <c r="J132" s="596"/>
      <c r="K132" s="597"/>
      <c r="L132" s="16"/>
      <c r="M132" s="16"/>
      <c r="N132" s="16"/>
      <c r="O132" s="16"/>
      <c r="P132" s="117"/>
      <c r="Q132" s="15"/>
      <c r="R132" s="16"/>
      <c r="S132" s="130"/>
      <c r="T132" s="16"/>
      <c r="U132" s="16"/>
      <c r="V132" s="16"/>
      <c r="W132" s="241"/>
      <c r="X132" s="16"/>
      <c r="Y132" s="16"/>
      <c r="Z132" s="16"/>
      <c r="AA132" s="16"/>
      <c r="AB132" s="16"/>
    </row>
    <row r="133" spans="1:28" ht="15" customHeight="1">
      <c r="A133" s="244" t="s">
        <v>1571</v>
      </c>
      <c r="B133" s="244" t="s">
        <v>528</v>
      </c>
      <c r="C133" s="244" t="s">
        <v>1572</v>
      </c>
      <c r="D133" s="250">
        <v>3</v>
      </c>
      <c r="E133" s="250">
        <v>5</v>
      </c>
      <c r="F133" s="391">
        <v>166.67</v>
      </c>
      <c r="G133" s="230"/>
      <c r="H133" s="589"/>
      <c r="I133" s="597"/>
      <c r="J133" s="596"/>
      <c r="K133" s="597"/>
      <c r="L133" s="16"/>
      <c r="M133" s="16"/>
      <c r="N133" s="16"/>
      <c r="O133" s="16"/>
      <c r="P133" s="117"/>
      <c r="Q133" s="15"/>
      <c r="R133" s="16"/>
      <c r="S133" s="130"/>
      <c r="T133" s="16"/>
      <c r="U133" s="16"/>
      <c r="V133" s="16"/>
      <c r="W133" s="241"/>
      <c r="X133" s="16"/>
      <c r="Y133" s="16"/>
      <c r="Z133" s="16"/>
      <c r="AA133" s="16"/>
      <c r="AB133" s="16"/>
    </row>
    <row r="134" spans="1:28" ht="15" customHeight="1">
      <c r="A134" s="244" t="s">
        <v>1573</v>
      </c>
      <c r="B134" s="244" t="s">
        <v>528</v>
      </c>
      <c r="C134" s="244" t="s">
        <v>1574</v>
      </c>
      <c r="D134" s="250">
        <v>5</v>
      </c>
      <c r="E134" s="250">
        <v>2</v>
      </c>
      <c r="F134" s="391">
        <v>520</v>
      </c>
      <c r="G134" s="230"/>
      <c r="H134" s="589"/>
      <c r="I134" s="597"/>
      <c r="J134" s="596"/>
      <c r="K134" s="597"/>
      <c r="L134" s="16"/>
      <c r="M134" s="16"/>
      <c r="N134" s="16"/>
      <c r="O134" s="16"/>
      <c r="P134" s="117"/>
      <c r="Q134" s="15"/>
      <c r="R134" s="16"/>
      <c r="S134" s="130"/>
      <c r="T134" s="16"/>
      <c r="U134" s="16"/>
      <c r="V134" s="16"/>
      <c r="W134" s="241"/>
      <c r="X134" s="16"/>
      <c r="Y134" s="16"/>
      <c r="Z134" s="16"/>
      <c r="AA134" s="16"/>
      <c r="AB134" s="16"/>
    </row>
    <row r="135" spans="1:28" ht="15" customHeight="1">
      <c r="A135" s="244" t="s">
        <v>1575</v>
      </c>
      <c r="B135" s="244" t="s">
        <v>528</v>
      </c>
      <c r="C135" s="244" t="s">
        <v>1576</v>
      </c>
      <c r="D135" s="250">
        <v>5</v>
      </c>
      <c r="E135" s="250">
        <v>1</v>
      </c>
      <c r="F135" s="391">
        <v>180</v>
      </c>
      <c r="G135" s="230"/>
      <c r="H135" s="589"/>
      <c r="I135" s="597"/>
      <c r="J135" s="596"/>
      <c r="K135" s="597"/>
      <c r="L135" s="16"/>
      <c r="M135" s="16"/>
      <c r="N135" s="16"/>
      <c r="O135" s="16"/>
      <c r="P135" s="117"/>
      <c r="Q135" s="15"/>
      <c r="R135" s="16"/>
      <c r="S135" s="130"/>
      <c r="T135" s="16"/>
      <c r="U135" s="16"/>
      <c r="V135" s="16"/>
      <c r="W135" s="241"/>
      <c r="X135" s="16"/>
      <c r="Y135" s="16"/>
      <c r="Z135" s="16"/>
      <c r="AA135" s="16"/>
      <c r="AB135" s="16"/>
    </row>
    <row r="136" spans="1:28" ht="15" customHeight="1">
      <c r="A136" s="244" t="s">
        <v>1577</v>
      </c>
      <c r="B136" s="244" t="s">
        <v>528</v>
      </c>
      <c r="C136" s="244" t="s">
        <v>1578</v>
      </c>
      <c r="D136" s="250">
        <v>5</v>
      </c>
      <c r="E136" s="250">
        <v>2</v>
      </c>
      <c r="F136" s="391">
        <v>30</v>
      </c>
      <c r="G136" s="230"/>
      <c r="H136" s="589"/>
      <c r="I136" s="597"/>
      <c r="J136" s="596"/>
      <c r="K136" s="597"/>
      <c r="L136" s="16"/>
      <c r="M136" s="16"/>
      <c r="N136" s="16"/>
      <c r="O136" s="16"/>
      <c r="P136" s="117"/>
      <c r="Q136" s="15"/>
      <c r="R136" s="16"/>
      <c r="S136" s="130"/>
      <c r="T136" s="16"/>
      <c r="U136" s="16"/>
      <c r="V136" s="16"/>
      <c r="W136" s="241"/>
      <c r="X136" s="16"/>
      <c r="Y136" s="16"/>
      <c r="Z136" s="16"/>
      <c r="AA136" s="16"/>
      <c r="AB136" s="16"/>
    </row>
    <row r="137" spans="1:28" ht="15" customHeight="1">
      <c r="A137" s="244" t="s">
        <v>1579</v>
      </c>
      <c r="B137" s="244" t="s">
        <v>528</v>
      </c>
      <c r="C137" s="244" t="s">
        <v>1578</v>
      </c>
      <c r="D137" s="250">
        <v>5</v>
      </c>
      <c r="E137" s="250">
        <v>4</v>
      </c>
      <c r="F137" s="391">
        <v>60</v>
      </c>
      <c r="G137" s="230"/>
      <c r="H137" s="589"/>
      <c r="I137" s="597"/>
      <c r="J137" s="596"/>
      <c r="K137" s="597"/>
      <c r="L137" s="16"/>
      <c r="M137" s="16"/>
      <c r="N137" s="16"/>
      <c r="O137" s="16"/>
      <c r="P137" s="117"/>
      <c r="Q137" s="15"/>
      <c r="R137" s="16"/>
      <c r="S137" s="130"/>
      <c r="T137" s="16"/>
      <c r="U137" s="16"/>
      <c r="V137" s="16"/>
      <c r="W137" s="241"/>
      <c r="X137" s="16"/>
      <c r="Y137" s="16"/>
      <c r="Z137" s="16"/>
      <c r="AA137" s="16"/>
      <c r="AB137" s="16"/>
    </row>
    <row r="138" spans="1:28" ht="15" customHeight="1">
      <c r="A138" s="244" t="s">
        <v>1580</v>
      </c>
      <c r="B138" s="244" t="s">
        <v>528</v>
      </c>
      <c r="C138" s="244" t="s">
        <v>1581</v>
      </c>
      <c r="D138" s="250">
        <v>5</v>
      </c>
      <c r="E138" s="250">
        <v>1</v>
      </c>
      <c r="F138" s="391">
        <v>17</v>
      </c>
      <c r="G138" s="230"/>
      <c r="H138" s="589"/>
      <c r="I138" s="597"/>
      <c r="J138" s="596"/>
      <c r="K138" s="597"/>
      <c r="L138" s="16"/>
      <c r="M138" s="16"/>
      <c r="N138" s="16"/>
      <c r="O138" s="16"/>
      <c r="P138" s="117"/>
      <c r="Q138" s="15"/>
      <c r="R138" s="16"/>
      <c r="S138" s="130"/>
      <c r="T138" s="16"/>
      <c r="U138" s="16"/>
      <c r="V138" s="16"/>
      <c r="W138" s="241"/>
      <c r="X138" s="16"/>
      <c r="Y138" s="16"/>
      <c r="Z138" s="16"/>
      <c r="AA138" s="16"/>
      <c r="AB138" s="16"/>
    </row>
    <row r="139" spans="1:28" ht="15" customHeight="1">
      <c r="A139" s="244" t="s">
        <v>1582</v>
      </c>
      <c r="B139" s="244" t="s">
        <v>528</v>
      </c>
      <c r="C139" s="244" t="s">
        <v>1583</v>
      </c>
      <c r="D139" s="250">
        <v>5</v>
      </c>
      <c r="E139" s="250">
        <v>1</v>
      </c>
      <c r="F139" s="391">
        <v>19</v>
      </c>
      <c r="G139" s="230"/>
      <c r="H139" s="589"/>
      <c r="I139" s="597"/>
      <c r="J139" s="596"/>
      <c r="K139" s="597"/>
      <c r="L139" s="16"/>
      <c r="M139" s="16"/>
      <c r="N139" s="16"/>
      <c r="O139" s="16"/>
      <c r="P139" s="117"/>
      <c r="Q139" s="15"/>
      <c r="R139" s="16"/>
      <c r="S139" s="130"/>
      <c r="T139" s="16"/>
      <c r="U139" s="16"/>
      <c r="V139" s="16"/>
      <c r="W139" s="241"/>
      <c r="X139" s="16"/>
      <c r="Y139" s="16"/>
      <c r="Z139" s="16"/>
      <c r="AA139" s="16"/>
      <c r="AB139" s="16"/>
    </row>
    <row r="140" spans="1:28" ht="15" customHeight="1">
      <c r="A140" s="244" t="s">
        <v>1584</v>
      </c>
      <c r="B140" s="244" t="s">
        <v>528</v>
      </c>
      <c r="C140" s="244" t="s">
        <v>1585</v>
      </c>
      <c r="D140" s="250">
        <v>5</v>
      </c>
      <c r="E140" s="250">
        <v>1</v>
      </c>
      <c r="F140" s="391">
        <v>4.2</v>
      </c>
      <c r="G140" s="230"/>
      <c r="H140" s="589"/>
      <c r="I140" s="597"/>
      <c r="J140" s="596"/>
      <c r="K140" s="597"/>
      <c r="L140" s="16"/>
      <c r="M140" s="16"/>
      <c r="N140" s="16"/>
      <c r="O140" s="16"/>
      <c r="P140" s="117"/>
      <c r="Q140" s="15"/>
      <c r="R140" s="16"/>
      <c r="S140" s="130"/>
      <c r="T140" s="16"/>
      <c r="U140" s="16"/>
      <c r="V140" s="16"/>
      <c r="W140" s="241"/>
      <c r="X140" s="16"/>
      <c r="Y140" s="16"/>
      <c r="Z140" s="16"/>
      <c r="AA140" s="16"/>
      <c r="AB140" s="16"/>
    </row>
    <row r="141" spans="1:28" ht="15" customHeight="1">
      <c r="A141" s="244" t="s">
        <v>1586</v>
      </c>
      <c r="B141" s="244" t="s">
        <v>528</v>
      </c>
      <c r="C141" s="244" t="s">
        <v>1587</v>
      </c>
      <c r="D141" s="250">
        <v>5</v>
      </c>
      <c r="E141" s="250">
        <v>1</v>
      </c>
      <c r="F141" s="391">
        <v>40</v>
      </c>
      <c r="G141" s="230"/>
      <c r="H141" s="589"/>
      <c r="I141" s="597"/>
      <c r="J141" s="596"/>
      <c r="K141" s="597"/>
      <c r="L141" s="16"/>
      <c r="M141" s="16"/>
      <c r="N141" s="16"/>
      <c r="O141" s="16"/>
      <c r="P141" s="117"/>
      <c r="Q141" s="15"/>
      <c r="R141" s="16"/>
      <c r="S141" s="130"/>
      <c r="T141" s="16"/>
      <c r="U141" s="16"/>
      <c r="V141" s="16"/>
      <c r="W141" s="241"/>
      <c r="X141" s="16"/>
      <c r="Y141" s="16"/>
      <c r="Z141" s="16"/>
      <c r="AA141" s="16"/>
      <c r="AB141" s="16"/>
    </row>
    <row r="142" spans="1:28" ht="15" customHeight="1">
      <c r="A142" s="244" t="s">
        <v>1588</v>
      </c>
      <c r="B142" s="244" t="s">
        <v>528</v>
      </c>
      <c r="C142" s="244" t="s">
        <v>1589</v>
      </c>
      <c r="D142" s="250">
        <v>5</v>
      </c>
      <c r="E142" s="250">
        <v>1</v>
      </c>
      <c r="F142" s="391">
        <v>300</v>
      </c>
      <c r="G142" s="230"/>
      <c r="H142" s="589"/>
      <c r="I142" s="597"/>
      <c r="J142" s="596"/>
      <c r="K142" s="597"/>
      <c r="L142" s="16"/>
      <c r="M142" s="16"/>
      <c r="N142" s="16"/>
      <c r="O142" s="16"/>
      <c r="P142" s="117"/>
      <c r="Q142" s="15"/>
      <c r="R142" s="16"/>
      <c r="S142" s="130"/>
      <c r="T142" s="16"/>
      <c r="U142" s="16"/>
      <c r="V142" s="16"/>
      <c r="W142" s="241"/>
      <c r="X142" s="16"/>
      <c r="Y142" s="16"/>
      <c r="Z142" s="16"/>
      <c r="AA142" s="16"/>
      <c r="AB142" s="16"/>
    </row>
    <row r="143" spans="1:28" ht="15" customHeight="1">
      <c r="A143" s="244" t="s">
        <v>1590</v>
      </c>
      <c r="B143" s="244" t="s">
        <v>528</v>
      </c>
      <c r="C143" s="244" t="s">
        <v>1591</v>
      </c>
      <c r="D143" s="250">
        <v>5</v>
      </c>
      <c r="E143" s="250">
        <v>1</v>
      </c>
      <c r="F143" s="391">
        <v>363</v>
      </c>
      <c r="G143" s="230"/>
      <c r="H143" s="589"/>
      <c r="I143" s="597"/>
      <c r="J143" s="596"/>
      <c r="K143" s="597"/>
      <c r="L143" s="16"/>
      <c r="M143" s="16"/>
      <c r="N143" s="16"/>
      <c r="O143" s="16"/>
      <c r="P143" s="117"/>
      <c r="Q143" s="15"/>
      <c r="R143" s="16"/>
      <c r="S143" s="130"/>
      <c r="T143" s="16"/>
      <c r="U143" s="16"/>
      <c r="V143" s="16"/>
      <c r="W143" s="241"/>
      <c r="X143" s="16"/>
      <c r="Y143" s="16"/>
      <c r="Z143" s="16"/>
      <c r="AA143" s="16"/>
      <c r="AB143" s="16"/>
    </row>
    <row r="144" spans="1:28" ht="15" customHeight="1">
      <c r="A144" s="244" t="s">
        <v>1592</v>
      </c>
      <c r="B144" s="244" t="s">
        <v>528</v>
      </c>
      <c r="C144" s="244" t="s">
        <v>1593</v>
      </c>
      <c r="D144" s="250">
        <v>5</v>
      </c>
      <c r="E144" s="250">
        <v>1</v>
      </c>
      <c r="F144" s="391">
        <v>500</v>
      </c>
      <c r="G144" s="230"/>
      <c r="H144" s="589"/>
      <c r="I144" s="597"/>
      <c r="J144" s="596"/>
      <c r="K144" s="597"/>
      <c r="L144" s="16"/>
      <c r="M144" s="16"/>
      <c r="N144" s="16"/>
      <c r="O144" s="16"/>
      <c r="P144" s="117"/>
      <c r="Q144" s="15"/>
      <c r="R144" s="16"/>
      <c r="S144" s="130"/>
      <c r="T144" s="16"/>
      <c r="U144" s="16"/>
      <c r="V144" s="16"/>
      <c r="W144" s="241"/>
      <c r="X144" s="16"/>
      <c r="Y144" s="16"/>
      <c r="Z144" s="16"/>
      <c r="AA144" s="16"/>
      <c r="AB144" s="16"/>
    </row>
    <row r="145" spans="1:28" ht="15" customHeight="1">
      <c r="A145" s="244" t="s">
        <v>1594</v>
      </c>
      <c r="B145" s="244" t="s">
        <v>528</v>
      </c>
      <c r="C145" s="244" t="s">
        <v>1546</v>
      </c>
      <c r="D145" s="250">
        <v>4</v>
      </c>
      <c r="E145" s="250">
        <v>5</v>
      </c>
      <c r="F145" s="391">
        <v>25</v>
      </c>
      <c r="G145" s="230"/>
      <c r="H145" s="589"/>
      <c r="I145" s="597"/>
      <c r="J145" s="596"/>
      <c r="K145" s="597"/>
      <c r="L145" s="16"/>
      <c r="M145" s="16"/>
      <c r="N145" s="16"/>
      <c r="O145" s="16"/>
      <c r="P145" s="117"/>
      <c r="Q145" s="15"/>
      <c r="R145" s="16"/>
      <c r="S145" s="130"/>
      <c r="T145" s="16"/>
      <c r="U145" s="16"/>
      <c r="V145" s="16"/>
      <c r="W145" s="241"/>
      <c r="X145" s="16"/>
      <c r="Y145" s="16"/>
      <c r="Z145" s="16"/>
      <c r="AA145" s="16"/>
      <c r="AB145" s="16"/>
    </row>
    <row r="146" spans="1:28" ht="15" customHeight="1">
      <c r="A146" s="244" t="s">
        <v>1595</v>
      </c>
      <c r="B146" s="244" t="s">
        <v>528</v>
      </c>
      <c r="C146" s="244" t="s">
        <v>1569</v>
      </c>
      <c r="D146" s="250">
        <v>4</v>
      </c>
      <c r="E146" s="250">
        <v>5</v>
      </c>
      <c r="F146" s="391">
        <v>50</v>
      </c>
      <c r="G146" s="230"/>
      <c r="H146" s="589"/>
      <c r="I146" s="597"/>
      <c r="J146" s="596"/>
      <c r="K146" s="597"/>
      <c r="L146" s="16"/>
      <c r="M146" s="16"/>
      <c r="N146" s="16"/>
      <c r="O146" s="16"/>
      <c r="P146" s="117"/>
      <c r="Q146" s="15"/>
      <c r="R146" s="16"/>
      <c r="S146" s="130"/>
      <c r="T146" s="16"/>
      <c r="U146" s="16"/>
      <c r="V146" s="16"/>
      <c r="W146" s="241"/>
      <c r="X146" s="16"/>
      <c r="Y146" s="16"/>
      <c r="Z146" s="16"/>
      <c r="AA146" s="16"/>
      <c r="AB146" s="16"/>
    </row>
    <row r="147" spans="1:28" ht="15" customHeight="1">
      <c r="A147" s="244" t="s">
        <v>1596</v>
      </c>
      <c r="B147" s="244" t="s">
        <v>525</v>
      </c>
      <c r="C147" s="244" t="s">
        <v>1597</v>
      </c>
      <c r="D147" s="250">
        <v>1</v>
      </c>
      <c r="E147" s="250">
        <v>1</v>
      </c>
      <c r="F147" s="391">
        <v>300</v>
      </c>
      <c r="G147" s="230"/>
      <c r="H147" s="589"/>
      <c r="I147" s="597"/>
      <c r="J147" s="596"/>
      <c r="K147" s="597"/>
      <c r="L147" s="16"/>
      <c r="M147" s="16"/>
      <c r="N147" s="16"/>
      <c r="O147" s="16"/>
      <c r="P147" s="117"/>
      <c r="Q147" s="15"/>
      <c r="R147" s="16"/>
      <c r="S147" s="130"/>
      <c r="T147" s="16"/>
      <c r="U147" s="16"/>
      <c r="V147" s="16"/>
      <c r="W147" s="241"/>
      <c r="X147" s="16"/>
      <c r="Y147" s="16"/>
      <c r="Z147" s="16"/>
      <c r="AA147" s="16"/>
      <c r="AB147" s="16"/>
    </row>
    <row r="148" spans="1:28" ht="15" customHeight="1">
      <c r="A148" s="244" t="s">
        <v>1598</v>
      </c>
      <c r="B148" s="244" t="s">
        <v>525</v>
      </c>
      <c r="C148" s="244" t="s">
        <v>1587</v>
      </c>
      <c r="D148" s="250">
        <v>1</v>
      </c>
      <c r="E148" s="250">
        <v>1</v>
      </c>
      <c r="F148" s="391">
        <v>200</v>
      </c>
      <c r="G148" s="230"/>
      <c r="H148" s="589"/>
      <c r="I148" s="597"/>
      <c r="J148" s="596"/>
      <c r="K148" s="597"/>
      <c r="L148" s="16"/>
      <c r="M148" s="16"/>
      <c r="N148" s="16"/>
      <c r="O148" s="16"/>
      <c r="P148" s="117"/>
      <c r="Q148" s="15"/>
      <c r="R148" s="16"/>
      <c r="S148" s="130"/>
      <c r="T148" s="16"/>
      <c r="U148" s="16"/>
      <c r="V148" s="16"/>
      <c r="W148" s="241"/>
      <c r="X148" s="16"/>
      <c r="Y148" s="16"/>
      <c r="Z148" s="16"/>
      <c r="AA148" s="16"/>
      <c r="AB148" s="16"/>
    </row>
    <row r="149" spans="1:28" ht="15" customHeight="1">
      <c r="A149" s="244" t="s">
        <v>1599</v>
      </c>
      <c r="B149" s="244" t="s">
        <v>525</v>
      </c>
      <c r="C149" s="244" t="s">
        <v>1597</v>
      </c>
      <c r="D149" s="250">
        <v>1</v>
      </c>
      <c r="E149" s="250">
        <v>1</v>
      </c>
      <c r="F149" s="391">
        <v>300</v>
      </c>
      <c r="G149" s="230"/>
      <c r="H149" s="589"/>
      <c r="I149" s="597"/>
      <c r="J149" s="596"/>
      <c r="K149" s="597"/>
      <c r="L149" s="16"/>
      <c r="M149" s="16"/>
      <c r="N149" s="16"/>
      <c r="O149" s="16"/>
      <c r="P149" s="117"/>
      <c r="Q149" s="15"/>
      <c r="R149" s="16"/>
      <c r="S149" s="130"/>
      <c r="T149" s="16"/>
      <c r="U149" s="16"/>
      <c r="V149" s="16"/>
      <c r="W149" s="241"/>
      <c r="X149" s="16"/>
      <c r="Y149" s="16"/>
      <c r="Z149" s="16"/>
      <c r="AA149" s="16"/>
      <c r="AB149" s="16"/>
    </row>
    <row r="150" spans="1:28" ht="15" customHeight="1" thickBot="1">
      <c r="A150" s="230"/>
      <c r="B150" s="230"/>
      <c r="C150" s="230"/>
      <c r="D150" s="230"/>
      <c r="E150" s="230"/>
      <c r="F150" s="230"/>
      <c r="G150" s="230"/>
      <c r="H150" s="607"/>
      <c r="I150" s="599"/>
      <c r="J150" s="598"/>
      <c r="K150" s="599"/>
      <c r="L150" s="16"/>
      <c r="M150" s="16"/>
      <c r="N150" s="16"/>
      <c r="O150" s="16"/>
      <c r="P150" s="117"/>
      <c r="Q150" s="15"/>
      <c r="R150" s="16"/>
      <c r="S150" s="130"/>
      <c r="T150" s="16"/>
      <c r="U150" s="16"/>
      <c r="V150" s="16"/>
      <c r="W150" s="241"/>
      <c r="X150" s="16"/>
      <c r="Y150" s="16"/>
      <c r="Z150" s="16"/>
      <c r="AA150" s="16"/>
      <c r="AB150" s="16"/>
    </row>
    <row r="151" spans="1:28" ht="15" customHeight="1" thickTop="1">
      <c r="A151" s="15"/>
      <c r="B151" s="15"/>
      <c r="C151" s="15"/>
      <c r="D151" s="15"/>
      <c r="E151" s="15"/>
      <c r="F151" s="15"/>
      <c r="G151" s="15"/>
      <c r="H151" s="230"/>
      <c r="I151" s="228"/>
      <c r="J151" s="230"/>
      <c r="K151" s="228"/>
      <c r="L151" s="231"/>
      <c r="M151" s="16"/>
      <c r="N151" s="16"/>
      <c r="O151" s="16"/>
      <c r="P151" s="117"/>
      <c r="Q151" s="15"/>
      <c r="R151" s="16"/>
      <c r="S151" s="130"/>
      <c r="T151" s="16"/>
      <c r="U151" s="16"/>
      <c r="V151" s="16"/>
      <c r="W151" s="241"/>
      <c r="X151" s="16"/>
      <c r="Y151" s="16"/>
      <c r="Z151" s="16"/>
      <c r="AA151" s="16"/>
      <c r="AB151" s="16"/>
    </row>
    <row r="152" spans="1:28" ht="15" customHeight="1">
      <c r="A152" s="15"/>
      <c r="B152" s="15"/>
      <c r="C152" s="15"/>
      <c r="D152" s="15"/>
      <c r="E152" s="15"/>
      <c r="F152" s="15"/>
      <c r="G152" s="15"/>
      <c r="H152" s="230"/>
      <c r="I152" s="228"/>
      <c r="J152" s="230"/>
      <c r="K152" s="228"/>
      <c r="L152" s="16"/>
      <c r="M152" s="16"/>
      <c r="N152" s="16"/>
      <c r="O152" s="16"/>
      <c r="P152" s="117"/>
      <c r="Q152" s="15"/>
      <c r="R152" s="16"/>
      <c r="S152" s="130"/>
      <c r="T152" s="16"/>
      <c r="U152" s="16"/>
      <c r="V152" s="16"/>
      <c r="W152" s="241"/>
      <c r="X152" s="16"/>
      <c r="Y152" s="16"/>
      <c r="Z152" s="16"/>
      <c r="AA152" s="16"/>
      <c r="AB152" s="16"/>
    </row>
    <row r="153" spans="1:28" ht="15" customHeight="1">
      <c r="A153" s="15"/>
      <c r="B153" s="15"/>
      <c r="C153" s="15"/>
      <c r="D153" s="15"/>
      <c r="E153" s="15"/>
      <c r="F153" s="15"/>
      <c r="G153" s="15"/>
      <c r="H153" s="230"/>
      <c r="I153" s="228"/>
      <c r="J153" s="230"/>
      <c r="K153" s="228"/>
      <c r="L153" s="16"/>
      <c r="M153" s="16"/>
      <c r="N153" s="16"/>
      <c r="O153" s="16"/>
      <c r="P153" s="117"/>
      <c r="Q153" s="15"/>
      <c r="R153" s="16"/>
      <c r="S153" s="130"/>
      <c r="T153" s="16"/>
      <c r="U153" s="16"/>
      <c r="V153" s="16"/>
      <c r="W153" s="241"/>
      <c r="X153" s="16"/>
      <c r="Y153" s="16"/>
      <c r="Z153" s="16"/>
      <c r="AA153" s="16"/>
      <c r="AB153" s="16"/>
    </row>
    <row r="154" spans="1:28" ht="15" customHeight="1">
      <c r="A154" s="15"/>
      <c r="B154" s="15"/>
      <c r="C154" s="15"/>
      <c r="D154" s="15"/>
      <c r="E154" s="15"/>
      <c r="F154" s="15"/>
      <c r="G154" s="15"/>
      <c r="H154" s="230"/>
      <c r="I154" s="228"/>
      <c r="J154" s="230"/>
      <c r="K154" s="228"/>
      <c r="L154" s="16"/>
      <c r="M154" s="16"/>
      <c r="N154" s="16"/>
      <c r="O154" s="16"/>
      <c r="P154" s="117"/>
      <c r="Q154" s="15"/>
      <c r="R154" s="16"/>
      <c r="S154" s="130"/>
      <c r="T154" s="16"/>
      <c r="U154" s="16"/>
      <c r="V154" s="16"/>
      <c r="W154" s="241"/>
      <c r="X154" s="16"/>
      <c r="Y154" s="16"/>
      <c r="Z154" s="16"/>
      <c r="AA154" s="16"/>
      <c r="AB154" s="16"/>
    </row>
    <row r="155" spans="1:28" ht="15" customHeight="1">
      <c r="A155" s="15"/>
      <c r="B155" s="15"/>
      <c r="C155" s="15"/>
      <c r="D155" s="15"/>
      <c r="E155" s="15"/>
      <c r="F155" s="15"/>
      <c r="G155" s="15"/>
      <c r="H155" s="230"/>
      <c r="I155" s="228"/>
      <c r="J155" s="230"/>
      <c r="K155" s="228"/>
      <c r="L155" s="16"/>
      <c r="M155" s="16"/>
      <c r="N155" s="16"/>
      <c r="O155" s="16"/>
      <c r="P155" s="117"/>
      <c r="Q155" s="15"/>
      <c r="R155" s="16"/>
      <c r="S155" s="130"/>
      <c r="T155" s="16"/>
      <c r="U155" s="16"/>
      <c r="V155" s="16"/>
      <c r="W155" s="241"/>
      <c r="X155" s="16"/>
      <c r="Y155" s="16"/>
      <c r="Z155" s="16"/>
      <c r="AA155" s="16"/>
      <c r="AB155" s="16"/>
    </row>
    <row r="156" spans="1:28" ht="15" customHeight="1">
      <c r="A156" s="15"/>
      <c r="B156" s="15"/>
      <c r="C156" s="15"/>
      <c r="D156" s="15"/>
      <c r="E156" s="15"/>
      <c r="F156" s="15"/>
      <c r="G156" s="15"/>
      <c r="H156" s="230"/>
      <c r="I156" s="228"/>
      <c r="J156" s="230"/>
      <c r="K156" s="228"/>
      <c r="L156" s="16"/>
      <c r="M156" s="16"/>
      <c r="N156" s="16"/>
      <c r="O156" s="16"/>
      <c r="P156" s="117"/>
      <c r="Q156" s="15"/>
      <c r="R156" s="16"/>
      <c r="S156" s="130"/>
      <c r="T156" s="16"/>
      <c r="U156" s="16"/>
      <c r="V156" s="16"/>
      <c r="W156" s="241"/>
      <c r="X156" s="16"/>
      <c r="Y156" s="16"/>
      <c r="Z156" s="16"/>
      <c r="AA156" s="16"/>
      <c r="AB156" s="16"/>
    </row>
    <row r="157" spans="1:28" ht="15" customHeight="1">
      <c r="A157" s="15"/>
      <c r="B157" s="15"/>
      <c r="C157" s="15"/>
      <c r="D157" s="15"/>
      <c r="E157" s="15"/>
      <c r="F157" s="15"/>
      <c r="G157" s="15"/>
      <c r="H157" s="230"/>
      <c r="I157" s="228"/>
      <c r="J157" s="230"/>
      <c r="K157" s="228"/>
      <c r="L157" s="16"/>
      <c r="M157" s="16"/>
      <c r="N157" s="16"/>
      <c r="O157" s="16"/>
      <c r="P157" s="117"/>
      <c r="Q157" s="15"/>
      <c r="R157" s="16"/>
      <c r="S157" s="130"/>
      <c r="T157" s="16"/>
      <c r="U157" s="16"/>
      <c r="V157" s="16"/>
      <c r="W157" s="241"/>
      <c r="X157" s="16"/>
      <c r="Y157" s="16"/>
      <c r="Z157" s="16"/>
      <c r="AA157" s="16"/>
      <c r="AB157" s="16"/>
    </row>
    <row r="158" spans="1:28" ht="15" customHeight="1">
      <c r="A158" s="15"/>
      <c r="B158" s="15"/>
      <c r="C158" s="15"/>
      <c r="D158" s="15"/>
      <c r="E158" s="15"/>
      <c r="F158" s="15"/>
      <c r="G158" s="15"/>
      <c r="H158" s="230"/>
      <c r="I158" s="228"/>
      <c r="J158" s="230"/>
      <c r="K158" s="228"/>
      <c r="L158" s="16"/>
      <c r="M158" s="16"/>
      <c r="N158" s="16"/>
      <c r="O158" s="16"/>
      <c r="P158" s="117"/>
      <c r="Q158" s="15"/>
      <c r="R158" s="16"/>
      <c r="S158" s="130"/>
      <c r="T158" s="16"/>
      <c r="U158" s="16"/>
      <c r="V158" s="16"/>
      <c r="W158" s="241"/>
      <c r="X158" s="16"/>
      <c r="Y158" s="16"/>
      <c r="Z158" s="16"/>
      <c r="AA158" s="16"/>
      <c r="AB158" s="16"/>
    </row>
    <row r="159" spans="1:28" ht="15" customHeight="1">
      <c r="A159" s="15"/>
      <c r="B159" s="15"/>
      <c r="C159" s="15"/>
      <c r="D159" s="15"/>
      <c r="E159" s="15"/>
      <c r="F159" s="15"/>
      <c r="G159" s="15"/>
      <c r="H159" s="230"/>
      <c r="I159" s="228"/>
      <c r="J159" s="230"/>
      <c r="K159" s="228"/>
      <c r="L159" s="16"/>
      <c r="M159" s="16"/>
      <c r="N159" s="16"/>
      <c r="O159" s="16"/>
      <c r="P159" s="117"/>
      <c r="Q159" s="15"/>
      <c r="R159" s="16"/>
      <c r="S159" s="130"/>
      <c r="T159" s="16"/>
      <c r="U159" s="16"/>
      <c r="V159" s="16"/>
      <c r="W159" s="241"/>
      <c r="X159" s="16"/>
      <c r="Y159" s="16"/>
      <c r="Z159" s="16"/>
      <c r="AA159" s="16"/>
      <c r="AB159" s="16"/>
    </row>
    <row r="160" spans="1:28" ht="15" customHeight="1">
      <c r="A160" s="15"/>
      <c r="B160" s="15"/>
      <c r="C160" s="15"/>
      <c r="D160" s="15"/>
      <c r="E160" s="15"/>
      <c r="F160" s="15"/>
      <c r="G160" s="15"/>
      <c r="H160" s="230"/>
      <c r="I160" s="228"/>
      <c r="J160" s="230"/>
      <c r="K160" s="228"/>
      <c r="L160" s="16"/>
      <c r="M160" s="16"/>
      <c r="N160" s="16"/>
      <c r="O160" s="16"/>
      <c r="P160" s="117"/>
      <c r="Q160" s="15"/>
      <c r="R160" s="16"/>
      <c r="S160" s="130"/>
      <c r="T160" s="16"/>
      <c r="U160" s="16"/>
      <c r="V160" s="16"/>
      <c r="W160" s="241"/>
      <c r="X160" s="16"/>
      <c r="Y160" s="16"/>
      <c r="Z160" s="16"/>
      <c r="AA160" s="16"/>
      <c r="AB160" s="16"/>
    </row>
    <row r="161" spans="1:28" ht="15" customHeight="1">
      <c r="A161" s="15"/>
      <c r="B161" s="15"/>
      <c r="C161" s="15"/>
      <c r="D161" s="15"/>
      <c r="E161" s="15"/>
      <c r="F161" s="15"/>
      <c r="G161" s="15"/>
      <c r="H161" s="230"/>
      <c r="I161" s="228"/>
      <c r="J161" s="230"/>
      <c r="K161" s="228"/>
      <c r="L161" s="16"/>
      <c r="M161" s="16"/>
      <c r="N161" s="16"/>
      <c r="O161" s="16"/>
      <c r="P161" s="117"/>
      <c r="Q161" s="15"/>
      <c r="R161" s="16"/>
      <c r="S161" s="130"/>
      <c r="T161" s="16"/>
      <c r="U161" s="16"/>
      <c r="V161" s="16"/>
      <c r="W161" s="241"/>
      <c r="X161" s="16"/>
      <c r="Y161" s="16"/>
      <c r="Z161" s="16"/>
      <c r="AA161" s="16"/>
      <c r="AB161" s="16"/>
    </row>
    <row r="162" spans="1:28" ht="15" customHeight="1">
      <c r="A162" s="15"/>
      <c r="B162" s="15"/>
      <c r="C162" s="15"/>
      <c r="D162" s="15"/>
      <c r="E162" s="15"/>
      <c r="F162" s="15"/>
      <c r="G162" s="15"/>
      <c r="H162" s="230"/>
      <c r="I162" s="228"/>
      <c r="J162" s="230"/>
      <c r="K162" s="228"/>
      <c r="L162" s="16"/>
      <c r="M162" s="16"/>
      <c r="N162" s="16"/>
      <c r="O162" s="16"/>
      <c r="P162" s="117"/>
      <c r="Q162" s="15"/>
      <c r="R162" s="16"/>
      <c r="S162" s="130"/>
      <c r="T162" s="16"/>
      <c r="U162" s="16"/>
      <c r="V162" s="16"/>
      <c r="W162" s="241"/>
      <c r="X162" s="16"/>
      <c r="Y162" s="16"/>
      <c r="Z162" s="16"/>
      <c r="AA162" s="16"/>
      <c r="AB162" s="16"/>
    </row>
    <row r="163" spans="1:28" ht="15" customHeight="1">
      <c r="A163" s="15"/>
      <c r="B163" s="15"/>
      <c r="C163" s="15"/>
      <c r="D163" s="15"/>
      <c r="E163" s="15"/>
      <c r="F163" s="15"/>
      <c r="G163" s="15"/>
      <c r="H163" s="230"/>
      <c r="I163" s="228"/>
      <c r="J163" s="230"/>
      <c r="K163" s="228"/>
      <c r="L163" s="16"/>
      <c r="M163" s="16"/>
      <c r="N163" s="16"/>
      <c r="O163" s="16"/>
      <c r="P163" s="117"/>
      <c r="Q163" s="15"/>
      <c r="R163" s="16"/>
      <c r="S163" s="130"/>
      <c r="T163" s="16"/>
      <c r="U163" s="16"/>
      <c r="V163" s="16"/>
      <c r="W163" s="241"/>
      <c r="X163" s="16"/>
      <c r="Y163" s="16"/>
      <c r="Z163" s="16"/>
      <c r="AA163" s="16"/>
      <c r="AB163" s="16"/>
    </row>
    <row r="164" spans="1:28" ht="15" customHeight="1">
      <c r="A164" s="16"/>
      <c r="C164" s="134"/>
      <c r="D164" s="127"/>
      <c r="E164" s="105"/>
      <c r="F164" s="134"/>
      <c r="G164" s="127"/>
      <c r="H164" s="133"/>
      <c r="J164" s="317"/>
      <c r="K164" s="228"/>
      <c r="L164" s="16"/>
      <c r="M164" s="16"/>
      <c r="N164" s="16"/>
      <c r="O164" s="16"/>
      <c r="P164" s="117"/>
      <c r="Q164" s="15"/>
      <c r="R164" s="16"/>
      <c r="S164" s="130"/>
      <c r="T164" s="16"/>
      <c r="U164" s="16"/>
      <c r="V164" s="16"/>
      <c r="W164" s="241"/>
      <c r="X164" s="16"/>
      <c r="Y164" s="16"/>
      <c r="Z164" s="16"/>
      <c r="AA164" s="16"/>
      <c r="AB164" s="16"/>
    </row>
    <row r="165" spans="1:28" ht="14.25" customHeight="1">
      <c r="A165" s="16"/>
      <c r="C165" s="134"/>
      <c r="D165" s="127"/>
      <c r="E165" s="105"/>
      <c r="F165" s="134"/>
      <c r="G165" s="127"/>
      <c r="J165" s="228"/>
      <c r="K165" s="228"/>
      <c r="L165" s="16"/>
      <c r="M165" s="16"/>
      <c r="N165" s="16"/>
      <c r="O165" s="16"/>
      <c r="P165" s="16"/>
      <c r="Q165" s="133"/>
      <c r="R165" s="16"/>
      <c r="S165" s="16"/>
      <c r="T165" s="16"/>
      <c r="U165" s="16"/>
      <c r="V165" s="16"/>
      <c r="W165" s="16"/>
      <c r="X165" s="16"/>
      <c r="Y165" s="16"/>
      <c r="Z165" s="16"/>
      <c r="AA165" s="16"/>
      <c r="AB165" s="16"/>
    </row>
    <row r="166" spans="1:28" ht="15.75" customHeight="1">
      <c r="A166" s="16"/>
      <c r="C166" s="134"/>
      <c r="D166" s="127"/>
      <c r="E166" s="105"/>
      <c r="F166" s="134"/>
      <c r="G166" s="127"/>
      <c r="J166" s="228"/>
      <c r="K166" s="228"/>
      <c r="L166" s="16"/>
      <c r="M166" s="16"/>
      <c r="N166" s="16"/>
      <c r="O166" s="16"/>
      <c r="P166" s="16"/>
      <c r="Q166" s="16"/>
      <c r="R166" s="16"/>
      <c r="S166" s="16"/>
      <c r="T166" s="16"/>
      <c r="U166" s="16"/>
      <c r="V166" s="16"/>
      <c r="W166" s="16"/>
      <c r="X166" s="16"/>
      <c r="Y166" s="16"/>
      <c r="Z166" s="16"/>
      <c r="AA166" s="16"/>
      <c r="AB166" s="16"/>
    </row>
    <row r="167" spans="1:28" ht="15.75" customHeight="1">
      <c r="A167" s="16"/>
      <c r="C167" s="134"/>
      <c r="D167" s="127"/>
      <c r="E167" s="105"/>
      <c r="F167" s="134"/>
      <c r="G167" s="127"/>
      <c r="J167" s="228"/>
      <c r="K167" s="228"/>
      <c r="L167" s="16"/>
      <c r="M167" s="16"/>
      <c r="N167" s="16"/>
      <c r="O167" s="16"/>
      <c r="P167" s="16"/>
      <c r="Q167" s="16"/>
      <c r="R167" s="16"/>
      <c r="S167" s="16"/>
      <c r="T167" s="16"/>
      <c r="U167" s="16"/>
      <c r="V167" s="16"/>
      <c r="W167" s="16"/>
      <c r="X167" s="16"/>
      <c r="Y167" s="16"/>
      <c r="Z167" s="16"/>
      <c r="AA167" s="16"/>
      <c r="AB167" s="16"/>
    </row>
    <row r="168" spans="1:28" ht="15.75" customHeight="1">
      <c r="A168" s="16"/>
      <c r="C168" s="134"/>
      <c r="D168" s="127"/>
      <c r="E168" s="105"/>
      <c r="F168" s="134"/>
      <c r="G168" s="127"/>
      <c r="J168" s="228"/>
      <c r="K168" s="228"/>
      <c r="L168" s="16"/>
      <c r="M168" s="16"/>
      <c r="N168" s="16"/>
      <c r="O168" s="16"/>
      <c r="P168" s="16"/>
      <c r="Q168" s="16"/>
      <c r="R168" s="16"/>
      <c r="S168" s="16"/>
      <c r="T168" s="16"/>
      <c r="U168" s="16"/>
      <c r="V168" s="16"/>
      <c r="W168" s="16"/>
      <c r="X168" s="16"/>
      <c r="Y168" s="16"/>
      <c r="Z168" s="16"/>
      <c r="AA168" s="16"/>
      <c r="AB168" s="16"/>
    </row>
    <row r="169" spans="1:28" ht="15.75" customHeight="1">
      <c r="A169" s="16"/>
      <c r="C169" s="134"/>
      <c r="D169" s="127"/>
      <c r="E169" s="105"/>
      <c r="F169" s="134"/>
      <c r="G169" s="127"/>
      <c r="J169" s="228"/>
      <c r="K169" s="228"/>
      <c r="L169" s="16"/>
      <c r="M169" s="16"/>
      <c r="N169" s="16"/>
      <c r="O169" s="16"/>
      <c r="P169" s="16"/>
      <c r="Q169" s="16"/>
      <c r="R169" s="16"/>
      <c r="S169" s="16"/>
      <c r="T169" s="16"/>
      <c r="U169" s="16"/>
      <c r="V169" s="16"/>
      <c r="W169" s="16"/>
      <c r="X169" s="16"/>
      <c r="Y169" s="16"/>
      <c r="Z169" s="16"/>
      <c r="AA169" s="16"/>
      <c r="AB169" s="16"/>
    </row>
    <row r="170" spans="1:28" ht="15.75" customHeight="1">
      <c r="A170" s="16"/>
      <c r="B170" s="131"/>
      <c r="C170" s="134"/>
      <c r="D170" s="127"/>
      <c r="E170" s="105"/>
      <c r="F170" s="134"/>
      <c r="G170" s="127"/>
      <c r="J170" s="228"/>
      <c r="K170" s="228"/>
      <c r="L170" s="16"/>
      <c r="M170" s="16"/>
      <c r="N170" s="16"/>
      <c r="O170" s="16"/>
      <c r="P170" s="16"/>
      <c r="Q170" s="16"/>
      <c r="R170" s="16"/>
      <c r="S170" s="16"/>
      <c r="T170" s="16"/>
      <c r="U170" s="16"/>
      <c r="V170" s="16"/>
      <c r="W170" s="16"/>
      <c r="X170" s="16"/>
      <c r="Y170" s="16"/>
      <c r="Z170" s="16"/>
      <c r="AA170" s="16"/>
      <c r="AB170" s="16"/>
    </row>
    <row r="171" spans="1:28" ht="15.75" customHeight="1">
      <c r="A171" s="16"/>
      <c r="B171" s="131"/>
      <c r="C171" s="134"/>
      <c r="D171" s="127"/>
      <c r="E171" s="105"/>
      <c r="F171" s="134"/>
      <c r="G171" s="127"/>
      <c r="J171" s="228"/>
      <c r="K171" s="228"/>
      <c r="L171" s="16"/>
      <c r="M171" s="16"/>
      <c r="N171" s="16"/>
      <c r="O171" s="16"/>
      <c r="P171" s="16"/>
      <c r="Q171" s="16"/>
      <c r="R171" s="16"/>
      <c r="S171" s="16"/>
      <c r="T171" s="16"/>
      <c r="U171" s="16"/>
      <c r="V171" s="16"/>
      <c r="W171" s="16"/>
      <c r="X171" s="16"/>
      <c r="Y171" s="16"/>
      <c r="Z171" s="16"/>
      <c r="AA171" s="16"/>
      <c r="AB171" s="16"/>
    </row>
    <row r="172" spans="1:28" ht="15.75" customHeight="1">
      <c r="A172" s="16"/>
      <c r="B172" s="131"/>
      <c r="C172" s="134"/>
      <c r="D172" s="127"/>
      <c r="E172" s="105"/>
      <c r="F172" s="134"/>
      <c r="G172" s="127"/>
      <c r="J172" s="228"/>
      <c r="K172" s="228"/>
      <c r="L172" s="16"/>
      <c r="M172" s="16"/>
      <c r="N172" s="16"/>
      <c r="O172" s="16"/>
      <c r="P172" s="16"/>
      <c r="Q172" s="16"/>
      <c r="R172" s="16"/>
      <c r="S172" s="16"/>
      <c r="T172" s="16"/>
      <c r="U172" s="16"/>
      <c r="V172" s="16"/>
      <c r="W172" s="16"/>
      <c r="X172" s="16"/>
      <c r="Y172" s="16"/>
      <c r="Z172" s="16"/>
      <c r="AA172" s="16"/>
      <c r="AB172" s="16"/>
    </row>
    <row r="173" spans="1:28" ht="15.75" customHeight="1">
      <c r="A173" s="16"/>
      <c r="B173" s="131"/>
      <c r="C173" s="134"/>
      <c r="D173" s="127"/>
      <c r="E173" s="105"/>
      <c r="F173" s="134"/>
      <c r="G173" s="127"/>
      <c r="J173" s="228"/>
      <c r="K173" s="228"/>
      <c r="L173" s="16"/>
      <c r="M173" s="16"/>
      <c r="N173" s="16"/>
      <c r="O173" s="16"/>
      <c r="P173" s="16"/>
      <c r="Q173" s="16"/>
      <c r="R173" s="16"/>
      <c r="S173" s="16"/>
      <c r="T173" s="16"/>
      <c r="U173" s="16"/>
      <c r="V173" s="16"/>
      <c r="W173" s="16"/>
      <c r="X173" s="16"/>
      <c r="Y173" s="16"/>
      <c r="Z173" s="16"/>
      <c r="AA173" s="16"/>
      <c r="AB173" s="16"/>
    </row>
    <row r="174" spans="1:28" ht="15.75" customHeight="1">
      <c r="A174" s="16"/>
      <c r="B174" s="131"/>
      <c r="C174" s="134"/>
      <c r="D174" s="127"/>
      <c r="E174" s="105"/>
      <c r="F174" s="134"/>
      <c r="G174" s="127"/>
      <c r="J174" s="228"/>
      <c r="K174" s="228"/>
      <c r="L174" s="16"/>
      <c r="M174" s="16"/>
      <c r="N174" s="16"/>
      <c r="O174" s="16"/>
      <c r="P174" s="16"/>
      <c r="Q174" s="16"/>
      <c r="R174" s="16"/>
      <c r="S174" s="16"/>
      <c r="T174" s="16"/>
      <c r="U174" s="16"/>
      <c r="V174" s="16"/>
      <c r="W174" s="16"/>
      <c r="X174" s="16"/>
      <c r="Y174" s="16"/>
      <c r="Z174" s="16"/>
      <c r="AA174" s="16"/>
      <c r="AB174" s="16"/>
    </row>
    <row r="175" spans="1:28" ht="15.75" customHeight="1">
      <c r="A175" s="16"/>
      <c r="B175" s="131"/>
      <c r="C175" s="134"/>
      <c r="D175" s="127"/>
      <c r="E175" s="105"/>
      <c r="F175" s="134"/>
      <c r="G175" s="127"/>
      <c r="J175" s="228"/>
      <c r="K175" s="228"/>
      <c r="L175" s="16"/>
      <c r="M175" s="16"/>
      <c r="N175" s="16"/>
      <c r="O175" s="16"/>
      <c r="P175" s="16"/>
      <c r="Q175" s="16"/>
      <c r="R175" s="16"/>
      <c r="S175" s="16"/>
      <c r="T175" s="16"/>
      <c r="U175" s="16"/>
      <c r="V175" s="16"/>
      <c r="W175" s="16"/>
      <c r="X175" s="16"/>
      <c r="Y175" s="16"/>
      <c r="Z175" s="16"/>
      <c r="AA175" s="16"/>
      <c r="AB175" s="16"/>
    </row>
    <row r="176" spans="1:28" ht="15.75" customHeight="1">
      <c r="A176" s="16"/>
      <c r="B176" s="131"/>
      <c r="C176" s="134"/>
      <c r="D176" s="127"/>
      <c r="E176" s="105"/>
      <c r="F176" s="134"/>
      <c r="G176" s="127"/>
      <c r="J176" s="228"/>
      <c r="K176" s="228"/>
      <c r="L176" s="16"/>
      <c r="M176" s="16"/>
      <c r="N176" s="16"/>
      <c r="O176" s="16"/>
      <c r="P176" s="16"/>
      <c r="Q176" s="16"/>
      <c r="R176" s="16"/>
      <c r="S176" s="16"/>
      <c r="T176" s="16"/>
      <c r="U176" s="16"/>
      <c r="V176" s="16"/>
      <c r="W176" s="16"/>
      <c r="X176" s="16"/>
      <c r="Y176" s="16"/>
      <c r="Z176" s="16"/>
      <c r="AA176" s="16"/>
      <c r="AB176" s="16"/>
    </row>
    <row r="177" spans="1:30" ht="15.75" customHeight="1">
      <c r="A177" s="16"/>
      <c r="B177" s="131"/>
      <c r="C177" s="134"/>
      <c r="D177" s="127"/>
      <c r="E177" s="105"/>
      <c r="F177" s="134"/>
      <c r="G177" s="127"/>
      <c r="H177" s="228"/>
      <c r="I177" s="228"/>
      <c r="J177" s="228"/>
      <c r="K177" s="228"/>
      <c r="L177" s="16"/>
      <c r="M177" s="16"/>
      <c r="N177" s="16"/>
      <c r="O177" s="16"/>
      <c r="P177" s="16"/>
      <c r="Q177" s="16"/>
      <c r="R177" s="16"/>
      <c r="S177" s="16"/>
      <c r="T177" s="16"/>
      <c r="U177" s="16"/>
      <c r="V177" s="16"/>
      <c r="W177" s="16"/>
      <c r="X177" s="16"/>
      <c r="Y177" s="16"/>
      <c r="Z177" s="16"/>
      <c r="AA177" s="16"/>
      <c r="AB177" s="16"/>
    </row>
    <row r="178" spans="1:30" ht="15.75" customHeight="1">
      <c r="A178" s="15"/>
      <c r="B178" s="131"/>
      <c r="C178" s="16"/>
      <c r="D178" s="16"/>
      <c r="E178" s="16"/>
      <c r="F178" s="16"/>
      <c r="G178" s="16"/>
      <c r="H178" s="16"/>
      <c r="I178" s="16"/>
      <c r="J178" s="231"/>
      <c r="K178" s="228"/>
      <c r="L178" s="16"/>
      <c r="M178" s="16"/>
      <c r="N178" s="16"/>
      <c r="O178" s="16"/>
      <c r="P178" s="16"/>
      <c r="Q178" s="16"/>
      <c r="R178" s="16"/>
      <c r="S178" s="16"/>
      <c r="T178" s="16"/>
      <c r="U178" s="16"/>
      <c r="V178" s="16"/>
      <c r="W178" s="16"/>
      <c r="X178" s="16"/>
      <c r="Y178" s="16"/>
      <c r="Z178" s="16"/>
      <c r="AA178" s="16"/>
      <c r="AB178" s="16"/>
    </row>
    <row r="179" spans="1:30" ht="15.75" customHeight="1">
      <c r="A179" s="15"/>
      <c r="B179" s="131"/>
      <c r="C179" s="16"/>
      <c r="D179" s="16"/>
      <c r="E179" s="16"/>
      <c r="F179" s="16"/>
      <c r="G179" s="16"/>
      <c r="I179" s="16"/>
      <c r="J179" s="16"/>
      <c r="K179" s="16"/>
      <c r="L179" s="16"/>
      <c r="M179" s="16"/>
      <c r="N179" s="16"/>
      <c r="O179" s="16"/>
      <c r="P179" s="16"/>
      <c r="Q179" s="16"/>
      <c r="R179" s="16"/>
      <c r="S179" s="16"/>
      <c r="T179" s="16"/>
      <c r="U179" s="16"/>
      <c r="V179" s="16"/>
      <c r="W179" s="16"/>
      <c r="X179" s="16"/>
      <c r="Y179" s="16"/>
      <c r="Z179" s="16"/>
      <c r="AA179" s="16"/>
      <c r="AB179" s="16"/>
      <c r="AC179" s="16"/>
      <c r="AD179" s="16"/>
    </row>
    <row r="180" spans="1:30" ht="15.75" customHeight="1">
      <c r="H180" s="51"/>
      <c r="I180" s="51"/>
      <c r="J180" s="51"/>
      <c r="K180" s="16"/>
      <c r="L180" s="16"/>
      <c r="M180" s="16"/>
      <c r="N180" s="16"/>
      <c r="O180" s="16"/>
      <c r="P180" s="16"/>
      <c r="Q180" s="16"/>
      <c r="R180" s="16"/>
      <c r="S180" s="16"/>
      <c r="T180" s="16"/>
      <c r="U180" s="16"/>
      <c r="V180" s="16"/>
      <c r="W180" s="16"/>
      <c r="X180" s="16"/>
      <c r="Y180" s="16"/>
      <c r="Z180" s="16"/>
      <c r="AA180" s="16"/>
      <c r="AB180" s="16"/>
      <c r="AC180" s="16"/>
      <c r="AD180" s="16"/>
    </row>
    <row r="181" spans="1:30" ht="15.75" customHeight="1">
      <c r="K181" s="51"/>
      <c r="L181" s="16"/>
      <c r="M181" s="16"/>
      <c r="N181" s="16"/>
      <c r="O181" s="16"/>
      <c r="P181" s="16"/>
      <c r="Q181" s="16"/>
      <c r="R181" s="16"/>
      <c r="S181" s="16"/>
      <c r="T181" s="16"/>
      <c r="U181" s="16"/>
      <c r="V181" s="16"/>
      <c r="W181" s="16"/>
      <c r="X181" s="16"/>
      <c r="Y181" s="16"/>
      <c r="Z181" s="16"/>
      <c r="AA181" s="16"/>
      <c r="AB181" s="16"/>
      <c r="AC181" s="16"/>
      <c r="AD181" s="16"/>
    </row>
    <row r="182" spans="1:30" ht="15.75" customHeight="1">
      <c r="L182" s="16"/>
      <c r="M182" s="16"/>
      <c r="N182" s="16"/>
      <c r="O182" s="16"/>
      <c r="P182" s="16"/>
      <c r="Q182" s="16"/>
      <c r="R182" s="16"/>
      <c r="S182" s="16"/>
      <c r="T182" s="16"/>
      <c r="U182" s="16"/>
      <c r="V182" s="16"/>
      <c r="W182" s="16"/>
      <c r="X182" s="16"/>
      <c r="Y182" s="16"/>
      <c r="Z182" s="16"/>
      <c r="AA182" s="16"/>
      <c r="AB182" s="16"/>
      <c r="AC182" s="16"/>
      <c r="AD182" s="16"/>
    </row>
    <row r="183" spans="1:30" ht="15.75" customHeight="1">
      <c r="L183" s="16"/>
      <c r="M183" s="16"/>
      <c r="N183" s="16"/>
      <c r="O183" s="16"/>
      <c r="P183" s="16"/>
      <c r="Q183" s="16"/>
      <c r="R183" s="16"/>
      <c r="S183" s="16"/>
      <c r="T183" s="16"/>
      <c r="U183" s="16"/>
      <c r="V183" s="16"/>
      <c r="W183" s="16"/>
      <c r="X183" s="16"/>
      <c r="Y183" s="16"/>
      <c r="Z183" s="16"/>
      <c r="AA183" s="16"/>
      <c r="AB183" s="16"/>
      <c r="AC183" s="16"/>
      <c r="AD183" s="16"/>
    </row>
    <row r="184" spans="1:30" ht="15.75" customHeight="1">
      <c r="L184" s="16"/>
      <c r="M184" s="16"/>
      <c r="N184" s="16"/>
      <c r="O184" s="16"/>
      <c r="P184" s="16"/>
      <c r="Q184" s="16"/>
      <c r="R184" s="16"/>
      <c r="S184" s="16"/>
      <c r="T184" s="16"/>
      <c r="U184" s="16"/>
      <c r="V184" s="16"/>
      <c r="W184" s="16"/>
      <c r="X184" s="16"/>
      <c r="Y184" s="16"/>
      <c r="Z184" s="16"/>
      <c r="AA184" s="16"/>
      <c r="AB184" s="16"/>
      <c r="AC184" s="16"/>
      <c r="AD184" s="16"/>
    </row>
    <row r="185" spans="1:30" ht="15.75" customHeight="1">
      <c r="L185" s="16"/>
      <c r="M185" s="16"/>
      <c r="N185" s="16"/>
      <c r="O185" s="16"/>
      <c r="P185" s="16"/>
      <c r="Q185" s="16"/>
      <c r="R185" s="16"/>
      <c r="S185" s="16"/>
      <c r="T185" s="16"/>
      <c r="U185" s="16"/>
      <c r="V185" s="16"/>
      <c r="W185" s="16"/>
      <c r="X185" s="16"/>
      <c r="Y185" s="16"/>
      <c r="Z185" s="16"/>
      <c r="AA185" s="16"/>
      <c r="AB185" s="16"/>
      <c r="AC185" s="16"/>
      <c r="AD185" s="16"/>
    </row>
    <row r="186" spans="1:30" ht="15.75" customHeight="1">
      <c r="L186" s="16"/>
      <c r="M186" s="16"/>
      <c r="N186" s="16"/>
      <c r="O186" s="16"/>
      <c r="P186" s="16"/>
      <c r="Q186" s="16"/>
      <c r="R186" s="16"/>
      <c r="S186" s="16"/>
      <c r="T186" s="16"/>
      <c r="U186" s="16"/>
      <c r="V186" s="16"/>
      <c r="W186" s="16"/>
      <c r="X186" s="16"/>
      <c r="Y186" s="16"/>
      <c r="Z186" s="16"/>
      <c r="AA186" s="16"/>
      <c r="AB186" s="16"/>
      <c r="AC186" s="16"/>
      <c r="AD186" s="16"/>
    </row>
    <row r="187" spans="1:30" ht="15.75" customHeight="1">
      <c r="L187" s="16"/>
      <c r="M187" s="16"/>
      <c r="N187" s="16"/>
      <c r="O187" s="16"/>
      <c r="P187" s="16"/>
      <c r="Q187" s="16"/>
      <c r="R187" s="16"/>
      <c r="S187" s="16"/>
      <c r="T187" s="16"/>
      <c r="U187" s="16"/>
      <c r="V187" s="16"/>
      <c r="W187" s="16"/>
      <c r="X187" s="16"/>
      <c r="Y187" s="16"/>
      <c r="Z187" s="16"/>
      <c r="AA187" s="16"/>
      <c r="AB187" s="16"/>
      <c r="AC187" s="16"/>
      <c r="AD187" s="16"/>
    </row>
    <row r="188" spans="1:30" ht="15.75" customHeight="1">
      <c r="L188" s="16"/>
      <c r="M188" s="16"/>
      <c r="N188" s="16"/>
      <c r="O188" s="16"/>
      <c r="P188" s="735"/>
      <c r="Q188" s="696"/>
      <c r="R188" s="696"/>
      <c r="S188" s="16"/>
      <c r="T188" s="16"/>
      <c r="U188" s="16"/>
      <c r="V188" s="16"/>
      <c r="W188" s="16"/>
      <c r="X188" s="16"/>
      <c r="Y188" s="16"/>
      <c r="Z188" s="16"/>
      <c r="AA188" s="16"/>
      <c r="AB188" s="16"/>
      <c r="AC188" s="16"/>
      <c r="AD188" s="16"/>
    </row>
    <row r="189" spans="1:30" ht="15.75" customHeight="1">
      <c r="L189" s="16"/>
      <c r="M189" s="16"/>
      <c r="N189" s="16"/>
      <c r="O189" s="16"/>
      <c r="P189" s="735"/>
      <c r="Q189" s="696"/>
      <c r="R189" s="696"/>
      <c r="S189" s="16"/>
      <c r="T189" s="16"/>
      <c r="U189" s="16"/>
      <c r="V189" s="16"/>
      <c r="W189" s="16"/>
      <c r="X189" s="16"/>
      <c r="Y189" s="16"/>
      <c r="Z189" s="16"/>
      <c r="AA189" s="16"/>
      <c r="AB189" s="16"/>
      <c r="AC189" s="16"/>
      <c r="AD189" s="16"/>
    </row>
    <row r="190" spans="1:30" ht="15.75" customHeight="1">
      <c r="L190" s="16"/>
      <c r="M190" s="16"/>
      <c r="N190" s="16"/>
      <c r="O190" s="16"/>
      <c r="P190" s="735"/>
      <c r="Q190" s="696"/>
      <c r="R190" s="696"/>
      <c r="S190" s="16"/>
      <c r="T190" s="16"/>
      <c r="U190" s="16"/>
      <c r="V190" s="16"/>
      <c r="W190" s="16"/>
      <c r="X190" s="16"/>
      <c r="Y190" s="16"/>
      <c r="Z190" s="16"/>
      <c r="AA190" s="16"/>
      <c r="AB190" s="16"/>
      <c r="AC190" s="16"/>
      <c r="AD190" s="16"/>
    </row>
    <row r="191" spans="1:30" ht="15.75" customHeight="1">
      <c r="L191" s="16"/>
      <c r="M191" s="16"/>
      <c r="N191" s="16"/>
      <c r="O191" s="16"/>
      <c r="P191" s="735"/>
      <c r="Q191" s="696"/>
      <c r="R191" s="696"/>
      <c r="S191" s="16"/>
      <c r="T191" s="16"/>
      <c r="U191" s="16"/>
      <c r="V191" s="16"/>
      <c r="W191" s="16"/>
      <c r="X191" s="16"/>
      <c r="Y191" s="16"/>
      <c r="Z191" s="16"/>
      <c r="AA191" s="16"/>
      <c r="AB191" s="16"/>
      <c r="AC191" s="16"/>
      <c r="AD191" s="16"/>
    </row>
    <row r="192" spans="1:30" ht="15.75" customHeight="1">
      <c r="L192" s="16"/>
      <c r="M192" s="16"/>
      <c r="N192" s="16"/>
      <c r="O192" s="16"/>
      <c r="P192" s="735"/>
      <c r="Q192" s="696"/>
      <c r="R192" s="696"/>
      <c r="S192" s="16"/>
      <c r="T192" s="16"/>
      <c r="U192" s="16"/>
      <c r="V192" s="16"/>
      <c r="W192" s="16"/>
      <c r="X192" s="16"/>
      <c r="Y192" s="16"/>
      <c r="Z192" s="16"/>
      <c r="AA192" s="16"/>
      <c r="AB192" s="16"/>
      <c r="AC192" s="16"/>
      <c r="AD192" s="16"/>
    </row>
    <row r="193" spans="1:30" ht="15.75" customHeight="1">
      <c r="H193" s="248"/>
      <c r="I193" s="248"/>
      <c r="J193" s="228"/>
      <c r="L193" s="16"/>
      <c r="M193" s="16"/>
      <c r="N193" s="16"/>
      <c r="O193" s="16"/>
      <c r="P193" s="735"/>
      <c r="Q193" s="696"/>
      <c r="R193" s="696"/>
      <c r="S193" s="16"/>
      <c r="T193" s="16"/>
      <c r="U193" s="16"/>
      <c r="V193" s="16"/>
      <c r="W193" s="16"/>
      <c r="X193" s="16"/>
      <c r="Y193" s="16"/>
      <c r="Z193" s="16"/>
      <c r="AA193" s="16"/>
      <c r="AB193" s="16"/>
      <c r="AC193" s="16"/>
      <c r="AD193" s="16"/>
    </row>
    <row r="194" spans="1:30" ht="15.75" customHeight="1">
      <c r="A194" s="231"/>
      <c r="B194" s="231"/>
      <c r="C194" s="246"/>
      <c r="D194" s="247"/>
      <c r="E194" s="245"/>
      <c r="F194" s="246"/>
      <c r="G194" s="247"/>
      <c r="H194" s="248"/>
      <c r="I194" s="248"/>
      <c r="J194" s="228"/>
      <c r="K194" s="228"/>
      <c r="L194" s="16"/>
      <c r="M194" s="16"/>
      <c r="N194" s="16"/>
      <c r="O194" s="16"/>
      <c r="P194" s="735"/>
      <c r="Q194" s="696"/>
      <c r="R194" s="696"/>
      <c r="S194" s="16"/>
      <c r="T194" s="16"/>
      <c r="U194" s="16"/>
      <c r="V194" s="16"/>
      <c r="W194" s="16"/>
      <c r="X194" s="16"/>
      <c r="Y194" s="16"/>
      <c r="Z194" s="16"/>
      <c r="AA194" s="16"/>
      <c r="AB194" s="16"/>
      <c r="AC194" s="16"/>
      <c r="AD194" s="16"/>
    </row>
    <row r="195" spans="1:30" ht="15.75" customHeight="1">
      <c r="A195" s="231"/>
      <c r="B195" s="16"/>
      <c r="C195" s="246"/>
      <c r="D195" s="247"/>
      <c r="E195" s="245"/>
      <c r="F195" s="246"/>
      <c r="G195" s="247"/>
      <c r="H195" s="228"/>
      <c r="I195" s="228"/>
      <c r="J195" s="228"/>
      <c r="K195" s="228"/>
      <c r="L195" s="16"/>
      <c r="M195" s="16"/>
      <c r="N195" s="16"/>
      <c r="O195" s="16"/>
      <c r="P195" s="16"/>
      <c r="Q195" s="16"/>
      <c r="R195" s="16"/>
      <c r="S195" s="16"/>
      <c r="T195" s="16"/>
      <c r="U195" s="16"/>
      <c r="V195" s="16"/>
      <c r="W195" s="16"/>
      <c r="X195" s="16"/>
      <c r="Y195" s="16"/>
      <c r="Z195" s="16"/>
      <c r="AA195" s="16"/>
      <c r="AB195" s="16"/>
      <c r="AC195" s="16"/>
      <c r="AD195" s="16"/>
    </row>
    <row r="196" spans="1:30" ht="15.75" customHeight="1">
      <c r="A196" s="16"/>
      <c r="B196" s="16"/>
      <c r="C196" s="16"/>
      <c r="D196" s="16"/>
      <c r="E196" s="16"/>
      <c r="F196" s="16"/>
      <c r="G196" s="16"/>
      <c r="H196" s="16"/>
      <c r="I196" s="16"/>
      <c r="J196" s="16"/>
      <c r="K196" s="228"/>
      <c r="L196" s="16"/>
      <c r="M196" s="735"/>
      <c r="N196" s="696"/>
      <c r="O196" s="696"/>
      <c r="P196" s="735"/>
      <c r="Q196" s="696"/>
      <c r="R196" s="696"/>
      <c r="S196" s="696"/>
      <c r="T196" s="696"/>
      <c r="U196" s="16"/>
      <c r="V196" s="16"/>
      <c r="W196" s="16"/>
      <c r="X196" s="16"/>
      <c r="Y196" s="16"/>
      <c r="Z196" s="16"/>
      <c r="AA196" s="16"/>
      <c r="AB196" s="16"/>
      <c r="AC196" s="16"/>
      <c r="AD196" s="16"/>
    </row>
    <row r="197" spans="1:30" ht="15.75" customHeight="1">
      <c r="A197" s="16"/>
      <c r="B197" s="16"/>
      <c r="C197" s="16"/>
      <c r="D197" s="16"/>
      <c r="E197" s="16"/>
      <c r="F197" s="16"/>
      <c r="G197" s="16"/>
      <c r="H197" s="16"/>
      <c r="I197" s="16"/>
      <c r="J197" s="16"/>
      <c r="K197" s="16"/>
      <c r="L197" s="16"/>
      <c r="M197" s="735"/>
      <c r="N197" s="696"/>
      <c r="O197" s="696"/>
      <c r="P197" s="735"/>
      <c r="Q197" s="696"/>
      <c r="R197" s="696"/>
      <c r="S197" s="696"/>
      <c r="T197" s="696"/>
      <c r="U197" s="16"/>
      <c r="V197" s="16"/>
      <c r="W197" s="16"/>
      <c r="X197" s="16"/>
      <c r="Y197" s="16"/>
      <c r="Z197" s="16"/>
      <c r="AA197" s="16"/>
      <c r="AB197" s="16"/>
      <c r="AC197" s="16"/>
      <c r="AD197" s="16"/>
    </row>
    <row r="198" spans="1:30" ht="15.75" customHeight="1">
      <c r="A198" s="16"/>
      <c r="B198" s="16"/>
      <c r="C198" s="16"/>
      <c r="D198" s="16"/>
      <c r="E198" s="16"/>
      <c r="F198" s="16"/>
      <c r="G198" s="16"/>
      <c r="H198" s="16"/>
      <c r="I198" s="16"/>
      <c r="J198" s="16"/>
      <c r="K198" s="16"/>
      <c r="L198" s="16"/>
      <c r="M198" s="735"/>
      <c r="N198" s="696"/>
      <c r="O198" s="696"/>
      <c r="P198" s="696"/>
      <c r="Q198" s="696"/>
      <c r="R198" s="696"/>
      <c r="S198" s="696"/>
      <c r="T198" s="696"/>
      <c r="U198" s="16"/>
      <c r="V198" s="16"/>
      <c r="W198" s="16"/>
      <c r="X198" s="16"/>
      <c r="Y198" s="16"/>
      <c r="Z198" s="16"/>
      <c r="AA198" s="16"/>
      <c r="AB198" s="16"/>
      <c r="AC198" s="16"/>
      <c r="AD198" s="16"/>
    </row>
    <row r="199" spans="1:30" ht="15.75" customHeight="1">
      <c r="A199" s="16"/>
      <c r="B199" s="16"/>
      <c r="C199" s="16"/>
      <c r="D199" s="16"/>
      <c r="E199" s="16"/>
      <c r="F199" s="16"/>
      <c r="G199" s="16"/>
      <c r="H199" s="16"/>
      <c r="I199" s="16"/>
      <c r="J199" s="16"/>
      <c r="K199" s="16"/>
      <c r="L199" s="16"/>
      <c r="M199" s="735"/>
      <c r="N199" s="696"/>
      <c r="O199" s="696"/>
      <c r="P199" s="696"/>
      <c r="Q199" s="696"/>
      <c r="R199" s="696"/>
      <c r="S199" s="696"/>
      <c r="T199" s="696"/>
      <c r="U199" s="16"/>
      <c r="V199" s="16"/>
      <c r="W199" s="16"/>
      <c r="X199" s="16"/>
      <c r="Y199" s="16"/>
      <c r="Z199" s="16"/>
      <c r="AA199" s="16"/>
      <c r="AB199" s="16"/>
      <c r="AC199" s="16"/>
      <c r="AD199" s="16"/>
    </row>
    <row r="200" spans="1:30" ht="15.75" customHeight="1">
      <c r="A200" s="16"/>
      <c r="B200" s="16"/>
      <c r="C200" s="16"/>
      <c r="D200" s="16"/>
      <c r="E200" s="16"/>
      <c r="F200" s="16"/>
      <c r="G200" s="16"/>
      <c r="H200" s="16"/>
      <c r="I200" s="16"/>
      <c r="J200" s="16"/>
      <c r="K200" s="16"/>
      <c r="L200" s="16"/>
      <c r="M200" s="735"/>
      <c r="N200" s="696"/>
      <c r="O200" s="696"/>
      <c r="P200" s="696"/>
      <c r="Q200" s="696"/>
      <c r="R200" s="696"/>
      <c r="S200" s="696"/>
      <c r="T200" s="696"/>
      <c r="U200" s="16"/>
      <c r="V200" s="16"/>
      <c r="W200" s="16"/>
      <c r="X200" s="16"/>
      <c r="Y200" s="16"/>
      <c r="Z200" s="16"/>
      <c r="AA200" s="16"/>
      <c r="AB200" s="16"/>
      <c r="AC200" s="16"/>
      <c r="AD200" s="16"/>
    </row>
    <row r="201" spans="1:30" ht="15.75" customHeight="1">
      <c r="A201" s="16"/>
      <c r="B201" s="16"/>
      <c r="C201" s="16"/>
      <c r="D201" s="16"/>
      <c r="E201" s="16"/>
      <c r="F201" s="16"/>
      <c r="G201" s="16"/>
      <c r="H201" s="16"/>
      <c r="I201" s="16"/>
      <c r="J201" s="16"/>
      <c r="K201" s="16"/>
      <c r="L201" s="16"/>
      <c r="M201" s="735"/>
      <c r="N201" s="696"/>
      <c r="O201" s="696"/>
      <c r="P201" s="696"/>
      <c r="Q201" s="696"/>
      <c r="R201" s="696"/>
      <c r="S201" s="696"/>
      <c r="T201" s="696"/>
      <c r="U201" s="16"/>
      <c r="V201" s="16"/>
      <c r="W201" s="16"/>
      <c r="X201" s="16"/>
      <c r="Y201" s="16"/>
      <c r="Z201" s="16"/>
      <c r="AA201" s="16"/>
      <c r="AB201" s="16"/>
      <c r="AC201" s="16"/>
      <c r="AD201" s="16"/>
    </row>
    <row r="202" spans="1:30" ht="15.75" customHeight="1">
      <c r="A202" s="16"/>
      <c r="B202" s="16"/>
      <c r="C202" s="16"/>
      <c r="D202" s="16"/>
      <c r="E202" s="16"/>
      <c r="F202" s="16"/>
      <c r="G202" s="16"/>
      <c r="H202" s="16"/>
      <c r="I202" s="16"/>
      <c r="J202" s="16"/>
      <c r="K202" s="16"/>
      <c r="L202" s="16"/>
      <c r="M202" s="735"/>
      <c r="N202" s="696"/>
      <c r="O202" s="696"/>
      <c r="P202" s="696"/>
      <c r="Q202" s="696"/>
      <c r="R202" s="696"/>
      <c r="S202" s="696"/>
      <c r="T202" s="696"/>
      <c r="U202" s="16"/>
      <c r="V202" s="16"/>
      <c r="W202" s="16"/>
      <c r="X202" s="16"/>
      <c r="Y202" s="16"/>
      <c r="Z202" s="16"/>
      <c r="AA202" s="16"/>
      <c r="AB202" s="16"/>
      <c r="AC202" s="16"/>
      <c r="AD202" s="16"/>
    </row>
    <row r="203" spans="1:30" ht="15.75" customHeight="1">
      <c r="A203" s="16"/>
      <c r="B203" s="16"/>
      <c r="C203" s="16"/>
      <c r="D203" s="16"/>
      <c r="E203" s="16"/>
      <c r="F203" s="16"/>
      <c r="G203" s="16"/>
      <c r="H203" s="16"/>
      <c r="I203" s="16"/>
      <c r="J203" s="16"/>
      <c r="K203" s="16"/>
      <c r="L203" s="16"/>
      <c r="M203" s="735"/>
      <c r="N203" s="696"/>
      <c r="O203" s="696"/>
      <c r="P203" s="696"/>
      <c r="Q203" s="696"/>
      <c r="R203" s="696"/>
      <c r="S203" s="696"/>
      <c r="T203" s="696"/>
      <c r="U203" s="16"/>
      <c r="V203" s="16"/>
      <c r="W203" s="16"/>
      <c r="X203" s="16"/>
      <c r="Y203" s="16"/>
      <c r="Z203" s="16"/>
      <c r="AA203" s="16"/>
      <c r="AB203" s="16"/>
      <c r="AC203" s="16"/>
      <c r="AD203" s="16"/>
    </row>
    <row r="204" spans="1:30" ht="15.75" customHeight="1">
      <c r="A204" s="16"/>
      <c r="B204" s="16"/>
      <c r="C204" s="16"/>
      <c r="D204" s="16"/>
      <c r="E204" s="16"/>
      <c r="F204" s="16"/>
      <c r="G204" s="16"/>
      <c r="H204" s="16"/>
      <c r="I204" s="16"/>
      <c r="J204" s="16"/>
      <c r="K204" s="16"/>
      <c r="L204" s="16"/>
      <c r="M204" s="735"/>
      <c r="N204" s="696"/>
      <c r="O204" s="696"/>
      <c r="P204" s="696"/>
      <c r="Q204" s="696"/>
      <c r="R204" s="696"/>
      <c r="S204" s="696"/>
      <c r="T204" s="696"/>
      <c r="U204" s="16"/>
      <c r="V204" s="16"/>
      <c r="W204" s="16"/>
      <c r="X204" s="16"/>
      <c r="Y204" s="16"/>
      <c r="Z204" s="16"/>
      <c r="AA204" s="16"/>
      <c r="AB204" s="16"/>
      <c r="AC204" s="16"/>
      <c r="AD204" s="16"/>
    </row>
    <row r="205" spans="1:30" ht="15.75" customHeight="1">
      <c r="A205" s="16"/>
      <c r="B205" s="16"/>
      <c r="C205" s="16"/>
      <c r="D205" s="16"/>
      <c r="E205" s="16"/>
      <c r="F205" s="16"/>
      <c r="G205" s="16"/>
      <c r="H205" s="16"/>
      <c r="I205" s="16"/>
      <c r="J205" s="16"/>
      <c r="K205" s="16"/>
      <c r="L205" s="16"/>
      <c r="M205" s="735"/>
      <c r="N205" s="696"/>
      <c r="O205" s="696"/>
      <c r="P205" s="696"/>
      <c r="Q205" s="696"/>
      <c r="R205" s="696"/>
      <c r="S205" s="696"/>
      <c r="T205" s="696"/>
      <c r="U205" s="16"/>
      <c r="V205" s="16"/>
      <c r="W205" s="16"/>
      <c r="X205" s="16"/>
      <c r="Y205" s="16"/>
      <c r="Z205" s="16"/>
      <c r="AA205" s="16"/>
      <c r="AB205" s="16"/>
      <c r="AC205" s="16"/>
      <c r="AD205" s="16"/>
    </row>
    <row r="206" spans="1:30" ht="15.75" customHeight="1">
      <c r="A206" s="16"/>
      <c r="B206" s="16"/>
      <c r="C206" s="16"/>
      <c r="D206" s="16"/>
      <c r="E206" s="16"/>
      <c r="F206" s="16"/>
      <c r="G206" s="16"/>
      <c r="H206" s="16"/>
      <c r="I206" s="16"/>
      <c r="J206" s="16"/>
      <c r="K206" s="16"/>
      <c r="L206" s="16"/>
      <c r="M206" s="735"/>
      <c r="N206" s="696"/>
      <c r="O206" s="696"/>
      <c r="P206" s="696"/>
      <c r="Q206" s="696"/>
      <c r="R206" s="696"/>
      <c r="S206" s="696"/>
      <c r="T206" s="696"/>
      <c r="U206" s="16"/>
      <c r="V206" s="16"/>
      <c r="W206" s="16"/>
      <c r="X206" s="16"/>
      <c r="Y206" s="16"/>
      <c r="Z206" s="16"/>
      <c r="AA206" s="16"/>
      <c r="AB206" s="16"/>
      <c r="AC206" s="16"/>
      <c r="AD206" s="16"/>
    </row>
    <row r="207" spans="1:30" ht="15.75" customHeight="1">
      <c r="A207" s="16"/>
      <c r="B207" s="16"/>
      <c r="C207" s="16"/>
      <c r="D207" s="16"/>
      <c r="E207" s="16"/>
      <c r="F207" s="16"/>
      <c r="G207" s="16"/>
      <c r="H207" s="16"/>
      <c r="I207" s="16"/>
      <c r="J207" s="16"/>
      <c r="K207" s="16"/>
      <c r="L207" s="16"/>
      <c r="M207" s="735"/>
      <c r="N207" s="696"/>
      <c r="O207" s="696"/>
      <c r="P207" s="696"/>
      <c r="Q207" s="696"/>
      <c r="R207" s="696"/>
      <c r="S207" s="696"/>
      <c r="T207" s="696"/>
      <c r="U207" s="16"/>
      <c r="V207" s="16"/>
      <c r="W207" s="16"/>
      <c r="X207" s="16"/>
      <c r="Y207" s="16"/>
      <c r="Z207" s="16"/>
      <c r="AA207" s="16"/>
      <c r="AB207" s="16"/>
      <c r="AC207" s="16"/>
      <c r="AD207" s="16"/>
    </row>
    <row r="208" spans="1:30" ht="15.75" customHeight="1">
      <c r="A208" s="16"/>
      <c r="B208" s="16"/>
      <c r="C208" s="16"/>
      <c r="D208" s="16"/>
      <c r="E208" s="16"/>
      <c r="F208" s="16"/>
      <c r="G208" s="16"/>
      <c r="H208" s="16"/>
      <c r="I208" s="16"/>
      <c r="J208" s="16"/>
      <c r="K208" s="16"/>
      <c r="L208" s="16"/>
      <c r="M208" s="735"/>
      <c r="N208" s="696"/>
      <c r="O208" s="696"/>
      <c r="P208" s="696"/>
      <c r="Q208" s="696"/>
      <c r="R208" s="696"/>
      <c r="S208" s="696"/>
      <c r="T208" s="696"/>
      <c r="U208" s="16"/>
      <c r="V208" s="16"/>
      <c r="W208" s="16"/>
      <c r="X208" s="16"/>
      <c r="Y208" s="16"/>
      <c r="Z208" s="16"/>
      <c r="AA208" s="16"/>
      <c r="AB208" s="16"/>
      <c r="AC208" s="16"/>
      <c r="AD208" s="16"/>
    </row>
    <row r="209" spans="1:30" ht="15.75" customHeight="1">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c r="AD209" s="16"/>
    </row>
    <row r="210" spans="1:30" ht="15.75" customHeight="1">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c r="AD210" s="16"/>
    </row>
    <row r="211" spans="1:30" ht="15.75" customHeight="1">
      <c r="A211" s="16"/>
      <c r="B211" s="16"/>
      <c r="C211" s="16"/>
      <c r="D211" s="16"/>
      <c r="E211" s="16"/>
      <c r="F211" s="16"/>
      <c r="G211" s="16"/>
      <c r="H211" s="16"/>
      <c r="I211" s="16"/>
      <c r="J211" s="16"/>
      <c r="K211" s="16"/>
      <c r="L211" s="16"/>
      <c r="M211" s="735"/>
      <c r="N211" s="696"/>
      <c r="O211" s="696"/>
      <c r="P211" s="735"/>
      <c r="Q211" s="696"/>
      <c r="R211" s="696"/>
      <c r="S211" s="696"/>
      <c r="T211" s="696"/>
      <c r="U211" s="16"/>
      <c r="V211" s="16"/>
      <c r="W211" s="16"/>
      <c r="X211" s="16"/>
      <c r="Y211" s="16"/>
      <c r="Z211" s="16"/>
      <c r="AA211" s="16"/>
      <c r="AB211" s="16"/>
      <c r="AC211" s="16"/>
      <c r="AD211" s="16"/>
    </row>
    <row r="212" spans="1:30" ht="15.75" customHeight="1">
      <c r="A212" s="16"/>
      <c r="B212" s="16"/>
      <c r="C212" s="16"/>
      <c r="D212" s="16"/>
      <c r="E212" s="16"/>
      <c r="F212" s="16"/>
      <c r="G212" s="16"/>
      <c r="H212" s="16"/>
      <c r="I212" s="16"/>
      <c r="J212" s="16"/>
      <c r="K212" s="16"/>
      <c r="L212" s="16"/>
      <c r="M212" s="735"/>
      <c r="N212" s="696"/>
      <c r="O212" s="696"/>
      <c r="P212" s="735"/>
      <c r="Q212" s="696"/>
      <c r="R212" s="696"/>
      <c r="S212" s="696"/>
      <c r="T212" s="696"/>
      <c r="U212" s="16"/>
      <c r="V212" s="16"/>
      <c r="W212" s="16"/>
      <c r="X212" s="16"/>
      <c r="Y212" s="16"/>
      <c r="Z212" s="16"/>
      <c r="AA212" s="16"/>
      <c r="AB212" s="16"/>
      <c r="AC212" s="16"/>
      <c r="AD212" s="16"/>
    </row>
    <row r="213" spans="1:30" ht="15.75" customHeight="1">
      <c r="A213" s="16"/>
      <c r="B213" s="16"/>
      <c r="C213" s="16"/>
      <c r="D213" s="16"/>
      <c r="E213" s="16"/>
      <c r="F213" s="16"/>
      <c r="G213" s="16"/>
      <c r="H213" s="16"/>
      <c r="I213" s="16"/>
      <c r="J213" s="16"/>
      <c r="K213" s="16"/>
      <c r="L213" s="16"/>
      <c r="M213" s="735"/>
      <c r="N213" s="696"/>
      <c r="O213" s="696"/>
      <c r="P213" s="696"/>
      <c r="Q213" s="696"/>
      <c r="R213" s="696"/>
      <c r="S213" s="696"/>
      <c r="T213" s="696"/>
      <c r="U213" s="16"/>
      <c r="V213" s="16"/>
      <c r="W213" s="16"/>
      <c r="X213" s="16"/>
      <c r="Y213" s="16"/>
      <c r="Z213" s="16"/>
      <c r="AA213" s="16"/>
      <c r="AB213" s="16"/>
      <c r="AC213" s="16"/>
      <c r="AD213" s="16"/>
    </row>
    <row r="214" spans="1:30" ht="15.75" customHeight="1">
      <c r="A214" s="16"/>
      <c r="B214" s="16"/>
      <c r="C214" s="16"/>
      <c r="D214" s="16"/>
      <c r="E214" s="16"/>
      <c r="F214" s="16"/>
      <c r="G214" s="16"/>
      <c r="H214" s="16"/>
      <c r="I214" s="16"/>
      <c r="J214" s="16"/>
      <c r="K214" s="16"/>
      <c r="L214" s="16"/>
      <c r="M214" s="735"/>
      <c r="N214" s="696"/>
      <c r="O214" s="696"/>
      <c r="P214" s="696"/>
      <c r="Q214" s="696"/>
      <c r="R214" s="696"/>
      <c r="S214" s="696"/>
      <c r="T214" s="696"/>
      <c r="U214" s="16"/>
      <c r="V214" s="16"/>
      <c r="W214" s="16"/>
      <c r="X214" s="16"/>
      <c r="Y214" s="16"/>
      <c r="Z214" s="16"/>
      <c r="AA214" s="16"/>
      <c r="AB214" s="16"/>
      <c r="AC214" s="16"/>
      <c r="AD214" s="16"/>
    </row>
    <row r="215" spans="1:30" ht="15.75" customHeight="1">
      <c r="A215" s="16"/>
      <c r="B215" s="16"/>
      <c r="C215" s="16"/>
      <c r="D215" s="16"/>
      <c r="E215" s="16"/>
      <c r="F215" s="16"/>
      <c r="G215" s="16"/>
      <c r="H215" s="16"/>
      <c r="I215" s="16"/>
      <c r="J215" s="16"/>
      <c r="K215" s="16"/>
      <c r="L215" s="16"/>
      <c r="M215" s="735"/>
      <c r="N215" s="696"/>
      <c r="O215" s="696"/>
      <c r="P215" s="696"/>
      <c r="Q215" s="696"/>
      <c r="R215" s="696"/>
      <c r="S215" s="696"/>
      <c r="T215" s="696"/>
      <c r="U215" s="16"/>
      <c r="V215" s="16"/>
      <c r="W215" s="16"/>
      <c r="X215" s="16"/>
      <c r="Y215" s="16"/>
      <c r="Z215" s="16"/>
      <c r="AA215" s="16"/>
      <c r="AB215" s="16"/>
      <c r="AC215" s="16"/>
      <c r="AD215" s="16"/>
    </row>
    <row r="216" spans="1:30" ht="15.75" customHeight="1">
      <c r="A216" s="16"/>
      <c r="B216" s="16"/>
      <c r="C216" s="16"/>
      <c r="D216" s="16"/>
      <c r="E216" s="16"/>
      <c r="F216" s="16"/>
      <c r="G216" s="16"/>
      <c r="H216" s="16"/>
      <c r="I216" s="16"/>
      <c r="J216" s="16"/>
      <c r="K216" s="16"/>
      <c r="L216" s="16"/>
      <c r="M216" s="735"/>
      <c r="N216" s="696"/>
      <c r="O216" s="696"/>
      <c r="P216" s="696"/>
      <c r="Q216" s="696"/>
      <c r="R216" s="696"/>
      <c r="S216" s="696"/>
      <c r="T216" s="696"/>
      <c r="U216" s="16"/>
      <c r="V216" s="16"/>
      <c r="W216" s="16"/>
      <c r="X216" s="16"/>
      <c r="Y216" s="16"/>
      <c r="Z216" s="16"/>
      <c r="AA216" s="16"/>
      <c r="AB216" s="16"/>
      <c r="AC216" s="16"/>
      <c r="AD216" s="16"/>
    </row>
    <row r="217" spans="1:30" ht="15.75" customHeight="1">
      <c r="A217" s="16"/>
      <c r="B217" s="16"/>
      <c r="C217" s="16"/>
      <c r="D217" s="16"/>
      <c r="E217" s="16"/>
      <c r="F217" s="16"/>
      <c r="G217" s="16"/>
      <c r="H217" s="16"/>
      <c r="I217" s="16"/>
      <c r="J217" s="16"/>
      <c r="K217" s="16"/>
      <c r="L217" s="16"/>
      <c r="M217" s="735"/>
      <c r="N217" s="696"/>
      <c r="O217" s="696"/>
      <c r="P217" s="696"/>
      <c r="Q217" s="696"/>
      <c r="R217" s="696"/>
      <c r="S217" s="696"/>
      <c r="T217" s="696"/>
      <c r="U217" s="16"/>
      <c r="V217" s="16"/>
      <c r="W217" s="16"/>
      <c r="X217" s="16"/>
      <c r="Y217" s="16"/>
      <c r="Z217" s="16"/>
      <c r="AA217" s="16"/>
      <c r="AB217" s="16"/>
      <c r="AC217" s="16"/>
      <c r="AD217" s="16"/>
    </row>
    <row r="218" spans="1:30" ht="15.75" customHeight="1">
      <c r="A218" s="16"/>
      <c r="B218" s="16"/>
      <c r="C218" s="16"/>
      <c r="D218" s="16"/>
      <c r="E218" s="16"/>
      <c r="F218" s="16"/>
      <c r="G218" s="16"/>
      <c r="H218" s="16"/>
      <c r="I218" s="16"/>
      <c r="J218" s="16"/>
      <c r="K218" s="16"/>
      <c r="L218" s="16"/>
      <c r="M218" s="735"/>
      <c r="N218" s="696"/>
      <c r="O218" s="696"/>
      <c r="P218" s="696"/>
      <c r="Q218" s="696"/>
      <c r="R218" s="696"/>
      <c r="S218" s="696"/>
      <c r="T218" s="696"/>
      <c r="U218" s="16"/>
      <c r="V218" s="16"/>
      <c r="W218" s="16"/>
      <c r="X218" s="16"/>
      <c r="Y218" s="16"/>
      <c r="Z218" s="16"/>
      <c r="AA218" s="16"/>
      <c r="AB218" s="16"/>
      <c r="AC218" s="16"/>
      <c r="AD218" s="16"/>
    </row>
    <row r="219" spans="1:30" ht="15.75" customHeight="1">
      <c r="A219" s="16"/>
      <c r="B219" s="16"/>
      <c r="C219" s="16"/>
      <c r="D219" s="16"/>
      <c r="E219" s="16"/>
      <c r="F219" s="16"/>
      <c r="G219" s="16"/>
      <c r="H219" s="16"/>
      <c r="I219" s="16"/>
      <c r="J219" s="16"/>
      <c r="K219" s="16"/>
      <c r="L219" s="16"/>
      <c r="M219" s="735"/>
      <c r="N219" s="696"/>
      <c r="O219" s="696"/>
      <c r="P219" s="696"/>
      <c r="Q219" s="696"/>
      <c r="R219" s="696"/>
      <c r="S219" s="696"/>
      <c r="T219" s="696"/>
      <c r="U219" s="16"/>
      <c r="V219" s="16"/>
      <c r="W219" s="16"/>
      <c r="X219" s="16"/>
      <c r="Y219" s="16"/>
      <c r="Z219" s="16"/>
      <c r="AA219" s="16"/>
      <c r="AB219" s="16"/>
      <c r="AC219" s="16"/>
      <c r="AD219" s="16"/>
    </row>
    <row r="220" spans="1:30" ht="15.75" customHeight="1">
      <c r="A220" s="16"/>
      <c r="B220" s="16"/>
      <c r="C220" s="16"/>
      <c r="D220" s="16"/>
      <c r="E220" s="16"/>
      <c r="F220" s="16"/>
      <c r="G220" s="16"/>
      <c r="H220" s="16"/>
      <c r="I220" s="16"/>
      <c r="J220" s="16"/>
      <c r="K220" s="16"/>
      <c r="L220" s="16"/>
      <c r="M220" s="735"/>
      <c r="N220" s="696"/>
      <c r="O220" s="696"/>
      <c r="P220" s="696"/>
      <c r="Q220" s="696"/>
      <c r="R220" s="696"/>
      <c r="S220" s="696"/>
      <c r="T220" s="696"/>
      <c r="U220" s="16"/>
      <c r="V220" s="16"/>
      <c r="W220" s="16"/>
      <c r="X220" s="16"/>
      <c r="Y220" s="16"/>
      <c r="Z220" s="16"/>
      <c r="AA220" s="16"/>
      <c r="AB220" s="16"/>
      <c r="AC220" s="16"/>
      <c r="AD220" s="16"/>
    </row>
    <row r="221" spans="1:30" ht="15.75" customHeight="1">
      <c r="A221" s="16"/>
      <c r="B221" s="16"/>
      <c r="C221" s="16"/>
      <c r="D221" s="16"/>
      <c r="E221" s="16"/>
      <c r="F221" s="16"/>
      <c r="G221" s="16"/>
      <c r="H221" s="16"/>
      <c r="I221" s="16"/>
      <c r="J221" s="16"/>
      <c r="K221" s="16"/>
      <c r="L221" s="16"/>
      <c r="M221" s="735"/>
      <c r="N221" s="696"/>
      <c r="O221" s="696"/>
      <c r="P221" s="696"/>
      <c r="Q221" s="696"/>
      <c r="R221" s="696"/>
      <c r="S221" s="696"/>
      <c r="T221" s="696"/>
      <c r="U221" s="16"/>
      <c r="V221" s="16"/>
      <c r="W221" s="16"/>
      <c r="X221" s="16"/>
      <c r="Y221" s="16"/>
      <c r="Z221" s="16"/>
      <c r="AA221" s="16"/>
      <c r="AB221" s="16"/>
      <c r="AC221" s="16"/>
      <c r="AD221" s="16"/>
    </row>
    <row r="222" spans="1:30" ht="15.75" customHeight="1">
      <c r="A222" s="16"/>
      <c r="B222" s="16"/>
      <c r="C222" s="16"/>
      <c r="D222" s="16"/>
      <c r="E222" s="16"/>
      <c r="F222" s="16"/>
      <c r="G222" s="16"/>
      <c r="H222" s="16"/>
      <c r="I222" s="16"/>
      <c r="J222" s="16"/>
      <c r="K222" s="16"/>
      <c r="L222" s="16"/>
      <c r="M222" s="735"/>
      <c r="N222" s="696"/>
      <c r="O222" s="696"/>
      <c r="P222" s="696"/>
      <c r="Q222" s="696"/>
      <c r="R222" s="696"/>
      <c r="S222" s="696"/>
      <c r="T222" s="696"/>
      <c r="U222" s="16"/>
      <c r="V222" s="16"/>
      <c r="W222" s="16"/>
      <c r="X222" s="16"/>
      <c r="Y222" s="16"/>
      <c r="Z222" s="16"/>
      <c r="AA222" s="16"/>
      <c r="AB222" s="16"/>
      <c r="AC222" s="16"/>
      <c r="AD222" s="16"/>
    </row>
    <row r="223" spans="1:30" ht="15.75" customHeight="1">
      <c r="A223" s="16"/>
      <c r="B223" s="16"/>
      <c r="C223" s="16"/>
      <c r="D223" s="16"/>
      <c r="E223" s="16"/>
      <c r="F223" s="16"/>
      <c r="G223" s="16"/>
      <c r="H223" s="16"/>
      <c r="I223" s="16"/>
      <c r="J223" s="16"/>
      <c r="K223" s="16"/>
      <c r="L223" s="16"/>
      <c r="M223" s="735"/>
      <c r="N223" s="696"/>
      <c r="O223" s="696"/>
      <c r="P223" s="696"/>
      <c r="Q223" s="696"/>
      <c r="R223" s="696"/>
      <c r="S223" s="696"/>
      <c r="T223" s="696"/>
      <c r="U223" s="16"/>
      <c r="V223" s="16"/>
      <c r="W223" s="16"/>
      <c r="X223" s="16"/>
      <c r="Y223" s="16"/>
      <c r="Z223" s="16"/>
      <c r="AA223" s="16"/>
      <c r="AB223" s="16"/>
      <c r="AC223" s="16"/>
      <c r="AD223" s="16"/>
    </row>
    <row r="224" spans="1:30" ht="15.75" customHeight="1">
      <c r="A224" s="16"/>
      <c r="B224" s="16"/>
      <c r="C224" s="16"/>
      <c r="D224" s="16"/>
      <c r="E224" s="16"/>
      <c r="F224" s="16"/>
      <c r="G224" s="16"/>
      <c r="H224" s="16"/>
      <c r="I224" s="16"/>
      <c r="J224" s="16"/>
      <c r="K224" s="16"/>
      <c r="L224" s="16"/>
      <c r="M224" s="735"/>
      <c r="N224" s="696"/>
      <c r="O224" s="696"/>
      <c r="P224" s="696"/>
      <c r="Q224" s="696"/>
      <c r="R224" s="696"/>
      <c r="S224" s="696"/>
      <c r="T224" s="696"/>
      <c r="U224" s="16"/>
      <c r="V224" s="16"/>
      <c r="W224" s="16"/>
      <c r="X224" s="16"/>
      <c r="Y224" s="16"/>
      <c r="Z224" s="16"/>
      <c r="AA224" s="16"/>
      <c r="AB224" s="16"/>
      <c r="AC224" s="16"/>
      <c r="AD224" s="16"/>
    </row>
    <row r="225" spans="1:30" ht="15.75" customHeight="1">
      <c r="A225" s="16"/>
      <c r="B225" s="16"/>
      <c r="C225" s="16"/>
      <c r="D225" s="16"/>
      <c r="E225" s="16"/>
      <c r="F225" s="16"/>
      <c r="G225" s="16"/>
      <c r="H225" s="16"/>
      <c r="I225" s="16"/>
      <c r="J225" s="16"/>
      <c r="K225" s="16"/>
      <c r="L225" s="16"/>
      <c r="M225" s="735"/>
      <c r="N225" s="696"/>
      <c r="O225" s="696"/>
      <c r="P225" s="696"/>
      <c r="Q225" s="696"/>
      <c r="R225" s="696"/>
      <c r="S225" s="696"/>
      <c r="T225" s="696"/>
      <c r="U225" s="16"/>
      <c r="V225" s="16"/>
      <c r="W225" s="16"/>
      <c r="X225" s="16"/>
      <c r="Y225" s="16"/>
      <c r="Z225" s="16"/>
      <c r="AA225" s="16"/>
      <c r="AB225" s="16"/>
      <c r="AC225" s="16"/>
      <c r="AD225" s="16"/>
    </row>
    <row r="226" spans="1:30" ht="15.75" customHeight="1">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row>
    <row r="227" spans="1:30" ht="15.75" customHeight="1">
      <c r="A227" s="16"/>
      <c r="B227" s="735"/>
      <c r="C227" s="696"/>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16"/>
    </row>
    <row r="228" spans="1:30" ht="15.75" customHeight="1">
      <c r="A228" s="16"/>
      <c r="B228" s="735"/>
      <c r="C228" s="696"/>
      <c r="D228" s="16"/>
      <c r="E228" s="16"/>
      <c r="F228" s="16"/>
      <c r="G228" s="16"/>
      <c r="H228" s="16"/>
      <c r="I228" s="16"/>
      <c r="J228" s="16"/>
      <c r="K228" s="16"/>
      <c r="L228" s="16"/>
      <c r="M228" s="735"/>
      <c r="N228" s="696"/>
      <c r="O228" s="696"/>
      <c r="P228" s="735"/>
      <c r="Q228" s="696"/>
      <c r="R228" s="696"/>
      <c r="S228" s="696"/>
      <c r="T228" s="696"/>
      <c r="U228" s="16"/>
      <c r="V228" s="16"/>
      <c r="W228" s="16"/>
      <c r="X228" s="16"/>
      <c r="Y228" s="16"/>
      <c r="Z228" s="16"/>
      <c r="AA228" s="16"/>
      <c r="AB228" s="16"/>
      <c r="AC228" s="16"/>
      <c r="AD228" s="16"/>
    </row>
    <row r="229" spans="1:30" ht="15.75" customHeight="1">
      <c r="A229" s="16"/>
      <c r="B229" s="735"/>
      <c r="C229" s="696"/>
      <c r="D229" s="16"/>
      <c r="E229" s="16"/>
      <c r="F229" s="16"/>
      <c r="G229" s="16"/>
      <c r="H229" s="16"/>
      <c r="I229" s="16"/>
      <c r="J229" s="16"/>
      <c r="K229" s="16"/>
      <c r="L229" s="16"/>
      <c r="M229" s="735"/>
      <c r="N229" s="696"/>
      <c r="O229" s="696"/>
      <c r="P229" s="735"/>
      <c r="Q229" s="696"/>
      <c r="R229" s="696"/>
      <c r="S229" s="696"/>
      <c r="T229" s="696"/>
      <c r="U229" s="16"/>
      <c r="V229" s="16"/>
      <c r="W229" s="16"/>
      <c r="X229" s="16"/>
      <c r="Y229" s="16"/>
      <c r="Z229" s="16"/>
      <c r="AA229" s="16"/>
      <c r="AB229" s="16"/>
      <c r="AC229" s="16"/>
      <c r="AD229" s="16"/>
    </row>
    <row r="230" spans="1:30" ht="15.75" customHeight="1">
      <c r="A230" s="16"/>
      <c r="B230" s="735"/>
      <c r="C230" s="696"/>
      <c r="D230" s="16"/>
      <c r="E230" s="16"/>
      <c r="F230" s="16"/>
      <c r="G230" s="16"/>
      <c r="H230" s="16"/>
      <c r="I230" s="16"/>
      <c r="J230" s="16"/>
      <c r="K230" s="16"/>
      <c r="L230" s="16"/>
      <c r="M230" s="735"/>
      <c r="N230" s="696"/>
      <c r="O230" s="696"/>
      <c r="P230" s="696"/>
      <c r="Q230" s="696"/>
      <c r="R230" s="696"/>
      <c r="S230" s="696"/>
      <c r="T230" s="696"/>
      <c r="U230" s="16"/>
      <c r="V230" s="16"/>
      <c r="W230" s="16"/>
      <c r="X230" s="16"/>
      <c r="Y230" s="16"/>
      <c r="Z230" s="16"/>
      <c r="AA230" s="16"/>
      <c r="AB230" s="16"/>
      <c r="AC230" s="16"/>
      <c r="AD230" s="16"/>
    </row>
    <row r="231" spans="1:30" ht="15.75" customHeight="1">
      <c r="A231" s="16"/>
      <c r="B231" s="735"/>
      <c r="C231" s="696"/>
      <c r="D231" s="16"/>
      <c r="E231" s="16"/>
      <c r="F231" s="16"/>
      <c r="G231" s="16"/>
      <c r="H231" s="16"/>
      <c r="I231" s="16"/>
      <c r="J231" s="16"/>
      <c r="K231" s="16"/>
      <c r="L231" s="16"/>
      <c r="M231" s="735"/>
      <c r="N231" s="696"/>
      <c r="O231" s="696"/>
      <c r="P231" s="696"/>
      <c r="Q231" s="696"/>
      <c r="R231" s="696"/>
      <c r="S231" s="696"/>
      <c r="T231" s="696"/>
      <c r="U231" s="16"/>
      <c r="V231" s="16"/>
      <c r="W231" s="16"/>
      <c r="X231" s="16"/>
      <c r="Y231" s="16"/>
      <c r="Z231" s="16"/>
      <c r="AA231" s="16"/>
      <c r="AB231" s="16"/>
      <c r="AC231" s="16"/>
      <c r="AD231" s="16"/>
    </row>
    <row r="232" spans="1:30" ht="15.75" customHeight="1">
      <c r="A232" s="16"/>
      <c r="B232" s="735"/>
      <c r="C232" s="696"/>
      <c r="D232" s="16"/>
      <c r="E232" s="16"/>
      <c r="F232" s="16"/>
      <c r="G232" s="16"/>
      <c r="H232" s="16"/>
      <c r="I232" s="16"/>
      <c r="J232" s="16"/>
      <c r="K232" s="16"/>
      <c r="L232" s="16"/>
      <c r="M232" s="735"/>
      <c r="N232" s="696"/>
      <c r="O232" s="696"/>
      <c r="P232" s="696"/>
      <c r="Q232" s="696"/>
      <c r="R232" s="696"/>
      <c r="S232" s="696"/>
      <c r="T232" s="696"/>
      <c r="U232" s="16"/>
      <c r="V232" s="16"/>
      <c r="W232" s="16"/>
      <c r="X232" s="16"/>
      <c r="Y232" s="16"/>
      <c r="Z232" s="16"/>
      <c r="AA232" s="16"/>
      <c r="AB232" s="16"/>
      <c r="AC232" s="16"/>
      <c r="AD232" s="16"/>
    </row>
    <row r="233" spans="1:30" ht="15.75" customHeight="1">
      <c r="A233" s="16"/>
      <c r="B233" s="735"/>
      <c r="C233" s="696"/>
      <c r="D233" s="16"/>
      <c r="E233" s="16"/>
      <c r="F233" s="16"/>
      <c r="G233" s="16"/>
      <c r="H233" s="16"/>
      <c r="I233" s="16"/>
      <c r="J233" s="16"/>
      <c r="K233" s="16"/>
      <c r="L233" s="16"/>
      <c r="M233" s="735"/>
      <c r="N233" s="696"/>
      <c r="O233" s="696"/>
      <c r="P233" s="696"/>
      <c r="Q233" s="696"/>
      <c r="R233" s="696"/>
      <c r="S233" s="696"/>
      <c r="T233" s="696"/>
      <c r="U233" s="16"/>
      <c r="V233" s="16"/>
      <c r="W233" s="16"/>
      <c r="X233" s="16"/>
      <c r="Y233" s="16"/>
      <c r="Z233" s="16"/>
      <c r="AA233" s="16"/>
      <c r="AB233" s="16"/>
      <c r="AC233" s="16"/>
      <c r="AD233" s="16"/>
    </row>
    <row r="234" spans="1:30" ht="15.75" customHeight="1">
      <c r="A234" s="16"/>
      <c r="B234" s="735"/>
      <c r="C234" s="696"/>
      <c r="D234" s="16"/>
      <c r="E234" s="16"/>
      <c r="F234" s="16"/>
      <c r="G234" s="16"/>
      <c r="H234" s="16"/>
      <c r="I234" s="16"/>
      <c r="J234" s="16"/>
      <c r="K234" s="16"/>
      <c r="L234" s="16"/>
      <c r="M234" s="735"/>
      <c r="N234" s="696"/>
      <c r="O234" s="696"/>
      <c r="P234" s="696"/>
      <c r="Q234" s="696"/>
      <c r="R234" s="696"/>
      <c r="S234" s="696"/>
      <c r="T234" s="696"/>
      <c r="U234" s="16"/>
      <c r="V234" s="16"/>
      <c r="W234" s="16"/>
      <c r="X234" s="16"/>
      <c r="Y234" s="16"/>
      <c r="Z234" s="16"/>
      <c r="AA234" s="16"/>
      <c r="AB234" s="16"/>
      <c r="AC234" s="16"/>
      <c r="AD234" s="16"/>
    </row>
    <row r="235" spans="1:30" ht="15.75" customHeight="1">
      <c r="A235" s="16"/>
      <c r="B235" s="735"/>
      <c r="C235" s="696"/>
      <c r="D235" s="16"/>
      <c r="E235" s="16"/>
      <c r="F235" s="16"/>
      <c r="G235" s="16"/>
      <c r="H235" s="16"/>
      <c r="I235" s="16"/>
      <c r="J235" s="16"/>
      <c r="K235" s="16"/>
      <c r="L235" s="16"/>
      <c r="M235" s="735"/>
      <c r="N235" s="696"/>
      <c r="O235" s="696"/>
      <c r="P235" s="696"/>
      <c r="Q235" s="696"/>
      <c r="R235" s="696"/>
      <c r="S235" s="696"/>
      <c r="T235" s="696"/>
      <c r="U235" s="16"/>
      <c r="V235" s="16"/>
      <c r="W235" s="16"/>
      <c r="X235" s="16"/>
      <c r="Y235" s="16"/>
      <c r="Z235" s="16"/>
      <c r="AA235" s="16"/>
      <c r="AB235" s="16"/>
      <c r="AC235" s="16"/>
      <c r="AD235" s="16"/>
    </row>
    <row r="236" spans="1:30" ht="15.75" customHeight="1">
      <c r="A236" s="16"/>
      <c r="B236" s="735"/>
      <c r="C236" s="696"/>
      <c r="D236" s="16"/>
      <c r="E236" s="16"/>
      <c r="F236" s="16"/>
      <c r="G236" s="16"/>
      <c r="H236" s="16"/>
      <c r="I236" s="16"/>
      <c r="J236" s="16"/>
      <c r="K236" s="16"/>
      <c r="L236" s="16"/>
      <c r="M236" s="735"/>
      <c r="N236" s="696"/>
      <c r="O236" s="696"/>
      <c r="P236" s="696"/>
      <c r="Q236" s="696"/>
      <c r="R236" s="696"/>
      <c r="S236" s="696"/>
      <c r="T236" s="696"/>
      <c r="U236" s="16"/>
      <c r="V236" s="16"/>
      <c r="W236" s="16"/>
      <c r="X236" s="16"/>
      <c r="Y236" s="16"/>
      <c r="Z236" s="16"/>
      <c r="AA236" s="16"/>
      <c r="AB236" s="16"/>
      <c r="AC236" s="16"/>
      <c r="AD236" s="16"/>
    </row>
    <row r="237" spans="1:30" ht="15.75" customHeight="1">
      <c r="A237" s="16"/>
      <c r="B237" s="735"/>
      <c r="C237" s="696"/>
      <c r="D237" s="16"/>
      <c r="E237" s="16"/>
      <c r="F237" s="16"/>
      <c r="G237" s="16"/>
      <c r="H237" s="16"/>
      <c r="I237" s="16"/>
      <c r="J237" s="16"/>
      <c r="K237" s="16"/>
      <c r="L237" s="16"/>
      <c r="M237" s="735"/>
      <c r="N237" s="696"/>
      <c r="O237" s="696"/>
      <c r="P237" s="696"/>
      <c r="Q237" s="696"/>
      <c r="R237" s="696"/>
      <c r="S237" s="696"/>
      <c r="T237" s="696"/>
      <c r="U237" s="16"/>
      <c r="V237" s="16"/>
      <c r="W237" s="16"/>
      <c r="X237" s="16"/>
      <c r="Y237" s="16"/>
      <c r="Z237" s="16"/>
      <c r="AA237" s="16"/>
      <c r="AB237" s="16"/>
      <c r="AC237" s="16"/>
      <c r="AD237" s="16"/>
    </row>
    <row r="238" spans="1:30" ht="15.75" customHeight="1">
      <c r="A238" s="16"/>
      <c r="B238" s="735"/>
      <c r="C238" s="696"/>
      <c r="D238" s="16"/>
      <c r="E238" s="16"/>
      <c r="F238" s="16"/>
      <c r="G238" s="16"/>
      <c r="H238" s="16"/>
      <c r="I238" s="16"/>
      <c r="J238" s="16"/>
      <c r="K238" s="16"/>
      <c r="L238" s="16"/>
      <c r="M238" s="735"/>
      <c r="N238" s="696"/>
      <c r="O238" s="696"/>
      <c r="P238" s="696"/>
      <c r="Q238" s="696"/>
      <c r="R238" s="696"/>
      <c r="S238" s="696"/>
      <c r="T238" s="696"/>
      <c r="U238" s="16"/>
      <c r="V238" s="16"/>
      <c r="W238" s="16"/>
      <c r="X238" s="16"/>
      <c r="Y238" s="16"/>
      <c r="Z238" s="16"/>
      <c r="AA238" s="16"/>
      <c r="AB238" s="16"/>
      <c r="AC238" s="16"/>
      <c r="AD238" s="16"/>
    </row>
    <row r="239" spans="1:30" ht="15.75" customHeight="1">
      <c r="A239" s="16"/>
      <c r="B239" s="735"/>
      <c r="C239" s="696"/>
      <c r="D239" s="16"/>
      <c r="E239" s="16"/>
      <c r="F239" s="16"/>
      <c r="G239" s="16"/>
      <c r="H239" s="16"/>
      <c r="I239" s="16"/>
      <c r="J239" s="16"/>
      <c r="K239" s="16"/>
      <c r="L239" s="16"/>
      <c r="M239" s="735"/>
      <c r="N239" s="696"/>
      <c r="O239" s="696"/>
      <c r="P239" s="696"/>
      <c r="Q239" s="696"/>
      <c r="R239" s="696"/>
      <c r="S239" s="696"/>
      <c r="T239" s="696"/>
      <c r="U239" s="16"/>
      <c r="V239" s="16"/>
      <c r="W239" s="16"/>
      <c r="X239" s="16"/>
      <c r="Y239" s="16"/>
      <c r="Z239" s="16"/>
      <c r="AA239" s="16"/>
      <c r="AB239" s="16"/>
      <c r="AC239" s="16"/>
      <c r="AD239" s="16"/>
    </row>
    <row r="240" spans="1:30" ht="15.75" customHeight="1">
      <c r="A240" s="16"/>
      <c r="B240" s="735"/>
      <c r="C240" s="696"/>
      <c r="D240" s="16"/>
      <c r="E240" s="16"/>
      <c r="F240" s="16"/>
      <c r="G240" s="16"/>
      <c r="H240" s="16"/>
      <c r="I240" s="16"/>
      <c r="J240" s="16"/>
      <c r="K240" s="16"/>
      <c r="L240" s="16"/>
      <c r="M240" s="735"/>
      <c r="N240" s="696"/>
      <c r="O240" s="696"/>
      <c r="P240" s="696"/>
      <c r="Q240" s="696"/>
      <c r="R240" s="696"/>
      <c r="S240" s="696"/>
      <c r="T240" s="696"/>
      <c r="U240" s="16"/>
      <c r="V240" s="16"/>
      <c r="W240" s="16"/>
      <c r="X240" s="16"/>
      <c r="Y240" s="16"/>
      <c r="Z240" s="16"/>
      <c r="AA240" s="16"/>
      <c r="AB240" s="16"/>
      <c r="AC240" s="16"/>
      <c r="AD240" s="16"/>
    </row>
    <row r="241" spans="1:30" ht="15.75" customHeight="1">
      <c r="A241" s="16"/>
      <c r="B241" s="735"/>
      <c r="C241" s="696"/>
      <c r="D241" s="16"/>
      <c r="E241" s="16"/>
      <c r="F241" s="16"/>
      <c r="G241" s="16"/>
      <c r="H241" s="16"/>
      <c r="I241" s="16"/>
      <c r="J241" s="16"/>
      <c r="K241" s="16"/>
      <c r="L241" s="16"/>
      <c r="M241" s="735"/>
      <c r="N241" s="696"/>
      <c r="O241" s="696"/>
      <c r="P241" s="696"/>
      <c r="Q241" s="696"/>
      <c r="R241" s="696"/>
      <c r="S241" s="696"/>
      <c r="T241" s="696"/>
      <c r="U241" s="16"/>
      <c r="V241" s="16"/>
      <c r="W241" s="16"/>
      <c r="X241" s="16"/>
      <c r="Y241" s="16"/>
      <c r="Z241" s="16"/>
      <c r="AA241" s="16"/>
      <c r="AB241" s="16"/>
      <c r="AC241" s="16"/>
      <c r="AD241" s="16"/>
    </row>
    <row r="242" spans="1:30" ht="15.75" customHeight="1">
      <c r="A242" s="16"/>
      <c r="B242" s="16"/>
      <c r="C242" s="16"/>
      <c r="D242" s="16"/>
      <c r="E242" s="16"/>
      <c r="F242" s="16"/>
      <c r="G242" s="16"/>
      <c r="H242" s="16"/>
      <c r="I242" s="16"/>
      <c r="J242" s="16"/>
      <c r="K242" s="16"/>
      <c r="L242" s="16"/>
      <c r="M242" s="735"/>
      <c r="N242" s="696"/>
      <c r="O242" s="696"/>
      <c r="P242" s="696"/>
      <c r="Q242" s="696"/>
      <c r="R242" s="696"/>
      <c r="S242" s="696"/>
      <c r="T242" s="696"/>
      <c r="U242" s="16"/>
      <c r="V242" s="16"/>
      <c r="W242" s="16"/>
      <c r="X242" s="16"/>
      <c r="Y242" s="16"/>
      <c r="Z242" s="16"/>
      <c r="AA242" s="16"/>
      <c r="AB242" s="16"/>
      <c r="AC242" s="16"/>
      <c r="AD242" s="16"/>
    </row>
    <row r="243" spans="1:30" ht="15.75" customHeight="1">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c r="AD243" s="16"/>
    </row>
    <row r="244" spans="1:30" ht="15.75" customHeight="1">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16"/>
    </row>
    <row r="245" spans="1:30" ht="15.75" customHeight="1">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c r="AD245" s="16"/>
    </row>
    <row r="246" spans="1:30" ht="15.75" customHeight="1">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row>
    <row r="247" spans="1:30" ht="15.75" customHeight="1">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c r="AD247" s="16"/>
    </row>
    <row r="248" spans="1:30" ht="15.75" customHeight="1">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row>
    <row r="249" spans="1:30" ht="15.75" customHeight="1">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row>
    <row r="250" spans="1:30" ht="15.75" customHeight="1">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c r="AD250" s="16"/>
    </row>
    <row r="251" spans="1:30" ht="15.75" customHeight="1">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row>
    <row r="252" spans="1:30" ht="15.75" customHeight="1">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16"/>
    </row>
    <row r="253" spans="1:30" ht="15.75" customHeight="1">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c r="AD253" s="16"/>
    </row>
    <row r="254" spans="1:30" ht="15.75" customHeight="1">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row>
    <row r="255" spans="1:30" ht="15.75" customHeight="1">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c r="AD255" s="16"/>
    </row>
    <row r="256" spans="1:30" ht="15.75" customHeight="1">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row>
    <row r="257" spans="1:30" ht="15.75" customHeight="1">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c r="AD257" s="16"/>
    </row>
    <row r="258" spans="1:30" ht="15.75" customHeight="1">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c r="AD258" s="16"/>
    </row>
    <row r="259" spans="1:30" ht="15.75" customHeight="1">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row>
    <row r="260" spans="1:30" ht="15.75" customHeight="1">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row>
    <row r="261" spans="1:30" ht="15.75" customHeight="1">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c r="AD261" s="16"/>
    </row>
    <row r="262" spans="1:30" ht="15.75" customHeight="1">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row>
    <row r="263" spans="1:30" ht="15.75" customHeight="1">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row>
    <row r="264" spans="1:30" ht="15.75" customHeight="1">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c r="AD264" s="16"/>
    </row>
    <row r="265" spans="1:30" ht="15.75" customHeight="1">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row>
    <row r="266" spans="1:30" ht="15.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row>
    <row r="267" spans="1:30" ht="15.75" customHeight="1">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row>
    <row r="268" spans="1:30" ht="15.75" customHeight="1">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c r="AD268" s="16"/>
    </row>
    <row r="269" spans="1:30" ht="15.75" customHeight="1">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row>
    <row r="270" spans="1:30" ht="15.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row>
    <row r="271" spans="1:30" ht="15.75" customHeight="1">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c r="AD271" s="16"/>
    </row>
    <row r="272" spans="1:30" ht="15.75" customHeight="1">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c r="AD272" s="16"/>
    </row>
    <row r="273" spans="1:30" ht="15.75" customHeight="1">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c r="AD273" s="16"/>
    </row>
    <row r="274" spans="1:30" ht="15.75" customHeight="1">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c r="AD274" s="16"/>
    </row>
    <row r="275" spans="1:30" ht="15.75" customHeight="1">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c r="AD275" s="16"/>
    </row>
    <row r="276" spans="1:30" ht="15.75" customHeight="1">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row>
    <row r="277" spans="1:30" ht="15.75" customHeight="1">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16"/>
    </row>
    <row r="278" spans="1:30" ht="15.75" customHeight="1">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row>
    <row r="279" spans="1:30" ht="15.75" customHeight="1">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16"/>
    </row>
    <row r="280" spans="1:30" ht="15.75" customHeight="1">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c r="AD280" s="16"/>
    </row>
    <row r="281" spans="1:30" ht="15.75" customHeight="1">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c r="AD281" s="16"/>
    </row>
    <row r="282" spans="1:30" ht="15.75" customHeight="1">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c r="AD282" s="16"/>
    </row>
    <row r="283" spans="1:30" ht="15.75" customHeight="1">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c r="AD283" s="16"/>
    </row>
    <row r="284" spans="1:30" ht="15.75" customHeight="1">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c r="AD284" s="16"/>
    </row>
    <row r="285" spans="1:30" ht="15.75" customHeight="1">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c r="AD285" s="16"/>
    </row>
    <row r="286" spans="1:30" ht="15.75" customHeight="1">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row>
    <row r="287" spans="1:30" ht="15.75" customHeight="1">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row>
    <row r="288" spans="1:30" ht="15.75" customHeight="1">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row>
    <row r="289" spans="1:30" ht="15.75" customHeight="1">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row>
    <row r="290" spans="1:30" ht="15.75" customHeight="1">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row>
    <row r="291" spans="1:30" ht="15.75" customHeight="1">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c r="AD291" s="16"/>
    </row>
    <row r="292" spans="1:30" ht="15.75" customHeight="1">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row>
    <row r="293" spans="1:30" ht="15.75" customHeight="1">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row>
    <row r="294" spans="1:30" ht="15.75" customHeight="1">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row>
    <row r="295" spans="1:30" ht="15.75" customHeight="1">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row>
    <row r="296" spans="1:30" ht="15.75" customHeight="1">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row>
    <row r="297" spans="1:30" ht="15.75" customHeight="1">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row>
    <row r="298" spans="1:30" ht="15.75" customHeight="1">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row>
    <row r="299" spans="1:30" ht="15.75" customHeight="1">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row>
    <row r="300" spans="1:30" ht="15.75" customHeight="1">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row>
    <row r="301" spans="1:30" ht="15.75" customHeight="1">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c r="AD301" s="16"/>
    </row>
    <row r="302" spans="1:30" ht="15.75" customHeight="1">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c r="AD302" s="16"/>
    </row>
    <row r="303" spans="1:30" ht="15.75" customHeight="1">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row>
    <row r="304" spans="1:30" ht="15.75" customHeight="1">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c r="AD304" s="16"/>
    </row>
    <row r="305" spans="1:30" ht="15.75" customHeight="1">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c r="AD305" s="16"/>
    </row>
    <row r="306" spans="1:30" ht="15.75" customHeight="1">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c r="AA306" s="16"/>
      <c r="AB306" s="16"/>
      <c r="AC306" s="16"/>
      <c r="AD306" s="16"/>
    </row>
    <row r="307" spans="1:30" ht="15.75" customHeight="1">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c r="AA307" s="16"/>
      <c r="AB307" s="16"/>
      <c r="AC307" s="16"/>
      <c r="AD307" s="16"/>
    </row>
    <row r="308" spans="1:30" ht="15.75" customHeight="1">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c r="AA308" s="16"/>
      <c r="AB308" s="16"/>
      <c r="AC308" s="16"/>
      <c r="AD308" s="16"/>
    </row>
    <row r="309" spans="1:30" ht="15.75" customHeight="1">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c r="AA309" s="16"/>
      <c r="AB309" s="16"/>
      <c r="AC309" s="16"/>
      <c r="AD309" s="16"/>
    </row>
    <row r="310" spans="1:30" ht="15.75" customHeight="1">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c r="AA310" s="16"/>
      <c r="AB310" s="16"/>
      <c r="AC310" s="16"/>
      <c r="AD310" s="16"/>
    </row>
    <row r="311" spans="1:30" ht="15.75" customHeight="1">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c r="AA311" s="16"/>
      <c r="AB311" s="16"/>
      <c r="AC311" s="16"/>
      <c r="AD311" s="16"/>
    </row>
    <row r="312" spans="1:30" ht="15.75" customHeight="1">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c r="AA312" s="16"/>
      <c r="AB312" s="16"/>
      <c r="AC312" s="16"/>
      <c r="AD312" s="16"/>
    </row>
    <row r="313" spans="1:30" ht="15.75" customHeight="1">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c r="AA313" s="16"/>
      <c r="AB313" s="16"/>
      <c r="AC313" s="16"/>
      <c r="AD313" s="16"/>
    </row>
    <row r="314" spans="1:30" ht="15.75" customHeight="1">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c r="AA314" s="16"/>
      <c r="AB314" s="16"/>
      <c r="AC314" s="16"/>
      <c r="AD314" s="16"/>
    </row>
    <row r="315" spans="1:30" ht="15.75" customHeight="1">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c r="AA315" s="16"/>
      <c r="AB315" s="16"/>
      <c r="AC315" s="16"/>
      <c r="AD315" s="16"/>
    </row>
    <row r="316" spans="1:30" ht="15.75" customHeight="1">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c r="AA316" s="16"/>
      <c r="AB316" s="16"/>
      <c r="AC316" s="16"/>
      <c r="AD316" s="16"/>
    </row>
    <row r="317" spans="1:30" ht="15.75" customHeight="1">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c r="AA317" s="16"/>
      <c r="AB317" s="16"/>
      <c r="AC317" s="16"/>
      <c r="AD317" s="16"/>
    </row>
    <row r="318" spans="1:30" ht="15.75" customHeight="1">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c r="AA318" s="16"/>
      <c r="AB318" s="16"/>
      <c r="AC318" s="16"/>
      <c r="AD318" s="16"/>
    </row>
    <row r="319" spans="1:30" ht="15.75" customHeight="1">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c r="AA319" s="16"/>
      <c r="AB319" s="16"/>
      <c r="AC319" s="16"/>
      <c r="AD319" s="16"/>
    </row>
    <row r="320" spans="1:30" ht="15.75" customHeight="1">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c r="AA320" s="16"/>
      <c r="AB320" s="16"/>
      <c r="AC320" s="16"/>
      <c r="AD320" s="16"/>
    </row>
    <row r="321" spans="1:30" ht="15.75" customHeight="1">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c r="AA321" s="16"/>
      <c r="AB321" s="16"/>
      <c r="AC321" s="16"/>
      <c r="AD321" s="16"/>
    </row>
    <row r="322" spans="1:30" ht="15.75" customHeight="1">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c r="AA322" s="16"/>
      <c r="AB322" s="16"/>
      <c r="AC322" s="16"/>
      <c r="AD322" s="16"/>
    </row>
    <row r="323" spans="1:30" ht="15.75" customHeight="1">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c r="AA323" s="16"/>
      <c r="AB323" s="16"/>
      <c r="AC323" s="16"/>
      <c r="AD323" s="16"/>
    </row>
    <row r="324" spans="1:30" ht="15.75" customHeight="1">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c r="AA324" s="16"/>
      <c r="AB324" s="16"/>
      <c r="AC324" s="16"/>
      <c r="AD324" s="16"/>
    </row>
    <row r="325" spans="1:30" ht="15.75" customHeight="1">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c r="AA325" s="16"/>
      <c r="AB325" s="16"/>
      <c r="AC325" s="16"/>
      <c r="AD325" s="16"/>
    </row>
    <row r="326" spans="1:30" ht="15.75" customHeight="1">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c r="AA326" s="16"/>
      <c r="AB326" s="16"/>
      <c r="AC326" s="16"/>
      <c r="AD326" s="16"/>
    </row>
    <row r="327" spans="1:30" ht="15.75" customHeight="1">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c r="AA327" s="16"/>
      <c r="AB327" s="16"/>
      <c r="AC327" s="16"/>
      <c r="AD327" s="16"/>
    </row>
    <row r="328" spans="1:30" ht="15.75" customHeight="1">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c r="AA328" s="16"/>
      <c r="AB328" s="16"/>
      <c r="AC328" s="16"/>
      <c r="AD328" s="16"/>
    </row>
    <row r="329" spans="1:30" ht="15.75" customHeight="1">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c r="AA329" s="16"/>
      <c r="AB329" s="16"/>
      <c r="AC329" s="16"/>
      <c r="AD329" s="16"/>
    </row>
    <row r="330" spans="1:30" ht="15.75" customHeight="1">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c r="AA330" s="16"/>
      <c r="AB330" s="16"/>
      <c r="AC330" s="16"/>
      <c r="AD330" s="16"/>
    </row>
    <row r="331" spans="1:30" ht="15.75" customHeight="1">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c r="AA331" s="16"/>
      <c r="AB331" s="16"/>
      <c r="AC331" s="16"/>
      <c r="AD331" s="16"/>
    </row>
    <row r="332" spans="1:30" ht="15.75" customHeight="1">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c r="AA332" s="16"/>
      <c r="AB332" s="16"/>
      <c r="AC332" s="16"/>
      <c r="AD332" s="16"/>
    </row>
    <row r="333" spans="1:30" ht="15.75" customHeight="1">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c r="AA333" s="16"/>
      <c r="AB333" s="16"/>
      <c r="AC333" s="16"/>
      <c r="AD333" s="16"/>
    </row>
    <row r="334" spans="1:30" ht="15.75" customHeight="1">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c r="AA334" s="16"/>
      <c r="AB334" s="16"/>
      <c r="AC334" s="16"/>
      <c r="AD334" s="16"/>
    </row>
    <row r="335" spans="1:30" ht="15.75" customHeight="1">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c r="AA335" s="16"/>
      <c r="AB335" s="16"/>
      <c r="AC335" s="16"/>
      <c r="AD335" s="16"/>
    </row>
    <row r="336" spans="1:30" ht="15.75" customHeight="1">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c r="AA336" s="16"/>
      <c r="AB336" s="16"/>
      <c r="AC336" s="16"/>
      <c r="AD336" s="16"/>
    </row>
    <row r="337" spans="1:30" ht="15.75" customHeight="1">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c r="AA337" s="16"/>
      <c r="AB337" s="16"/>
      <c r="AC337" s="16"/>
      <c r="AD337" s="16"/>
    </row>
    <row r="338" spans="1:30" ht="15.75" customHeight="1">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c r="AA338" s="16"/>
      <c r="AB338" s="16"/>
      <c r="AC338" s="16"/>
      <c r="AD338" s="16"/>
    </row>
    <row r="339" spans="1:30" ht="15.75" customHeight="1">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c r="AA339" s="16"/>
      <c r="AB339" s="16"/>
      <c r="AC339" s="16"/>
      <c r="AD339" s="16"/>
    </row>
    <row r="340" spans="1:30" ht="15.75" customHeight="1">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c r="AA340" s="16"/>
      <c r="AB340" s="16"/>
      <c r="AC340" s="16"/>
      <c r="AD340" s="16"/>
    </row>
    <row r="341" spans="1:30" ht="15.75" customHeight="1">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c r="AA341" s="16"/>
      <c r="AB341" s="16"/>
      <c r="AC341" s="16"/>
      <c r="AD341" s="16"/>
    </row>
    <row r="342" spans="1:30" ht="15.75" customHeight="1">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c r="AA342" s="16"/>
      <c r="AB342" s="16"/>
      <c r="AC342" s="16"/>
      <c r="AD342" s="16"/>
    </row>
    <row r="343" spans="1:30" ht="15.75" customHeight="1">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c r="AA343" s="16"/>
      <c r="AB343" s="16"/>
      <c r="AC343" s="16"/>
      <c r="AD343" s="16"/>
    </row>
    <row r="344" spans="1:30" ht="15.75" customHeight="1">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c r="AA344" s="16"/>
      <c r="AB344" s="16"/>
      <c r="AC344" s="16"/>
      <c r="AD344" s="16"/>
    </row>
    <row r="345" spans="1:30" ht="15.75" customHeight="1">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c r="AA345" s="16"/>
      <c r="AB345" s="16"/>
      <c r="AC345" s="16"/>
      <c r="AD345" s="16"/>
    </row>
    <row r="346" spans="1:30" ht="15.75" customHeight="1">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c r="AA346" s="16"/>
      <c r="AB346" s="16"/>
      <c r="AC346" s="16"/>
      <c r="AD346" s="16"/>
    </row>
    <row r="347" spans="1:30" ht="15.75" customHeight="1">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c r="AA347" s="16"/>
      <c r="AB347" s="16"/>
      <c r="AC347" s="16"/>
      <c r="AD347" s="16"/>
    </row>
    <row r="348" spans="1:30" ht="15.75" customHeight="1">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c r="AA348" s="16"/>
      <c r="AB348" s="16"/>
      <c r="AC348" s="16"/>
      <c r="AD348" s="16"/>
    </row>
    <row r="349" spans="1:30" ht="15.75" customHeight="1">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c r="AA349" s="16"/>
      <c r="AB349" s="16"/>
      <c r="AC349" s="16"/>
      <c r="AD349" s="16"/>
    </row>
    <row r="350" spans="1:30" ht="15.75" customHeight="1">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c r="AA350" s="16"/>
      <c r="AB350" s="16"/>
      <c r="AC350" s="16"/>
      <c r="AD350" s="16"/>
    </row>
    <row r="351" spans="1:30" ht="15.75" customHeight="1">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c r="AA351" s="16"/>
      <c r="AB351" s="16"/>
      <c r="AC351" s="16"/>
      <c r="AD351" s="16"/>
    </row>
    <row r="352" spans="1:30" ht="15.75" customHeight="1">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c r="AA352" s="16"/>
      <c r="AB352" s="16"/>
      <c r="AC352" s="16"/>
      <c r="AD352" s="16"/>
    </row>
    <row r="353" spans="1:30" ht="15.75" customHeight="1">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c r="AA353" s="16"/>
      <c r="AB353" s="16"/>
      <c r="AC353" s="16"/>
      <c r="AD353" s="16"/>
    </row>
    <row r="354" spans="1:30" ht="15.75" customHeight="1">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c r="AA354" s="16"/>
      <c r="AB354" s="16"/>
      <c r="AC354" s="16"/>
      <c r="AD354" s="16"/>
    </row>
    <row r="355" spans="1:30" ht="15.75" customHeight="1">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c r="AA355" s="16"/>
      <c r="AB355" s="16"/>
      <c r="AC355" s="16"/>
      <c r="AD355" s="16"/>
    </row>
    <row r="356" spans="1:30" ht="15.75" customHeight="1">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c r="AA356" s="16"/>
      <c r="AB356" s="16"/>
      <c r="AC356" s="16"/>
      <c r="AD356" s="16"/>
    </row>
    <row r="357" spans="1:30" ht="15.75" customHeight="1">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c r="AA357" s="16"/>
      <c r="AB357" s="16"/>
      <c r="AC357" s="16"/>
      <c r="AD357" s="16"/>
    </row>
    <row r="358" spans="1:30" ht="15.75" customHeight="1">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c r="AA358" s="16"/>
      <c r="AB358" s="16"/>
      <c r="AC358" s="16"/>
      <c r="AD358" s="16"/>
    </row>
    <row r="359" spans="1:30" ht="15.75" customHeight="1">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c r="AA359" s="16"/>
      <c r="AB359" s="16"/>
      <c r="AC359" s="16"/>
      <c r="AD359" s="16"/>
    </row>
    <row r="360" spans="1:30" ht="15.75" customHeight="1">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c r="AA360" s="16"/>
      <c r="AB360" s="16"/>
      <c r="AC360" s="16"/>
      <c r="AD360" s="16"/>
    </row>
    <row r="361" spans="1:30" ht="15.75" customHeight="1">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c r="AA361" s="16"/>
      <c r="AB361" s="16"/>
      <c r="AC361" s="16"/>
      <c r="AD361" s="16"/>
    </row>
    <row r="362" spans="1:30" ht="15.75" customHeight="1">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c r="AA362" s="16"/>
      <c r="AB362" s="16"/>
      <c r="AC362" s="16"/>
      <c r="AD362" s="16"/>
    </row>
    <row r="363" spans="1:30" ht="15.75" customHeight="1">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c r="AA363" s="16"/>
      <c r="AB363" s="16"/>
      <c r="AC363" s="16"/>
      <c r="AD363" s="16"/>
    </row>
    <row r="364" spans="1:30" ht="15.75" customHeight="1">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c r="AA364" s="16"/>
      <c r="AB364" s="16"/>
      <c r="AC364" s="16"/>
      <c r="AD364" s="16"/>
    </row>
    <row r="365" spans="1:30" ht="15.75" customHeight="1">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c r="AA365" s="16"/>
      <c r="AB365" s="16"/>
      <c r="AC365" s="16"/>
      <c r="AD365" s="16"/>
    </row>
    <row r="366" spans="1:30" ht="15.75" customHeight="1">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c r="AA366" s="16"/>
      <c r="AB366" s="16"/>
      <c r="AC366" s="16"/>
      <c r="AD366" s="16"/>
    </row>
    <row r="367" spans="1:30" ht="15.75" customHeight="1">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c r="AA367" s="16"/>
      <c r="AB367" s="16"/>
      <c r="AC367" s="16"/>
      <c r="AD367" s="16"/>
    </row>
    <row r="368" spans="1:30" ht="15.75" customHeight="1">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c r="AA368" s="16"/>
      <c r="AB368" s="16"/>
      <c r="AC368" s="16"/>
      <c r="AD368" s="16"/>
    </row>
    <row r="369" spans="1:30" ht="15.75" customHeight="1">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c r="AA369" s="16"/>
      <c r="AB369" s="16"/>
      <c r="AC369" s="16"/>
      <c r="AD369" s="16"/>
    </row>
    <row r="370" spans="1:30" ht="15.75" customHeight="1">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c r="AA370" s="16"/>
      <c r="AB370" s="16"/>
      <c r="AC370" s="16"/>
      <c r="AD370" s="16"/>
    </row>
    <row r="371" spans="1:30" ht="15.75" customHeight="1">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c r="AA371" s="16"/>
      <c r="AB371" s="16"/>
      <c r="AC371" s="16"/>
      <c r="AD371" s="16"/>
    </row>
    <row r="372" spans="1:30" ht="15.75" customHeight="1">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c r="AA372" s="16"/>
      <c r="AB372" s="16"/>
      <c r="AC372" s="16"/>
      <c r="AD372" s="16"/>
    </row>
    <row r="373" spans="1:30" ht="15.75" customHeight="1">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c r="AA373" s="16"/>
      <c r="AB373" s="16"/>
      <c r="AC373" s="16"/>
      <c r="AD373" s="16"/>
    </row>
    <row r="374" spans="1:30" ht="15.75" customHeight="1">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c r="AA374" s="16"/>
      <c r="AB374" s="16"/>
      <c r="AC374" s="16"/>
      <c r="AD374" s="16"/>
    </row>
    <row r="375" spans="1:30" ht="15.75" customHeight="1">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c r="AA375" s="16"/>
      <c r="AB375" s="16"/>
      <c r="AC375" s="16"/>
      <c r="AD375" s="16"/>
    </row>
    <row r="376" spans="1:30" ht="15.75" customHeight="1">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c r="AA376" s="16"/>
      <c r="AB376" s="16"/>
      <c r="AC376" s="16"/>
      <c r="AD376" s="16"/>
    </row>
    <row r="377" spans="1:30" ht="15.75" customHeight="1">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c r="AA377" s="16"/>
      <c r="AB377" s="16"/>
      <c r="AC377" s="16"/>
      <c r="AD377" s="16"/>
    </row>
    <row r="378" spans="1:30" ht="15.75" customHeight="1">
      <c r="K378" s="16"/>
      <c r="L378" s="16"/>
      <c r="M378" s="16"/>
      <c r="N378" s="16"/>
      <c r="O378" s="16"/>
      <c r="P378" s="16"/>
      <c r="Q378" s="16"/>
      <c r="R378" s="16"/>
      <c r="S378" s="16"/>
      <c r="T378" s="16"/>
      <c r="U378" s="16"/>
      <c r="V378" s="16"/>
      <c r="W378" s="16"/>
      <c r="X378" s="16"/>
      <c r="Y378" s="16"/>
      <c r="Z378" s="16"/>
      <c r="AA378" s="16"/>
      <c r="AB378" s="16"/>
      <c r="AC378" s="16"/>
      <c r="AD378" s="16"/>
    </row>
    <row r="379" spans="1:30" ht="15.75" customHeight="1"/>
    <row r="380" spans="1:30" ht="15.75" customHeight="1"/>
    <row r="381" spans="1:30" ht="15.75" customHeight="1"/>
    <row r="382" spans="1:30" ht="15.75" customHeight="1"/>
    <row r="383" spans="1:30" ht="15.75" customHeight="1"/>
    <row r="384" spans="1:30"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row r="1068" ht="15.75" customHeight="1"/>
    <row r="1069" ht="15.75" customHeight="1"/>
    <row r="1070" ht="15.75" customHeight="1"/>
    <row r="1071" ht="15.75" customHeight="1"/>
    <row r="1072" ht="15.75" customHeight="1"/>
    <row r="1073" ht="15.75" customHeight="1"/>
    <row r="1074" ht="15.75" customHeight="1"/>
    <row r="1075" ht="15.75" customHeight="1"/>
    <row r="1076" ht="15.75" customHeight="1"/>
  </sheetData>
  <mergeCells count="99">
    <mergeCell ref="M237:O237"/>
    <mergeCell ref="B240:C240"/>
    <mergeCell ref="M241:O241"/>
    <mergeCell ref="B241:C241"/>
    <mergeCell ref="M242:O242"/>
    <mergeCell ref="B237:C237"/>
    <mergeCell ref="M238:O238"/>
    <mergeCell ref="B238:C238"/>
    <mergeCell ref="M239:O239"/>
    <mergeCell ref="B239:C239"/>
    <mergeCell ref="M240:O240"/>
    <mergeCell ref="M225:O225"/>
    <mergeCell ref="B227:C227"/>
    <mergeCell ref="M228:O228"/>
    <mergeCell ref="M231:O231"/>
    <mergeCell ref="B231:C231"/>
    <mergeCell ref="M232:O232"/>
    <mergeCell ref="P228:T228"/>
    <mergeCell ref="B228:C228"/>
    <mergeCell ref="M229:O229"/>
    <mergeCell ref="P229:T242"/>
    <mergeCell ref="B229:C229"/>
    <mergeCell ref="M230:O230"/>
    <mergeCell ref="B230:C230"/>
    <mergeCell ref="B233:C233"/>
    <mergeCell ref="M234:O234"/>
    <mergeCell ref="B232:C232"/>
    <mergeCell ref="M233:O233"/>
    <mergeCell ref="B234:C234"/>
    <mergeCell ref="M235:O235"/>
    <mergeCell ref="B235:C235"/>
    <mergeCell ref="M236:O236"/>
    <mergeCell ref="B236:C236"/>
    <mergeCell ref="M224:O224"/>
    <mergeCell ref="M211:O211"/>
    <mergeCell ref="P211:T211"/>
    <mergeCell ref="M212:O212"/>
    <mergeCell ref="P212:T225"/>
    <mergeCell ref="M213:O213"/>
    <mergeCell ref="M214:O214"/>
    <mergeCell ref="M215:O215"/>
    <mergeCell ref="M216:O216"/>
    <mergeCell ref="M217:O217"/>
    <mergeCell ref="M218:O218"/>
    <mergeCell ref="M219:O219"/>
    <mergeCell ref="M220:O220"/>
    <mergeCell ref="M221:O221"/>
    <mergeCell ref="M222:O222"/>
    <mergeCell ref="M223:O223"/>
    <mergeCell ref="M208:O208"/>
    <mergeCell ref="P194:R194"/>
    <mergeCell ref="M196:O196"/>
    <mergeCell ref="P196:T196"/>
    <mergeCell ref="M197:O197"/>
    <mergeCell ref="P197:T208"/>
    <mergeCell ref="M198:O198"/>
    <mergeCell ref="M199:O199"/>
    <mergeCell ref="M200:O200"/>
    <mergeCell ref="M201:O201"/>
    <mergeCell ref="M202:O202"/>
    <mergeCell ref="M203:O203"/>
    <mergeCell ref="M204:O204"/>
    <mergeCell ref="M205:O205"/>
    <mergeCell ref="M206:O206"/>
    <mergeCell ref="M207:O207"/>
    <mergeCell ref="AG29:AH29"/>
    <mergeCell ref="AI29:AJ29"/>
    <mergeCell ref="AG30:AH40"/>
    <mergeCell ref="AI30:AJ40"/>
    <mergeCell ref="P188:R188"/>
    <mergeCell ref="P189:R189"/>
    <mergeCell ref="P190:R190"/>
    <mergeCell ref="P191:R191"/>
    <mergeCell ref="P192:R192"/>
    <mergeCell ref="P193:R193"/>
    <mergeCell ref="K91:O104"/>
    <mergeCell ref="P91:Q104"/>
    <mergeCell ref="I50:K50"/>
    <mergeCell ref="I51:K55"/>
    <mergeCell ref="K59:M59"/>
    <mergeCell ref="H107:I107"/>
    <mergeCell ref="H108:I150"/>
    <mergeCell ref="J107:K107"/>
    <mergeCell ref="J108:K150"/>
    <mergeCell ref="P90:Q90"/>
    <mergeCell ref="K90:O90"/>
    <mergeCell ref="H38:J47"/>
    <mergeCell ref="K60:M87"/>
    <mergeCell ref="A29:F29"/>
    <mergeCell ref="A1:C1"/>
    <mergeCell ref="E1:H1"/>
    <mergeCell ref="D7:I7"/>
    <mergeCell ref="D8:I8"/>
    <mergeCell ref="A28:F28"/>
    <mergeCell ref="A30:F30"/>
    <mergeCell ref="A31:F31"/>
    <mergeCell ref="A32:F32"/>
    <mergeCell ref="A34:F34"/>
    <mergeCell ref="H37:J37"/>
  </mergeCells>
  <phoneticPr fontId="31" type="noConversion"/>
  <conditionalFormatting sqref="I60:I87">
    <cfRule type="containsText" dxfId="307" priority="1" operator="containsText" text="5">
      <formula>NOT(ISERROR(SEARCH(("5"),(I60))))</formula>
    </cfRule>
    <cfRule type="containsText" dxfId="306" priority="2" operator="containsText" text="42">
      <formula>NOT(ISERROR(SEARCH(("42"),(I60))))</formula>
    </cfRule>
    <cfRule type="containsText" dxfId="305" priority="3" operator="containsText" text="Please fill in">
      <formula>NOT(ISERROR(SEARCH(("Please fill in"),(I60))))</formula>
    </cfRule>
  </conditionalFormatting>
  <dataValidations count="5">
    <dataValidation type="list" allowBlank="1" showErrorMessage="1" sqref="D54:D55" xr:uid="{78EA2E06-3BAC-4694-A789-464961AB7B08}">
      <formula1>'Piranha ZPR'!TypesOfTrainers</formula1>
    </dataValidation>
    <dataValidation type="list" allowBlank="1" showErrorMessage="1" sqref="B9" xr:uid="{F4BBBFF1-4050-4726-8D2C-6EFD302F6490}">
      <formula1>"yes,no,partial"</formula1>
    </dataValidation>
    <dataValidation type="list" allowBlank="1" sqref="G51:G55" xr:uid="{32DF0D81-E1B4-4019-8067-BCA0287C48F5}">
      <formula1>"yes,no"</formula1>
    </dataValidation>
    <dataValidation type="list" allowBlank="1" showErrorMessage="1" sqref="D51:D53 H60:H87" xr:uid="{0B95A574-E199-4E54-AA42-082DD30E32A3}">
      <formula1>'https://universiteittwente.sharepoint.com/sites/SportsCoordinatorsSUT/Gedeelde documenten/General/(WIP) FAM Sheets - Regulations 2025-28 - Version April 2025.xlsx'!TypesOfTrainers</formula1>
    </dataValidation>
    <dataValidation type="list" allowBlank="1" showErrorMessage="1" sqref="B90:B103" xr:uid="{6C6F1551-27A4-434F-BACC-D13900CE2D5E}">
      <formula1>'https://universiteittwente.sharepoint.com/sites/SportsCoordinatorsSUT/Gedeelde documenten/General/(WIP) FAM Sheets - Regulations 2025-28 - Version April 2025.xlsx'!LocationNames</formula1>
    </dataValidation>
  </dataValidations>
  <pageMargins left="0.7" right="0.7" top="0.75" bottom="0.75" header="0" footer="0"/>
  <pageSetup paperSize="9" orientation="portrait"/>
  <drawing r:id="rId1"/>
  <legacyDrawing r:id="rId2"/>
  <tableParts count="6">
    <tablePart r:id="rId3"/>
    <tablePart r:id="rId4"/>
    <tablePart r:id="rId5"/>
    <tablePart r:id="rId6"/>
    <tablePart r:id="rId7"/>
    <tablePart r:id="rId8"/>
  </tableParts>
  <extLst>
    <ext xmlns:x14="http://schemas.microsoft.com/office/spreadsheetml/2009/9/main" uri="{CCE6A557-97BC-4b89-ADB6-D9C93CAAB3DF}">
      <x14:dataValidations xmlns:xm="http://schemas.microsoft.com/office/excel/2006/main" count="3">
        <x14:dataValidation type="list" allowBlank="1" showInputMessage="1" showErrorMessage="1" xr:uid="{DF330CF5-5C74-4CA0-8393-F79A38D0854F}">
          <x14:formula1>
            <xm:f>Constants!$M$6:$M$7</xm:f>
          </x14:formula1>
          <xm:sqref>B164:B179</xm:sqref>
        </x14:dataValidation>
        <x14:dataValidation type="list" allowBlank="1" showInputMessage="1" showErrorMessage="1" xr:uid="{DF5D9528-B5FE-4223-9973-AEAA7162EEAC}">
          <x14:formula1>
            <xm:f>Constants!$C$55:$C$56</xm:f>
          </x14:formula1>
          <xm:sqref>B12</xm:sqref>
        </x14:dataValidation>
        <x14:dataValidation type="list" allowBlank="1" showErrorMessage="1" xr:uid="{B2FA029D-6874-4D4C-9D4C-C514BA006E95}">
          <x14:formula1>
            <xm:f>Constants!$H$6:$H$13</xm:f>
          </x14:formula1>
          <xm:sqref>B60:B87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D999"/>
  <sheetViews>
    <sheetView topLeftCell="A17" zoomScaleNormal="100" workbookViewId="0">
      <selection activeCell="B37" sqref="B37"/>
    </sheetView>
  </sheetViews>
  <sheetFormatPr defaultColWidth="12.625" defaultRowHeight="15" customHeight="1"/>
  <cols>
    <col min="1" max="1" width="32.125" customWidth="1"/>
    <col min="2" max="2" width="10.5" customWidth="1"/>
    <col min="3" max="3" width="13.5" customWidth="1"/>
    <col min="4" max="7" width="8.625" customWidth="1"/>
    <col min="8" max="8" width="12.875" customWidth="1"/>
    <col min="9" max="30" width="8.625" customWidth="1"/>
  </cols>
  <sheetData>
    <row r="1" spans="1:30" ht="13.5" customHeight="1">
      <c r="A1" s="15" t="s">
        <v>242</v>
      </c>
      <c r="B1" s="16"/>
      <c r="C1" s="16"/>
      <c r="D1" s="16"/>
      <c r="E1" s="16"/>
      <c r="F1" s="17"/>
      <c r="G1" s="17"/>
      <c r="H1" s="17"/>
      <c r="I1" s="17"/>
      <c r="J1" s="17"/>
      <c r="K1" s="17"/>
      <c r="L1" s="17"/>
      <c r="M1" s="17"/>
      <c r="N1" s="17"/>
      <c r="O1" s="18"/>
      <c r="P1" s="17"/>
      <c r="Q1" s="16"/>
      <c r="R1" s="17"/>
      <c r="S1" s="16"/>
      <c r="T1" s="16"/>
      <c r="U1" s="16"/>
      <c r="V1" s="16"/>
      <c r="W1" s="16"/>
      <c r="X1" s="16"/>
      <c r="Y1" s="16"/>
    </row>
    <row r="2" spans="1:30" ht="13.5" customHeight="1">
      <c r="A2" s="16" t="s">
        <v>243</v>
      </c>
      <c r="B2" s="16" t="s">
        <v>244</v>
      </c>
      <c r="C2" s="16" t="s">
        <v>245</v>
      </c>
      <c r="D2" s="16" t="s">
        <v>246</v>
      </c>
      <c r="E2" s="16" t="s">
        <v>247</v>
      </c>
      <c r="F2" s="16" t="s">
        <v>248</v>
      </c>
      <c r="G2" s="16" t="s">
        <v>249</v>
      </c>
      <c r="H2" s="17" t="s">
        <v>250</v>
      </c>
      <c r="I2" s="17" t="s">
        <v>251</v>
      </c>
      <c r="J2" s="17" t="s">
        <v>252</v>
      </c>
      <c r="K2" s="17" t="s">
        <v>253</v>
      </c>
      <c r="L2" s="17" t="s">
        <v>254</v>
      </c>
      <c r="M2" s="17" t="s">
        <v>255</v>
      </c>
      <c r="N2" s="17" t="s">
        <v>256</v>
      </c>
      <c r="O2" s="17" t="s">
        <v>257</v>
      </c>
      <c r="P2" s="17" t="s">
        <v>258</v>
      </c>
      <c r="Q2" s="17" t="s">
        <v>259</v>
      </c>
      <c r="R2" s="17" t="s">
        <v>260</v>
      </c>
      <c r="S2" s="18" t="s">
        <v>261</v>
      </c>
      <c r="T2" s="17" t="s">
        <v>262</v>
      </c>
      <c r="U2" s="17" t="s">
        <v>263</v>
      </c>
      <c r="V2" s="16" t="s">
        <v>264</v>
      </c>
      <c r="W2" s="17" t="s">
        <v>265</v>
      </c>
      <c r="X2" s="16" t="s">
        <v>266</v>
      </c>
      <c r="Y2" s="16" t="s">
        <v>267</v>
      </c>
      <c r="Z2" s="16" t="s">
        <v>268</v>
      </c>
      <c r="AA2" s="16" t="s">
        <v>269</v>
      </c>
      <c r="AB2" s="16" t="s">
        <v>270</v>
      </c>
      <c r="AC2" s="16" t="s">
        <v>271</v>
      </c>
      <c r="AD2" s="16" t="s">
        <v>272</v>
      </c>
    </row>
    <row r="3" spans="1:30" ht="13.5" customHeight="1">
      <c r="A3" s="19">
        <v>67.5</v>
      </c>
      <c r="B3" s="19">
        <v>35</v>
      </c>
      <c r="C3" s="19">
        <v>67.5</v>
      </c>
      <c r="D3" s="19">
        <v>35</v>
      </c>
      <c r="E3" s="20">
        <v>40</v>
      </c>
      <c r="F3" s="19">
        <v>40</v>
      </c>
      <c r="G3" s="19">
        <v>35</v>
      </c>
      <c r="H3" s="19">
        <v>35</v>
      </c>
      <c r="I3" s="19">
        <v>40</v>
      </c>
      <c r="J3" s="19">
        <v>27.5</v>
      </c>
      <c r="K3" s="19">
        <v>45</v>
      </c>
      <c r="L3" s="19">
        <v>75</v>
      </c>
      <c r="M3" s="19">
        <v>40</v>
      </c>
      <c r="N3" s="19">
        <v>75</v>
      </c>
      <c r="O3" s="19">
        <v>40</v>
      </c>
      <c r="P3" s="19">
        <v>30</v>
      </c>
      <c r="Q3" s="19">
        <v>50</v>
      </c>
      <c r="R3" s="19">
        <v>75</v>
      </c>
      <c r="S3" s="19">
        <v>40</v>
      </c>
      <c r="T3" s="19">
        <v>75</v>
      </c>
      <c r="U3" s="19">
        <v>40</v>
      </c>
      <c r="V3" s="19">
        <v>50</v>
      </c>
      <c r="W3" s="19">
        <v>65</v>
      </c>
      <c r="X3" s="19">
        <v>35</v>
      </c>
      <c r="Y3" s="19">
        <v>45</v>
      </c>
      <c r="Z3" s="19">
        <v>50</v>
      </c>
      <c r="AA3" s="19">
        <v>0</v>
      </c>
      <c r="AB3" s="20">
        <v>65</v>
      </c>
      <c r="AC3" s="19">
        <v>70</v>
      </c>
    </row>
    <row r="4" spans="1:30" ht="13.5" customHeight="1"/>
    <row r="5" spans="1:30" ht="13.5" customHeight="1">
      <c r="A5" s="21" t="s">
        <v>273</v>
      </c>
      <c r="E5" s="21" t="s">
        <v>274</v>
      </c>
      <c r="H5" s="21" t="s">
        <v>275</v>
      </c>
      <c r="M5" s="237" t="s">
        <v>276</v>
      </c>
    </row>
    <row r="6" spans="1:30" ht="13.5" customHeight="1">
      <c r="A6" s="22" t="s">
        <v>277</v>
      </c>
      <c r="B6" s="20">
        <v>50</v>
      </c>
      <c r="E6" s="22" t="s">
        <v>57</v>
      </c>
      <c r="H6" s="22" t="s">
        <v>278</v>
      </c>
      <c r="M6" s="233" t="s">
        <v>279</v>
      </c>
    </row>
    <row r="7" spans="1:30" ht="13.5" customHeight="1">
      <c r="A7" s="22" t="s">
        <v>280</v>
      </c>
      <c r="B7" s="22">
        <v>0.2</v>
      </c>
      <c r="E7" s="22" t="s">
        <v>281</v>
      </c>
      <c r="H7" s="22" t="s">
        <v>282</v>
      </c>
      <c r="M7" s="233" t="s">
        <v>283</v>
      </c>
    </row>
    <row r="8" spans="1:30" ht="13.5" customHeight="1">
      <c r="A8" s="22" t="s">
        <v>284</v>
      </c>
      <c r="B8" s="20">
        <v>5</v>
      </c>
      <c r="E8" s="22" t="s">
        <v>145</v>
      </c>
      <c r="H8" s="22" t="s">
        <v>285</v>
      </c>
    </row>
    <row r="9" spans="1:30" ht="13.5" customHeight="1">
      <c r="A9" s="22" t="s">
        <v>286</v>
      </c>
      <c r="B9" s="22">
        <v>0.4</v>
      </c>
      <c r="E9" s="22" t="s">
        <v>55</v>
      </c>
      <c r="H9" s="22" t="s">
        <v>287</v>
      </c>
    </row>
    <row r="10" spans="1:30" ht="13.5" customHeight="1">
      <c r="A10" s="22" t="s">
        <v>240</v>
      </c>
      <c r="B10" s="147">
        <v>500</v>
      </c>
      <c r="C10" s="22" t="s">
        <v>288</v>
      </c>
      <c r="E10" s="22" t="s">
        <v>289</v>
      </c>
      <c r="H10" s="22" t="s">
        <v>290</v>
      </c>
    </row>
    <row r="11" spans="1:30" ht="13.5" customHeight="1">
      <c r="A11" s="22" t="s">
        <v>291</v>
      </c>
      <c r="B11" s="235">
        <v>30</v>
      </c>
      <c r="C11" s="22"/>
      <c r="E11" s="22"/>
      <c r="H11" s="22"/>
    </row>
    <row r="12" spans="1:30" ht="13.5" customHeight="1">
      <c r="A12" s="22"/>
      <c r="B12" s="147"/>
      <c r="C12" s="22"/>
      <c r="E12" s="22"/>
    </row>
    <row r="13" spans="1:30" ht="13.5" customHeight="1">
      <c r="A13" s="21" t="s">
        <v>292</v>
      </c>
      <c r="H13" s="22" t="s">
        <v>293</v>
      </c>
    </row>
    <row r="14" spans="1:30" ht="13.5" customHeight="1">
      <c r="A14" s="22" t="s">
        <v>294</v>
      </c>
      <c r="B14" s="20">
        <v>10</v>
      </c>
    </row>
    <row r="15" spans="1:30" ht="13.5" customHeight="1">
      <c r="A15" s="22" t="s">
        <v>295</v>
      </c>
      <c r="B15" s="20">
        <v>135</v>
      </c>
    </row>
    <row r="16" spans="1:30" ht="13.5" customHeight="1">
      <c r="A16" s="22" t="s">
        <v>296</v>
      </c>
      <c r="B16" s="22">
        <v>0.8</v>
      </c>
      <c r="H16" s="237" t="s">
        <v>297</v>
      </c>
    </row>
    <row r="17" spans="1:9" ht="13.5" customHeight="1">
      <c r="A17" s="22" t="s">
        <v>298</v>
      </c>
      <c r="B17" s="22">
        <v>0.5</v>
      </c>
      <c r="H17" s="233" t="s">
        <v>299</v>
      </c>
      <c r="I17" s="253">
        <v>230</v>
      </c>
    </row>
    <row r="18" spans="1:9" ht="13.5" customHeight="1">
      <c r="A18" s="22" t="s">
        <v>300</v>
      </c>
      <c r="B18" s="23">
        <v>1.75</v>
      </c>
    </row>
    <row r="19" spans="1:9" ht="13.5" customHeight="1"/>
    <row r="20" spans="1:9" ht="13.5" customHeight="1">
      <c r="A20" s="21" t="s">
        <v>301</v>
      </c>
    </row>
    <row r="21" spans="1:9" ht="13.5" customHeight="1">
      <c r="A21" s="22" t="s">
        <v>302</v>
      </c>
      <c r="B21" s="22">
        <v>0</v>
      </c>
    </row>
    <row r="22" spans="1:9" ht="13.5" customHeight="1">
      <c r="A22" s="22" t="s">
        <v>303</v>
      </c>
      <c r="B22" s="22">
        <v>60</v>
      </c>
    </row>
    <row r="23" spans="1:9" ht="13.5" customHeight="1"/>
    <row r="24" spans="1:9" ht="13.5" customHeight="1">
      <c r="A24" s="1" t="s">
        <v>304</v>
      </c>
      <c r="B24" s="3"/>
      <c r="C24" s="3"/>
      <c r="D24" s="3"/>
    </row>
    <row r="25" spans="1:9" ht="13.5" customHeight="1">
      <c r="A25" s="16" t="s">
        <v>305</v>
      </c>
      <c r="B25" s="23">
        <v>2.5000000000000001E-2</v>
      </c>
      <c r="C25" s="3"/>
      <c r="D25" s="3"/>
    </row>
    <row r="26" spans="1:9" ht="13.5" customHeight="1">
      <c r="A26" s="3"/>
      <c r="B26" s="3"/>
      <c r="C26" s="3"/>
      <c r="D26" s="3"/>
    </row>
    <row r="27" spans="1:9" ht="13.5" customHeight="1">
      <c r="A27" s="1" t="s">
        <v>306</v>
      </c>
      <c r="B27" s="3"/>
      <c r="C27" s="3"/>
      <c r="D27" s="3"/>
    </row>
    <row r="28" spans="1:9" ht="13.5" customHeight="1">
      <c r="A28" s="24" t="s">
        <v>307</v>
      </c>
      <c r="B28" s="25">
        <v>3553</v>
      </c>
      <c r="C28" s="3"/>
      <c r="D28" s="3"/>
    </row>
    <row r="29" spans="1:9" ht="13.5" customHeight="1">
      <c r="A29" s="26"/>
      <c r="B29" s="3"/>
      <c r="C29" s="3"/>
      <c r="D29" s="3"/>
    </row>
    <row r="30" spans="1:9" ht="13.5" customHeight="1">
      <c r="A30" s="27" t="s">
        <v>308</v>
      </c>
      <c r="B30" s="28" t="s">
        <v>309</v>
      </c>
      <c r="C30" s="28" t="s">
        <v>310</v>
      </c>
      <c r="D30" s="27"/>
    </row>
    <row r="31" spans="1:9" ht="13.5" customHeight="1">
      <c r="A31" s="24" t="s">
        <v>307</v>
      </c>
      <c r="B31" s="29">
        <v>75</v>
      </c>
      <c r="C31" s="254">
        <v>45</v>
      </c>
      <c r="D31" s="29"/>
    </row>
    <row r="32" spans="1:9" ht="13.5" customHeight="1">
      <c r="A32" s="26"/>
      <c r="B32" s="13"/>
      <c r="C32" s="13"/>
      <c r="D32" s="13"/>
    </row>
    <row r="33" spans="1:4" ht="13.5" customHeight="1">
      <c r="A33" s="30" t="s">
        <v>311</v>
      </c>
      <c r="B33" s="13"/>
      <c r="C33" s="13"/>
      <c r="D33" s="13"/>
    </row>
    <row r="34" spans="1:4" ht="13.5" customHeight="1">
      <c r="A34" s="22" t="s">
        <v>307</v>
      </c>
      <c r="B34" s="147">
        <v>1400</v>
      </c>
    </row>
    <row r="35" spans="1:4" ht="13.5" customHeight="1"/>
    <row r="36" spans="1:4" ht="13.5" customHeight="1">
      <c r="A36" s="692" t="s">
        <v>312</v>
      </c>
    </row>
    <row r="37" spans="1:4" ht="13.5" customHeight="1">
      <c r="A37" s="22" t="s">
        <v>2</v>
      </c>
      <c r="B37" s="290"/>
      <c r="C37" s="22"/>
    </row>
    <row r="38" spans="1:4" ht="13.5" customHeight="1">
      <c r="A38" s="22"/>
      <c r="B38" s="22"/>
      <c r="C38" s="31"/>
    </row>
    <row r="39" spans="1:4" ht="13.5" customHeight="1">
      <c r="A39" s="22"/>
      <c r="B39" s="22"/>
      <c r="C39" s="31"/>
    </row>
    <row r="40" spans="1:4" ht="13.5" customHeight="1">
      <c r="C40" s="31"/>
    </row>
    <row r="41" spans="1:4" ht="13.5" customHeight="1"/>
    <row r="42" spans="1:4" ht="13.5" customHeight="1"/>
    <row r="43" spans="1:4" ht="13.5" customHeight="1">
      <c r="A43" s="21"/>
    </row>
    <row r="44" spans="1:4" ht="13.5" customHeight="1">
      <c r="A44" s="22"/>
      <c r="B44" s="22"/>
      <c r="C44" s="22"/>
    </row>
    <row r="45" spans="1:4" ht="13.5" customHeight="1">
      <c r="A45" s="22"/>
      <c r="B45" s="22"/>
      <c r="C45" s="31"/>
    </row>
    <row r="46" spans="1:4" ht="13.5" customHeight="1"/>
    <row r="47" spans="1:4" ht="13.5" customHeight="1"/>
    <row r="48" spans="1:4" ht="13.5" customHeight="1"/>
    <row r="49" spans="3:17" ht="13.5" customHeight="1"/>
    <row r="50" spans="3:17" ht="13.5" customHeight="1">
      <c r="E50" s="31"/>
    </row>
    <row r="51" spans="3:17" ht="13.5" customHeight="1">
      <c r="E51" s="31"/>
    </row>
    <row r="52" spans="3:17" ht="13.5" customHeight="1"/>
    <row r="53" spans="3:17" ht="13.5" customHeight="1"/>
    <row r="54" spans="3:17" ht="13.5" customHeight="1">
      <c r="C54" s="237" t="s">
        <v>313</v>
      </c>
      <c r="F54" s="237" t="s">
        <v>314</v>
      </c>
      <c r="L54" s="237" t="s">
        <v>315</v>
      </c>
      <c r="Q54" s="237" t="s">
        <v>316</v>
      </c>
    </row>
    <row r="55" spans="3:17" ht="13.5" customHeight="1">
      <c r="C55" s="233" t="s">
        <v>317</v>
      </c>
      <c r="F55" s="233" t="s">
        <v>318</v>
      </c>
      <c r="L55" s="233" t="s">
        <v>318</v>
      </c>
      <c r="Q55">
        <v>5</v>
      </c>
    </row>
    <row r="56" spans="3:17" ht="13.5" customHeight="1">
      <c r="C56" s="233" t="s">
        <v>319</v>
      </c>
      <c r="F56" s="233" t="s">
        <v>320</v>
      </c>
      <c r="L56" s="233" t="s">
        <v>320</v>
      </c>
      <c r="Q56">
        <v>3</v>
      </c>
    </row>
    <row r="57" spans="3:17" ht="13.5" customHeight="1">
      <c r="F57" s="233" t="s">
        <v>321</v>
      </c>
      <c r="L57" s="233" t="s">
        <v>321</v>
      </c>
      <c r="Q57">
        <v>3</v>
      </c>
    </row>
    <row r="58" spans="3:17" ht="13.5" customHeight="1">
      <c r="F58" s="233" t="s">
        <v>322</v>
      </c>
      <c r="L58" s="233" t="s">
        <v>322</v>
      </c>
      <c r="Q58">
        <v>3</v>
      </c>
    </row>
    <row r="59" spans="3:17" ht="13.5" customHeight="1">
      <c r="F59" s="233" t="s">
        <v>323</v>
      </c>
      <c r="L59" s="233" t="s">
        <v>323</v>
      </c>
      <c r="Q59">
        <v>3</v>
      </c>
    </row>
    <row r="60" spans="3:17" ht="13.5" customHeight="1">
      <c r="F60" s="233" t="s">
        <v>324</v>
      </c>
      <c r="L60" s="233" t="s">
        <v>324</v>
      </c>
      <c r="Q60">
        <v>5</v>
      </c>
    </row>
    <row r="61" spans="3:17" ht="13.5" customHeight="1">
      <c r="F61" s="233" t="s">
        <v>325</v>
      </c>
      <c r="L61" s="233" t="s">
        <v>325</v>
      </c>
      <c r="Q61">
        <v>2</v>
      </c>
    </row>
    <row r="62" spans="3:17" ht="13.5" customHeight="1">
      <c r="F62" s="233" t="s">
        <v>326</v>
      </c>
      <c r="L62" s="233" t="s">
        <v>326</v>
      </c>
      <c r="Q62">
        <v>2</v>
      </c>
    </row>
    <row r="63" spans="3:17" ht="13.5" customHeight="1">
      <c r="F63" s="233" t="s">
        <v>327</v>
      </c>
      <c r="L63" s="233" t="s">
        <v>327</v>
      </c>
      <c r="Q63">
        <v>5</v>
      </c>
    </row>
    <row r="64" spans="3:17" ht="13.5" customHeight="1">
      <c r="F64" s="233" t="s">
        <v>328</v>
      </c>
      <c r="L64" s="233" t="s">
        <v>329</v>
      </c>
      <c r="Q64">
        <v>3</v>
      </c>
    </row>
    <row r="65" spans="6:17" ht="13.5" customHeight="1">
      <c r="F65" s="233" t="s">
        <v>330</v>
      </c>
      <c r="L65" s="233" t="s">
        <v>331</v>
      </c>
      <c r="Q65">
        <v>5</v>
      </c>
    </row>
    <row r="66" spans="6:17" ht="13.5" customHeight="1"/>
    <row r="67" spans="6:17" ht="13.5" customHeight="1"/>
    <row r="68" spans="6:17" ht="13.5" customHeight="1"/>
    <row r="69" spans="6:17" ht="13.5" customHeight="1"/>
    <row r="70" spans="6:17" ht="13.5" customHeight="1"/>
    <row r="71" spans="6:17" ht="13.5" customHeight="1"/>
    <row r="72" spans="6:17" ht="13.5" customHeight="1"/>
    <row r="73" spans="6:17" ht="13.5" customHeight="1"/>
    <row r="74" spans="6:17" ht="13.5" customHeight="1"/>
    <row r="75" spans="6:17" ht="13.5" customHeight="1"/>
    <row r="76" spans="6:17" ht="13.5" customHeight="1"/>
    <row r="77" spans="6:17" ht="13.5" customHeight="1"/>
    <row r="78" spans="6:17" ht="13.5" customHeight="1"/>
    <row r="79" spans="6:17" ht="13.5" customHeight="1"/>
    <row r="80" spans="6:17"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dataValidations count="1">
    <dataValidation type="list" allowBlank="1" showErrorMessage="1" sqref="Q1 V2" xr:uid="{00000000-0002-0000-0100-000000000000}">
      <formula1>$AD$2:$BB$2</formula1>
    </dataValidation>
  </dataValidation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1E941E-2D66-40C8-B1B3-4FA88E7B962B}">
  <dimension ref="A1:BG1017"/>
  <sheetViews>
    <sheetView topLeftCell="AE9" workbookViewId="0">
      <selection activeCell="AF30" sqref="AF30"/>
    </sheetView>
  </sheetViews>
  <sheetFormatPr defaultColWidth="12.625" defaultRowHeight="15" customHeight="1"/>
  <cols>
    <col min="1" max="1" width="36.625" customWidth="1"/>
    <col min="2" max="2" width="28.125" customWidth="1"/>
    <col min="3" max="3" width="21" customWidth="1"/>
    <col min="4" max="4" width="17.5" customWidth="1"/>
    <col min="5" max="5" width="16.125" customWidth="1"/>
    <col min="6" max="6" width="21.5" customWidth="1"/>
    <col min="7" max="7" width="22.625" customWidth="1"/>
    <col min="8" max="8" width="18.625" customWidth="1"/>
    <col min="9" max="9" width="19.625" customWidth="1"/>
    <col min="10" max="10" width="18.875" customWidth="1"/>
    <col min="11" max="11" width="21.625" customWidth="1"/>
    <col min="12" max="12" width="17.375" customWidth="1"/>
    <col min="13" max="13" width="15.125" customWidth="1"/>
    <col min="14" max="14" width="15.625" customWidth="1"/>
    <col min="15" max="15" width="28.5" customWidth="1"/>
    <col min="16" max="16" width="13.125" customWidth="1"/>
    <col min="17" max="17" width="21.875" customWidth="1"/>
    <col min="18" max="18" width="27" customWidth="1"/>
    <col min="19" max="19" width="20.5" customWidth="1"/>
    <col min="20" max="22" width="7.625" customWidth="1"/>
    <col min="23" max="23" width="31.875" customWidth="1"/>
    <col min="24" max="24" width="7.625" customWidth="1"/>
    <col min="25" max="25" width="8.375" customWidth="1"/>
    <col min="26" max="26" width="21.625" customWidth="1"/>
    <col min="27" max="27" width="12" customWidth="1"/>
    <col min="28" max="28" width="16.5" customWidth="1"/>
    <col min="29" max="29" width="6" customWidth="1"/>
    <col min="30" max="30" width="13.625" customWidth="1"/>
  </cols>
  <sheetData>
    <row r="1" spans="1:59" ht="171" customHeight="1">
      <c r="A1" s="703"/>
      <c r="B1" s="704"/>
      <c r="C1" s="705"/>
      <c r="D1" s="16"/>
      <c r="E1" s="572" t="s">
        <v>355</v>
      </c>
      <c r="F1" s="704"/>
      <c r="G1" s="704"/>
      <c r="H1" s="705"/>
      <c r="I1" s="16"/>
      <c r="J1" s="16"/>
      <c r="K1" s="16"/>
      <c r="L1" s="16"/>
      <c r="M1" s="16"/>
      <c r="N1" s="16"/>
      <c r="O1" s="16"/>
      <c r="P1" s="16"/>
      <c r="Q1" s="16"/>
      <c r="R1" s="16"/>
      <c r="S1" s="16"/>
      <c r="T1" s="16"/>
      <c r="U1" s="16"/>
      <c r="V1" s="16"/>
      <c r="W1" s="16"/>
      <c r="X1" s="16"/>
      <c r="Y1" s="16"/>
      <c r="Z1" s="16"/>
      <c r="AA1" s="16"/>
      <c r="AB1" s="16"/>
      <c r="AC1" s="16"/>
      <c r="AD1" s="16"/>
    </row>
    <row r="2" spans="1:59">
      <c r="A2" s="58" t="s">
        <v>404</v>
      </c>
      <c r="B2" s="152" t="s">
        <v>716</v>
      </c>
      <c r="C2" s="59"/>
      <c r="D2" s="16"/>
      <c r="E2" s="60" t="s">
        <v>406</v>
      </c>
      <c r="F2" s="153"/>
      <c r="G2" s="154"/>
      <c r="H2" s="61"/>
      <c r="I2" s="16"/>
      <c r="J2" s="16"/>
      <c r="K2" s="16"/>
      <c r="L2" s="16"/>
      <c r="M2" s="16"/>
      <c r="N2" s="16"/>
      <c r="O2" s="16"/>
      <c r="P2" s="16"/>
      <c r="Q2" s="16"/>
      <c r="R2" s="16"/>
      <c r="S2" s="16"/>
      <c r="T2" s="16"/>
      <c r="U2" s="16"/>
      <c r="V2" s="16"/>
      <c r="W2" s="16"/>
      <c r="X2" s="16"/>
      <c r="Y2" s="16"/>
      <c r="Z2" s="15"/>
      <c r="AA2" s="15"/>
      <c r="AB2" s="15"/>
      <c r="AC2" s="15"/>
      <c r="AD2" s="16"/>
      <c r="AE2" s="16"/>
      <c r="AF2" s="16"/>
      <c r="AG2" s="16"/>
      <c r="AH2" s="16"/>
      <c r="AI2" s="17"/>
      <c r="AJ2" s="17"/>
      <c r="AK2" s="17"/>
      <c r="AL2" s="17"/>
      <c r="AM2" s="17"/>
      <c r="AN2" s="17"/>
      <c r="AO2" s="17"/>
      <c r="AP2" s="17"/>
      <c r="AQ2" s="17"/>
      <c r="AR2" s="18"/>
      <c r="AS2" s="17"/>
      <c r="AT2" s="17"/>
      <c r="AU2" s="16"/>
      <c r="AV2" s="16"/>
      <c r="AW2" s="16"/>
      <c r="AX2" s="16"/>
      <c r="AY2" s="16"/>
      <c r="AZ2" s="16"/>
      <c r="BA2" s="16"/>
    </row>
    <row r="3" spans="1:59">
      <c r="A3" s="62" t="s">
        <v>408</v>
      </c>
      <c r="B3" s="155">
        <v>6</v>
      </c>
      <c r="C3" s="156"/>
      <c r="D3" s="16"/>
      <c r="E3" s="63" t="s">
        <v>409</v>
      </c>
      <c r="F3" s="157"/>
      <c r="G3" s="158"/>
      <c r="H3" s="159"/>
      <c r="I3" s="16"/>
      <c r="J3" s="16"/>
      <c r="K3" s="16"/>
      <c r="L3" s="16"/>
      <c r="M3" s="16"/>
      <c r="N3" s="16"/>
      <c r="O3" s="16"/>
      <c r="P3" s="16"/>
      <c r="Q3" s="16"/>
      <c r="R3" s="16"/>
      <c r="S3" s="16"/>
      <c r="T3" s="16"/>
      <c r="U3" s="16"/>
      <c r="V3" s="16"/>
      <c r="W3" s="16"/>
      <c r="X3" s="16"/>
      <c r="Y3" s="16"/>
      <c r="Z3" s="16"/>
      <c r="AA3" s="16"/>
      <c r="AB3" s="16"/>
      <c r="AC3" s="16"/>
      <c r="AD3" s="16"/>
    </row>
    <row r="4" spans="1:59">
      <c r="A4" s="160" t="s">
        <v>410</v>
      </c>
      <c r="B4" s="161">
        <v>45812</v>
      </c>
      <c r="C4" s="162"/>
      <c r="D4" s="16"/>
      <c r="E4" s="163"/>
      <c r="F4" s="164"/>
      <c r="G4" s="165"/>
      <c r="H4" s="166"/>
      <c r="I4" s="16"/>
      <c r="J4" s="16"/>
      <c r="K4" s="16"/>
      <c r="L4" s="16"/>
      <c r="M4" s="16"/>
      <c r="N4" s="16"/>
      <c r="O4" s="16"/>
      <c r="P4" s="16"/>
      <c r="Q4" s="16"/>
      <c r="R4" s="16"/>
      <c r="S4" s="16"/>
      <c r="T4" s="16"/>
      <c r="U4" s="16"/>
      <c r="V4" s="16"/>
      <c r="W4" s="16"/>
      <c r="X4" s="16"/>
      <c r="Y4" s="16"/>
      <c r="Z4" s="16"/>
      <c r="AA4" s="16"/>
      <c r="AB4" s="16"/>
      <c r="AC4" s="16"/>
      <c r="AD4" s="16"/>
    </row>
    <row r="5" spans="1:59">
      <c r="A5" s="167" t="s">
        <v>411</v>
      </c>
      <c r="B5" s="168"/>
      <c r="C5" s="167"/>
      <c r="D5" s="16"/>
      <c r="E5" s="169" t="s">
        <v>412</v>
      </c>
      <c r="F5" s="169"/>
      <c r="G5" s="158"/>
      <c r="H5" s="169"/>
      <c r="I5" s="16"/>
      <c r="J5" s="16"/>
      <c r="K5" s="16"/>
      <c r="L5" s="16"/>
      <c r="M5" s="16"/>
      <c r="N5" s="16"/>
      <c r="O5" s="16"/>
      <c r="P5" s="16"/>
      <c r="Q5" s="16"/>
      <c r="R5" s="16"/>
      <c r="S5" s="16"/>
      <c r="T5" s="16"/>
      <c r="U5" s="16"/>
      <c r="V5" s="16"/>
      <c r="W5" s="16"/>
      <c r="X5" s="16"/>
      <c r="Y5" s="16"/>
      <c r="Z5" s="16"/>
      <c r="AA5" s="16"/>
      <c r="AB5" s="16"/>
      <c r="AC5" s="16"/>
      <c r="AD5" s="16"/>
    </row>
    <row r="6" spans="1:59">
      <c r="A6" s="15"/>
      <c r="B6" s="64"/>
      <c r="C6" s="16"/>
      <c r="D6" s="16"/>
      <c r="E6" s="16"/>
      <c r="F6" s="16"/>
      <c r="G6" s="16"/>
      <c r="H6" s="16"/>
      <c r="I6" s="16"/>
      <c r="J6" s="64"/>
      <c r="K6" s="16"/>
      <c r="L6" s="16"/>
      <c r="M6" s="16"/>
      <c r="N6" s="16"/>
      <c r="O6" s="16"/>
      <c r="P6" s="16"/>
      <c r="Q6" s="16"/>
      <c r="R6" s="16"/>
      <c r="S6" s="16"/>
      <c r="T6" s="16"/>
      <c r="U6" s="16"/>
      <c r="V6" s="16"/>
      <c r="W6" s="16"/>
      <c r="X6" s="16"/>
      <c r="Y6" s="16"/>
      <c r="Z6" s="16"/>
      <c r="AA6" s="16"/>
      <c r="AB6" s="16"/>
      <c r="AC6" s="16"/>
      <c r="AD6" s="16"/>
    </row>
    <row r="7" spans="1:59">
      <c r="A7" s="170" t="s">
        <v>413</v>
      </c>
      <c r="B7" s="59">
        <v>69</v>
      </c>
      <c r="C7" s="16"/>
      <c r="D7" s="573" t="s">
        <v>414</v>
      </c>
      <c r="E7" s="701"/>
      <c r="F7" s="701"/>
      <c r="G7" s="701"/>
      <c r="H7" s="701"/>
      <c r="I7" s="701"/>
      <c r="J7" s="16"/>
      <c r="K7" s="16"/>
      <c r="L7" s="16"/>
      <c r="M7" s="16"/>
      <c r="N7" s="16"/>
      <c r="O7" s="16"/>
      <c r="P7" s="16"/>
      <c r="Q7" s="16"/>
      <c r="R7" s="16"/>
      <c r="S7" s="16"/>
      <c r="T7" s="16"/>
      <c r="U7" s="16"/>
      <c r="V7" s="16"/>
      <c r="W7" s="16"/>
      <c r="X7" s="16"/>
      <c r="Y7" s="16"/>
      <c r="Z7" s="16"/>
      <c r="AA7" s="16"/>
      <c r="AB7" s="16"/>
      <c r="AC7" s="16"/>
      <c r="AD7" s="16"/>
    </row>
    <row r="8" spans="1:59" ht="14.25" customHeight="1">
      <c r="A8" s="171" t="s">
        <v>415</v>
      </c>
      <c r="B8" s="172">
        <f ca="1">M21-M17</f>
        <v>3496.5265410670527</v>
      </c>
      <c r="C8" s="16" t="s">
        <v>416</v>
      </c>
      <c r="D8" s="574" t="s">
        <v>417</v>
      </c>
      <c r="E8" s="704"/>
      <c r="F8" s="704"/>
      <c r="G8" s="704"/>
      <c r="H8" s="704"/>
      <c r="I8" s="704"/>
      <c r="J8" s="16"/>
      <c r="K8" s="16"/>
      <c r="L8" s="16"/>
      <c r="M8" s="16"/>
      <c r="N8" s="16"/>
      <c r="O8" s="16"/>
      <c r="P8" s="16"/>
      <c r="Q8" s="16"/>
      <c r="R8" s="16"/>
      <c r="S8" s="16"/>
      <c r="T8" s="16"/>
      <c r="U8" s="16"/>
      <c r="V8" s="16"/>
      <c r="W8" s="16"/>
      <c r="X8" s="16"/>
      <c r="Y8" s="16"/>
      <c r="Z8" s="16"/>
      <c r="AA8" s="16"/>
      <c r="AB8" s="16"/>
      <c r="AC8" s="16"/>
    </row>
    <row r="9" spans="1:59">
      <c r="A9" s="65" t="s">
        <v>418</v>
      </c>
      <c r="B9" s="173" t="s">
        <v>419</v>
      </c>
      <c r="C9" s="16"/>
      <c r="D9" s="16"/>
      <c r="E9" s="17"/>
      <c r="F9" s="17"/>
      <c r="G9" s="17"/>
      <c r="H9" s="17"/>
      <c r="I9" s="17"/>
      <c r="J9" s="17"/>
      <c r="K9" s="17"/>
      <c r="L9" s="17"/>
      <c r="M9" s="17"/>
      <c r="N9" s="17"/>
      <c r="O9" s="17"/>
      <c r="P9" s="17"/>
      <c r="Q9" s="16"/>
      <c r="R9" s="17"/>
      <c r="S9" s="17"/>
      <c r="T9" s="17"/>
      <c r="U9" s="17"/>
      <c r="V9" s="17"/>
      <c r="W9" s="17"/>
      <c r="X9" s="17"/>
      <c r="Y9" s="17"/>
      <c r="Z9" s="17"/>
      <c r="AA9" s="17"/>
      <c r="AB9" s="17"/>
      <c r="AC9" s="17"/>
      <c r="AD9" s="18" t="s">
        <v>242</v>
      </c>
    </row>
    <row r="10" spans="1:59">
      <c r="A10" s="174" t="s">
        <v>420</v>
      </c>
      <c r="B10" s="66">
        <v>1</v>
      </c>
      <c r="C10" s="16"/>
      <c r="D10" s="16"/>
      <c r="E10" s="17"/>
      <c r="F10" s="17"/>
      <c r="G10" s="17"/>
      <c r="H10" s="17"/>
      <c r="I10" s="17"/>
      <c r="J10" s="17"/>
      <c r="K10" s="17"/>
      <c r="L10" s="17"/>
      <c r="M10" s="17"/>
      <c r="N10" s="17"/>
      <c r="O10" s="17"/>
      <c r="P10" s="17"/>
      <c r="Q10" s="16"/>
      <c r="R10" s="17"/>
      <c r="S10" s="17"/>
      <c r="T10" s="17"/>
      <c r="U10" s="17"/>
      <c r="V10" s="17"/>
      <c r="W10" s="17"/>
      <c r="X10" s="17"/>
      <c r="Y10" s="17"/>
      <c r="Z10" s="17"/>
      <c r="AA10" s="17"/>
      <c r="AB10" s="17"/>
      <c r="AC10" s="17"/>
      <c r="AD10" s="18"/>
    </row>
    <row r="11" spans="1:59">
      <c r="A11" s="171" t="s">
        <v>421</v>
      </c>
      <c r="B11" s="238">
        <v>48</v>
      </c>
      <c r="C11" s="16"/>
      <c r="D11" s="16"/>
      <c r="E11" s="17"/>
      <c r="F11" s="17"/>
      <c r="G11" s="17"/>
      <c r="H11" s="17"/>
      <c r="I11" s="17"/>
      <c r="J11" s="17"/>
      <c r="K11" s="17"/>
      <c r="L11" s="17"/>
      <c r="M11" s="17"/>
      <c r="N11" s="17"/>
      <c r="O11" s="17"/>
      <c r="P11" s="17"/>
      <c r="Q11" s="16"/>
      <c r="R11" s="17"/>
      <c r="S11" s="17"/>
      <c r="T11" s="17"/>
      <c r="U11" s="17"/>
      <c r="V11" s="17"/>
      <c r="W11" s="17"/>
      <c r="X11" s="17"/>
      <c r="Y11" s="17"/>
      <c r="Z11" s="17"/>
      <c r="AA11" s="17"/>
      <c r="AB11" s="17"/>
      <c r="AC11" s="17"/>
      <c r="AD11" s="18"/>
    </row>
    <row r="12" spans="1:59">
      <c r="A12" s="239" t="s">
        <v>422</v>
      </c>
      <c r="B12" s="240" t="s">
        <v>317</v>
      </c>
      <c r="C12" s="16"/>
      <c r="D12" s="16"/>
      <c r="E12" s="17"/>
      <c r="F12" s="17"/>
      <c r="G12" s="17"/>
      <c r="H12" s="17"/>
      <c r="I12" s="17"/>
      <c r="J12" s="17"/>
      <c r="K12" s="17"/>
      <c r="L12" s="17"/>
      <c r="M12" s="17"/>
      <c r="N12" s="17"/>
      <c r="O12" s="17"/>
      <c r="P12" s="17"/>
      <c r="Q12" s="16"/>
      <c r="R12" s="17"/>
      <c r="S12" s="17"/>
      <c r="T12" s="17"/>
      <c r="U12" s="17"/>
      <c r="V12" s="17"/>
      <c r="W12" s="17"/>
      <c r="X12" s="17"/>
      <c r="Y12" s="17"/>
      <c r="Z12" s="17"/>
      <c r="AA12" s="17"/>
      <c r="AB12" s="17"/>
      <c r="AC12" s="17"/>
      <c r="AD12" s="18"/>
    </row>
    <row r="13" spans="1:59">
      <c r="A13" s="16"/>
      <c r="B13" s="16"/>
      <c r="C13" s="16"/>
      <c r="D13" s="16"/>
      <c r="E13" s="17"/>
      <c r="F13" s="17"/>
      <c r="G13" s="17"/>
      <c r="H13" s="17"/>
      <c r="I13" s="17"/>
      <c r="J13" s="17"/>
      <c r="K13" s="17"/>
      <c r="L13" s="17"/>
      <c r="M13" s="17"/>
      <c r="N13" s="17"/>
      <c r="O13" s="17"/>
      <c r="P13" s="17"/>
      <c r="Q13" s="16"/>
      <c r="R13" s="17"/>
      <c r="S13" s="17"/>
      <c r="T13" s="17"/>
      <c r="U13" s="17"/>
      <c r="V13" s="17"/>
      <c r="W13" s="17"/>
      <c r="X13" s="17"/>
      <c r="Y13" s="17"/>
      <c r="Z13" s="17"/>
      <c r="AA13" s="17"/>
      <c r="AB13" s="17"/>
      <c r="AC13" s="17"/>
      <c r="AD13" s="17" t="str" cm="1">
        <f t="array" ref="AD13:BF14">Constants!A2:AC3</f>
        <v>SC1</v>
      </c>
      <c r="AE13" s="17" t="str">
        <v>SC1 - Half</v>
      </c>
      <c r="AF13" s="17" t="str">
        <v>SC2</v>
      </c>
      <c r="AG13" s="17" t="str">
        <v>SC2 - Half</v>
      </c>
      <c r="AH13" s="17" t="str">
        <v>SC3</v>
      </c>
      <c r="AI13" s="17" t="str">
        <v>SC4</v>
      </c>
      <c r="AJ13" s="17" t="str">
        <v>SC5</v>
      </c>
      <c r="AK13" s="17" t="str">
        <v>SC6</v>
      </c>
      <c r="AL13" s="17" t="str">
        <v>Dojo</v>
      </c>
      <c r="AM13" s="17" t="str">
        <v>Boulder Wall</v>
      </c>
      <c r="AN13" s="17" t="str">
        <v>Climbing Wall</v>
      </c>
      <c r="AO13" s="17" t="str">
        <v>Artificial Hockey field</v>
      </c>
      <c r="AP13" s="17" t="str">
        <v>Artificial Hockey field - Half</v>
      </c>
      <c r="AQ13" s="17" t="str">
        <v>Artificial Soccer field</v>
      </c>
      <c r="AR13" s="17" t="str">
        <v>Artificial Soccer field - Half</v>
      </c>
      <c r="AS13" s="17" t="str">
        <v>Basketball</v>
      </c>
      <c r="AT13" s="17" t="str">
        <v>Bastille field</v>
      </c>
      <c r="AU13" s="17" t="str">
        <v>Beach fields</v>
      </c>
      <c r="AV13" s="17" t="str">
        <v>Shooting range</v>
      </c>
      <c r="AW13" s="17" t="str">
        <v>Multi/Lacrosse field</v>
      </c>
      <c r="AX13" s="17" t="str">
        <v>Multi/Lacrosse field - Half</v>
      </c>
      <c r="AY13" s="17" t="str">
        <v>Bootcamp field</v>
      </c>
      <c r="AZ13" s="17" t="str">
        <v>Multi/Baseball field</v>
      </c>
      <c r="BA13" s="17" t="str">
        <v>Tennis court</v>
      </c>
      <c r="BB13" s="17" t="str">
        <v>Utrack</v>
      </c>
      <c r="BC13" s="22" t="str">
        <v>Verreveld</v>
      </c>
      <c r="BD13" s="22" t="str">
        <v>Wsc</v>
      </c>
      <c r="BE13" s="22" t="str">
        <v>Indoor pool</v>
      </c>
      <c r="BF13" s="22" t="str">
        <v>Outdoor pool</v>
      </c>
      <c r="BG13" s="22"/>
    </row>
    <row r="14" spans="1:59">
      <c r="A14" s="175" t="s">
        <v>423</v>
      </c>
      <c r="B14" s="16"/>
      <c r="C14" s="16"/>
      <c r="D14" s="16"/>
      <c r="E14" s="16"/>
      <c r="F14" s="16"/>
      <c r="G14" s="175" t="s">
        <v>424</v>
      </c>
      <c r="I14" s="17"/>
      <c r="J14" s="17"/>
      <c r="K14" s="176" t="s">
        <v>425</v>
      </c>
      <c r="L14" s="17"/>
      <c r="M14" s="176" t="s">
        <v>426</v>
      </c>
      <c r="N14" s="17"/>
      <c r="O14" s="17"/>
      <c r="P14" s="17"/>
      <c r="Q14" s="17"/>
      <c r="R14" s="17"/>
      <c r="S14" s="16"/>
      <c r="T14" s="17"/>
      <c r="U14" s="17"/>
      <c r="V14" s="17"/>
      <c r="W14" s="17"/>
      <c r="X14" s="17"/>
      <c r="Y14" s="17"/>
      <c r="Z14" s="17"/>
      <c r="AA14" s="17"/>
      <c r="AB14" s="17"/>
      <c r="AC14" s="17"/>
      <c r="AD14" s="19">
        <v>67.5</v>
      </c>
      <c r="AE14" s="19">
        <v>35</v>
      </c>
      <c r="AF14" s="19">
        <v>67.5</v>
      </c>
      <c r="AG14" s="19">
        <v>35</v>
      </c>
      <c r="AH14" s="19">
        <v>40</v>
      </c>
      <c r="AI14" s="19">
        <v>40</v>
      </c>
      <c r="AJ14" s="19">
        <v>35</v>
      </c>
      <c r="AK14" s="19">
        <v>35</v>
      </c>
      <c r="AL14" s="19">
        <v>40</v>
      </c>
      <c r="AM14" s="19">
        <v>27.5</v>
      </c>
      <c r="AN14" s="19">
        <v>45</v>
      </c>
      <c r="AO14" s="19">
        <v>75</v>
      </c>
      <c r="AP14" s="19">
        <v>40</v>
      </c>
      <c r="AQ14" s="19">
        <v>75</v>
      </c>
      <c r="AR14" s="19">
        <v>40</v>
      </c>
      <c r="AS14" s="19">
        <v>30</v>
      </c>
      <c r="AT14" s="19">
        <v>50</v>
      </c>
      <c r="AU14" s="19">
        <v>75</v>
      </c>
      <c r="AV14" s="19">
        <v>40</v>
      </c>
      <c r="AW14" s="19">
        <v>75</v>
      </c>
      <c r="AX14" s="19">
        <v>40</v>
      </c>
      <c r="AY14" s="19">
        <v>50</v>
      </c>
      <c r="AZ14" s="19">
        <v>65</v>
      </c>
      <c r="BA14" s="19">
        <v>35</v>
      </c>
      <c r="BB14" s="19">
        <v>45</v>
      </c>
      <c r="BC14" s="19">
        <v>50</v>
      </c>
      <c r="BD14" s="19">
        <v>0</v>
      </c>
      <c r="BE14" s="19">
        <v>65</v>
      </c>
      <c r="BF14" s="20">
        <v>70</v>
      </c>
      <c r="BG14" s="20"/>
    </row>
    <row r="15" spans="1:59">
      <c r="A15" s="67"/>
      <c r="B15" s="68" t="str">
        <f>Constants!H6</f>
        <v>Performance training</v>
      </c>
      <c r="C15" s="68" t="str">
        <f>Constants!H7</f>
        <v>Performance coaching</v>
      </c>
      <c r="D15" s="68" t="str">
        <f>Constants!H8</f>
        <v>Dangerous</v>
      </c>
      <c r="E15" s="69" t="str">
        <f>Constants!H9</f>
        <v>Recreational</v>
      </c>
      <c r="F15" s="69" t="s">
        <v>290</v>
      </c>
      <c r="G15" s="70"/>
      <c r="H15" s="71" t="s">
        <v>427</v>
      </c>
      <c r="I15" s="72" t="s">
        <v>272</v>
      </c>
      <c r="J15" s="70" t="s">
        <v>5</v>
      </c>
      <c r="K15" s="72" t="s">
        <v>428</v>
      </c>
      <c r="L15" s="70" t="s">
        <v>429</v>
      </c>
      <c r="M15" s="73" cm="1">
        <f t="array" ref="M15">(SUM(IF($D$46:$D$50="PT",($F$46:$F$50)/1.5+IF($G$46:$G$50="yes",1)))+SUM(IF($D$46:$D$50="Extern",($F$46:$F$50)/1.5+IF($G$46:$G$50="yes",1)))+SUM(IF($D$46:$D$50="PT-ZZP",($F$46:$F$50)/1.5+IF($G$46:$G$50="yes",1))))*Constants!B10</f>
        <v>0</v>
      </c>
      <c r="N15" s="17"/>
      <c r="O15" s="17"/>
      <c r="P15" s="17"/>
      <c r="Q15" s="17"/>
      <c r="R15" s="16"/>
      <c r="S15" s="17"/>
      <c r="T15" s="17"/>
      <c r="U15" s="17"/>
      <c r="V15" s="17"/>
      <c r="W15" s="17"/>
      <c r="X15" s="17"/>
      <c r="Y15" s="17"/>
      <c r="Z15" s="17"/>
      <c r="AA15" s="17"/>
      <c r="AB15" s="17"/>
      <c r="AC15" s="17"/>
      <c r="AD15" s="16">
        <f t="shared" ref="AD15:BF15" si="0">SUMIF($B$71:$B$88,AD13,$F$71:$F$88)</f>
        <v>0</v>
      </c>
      <c r="AE15" s="16">
        <f t="shared" si="0"/>
        <v>0</v>
      </c>
      <c r="AF15" s="16">
        <f t="shared" si="0"/>
        <v>0</v>
      </c>
      <c r="AG15" s="16">
        <f t="shared" si="0"/>
        <v>0</v>
      </c>
      <c r="AH15" s="16">
        <f t="shared" si="0"/>
        <v>0</v>
      </c>
      <c r="AI15" s="16">
        <f t="shared" si="0"/>
        <v>168</v>
      </c>
      <c r="AJ15" s="16">
        <f t="shared" si="0"/>
        <v>0</v>
      </c>
      <c r="AK15" s="16">
        <f t="shared" si="0"/>
        <v>0</v>
      </c>
      <c r="AL15" s="16">
        <f t="shared" si="0"/>
        <v>0</v>
      </c>
      <c r="AM15" s="16">
        <f t="shared" si="0"/>
        <v>0</v>
      </c>
      <c r="AN15" s="16">
        <f t="shared" si="0"/>
        <v>0</v>
      </c>
      <c r="AO15" s="16">
        <f t="shared" si="0"/>
        <v>0</v>
      </c>
      <c r="AP15" s="16">
        <f t="shared" si="0"/>
        <v>0</v>
      </c>
      <c r="AQ15" s="16">
        <f t="shared" si="0"/>
        <v>0</v>
      </c>
      <c r="AR15" s="16">
        <f t="shared" si="0"/>
        <v>0</v>
      </c>
      <c r="AS15" s="16">
        <f t="shared" si="0"/>
        <v>0</v>
      </c>
      <c r="AT15" s="16">
        <f t="shared" si="0"/>
        <v>0</v>
      </c>
      <c r="AU15" s="16">
        <f t="shared" si="0"/>
        <v>0</v>
      </c>
      <c r="AV15" s="16">
        <f t="shared" si="0"/>
        <v>0</v>
      </c>
      <c r="AW15" s="16">
        <f t="shared" si="0"/>
        <v>0</v>
      </c>
      <c r="AX15" s="16">
        <f t="shared" si="0"/>
        <v>0</v>
      </c>
      <c r="AY15" s="16">
        <f t="shared" si="0"/>
        <v>0</v>
      </c>
      <c r="AZ15" s="16">
        <f t="shared" si="0"/>
        <v>0</v>
      </c>
      <c r="BA15" s="16">
        <f t="shared" si="0"/>
        <v>0</v>
      </c>
      <c r="BB15" s="16">
        <f t="shared" si="0"/>
        <v>0</v>
      </c>
      <c r="BC15" s="16">
        <f t="shared" si="0"/>
        <v>0</v>
      </c>
      <c r="BD15" s="16">
        <f t="shared" si="0"/>
        <v>0</v>
      </c>
      <c r="BE15" s="16">
        <f t="shared" si="0"/>
        <v>0</v>
      </c>
      <c r="BF15" s="16">
        <f t="shared" si="0"/>
        <v>0</v>
      </c>
    </row>
    <row r="16" spans="1:59">
      <c r="A16" s="74" t="str">
        <f>Constants!E6</f>
        <v>PT</v>
      </c>
      <c r="B16" s="16">
        <f>SUMIFS(Sagittarius!$F$55:$F$67,Sagittarius!$B$55:$B$67, B$15,Sagittarius!$H$55:$H$67,$A16)*(1+Constants!$B$7)</f>
        <v>0</v>
      </c>
      <c r="C16" s="16">
        <f>SUMIFS(Sagittarius!$F$55:$F$67,Sagittarius!$B$55:$B$67, C$15,Sagittarius!$H$55:$H$67,$A16)</f>
        <v>0</v>
      </c>
      <c r="D16" s="16">
        <f>SUMIFS(Sagittarius!$F$55:$F$67,Sagittarius!$B$55:$B$67, D$15,Sagittarius!$H$55:$H$67,$A16)*(1+Constants!$B$7)</f>
        <v>0</v>
      </c>
      <c r="E16" s="16">
        <f>SUMIFS(Sagittarius!$F$55:$F$67,Sagittarius!$B$55:$B$67, E$15,Sagittarius!$H$55:$H$67,$A16)*(1+Constants!$B$7)</f>
        <v>0</v>
      </c>
      <c r="F16" s="16">
        <f>SUMIFS(Sagittarius!$F$55:$F$67,Sagittarius!$B$55:$B$67, F$15,Sagittarius!$H$55:$H$67,$A16)*(1+Constants!$B$7)</f>
        <v>0</v>
      </c>
      <c r="G16" s="74" t="s">
        <v>430</v>
      </c>
      <c r="H16" s="16">
        <f>SUMIF(Sagittarius!$B$71:$B$89,"&lt;&gt;External",Sagittarius!$F$71:$F$89)</f>
        <v>168</v>
      </c>
      <c r="I16" s="75">
        <f>SUMIF(Sagittarius!$B$71:$B$89,"External",Sagittarius!$F$71:$F$89)</f>
        <v>0</v>
      </c>
      <c r="J16" s="234">
        <f>SUM($F$92:$F$119)</f>
        <v>2138.3200000000002</v>
      </c>
      <c r="K16" s="76">
        <f>IF(OR(ISBLANK(B7),ISBLANK(B9)), "ERROR",MAX(MIN(J16,B7*Constants!B15)-Constants!B14*B7,0)*IF(B9="yes",Constants!B16,IF(B9="no",Constants!B17,0)))</f>
        <v>1158.6560000000002</v>
      </c>
      <c r="L16" s="77" t="s">
        <v>360</v>
      </c>
      <c r="M16" s="76">
        <f>E16*Constants!B6+E17*Constants!B8+E22+E21</f>
        <v>0</v>
      </c>
      <c r="N16" s="17"/>
      <c r="O16" s="17"/>
      <c r="P16" s="17"/>
      <c r="Q16" s="17"/>
      <c r="R16" s="16"/>
      <c r="S16" s="17"/>
      <c r="T16" s="17"/>
      <c r="U16" s="17"/>
      <c r="V16" s="17"/>
      <c r="W16" s="17"/>
      <c r="X16" s="17"/>
      <c r="Y16" s="17"/>
      <c r="Z16" s="17"/>
      <c r="AA16" s="17"/>
      <c r="AB16" s="17"/>
      <c r="AC16" s="17"/>
      <c r="AD16" s="19">
        <f t="shared" ref="AD16:BF16" si="1">AD14*AD15</f>
        <v>0</v>
      </c>
      <c r="AE16" s="19">
        <f t="shared" si="1"/>
        <v>0</v>
      </c>
      <c r="AF16" s="19">
        <f t="shared" si="1"/>
        <v>0</v>
      </c>
      <c r="AG16" s="19">
        <f t="shared" si="1"/>
        <v>0</v>
      </c>
      <c r="AH16" s="19">
        <f t="shared" si="1"/>
        <v>0</v>
      </c>
      <c r="AI16" s="19">
        <f t="shared" si="1"/>
        <v>6720</v>
      </c>
      <c r="AJ16" s="19">
        <f t="shared" si="1"/>
        <v>0</v>
      </c>
      <c r="AK16" s="19">
        <f t="shared" si="1"/>
        <v>0</v>
      </c>
      <c r="AL16" s="19">
        <f t="shared" si="1"/>
        <v>0</v>
      </c>
      <c r="AM16" s="19">
        <f t="shared" si="1"/>
        <v>0</v>
      </c>
      <c r="AN16" s="19">
        <f t="shared" si="1"/>
        <v>0</v>
      </c>
      <c r="AO16" s="19">
        <f t="shared" si="1"/>
        <v>0</v>
      </c>
      <c r="AP16" s="19">
        <f t="shared" si="1"/>
        <v>0</v>
      </c>
      <c r="AQ16" s="19">
        <f t="shared" si="1"/>
        <v>0</v>
      </c>
      <c r="AR16" s="19">
        <f t="shared" si="1"/>
        <v>0</v>
      </c>
      <c r="AS16" s="19">
        <f t="shared" si="1"/>
        <v>0</v>
      </c>
      <c r="AT16" s="19">
        <f t="shared" si="1"/>
        <v>0</v>
      </c>
      <c r="AU16" s="19">
        <f t="shared" si="1"/>
        <v>0</v>
      </c>
      <c r="AV16" s="19">
        <f t="shared" si="1"/>
        <v>0</v>
      </c>
      <c r="AW16" s="19">
        <f t="shared" si="1"/>
        <v>0</v>
      </c>
      <c r="AX16" s="19">
        <f t="shared" si="1"/>
        <v>0</v>
      </c>
      <c r="AY16" s="19">
        <f t="shared" si="1"/>
        <v>0</v>
      </c>
      <c r="AZ16" s="19">
        <f t="shared" si="1"/>
        <v>0</v>
      </c>
      <c r="BA16" s="19">
        <f t="shared" si="1"/>
        <v>0</v>
      </c>
      <c r="BB16" s="19">
        <f t="shared" si="1"/>
        <v>0</v>
      </c>
      <c r="BC16" s="19">
        <f t="shared" si="1"/>
        <v>0</v>
      </c>
      <c r="BD16" s="19">
        <f t="shared" si="1"/>
        <v>0</v>
      </c>
      <c r="BE16" s="19">
        <f t="shared" si="1"/>
        <v>0</v>
      </c>
      <c r="BF16" s="19">
        <f t="shared" si="1"/>
        <v>0</v>
      </c>
    </row>
    <row r="17" spans="1:36">
      <c r="A17" s="74" t="str">
        <f>Constants!E7</f>
        <v>PT-V</v>
      </c>
      <c r="B17" s="16">
        <f>SUMIFS(Sagittarius!$F$55:$F$67,Sagittarius!$B$55:$B$67, B$15,Sagittarius!$H$55:$H$67,$A17)*(1+Constants!$B$9)</f>
        <v>0</v>
      </c>
      <c r="C17" s="16">
        <f>SUMIFS(Sagittarius!$F$55:$F$67,Sagittarius!$B$55:$B$67, C$15,Sagittarius!$H$55:$H$67,$A17)</f>
        <v>0</v>
      </c>
      <c r="D17" s="16">
        <f>SUMIFS(Sagittarius!$F$55:$F$67,Sagittarius!$B$55:$B$67, D$15,Sagittarius!$H$55:$H$67,$A17)*(1+Constants!$B$9)</f>
        <v>0</v>
      </c>
      <c r="E17" s="16">
        <f>SUMIFS(Sagittarius!$F$55:$F$67,Sagittarius!$B$55:$B$67, E$15,Sagittarius!$H$55:$H$67,$A17)*(1+Constants!$B$9)</f>
        <v>0</v>
      </c>
      <c r="F17" s="16">
        <f>SUMIFS(Sagittarius!$F$55:$F$67,Sagittarius!$B$55:$B$67, F$15,Sagittarius!$H$55:$H$67,$A17)</f>
        <v>0</v>
      </c>
      <c r="G17" s="74" t="s">
        <v>38</v>
      </c>
      <c r="H17" s="78">
        <f>SUM(AD16:BZ16)</f>
        <v>6720</v>
      </c>
      <c r="I17" s="76" cm="1">
        <f t="array" ref="I17">SUM(IF($B$71:$B$87="External",$F$71:$F$87*$H$71:$H$87,0))</f>
        <v>0</v>
      </c>
      <c r="J17" s="79"/>
      <c r="K17" s="80"/>
      <c r="L17" s="77" t="s">
        <v>63</v>
      </c>
      <c r="M17" s="76">
        <f>J16-K16</f>
        <v>979.66399999999999</v>
      </c>
      <c r="N17" s="17"/>
      <c r="O17" s="17"/>
      <c r="P17" s="17"/>
      <c r="Q17" s="17"/>
      <c r="R17" s="16"/>
      <c r="S17" s="17"/>
      <c r="T17" s="17"/>
      <c r="U17" s="17"/>
      <c r="V17" s="17"/>
      <c r="W17" s="17"/>
      <c r="X17" s="17"/>
      <c r="Y17" s="17"/>
      <c r="Z17" s="17"/>
      <c r="AA17" s="17"/>
      <c r="AB17" s="17"/>
      <c r="AC17" s="17"/>
      <c r="AD17" s="17"/>
      <c r="AE17" s="17"/>
    </row>
    <row r="18" spans="1:36">
      <c r="A18" s="74" t="str">
        <f>Constants!E8</f>
        <v>PT-ZZP</v>
      </c>
      <c r="B18" s="16">
        <f>SUMIFS(Sagittarius!$F$55:$F$67,Sagittarius!$B$55:$B$67, B$15,Sagittarius!$H$55:$H$67,$A18)*(1+Constants!$B$7)</f>
        <v>0</v>
      </c>
      <c r="C18" s="16">
        <f>SUMIFS(Sagittarius!$F$55:$F$67,Sagittarius!$B$55:$B$67, C$15,Sagittarius!$H$55:$H$67,$A18)</f>
        <v>0</v>
      </c>
      <c r="D18" s="16">
        <f>SUMIFS(Sagittarius!$F$55:$F$67,Sagittarius!$B$55:$B$67, D$15,Sagittarius!$H$55:$H$67,$A18)*(1+Constants!$B$7)</f>
        <v>0</v>
      </c>
      <c r="E18" s="16">
        <f>SUMIFS(Sagittarius!$F$55:$F$67,Sagittarius!$B$55:$B$67, E$15,Sagittarius!$H$55:$H$67,$A18)*(1+Constants!$B$7)</f>
        <v>0</v>
      </c>
      <c r="F18" s="16">
        <f>SUMIFS(Sagittarius!$F$55:$F$67,Sagittarius!$B$55:$B$67, F$15,Sagittarius!$H$55:$H$67,$A18)*(1+Constants!$B$7)</f>
        <v>0</v>
      </c>
      <c r="G18" s="74"/>
      <c r="H18" s="78"/>
      <c r="I18" s="76"/>
      <c r="J18" s="79"/>
      <c r="K18" s="80"/>
      <c r="L18" s="77" t="s">
        <v>60</v>
      </c>
      <c r="M18" s="76" t="str">
        <f>IF(I17-Constants!I17*$B$7&gt;0,$I$17-Constants!I17*$B$7,"-")</f>
        <v>-</v>
      </c>
      <c r="N18" s="17"/>
      <c r="O18" s="17"/>
      <c r="P18" s="17"/>
      <c r="Q18" s="17"/>
      <c r="R18" s="16"/>
      <c r="S18" s="17"/>
      <c r="T18" s="17"/>
      <c r="U18" s="17"/>
      <c r="V18" s="17"/>
      <c r="W18" s="17"/>
      <c r="X18" s="17"/>
      <c r="Y18" s="17"/>
      <c r="Z18" s="17"/>
      <c r="AA18" s="17"/>
      <c r="AB18" s="17"/>
      <c r="AC18" s="17"/>
      <c r="AD18" s="17"/>
      <c r="AE18" s="17"/>
    </row>
    <row r="19" spans="1:36">
      <c r="A19" s="74" t="str">
        <f>Constants!E9</f>
        <v>RT</v>
      </c>
      <c r="B19" s="16">
        <f>SUMIFS(Sagittarius!$F$55:$F$67,Sagittarius!$B$55:$B$67, B$15,Sagittarius!$H$55:$H$67,$A19)</f>
        <v>0</v>
      </c>
      <c r="C19" s="16">
        <f>SUMIFS(Sagittarius!$F$55:$F$67,Sagittarius!$B$55:$B$67, C$15,Sagittarius!$H$55:$H$67,$A19)</f>
        <v>0</v>
      </c>
      <c r="D19" s="16">
        <f>SUMIFS(Sagittarius!$F$55:$F$67,Sagittarius!$B$55:$B$67, D$15,Sagittarius!$H$55:$H$67,$A19)</f>
        <v>0</v>
      </c>
      <c r="E19" s="16">
        <f>SUMIFS(Sagittarius!$F$55:$F$67,Sagittarius!$B$55:$B$67, E$15,Sagittarius!$H$55:$H$67,$A19)</f>
        <v>84</v>
      </c>
      <c r="F19" s="16">
        <f>SUMIFS(Sagittarius!$F$55:$F$67,Sagittarius!$B$55:$B$67, F$15,Sagittarius!$H$55:$H$67,$A19)</f>
        <v>0</v>
      </c>
      <c r="G19" s="74" t="s">
        <v>396</v>
      </c>
      <c r="H19" s="78"/>
      <c r="I19" s="76">
        <f>IF(B7*Constants!I17&lt;I17,B7*Constants!I17,I17)</f>
        <v>0</v>
      </c>
      <c r="J19" s="79"/>
      <c r="K19" s="80"/>
      <c r="L19" s="77" t="s">
        <v>431</v>
      </c>
      <c r="M19" s="255">
        <f ca="1">Constants!C31*B7+Data!L27</f>
        <v>3496.5265410670527</v>
      </c>
      <c r="N19" s="17"/>
      <c r="O19" s="17"/>
      <c r="P19" s="17"/>
      <c r="Q19" s="17"/>
      <c r="R19" s="16"/>
      <c r="S19" s="17"/>
      <c r="T19" s="17"/>
      <c r="U19" s="17"/>
      <c r="V19" s="17"/>
      <c r="W19" s="17"/>
      <c r="X19" s="17"/>
      <c r="Y19" s="17"/>
      <c r="Z19" s="17"/>
      <c r="AA19" s="17"/>
      <c r="AB19" s="17"/>
      <c r="AC19" s="17"/>
      <c r="AD19" s="17"/>
      <c r="AE19" s="17"/>
    </row>
    <row r="20" spans="1:36">
      <c r="A20" s="74" t="str">
        <f>Constants!E10</f>
        <v>Extern</v>
      </c>
      <c r="B20" s="16">
        <f>SUMIFS(Sagittarius!$F$55:$F$67,Sagittarius!$B$55:$B$67, B$15,Sagittarius!$H$55:$H$67,$A20)</f>
        <v>0</v>
      </c>
      <c r="C20" s="16">
        <f>SUMIFS(Sagittarius!$F$55:$F$67,Sagittarius!$B$55:$B$67, C$15,Sagittarius!$H$55:$H$67,$A20)</f>
        <v>0</v>
      </c>
      <c r="D20" s="16">
        <f>SUMIFS(Sagittarius!$F$55:$F$67,Sagittarius!$B$55:$B$67, D$15,Sagittarius!$H$55:$H$67,$A20)</f>
        <v>0</v>
      </c>
      <c r="E20" s="16">
        <f>SUMIFS(Sagittarius!$F$55:$F$67,Sagittarius!$B$55:$B$67, E$15,Sagittarius!$H$55:$H$67,$A20)</f>
        <v>0</v>
      </c>
      <c r="F20" s="16">
        <f>SUMIFS(Sagittarius!$F$55:$F$67,Sagittarius!$B$55:$B$67, F$15,Sagittarius!$H$55:$H$67,$A20)</f>
        <v>0</v>
      </c>
      <c r="G20" s="81"/>
      <c r="H20" s="16"/>
      <c r="I20" s="75"/>
      <c r="J20" s="79"/>
      <c r="K20" s="82"/>
      <c r="L20" s="83"/>
      <c r="M20" s="84"/>
      <c r="N20" s="17"/>
      <c r="O20" s="17"/>
      <c r="P20" s="17"/>
      <c r="Q20" s="17"/>
      <c r="R20" s="16"/>
      <c r="S20" s="17"/>
      <c r="T20" s="17"/>
      <c r="U20" s="17"/>
      <c r="V20" s="17"/>
      <c r="W20" s="17"/>
      <c r="X20" s="17"/>
      <c r="Y20" s="17"/>
      <c r="Z20" s="17"/>
      <c r="AA20" s="17"/>
      <c r="AB20" s="17"/>
      <c r="AC20" s="17"/>
      <c r="AD20" s="17"/>
      <c r="AE20" s="17"/>
    </row>
    <row r="21" spans="1:36">
      <c r="A21" s="74" t="str">
        <f>CONCATENATE(A18," Costs")</f>
        <v>PT-ZZP Costs</v>
      </c>
      <c r="B21" s="78">
        <f t="array" ref="B21">SUM(IF(Sagittarius!$B$55:$B$67=B$15,IF(Sagittarius!$H$55:$H$67="PT-ZZP",Sagittarius!$F$55:$F$67*Sagittarius!$I$55:$I$67*(1+Constants!$B$7),0),0))</f>
        <v>0</v>
      </c>
      <c r="C21" s="78">
        <f t="array" ref="C21">SUM(IF(Sagittarius!$B$55:$B$67=C$15,IF(Sagittarius!$H$55:$H$67="PT-ZZP",Sagittarius!$F$55:$F$67*Sagittarius!$I$55:$I$67,0),0))</f>
        <v>0</v>
      </c>
      <c r="D21" s="78">
        <f t="array" ref="D21">SUM(IF(Sagittarius!$B$55:$B$67=D$15,IF(Sagittarius!$H$55:$H$67="PT-ZZP",Sagittarius!$F$55:$F$67*Sagittarius!$I$55:$I$67*(1+Constants!$B$7),0),0))</f>
        <v>0</v>
      </c>
      <c r="E21" s="78">
        <f t="array" ref="E21">SUM(IF(Sagittarius!$B$55:$B$67=E$15,IF(Sagittarius!$H$55:$H$67="PT-ZZP",Sagittarius!$F$55:$F$67*Sagittarius!$I$55:$I$67*(1+Constants!$B$7),0),0))</f>
        <v>0</v>
      </c>
      <c r="F21" s="78">
        <f t="array" ref="F21">SUM(IF(Sagittarius!$B$55:$B$67=F$15,IF(Sagittarius!$H$55:$H$67="PT-ZZP",Sagittarius!$F$55:$F$67*Sagittarius!$I$55:$I$67*(1+Constants!$B$7),0),0))</f>
        <v>0</v>
      </c>
      <c r="G21" s="81"/>
      <c r="H21" s="16"/>
      <c r="I21" s="75"/>
      <c r="J21" s="79"/>
      <c r="K21" s="82"/>
      <c r="L21" s="77" t="s">
        <v>5</v>
      </c>
      <c r="M21" s="76">
        <f ca="1">SUM(M15:M20)</f>
        <v>4476.1905410670524</v>
      </c>
      <c r="N21" s="17"/>
      <c r="O21" s="17"/>
      <c r="P21" s="17"/>
      <c r="Q21" s="17"/>
      <c r="R21" s="16"/>
      <c r="S21" s="17"/>
      <c r="T21" s="17"/>
      <c r="U21" s="17"/>
      <c r="V21" s="17"/>
      <c r="W21" s="17"/>
      <c r="X21" s="17"/>
      <c r="Y21" s="17"/>
      <c r="Z21" s="17"/>
      <c r="AA21" s="17"/>
      <c r="AB21" s="17"/>
      <c r="AC21" s="17"/>
      <c r="AD21" s="17"/>
      <c r="AE21" s="17"/>
    </row>
    <row r="22" spans="1:36" ht="15.75" customHeight="1">
      <c r="A22" s="74" t="str">
        <f>CONCATENATE(A20," Costs")</f>
        <v>Extern Costs</v>
      </c>
      <c r="B22" s="78">
        <f t="array" ref="B22">SUM(IF(Sagittarius!$B$55:$B$67=B$15,IF(Sagittarius!$H$55:$H$67="Extern",Sagittarius!$F$55:$F$67*Sagittarius!$I$55:$I$67,0),0))</f>
        <v>0</v>
      </c>
      <c r="C22" s="78">
        <f t="array" ref="C22">SUM(IF(Sagittarius!$B$55:$B$67=C$15,IF(Sagittarius!$H$55:$H$67="Extern",Sagittarius!$F$55:$F$67*Sagittarius!$I$55:$I$67,0),0))</f>
        <v>0</v>
      </c>
      <c r="D22" s="78">
        <f t="array" ref="D22">SUM(IF(Sagittarius!$B$55:$B$67=D$15,IF(Sagittarius!$H$55:$H$67="Extern",Sagittarius!$F$55:$F$67*Sagittarius!$I$55:$I$67,0),0))</f>
        <v>0</v>
      </c>
      <c r="E22" s="78">
        <f t="array" ref="E22">SUM(IF(Sagittarius!$B$55:$B$67=E$15,IF(Sagittarius!$H$55:$H$67="Extern",Sagittarius!$F$55:$F$67*Sagittarius!$I$55:$I$67,0),0))</f>
        <v>0</v>
      </c>
      <c r="F22" s="76">
        <f t="array" ref="F22">SUM(IF(Sagittarius!$B$55:$B$67=F$15,IF(Sagittarius!$H$55:$H$67="Extern",Sagittarius!$F$55:$F$67*Sagittarius!$I$55:$I$67,0),0))</f>
        <v>0</v>
      </c>
      <c r="G22" s="85"/>
      <c r="H22" s="177"/>
      <c r="I22" s="86"/>
      <c r="J22" s="87"/>
      <c r="K22" s="88"/>
      <c r="L22" s="87"/>
      <c r="M22" s="88"/>
      <c r="N22" s="17"/>
      <c r="O22" s="17"/>
      <c r="P22" s="17"/>
      <c r="Q22" s="17"/>
      <c r="R22" s="16"/>
      <c r="S22" s="17"/>
      <c r="T22" s="17"/>
      <c r="U22" s="17"/>
      <c r="V22" s="17"/>
      <c r="W22" s="17"/>
      <c r="X22" s="17"/>
      <c r="Y22" s="17"/>
      <c r="Z22" s="17"/>
      <c r="AA22" s="17"/>
      <c r="AB22" s="17"/>
      <c r="AC22" s="17"/>
      <c r="AD22" s="17"/>
      <c r="AE22" s="17"/>
    </row>
    <row r="23" spans="1:36" ht="15" customHeight="1">
      <c r="A23" s="74" t="s">
        <v>432</v>
      </c>
      <c r="B23" s="78"/>
      <c r="C23" s="78"/>
      <c r="D23" s="78"/>
      <c r="E23" s="78"/>
      <c r="F23" s="76">
        <f t="array" ref="F23">SUMIFS(Sagittarius!$F$55:$F$67,Sagittarius!$B$55:$B$67,"Mentorship",Sagittarius!$H$55:$H$67,"PT-V")*Constants!B8+SUMIFS(Sagittarius!$F$55:$F$67,Sagittarius!$B$55:$B$67,"Mentorship",Sagittarius!$H$55:$H$67,"PT")*Constants!B6+SUMPRODUCT(IF(Sagittarius!$B$55:$B$67="Mentorship",IF(Sagittarius!$H$55:$H$67="PT-ZZP",Sagittarius!$F$55:$F$67*Sagittarius!$I$55:$I$67,0)))</f>
        <v>0</v>
      </c>
    </row>
    <row r="24" spans="1:36" ht="15" customHeight="1">
      <c r="A24" s="89" t="s">
        <v>433</v>
      </c>
      <c r="B24" s="178"/>
      <c r="C24" s="178"/>
      <c r="D24" s="178"/>
      <c r="E24" s="178">
        <f>SUMIF(Sagittarius!$B$55:$B$67,"External Trainer Course",Sagittarius!$I$55:$I$67)</f>
        <v>275</v>
      </c>
      <c r="F24" s="90"/>
    </row>
    <row r="25" spans="1:36" ht="15.75" customHeight="1">
      <c r="A25" s="16"/>
      <c r="B25" s="16"/>
      <c r="C25" s="16"/>
      <c r="D25" s="16"/>
      <c r="E25" s="17"/>
      <c r="F25" s="17"/>
      <c r="G25" s="17"/>
      <c r="H25" s="17"/>
      <c r="I25" s="17"/>
      <c r="J25" s="17"/>
      <c r="K25" s="17"/>
      <c r="L25" s="17"/>
      <c r="M25" s="17"/>
      <c r="N25" s="17"/>
      <c r="O25" s="17"/>
      <c r="P25" s="17"/>
      <c r="Q25" s="16"/>
      <c r="R25" s="17"/>
      <c r="S25" s="17"/>
      <c r="T25" s="17"/>
      <c r="U25" s="17"/>
      <c r="V25" s="17"/>
      <c r="W25" s="17"/>
      <c r="X25" s="17"/>
      <c r="Y25" s="17"/>
      <c r="Z25" s="17"/>
      <c r="AA25" s="17"/>
      <c r="AB25" s="17"/>
      <c r="AC25" s="17"/>
      <c r="AD25" s="17"/>
    </row>
    <row r="26" spans="1:36" ht="15.75" customHeight="1">
      <c r="A26" s="16"/>
      <c r="B26" s="16"/>
      <c r="C26" s="16"/>
      <c r="D26" s="16"/>
      <c r="E26" s="17"/>
      <c r="F26" s="17"/>
      <c r="G26" s="17"/>
      <c r="H26" s="17"/>
      <c r="I26" s="17"/>
      <c r="J26" s="17"/>
      <c r="K26" s="17"/>
      <c r="L26" s="17"/>
      <c r="M26" s="17"/>
      <c r="N26" s="17"/>
      <c r="O26" s="17"/>
      <c r="P26" s="17"/>
      <c r="Q26" s="16"/>
      <c r="R26" s="17"/>
      <c r="S26" s="17"/>
      <c r="T26" s="17"/>
      <c r="U26" s="17"/>
      <c r="V26" s="17"/>
      <c r="W26" s="17"/>
      <c r="X26" s="17"/>
      <c r="Y26" s="17"/>
      <c r="Z26" s="17"/>
      <c r="AA26" s="17"/>
      <c r="AB26" s="17"/>
      <c r="AC26" s="17"/>
      <c r="AD26" s="17"/>
    </row>
    <row r="27" spans="1:36" ht="15.75" customHeight="1" thickBot="1">
      <c r="A27" s="91" t="s">
        <v>434</v>
      </c>
      <c r="B27" s="17"/>
      <c r="C27" s="17"/>
      <c r="D27" s="17"/>
      <c r="E27" s="17"/>
      <c r="F27" s="17"/>
      <c r="G27" s="92"/>
      <c r="H27" s="19"/>
      <c r="I27" s="17"/>
      <c r="J27" s="17"/>
      <c r="K27" s="17"/>
      <c r="L27" s="17"/>
      <c r="M27" s="17"/>
      <c r="N27" s="17"/>
      <c r="O27" s="17"/>
      <c r="P27" s="17"/>
      <c r="Q27" s="16"/>
      <c r="R27" s="17"/>
      <c r="S27" s="17"/>
      <c r="T27" s="17"/>
      <c r="U27" s="17"/>
      <c r="V27" s="17"/>
      <c r="W27" s="17"/>
      <c r="X27" s="17"/>
      <c r="Y27" s="17"/>
      <c r="Z27" s="17"/>
      <c r="AA27" s="17"/>
      <c r="AB27" s="17"/>
      <c r="AC27" s="17"/>
      <c r="AD27" s="17"/>
    </row>
    <row r="28" spans="1:36" ht="15.75" customHeight="1" thickTop="1" thickBot="1">
      <c r="A28" s="706" t="s">
        <v>435</v>
      </c>
      <c r="B28" s="707"/>
      <c r="C28" s="707"/>
      <c r="D28" s="707"/>
      <c r="E28" s="707"/>
      <c r="F28" s="708"/>
      <c r="G28" s="15"/>
      <c r="H28" s="17"/>
      <c r="I28" s="17"/>
      <c r="J28" s="17"/>
      <c r="K28" s="17"/>
      <c r="L28" s="17"/>
      <c r="M28" s="17"/>
      <c r="N28" s="17"/>
      <c r="O28" s="17"/>
      <c r="P28" s="17"/>
      <c r="Q28" s="16"/>
      <c r="R28" s="17"/>
      <c r="S28" s="17"/>
      <c r="T28" s="17"/>
      <c r="U28" s="17"/>
      <c r="V28" s="17"/>
      <c r="W28" s="17"/>
      <c r="X28" s="17"/>
      <c r="Y28" s="17"/>
      <c r="Z28" s="17"/>
      <c r="AA28" s="17"/>
      <c r="AB28" s="17"/>
      <c r="AC28" s="17"/>
      <c r="AD28" s="242" t="s">
        <v>436</v>
      </c>
      <c r="AE28" s="16"/>
      <c r="AF28" s="128"/>
      <c r="AG28" s="51"/>
      <c r="AH28" s="51"/>
      <c r="AI28" s="51"/>
      <c r="AJ28" s="51"/>
    </row>
    <row r="29" spans="1:36" ht="15.75" customHeight="1" thickBot="1">
      <c r="A29" s="709" t="s">
        <v>437</v>
      </c>
      <c r="B29" s="696"/>
      <c r="C29" s="696"/>
      <c r="D29" s="696"/>
      <c r="E29" s="696"/>
      <c r="F29" s="710"/>
      <c r="G29" s="17"/>
      <c r="H29" s="17"/>
      <c r="I29" s="17"/>
      <c r="J29" s="17"/>
      <c r="K29" s="17"/>
      <c r="L29" s="17"/>
      <c r="M29" s="17"/>
      <c r="N29" s="17"/>
      <c r="O29" s="17"/>
      <c r="P29" s="17"/>
      <c r="Q29" s="16"/>
      <c r="R29" s="17"/>
      <c r="S29" s="17"/>
      <c r="T29" s="17"/>
      <c r="U29" s="17"/>
      <c r="V29" s="17"/>
      <c r="W29" s="17"/>
      <c r="X29" s="17"/>
      <c r="Y29" s="17"/>
      <c r="Z29" s="17"/>
      <c r="AA29" s="17"/>
      <c r="AB29" s="17"/>
      <c r="AC29" s="17"/>
      <c r="AD29" s="243" t="s">
        <v>438</v>
      </c>
      <c r="AE29" s="243" t="s">
        <v>439</v>
      </c>
      <c r="AF29" s="243" t="s">
        <v>440</v>
      </c>
      <c r="AG29" s="711" t="s">
        <v>441</v>
      </c>
      <c r="AH29" s="712"/>
      <c r="AI29" s="711" t="s">
        <v>434</v>
      </c>
      <c r="AJ29" s="712"/>
    </row>
    <row r="30" spans="1:36" ht="15.75" customHeight="1" thickBot="1">
      <c r="A30" s="709" t="s">
        <v>442</v>
      </c>
      <c r="B30" s="696"/>
      <c r="C30" s="696"/>
      <c r="D30" s="696"/>
      <c r="E30" s="696"/>
      <c r="F30" s="710"/>
      <c r="G30" s="17"/>
      <c r="H30" s="17"/>
      <c r="I30" s="17"/>
      <c r="J30" s="17"/>
      <c r="K30" s="17"/>
      <c r="L30" s="17"/>
      <c r="M30" s="17"/>
      <c r="N30" s="17"/>
      <c r="O30" s="17"/>
      <c r="P30" s="17"/>
      <c r="Q30" s="16"/>
      <c r="R30" s="17"/>
      <c r="S30" s="17"/>
      <c r="T30" s="17"/>
      <c r="U30" s="17"/>
      <c r="V30" s="17"/>
      <c r="W30" s="17"/>
      <c r="X30" s="17"/>
      <c r="Y30" s="17"/>
      <c r="Z30" s="17"/>
      <c r="AA30" s="17"/>
      <c r="AB30" s="17"/>
      <c r="AC30" s="17"/>
      <c r="AD30" s="244" t="str">
        <f>IF($B$12="individual",Constants!F55,Constants!L55)</f>
        <v>member count</v>
      </c>
      <c r="AE30" s="244">
        <f>B7</f>
        <v>69</v>
      </c>
      <c r="AF30" s="269">
        <f>IF(AE30&gt;=301,5,IF(AE30&gt;=176,4,IF(AE30&gt;=101,3,IF(AE30&gt;=51,2,1))))</f>
        <v>2</v>
      </c>
      <c r="AG30" s="560"/>
      <c r="AH30" s="560"/>
      <c r="AI30" s="560" t="s">
        <v>443</v>
      </c>
      <c r="AJ30" s="560"/>
    </row>
    <row r="31" spans="1:36" ht="15" customHeight="1" thickBot="1">
      <c r="A31" s="709" t="s">
        <v>444</v>
      </c>
      <c r="B31" s="696"/>
      <c r="C31" s="696"/>
      <c r="D31" s="696"/>
      <c r="E31" s="696"/>
      <c r="F31" s="710"/>
      <c r="G31" s="17"/>
      <c r="H31" s="17"/>
      <c r="I31" s="17"/>
      <c r="J31" s="17"/>
      <c r="K31" s="17"/>
      <c r="L31" s="17"/>
      <c r="M31" s="17"/>
      <c r="N31" s="17"/>
      <c r="O31" s="17"/>
      <c r="P31" s="17"/>
      <c r="Q31" s="16"/>
      <c r="R31" s="17"/>
      <c r="S31" s="17"/>
      <c r="T31" s="17"/>
      <c r="U31" s="17"/>
      <c r="V31" s="17"/>
      <c r="W31" s="17"/>
      <c r="X31" s="17"/>
      <c r="Y31" s="17"/>
      <c r="Z31" s="17"/>
      <c r="AA31" s="17"/>
      <c r="AB31" s="17"/>
      <c r="AC31" s="17"/>
      <c r="AD31" s="244" t="str">
        <f>IF($B$12="individual",Constants!F56,Constants!L56)</f>
        <v>number of trainings per week</v>
      </c>
      <c r="AE31" s="244" cm="1">
        <f t="array" ref="AE31">SUMPRODUCT(C55:C67*D55:D67)/42</f>
        <v>1</v>
      </c>
      <c r="AF31" s="270">
        <f>IF(AE31&gt;=4,3,IF(AE31&gt;=3,2,IF(AE31&gt;=2,1,0)))</f>
        <v>0</v>
      </c>
      <c r="AG31" s="560"/>
      <c r="AH31" s="560"/>
      <c r="AI31" s="560"/>
      <c r="AJ31" s="560"/>
    </row>
    <row r="32" spans="1:36" ht="15.75" customHeight="1" thickBot="1">
      <c r="A32" s="709" t="s">
        <v>445</v>
      </c>
      <c r="B32" s="696"/>
      <c r="C32" s="696"/>
      <c r="D32" s="696"/>
      <c r="E32" s="696"/>
      <c r="F32" s="710"/>
      <c r="G32" s="17"/>
      <c r="H32" s="16"/>
      <c r="I32" s="16"/>
      <c r="J32" s="16"/>
      <c r="K32" s="17"/>
      <c r="L32" s="17"/>
      <c r="M32" s="17"/>
      <c r="N32" s="17"/>
      <c r="O32" s="17"/>
      <c r="P32" s="17"/>
      <c r="Q32" s="16"/>
      <c r="R32" s="17"/>
      <c r="S32" s="17"/>
      <c r="T32" s="17"/>
      <c r="U32" s="17"/>
      <c r="V32" s="17"/>
      <c r="W32" s="17"/>
      <c r="X32" s="17"/>
      <c r="Y32" s="17"/>
      <c r="Z32" s="17"/>
      <c r="AA32" s="17"/>
      <c r="AB32" s="17"/>
      <c r="AC32" s="17"/>
      <c r="AD32" s="244" t="str">
        <f>IF($B$12="individual",Constants!F57,Constants!L57)</f>
        <v>number of trainings weeks per year</v>
      </c>
      <c r="AE32" s="252">
        <f>MAX(C55:C67)</f>
        <v>42</v>
      </c>
      <c r="AF32" s="250">
        <f>IF(AE32&gt;=40,3,IF(AE32&gt;=35,2,1))</f>
        <v>3</v>
      </c>
      <c r="AG32" s="560"/>
      <c r="AH32" s="560"/>
      <c r="AI32" s="560"/>
      <c r="AJ32" s="560"/>
    </row>
    <row r="33" spans="1:58" ht="15.75" customHeight="1" thickBot="1">
      <c r="A33" s="93" t="s">
        <v>446</v>
      </c>
      <c r="F33" s="94"/>
      <c r="G33" s="17"/>
      <c r="H33" s="16"/>
      <c r="I33" s="16"/>
      <c r="J33" s="16"/>
      <c r="K33" s="17"/>
      <c r="L33" s="17"/>
      <c r="M33" s="17"/>
      <c r="N33" s="17"/>
      <c r="O33" s="17"/>
      <c r="P33" s="17"/>
      <c r="Q33" s="16"/>
      <c r="R33" s="17"/>
      <c r="S33" s="17"/>
      <c r="T33" s="17"/>
      <c r="U33" s="17"/>
      <c r="V33" s="17"/>
      <c r="W33" s="17"/>
      <c r="X33" s="17"/>
      <c r="Y33" s="17"/>
      <c r="Z33" s="17"/>
      <c r="AA33" s="17"/>
      <c r="AB33" s="17"/>
      <c r="AC33" s="17"/>
      <c r="AD33" s="244" t="str">
        <f>IF($B$12="individual",Constants!F58,Constants!L58)</f>
        <v>number of training hours by RT / PT-V</v>
      </c>
      <c r="AE33" s="251">
        <f>(SUMIF(H55:H67,"RT",F55:F67)+SUMIF(H55:H67,"PT-V",F55:F67))/SUM(F55:F67)</f>
        <v>1</v>
      </c>
      <c r="AF33" s="270">
        <f>IF(AE33&gt;0.9,3,IF(AE33&gt;0.6,2,IF(AE33&gt;0.3,1,0)))</f>
        <v>3</v>
      </c>
      <c r="AG33" s="560"/>
      <c r="AH33" s="560"/>
      <c r="AI33" s="560"/>
      <c r="AJ33" s="560"/>
    </row>
    <row r="34" spans="1:58" ht="15.75" customHeight="1" thickBot="1">
      <c r="A34" s="713" t="s">
        <v>447</v>
      </c>
      <c r="B34" s="714"/>
      <c r="C34" s="714"/>
      <c r="D34" s="714"/>
      <c r="E34" s="714"/>
      <c r="F34" s="715"/>
      <c r="G34" s="17"/>
      <c r="H34" s="16"/>
      <c r="I34" s="16"/>
      <c r="J34" s="16"/>
      <c r="K34" s="17"/>
      <c r="L34" s="17"/>
      <c r="M34" s="17"/>
      <c r="N34" s="17"/>
      <c r="O34" s="17"/>
      <c r="P34" s="17"/>
      <c r="Q34" s="16"/>
      <c r="R34" s="17"/>
      <c r="S34" s="17"/>
      <c r="T34" s="17"/>
      <c r="U34" s="17"/>
      <c r="V34" s="17"/>
      <c r="W34" s="17"/>
      <c r="X34" s="17"/>
      <c r="Y34" s="17"/>
      <c r="Z34" s="17"/>
      <c r="AA34" s="17"/>
      <c r="AB34" s="17"/>
      <c r="AC34" s="17"/>
      <c r="AD34" s="244" t="str">
        <f>IF($B$12="individual",Constants!F59,Constants!L59)</f>
        <v>number of training groups / teams</v>
      </c>
      <c r="AE34" s="244">
        <f>B10</f>
        <v>1</v>
      </c>
      <c r="AF34" s="271">
        <f>IF(AE34&gt;9,3,IF(AE34&gt;4,2,IF(AE34&gt;2,1,0)))</f>
        <v>0</v>
      </c>
      <c r="AG34" s="560"/>
      <c r="AH34" s="560"/>
      <c r="AI34" s="560"/>
      <c r="AJ34" s="560"/>
    </row>
    <row r="35" spans="1:58" ht="15.75" customHeight="1" thickTop="1" thickBot="1">
      <c r="A35" s="16"/>
      <c r="G35" s="17"/>
      <c r="H35" s="16"/>
      <c r="I35" s="16"/>
      <c r="J35" s="16"/>
      <c r="K35" s="17"/>
      <c r="L35" s="17"/>
      <c r="M35" s="17"/>
      <c r="N35" s="17"/>
      <c r="O35" s="17"/>
      <c r="P35" s="17"/>
      <c r="Q35" s="16"/>
      <c r="R35" s="17"/>
      <c r="S35" s="17"/>
      <c r="T35" s="17"/>
      <c r="U35" s="17"/>
      <c r="V35" s="17"/>
      <c r="W35" s="17"/>
      <c r="X35" s="17"/>
      <c r="Y35" s="17"/>
      <c r="Z35" s="17"/>
      <c r="AA35" s="17"/>
      <c r="AB35" s="17"/>
      <c r="AC35" s="17"/>
      <c r="AD35" s="244" t="str">
        <f>IF($B$12="individual",Constants!F60,Constants!L60)</f>
        <v>number of competitions organised</v>
      </c>
      <c r="AE35" s="249">
        <v>1</v>
      </c>
      <c r="AF35" s="271">
        <f>IF(AE35&gt;=4,5,IF(AE35&gt;=2,3,IF(AE35&gt;=1,1,0)))</f>
        <v>1</v>
      </c>
      <c r="AG35" s="560"/>
      <c r="AH35" s="560"/>
      <c r="AI35" s="560"/>
      <c r="AJ35" s="560"/>
    </row>
    <row r="36" spans="1:58" ht="15.75" customHeight="1" thickBot="1">
      <c r="A36" s="179" t="s">
        <v>448</v>
      </c>
      <c r="B36" s="16"/>
      <c r="C36" s="16"/>
      <c r="D36" s="16"/>
      <c r="E36" s="16"/>
      <c r="F36" s="16"/>
      <c r="G36" s="16"/>
      <c r="H36" s="16"/>
      <c r="I36" s="16"/>
      <c r="J36" s="16"/>
      <c r="K36" s="16"/>
      <c r="L36" s="16"/>
      <c r="M36" s="16"/>
      <c r="N36" s="16"/>
      <c r="O36" s="16"/>
      <c r="P36" s="16"/>
      <c r="Q36" s="16"/>
      <c r="R36" s="16"/>
      <c r="S36" s="16"/>
      <c r="T36" s="16"/>
      <c r="U36" s="16"/>
      <c r="V36" s="16"/>
      <c r="W36" s="16"/>
      <c r="X36" s="16"/>
      <c r="Y36" s="16"/>
      <c r="Z36" s="16"/>
      <c r="AA36" s="16"/>
      <c r="AB36" s="18"/>
      <c r="AC36" s="16"/>
      <c r="AD36" s="244" t="str">
        <f>IF($B$12="individual",Constants!F61,Constants!L61)</f>
        <v>number of social activities</v>
      </c>
      <c r="AE36" s="249">
        <v>12</v>
      </c>
      <c r="AF36" s="271">
        <f>IF(AE36&gt;=20,2,IF(AE36&gt;=10,1,0))</f>
        <v>1</v>
      </c>
      <c r="AG36" s="560"/>
      <c r="AH36" s="560"/>
      <c r="AI36" s="560"/>
      <c r="AJ36" s="560"/>
    </row>
    <row r="37" spans="1:58" ht="15" customHeight="1" thickTop="1" thickBot="1">
      <c r="A37" s="258" t="s">
        <v>449</v>
      </c>
      <c r="B37" s="259" t="s">
        <v>450</v>
      </c>
      <c r="C37" s="258" t="s">
        <v>451</v>
      </c>
      <c r="D37" s="258" t="s">
        <v>452</v>
      </c>
      <c r="E37" s="258" t="s">
        <v>453</v>
      </c>
      <c r="F37" s="258" t="s">
        <v>454</v>
      </c>
      <c r="G37" s="259" t="s">
        <v>455</v>
      </c>
      <c r="H37" s="561" t="s">
        <v>456</v>
      </c>
      <c r="I37" s="716"/>
      <c r="J37" s="717"/>
      <c r="K37" s="98"/>
      <c r="L37" s="98"/>
      <c r="M37" s="98"/>
      <c r="N37" s="98"/>
      <c r="O37" s="98"/>
      <c r="P37" s="98"/>
      <c r="Q37" s="98"/>
      <c r="R37" s="98"/>
      <c r="S37" s="98"/>
      <c r="T37" s="98"/>
      <c r="U37" s="96"/>
      <c r="V37" s="96"/>
      <c r="W37" s="96"/>
      <c r="X37" s="96"/>
      <c r="Y37" s="99"/>
      <c r="Z37" s="96"/>
      <c r="AA37" s="96"/>
      <c r="AB37" s="100"/>
      <c r="AC37" s="100"/>
      <c r="AD37" s="244" t="str">
        <f>IF($B$12="individual",Constants!F62,Constants!L62)</f>
        <v>number of bar days</v>
      </c>
      <c r="AE37" s="249">
        <v>6</v>
      </c>
      <c r="AF37" s="271">
        <f>IF(AE37&gt;=15,2,IF(AE37&gt;=8,1,0))</f>
        <v>0</v>
      </c>
      <c r="AG37" s="560"/>
      <c r="AH37" s="560"/>
      <c r="AI37" s="560"/>
      <c r="AJ37" s="560"/>
      <c r="AK37" s="100"/>
      <c r="AL37" s="100"/>
      <c r="AM37" s="100"/>
      <c r="AN37" s="100"/>
      <c r="AO37" s="100"/>
      <c r="AP37" s="100"/>
      <c r="AQ37" s="100"/>
      <c r="AR37" s="100"/>
      <c r="AS37" s="100"/>
      <c r="AT37" s="100"/>
      <c r="AU37" s="100"/>
      <c r="AV37" s="100"/>
      <c r="AW37" s="100"/>
      <c r="AX37" s="100"/>
      <c r="AY37" s="100"/>
      <c r="AZ37" s="100"/>
      <c r="BA37" s="100"/>
      <c r="BB37" s="100"/>
      <c r="BC37" s="100"/>
      <c r="BD37" s="100"/>
      <c r="BE37" s="100"/>
      <c r="BF37" s="100"/>
    </row>
    <row r="38" spans="1:58" ht="14.25" customHeight="1" thickTop="1" thickBot="1">
      <c r="A38" s="312">
        <v>1</v>
      </c>
      <c r="B38" s="232">
        <v>48</v>
      </c>
      <c r="C38" s="312">
        <v>2</v>
      </c>
      <c r="D38" s="313">
        <v>42</v>
      </c>
      <c r="E38" s="312" t="s">
        <v>55</v>
      </c>
      <c r="F38" s="324" t="s">
        <v>1371</v>
      </c>
      <c r="G38" s="323"/>
      <c r="H38" s="618"/>
      <c r="I38" s="741"/>
      <c r="J38" s="742"/>
      <c r="K38" s="16"/>
      <c r="L38" s="16"/>
      <c r="M38" s="16"/>
      <c r="N38" s="16"/>
      <c r="O38" s="16"/>
      <c r="P38" s="16"/>
      <c r="Q38" s="16"/>
      <c r="R38" s="16"/>
      <c r="S38" s="16"/>
      <c r="T38" s="16"/>
      <c r="U38" s="16"/>
      <c r="V38" s="16"/>
      <c r="W38" s="16"/>
      <c r="X38" s="16"/>
      <c r="Y38" s="17"/>
      <c r="Z38" s="16"/>
      <c r="AA38" s="16"/>
      <c r="AD38" s="244" t="str">
        <f>IF($B$12="individual",Constants!F63,Constants!L63)</f>
        <v>own bar / extra location</v>
      </c>
      <c r="AE38" s="249">
        <v>0</v>
      </c>
      <c r="AF38" s="271">
        <f>IF(AE38&gt;=15,2,IF(AE38&gt;=8,1,0))</f>
        <v>0</v>
      </c>
      <c r="AG38" s="560"/>
      <c r="AH38" s="560"/>
      <c r="AI38" s="560"/>
      <c r="AJ38" s="560"/>
    </row>
    <row r="39" spans="1:58" ht="14.25" customHeight="1" thickBot="1">
      <c r="A39" s="312"/>
      <c r="B39" s="232"/>
      <c r="C39" s="269"/>
      <c r="D39" s="313"/>
      <c r="E39" s="245"/>
      <c r="F39" s="261"/>
      <c r="G39" s="325"/>
      <c r="H39" s="743"/>
      <c r="I39" s="744"/>
      <c r="J39" s="745"/>
      <c r="K39" s="16"/>
      <c r="L39" s="16"/>
      <c r="M39" s="16"/>
      <c r="N39" s="16"/>
      <c r="O39" s="16"/>
      <c r="P39" s="16"/>
      <c r="Q39" s="16"/>
      <c r="R39" s="16"/>
      <c r="S39" s="16"/>
      <c r="T39" s="16"/>
      <c r="U39" s="16"/>
      <c r="V39" s="16"/>
      <c r="W39" s="16"/>
      <c r="X39" s="16"/>
      <c r="Y39" s="17"/>
      <c r="Z39" s="16"/>
      <c r="AA39" s="16"/>
      <c r="AD39" s="244" t="str">
        <f>IF($B$12="individual",Constants!F65,Constants!L64)</f>
        <v>number of competitions attended</v>
      </c>
      <c r="AE39" s="249">
        <v>0</v>
      </c>
      <c r="AF39" s="273">
        <f>IF(B12="individual", IF(AE39&gt;10, 5, IF(AE39&gt;6, 3, IF(AE39&gt;2, 1, 0))), IF(AE39&gt;3, 3, IF(AE39&gt;1, 2, 1)))</f>
        <v>0</v>
      </c>
      <c r="AG39" s="560"/>
      <c r="AH39" s="560"/>
      <c r="AI39" s="560"/>
      <c r="AJ39" s="560"/>
    </row>
    <row r="40" spans="1:58" ht="15.75" customHeight="1" thickBot="1">
      <c r="A40" s="231"/>
      <c r="B40" s="232"/>
      <c r="C40" s="231"/>
      <c r="D40" s="232"/>
      <c r="E40" s="245"/>
      <c r="F40" s="261"/>
      <c r="G40" s="231"/>
      <c r="H40" s="743"/>
      <c r="I40" s="744"/>
      <c r="J40" s="745"/>
      <c r="K40" s="16"/>
      <c r="L40" s="16"/>
      <c r="M40" s="16"/>
      <c r="N40" s="16"/>
      <c r="O40" s="16"/>
      <c r="P40" s="16"/>
      <c r="Q40" s="16"/>
      <c r="R40" s="16"/>
      <c r="S40" s="16"/>
      <c r="T40" s="16"/>
      <c r="U40" s="16"/>
      <c r="V40" s="16"/>
      <c r="W40" s="16"/>
      <c r="X40" s="16"/>
      <c r="Y40" s="16"/>
      <c r="Z40" s="16"/>
      <c r="AA40" s="16"/>
      <c r="AD40" s="231" t="str">
        <f>IF($B$12="individual",Constants!F64,Constants!L65)</f>
        <v>n/a</v>
      </c>
      <c r="AE40" s="231" t="str">
        <f>IF(AD40="n/a","",COUNTA(A46:A50)/COUNTA(A38:A42))</f>
        <v/>
      </c>
      <c r="AF40" s="272" t="str">
        <f>IF(B12="group", IF(AE40&gt;0.15, 5, IF(AE40&gt;0.1, 3, IF(AE40&gt;0.05, 1, 0))), " ")</f>
        <v xml:space="preserve"> </v>
      </c>
      <c r="AG40" s="560"/>
      <c r="AH40" s="560"/>
      <c r="AI40" s="560"/>
      <c r="AJ40" s="560"/>
    </row>
    <row r="41" spans="1:58" ht="15.75" customHeight="1" thickBot="1">
      <c r="A41" s="231"/>
      <c r="B41" s="232"/>
      <c r="C41" s="231"/>
      <c r="D41" s="232"/>
      <c r="E41" s="245"/>
      <c r="F41" s="261"/>
      <c r="G41" s="231"/>
      <c r="H41" s="743"/>
      <c r="I41" s="744"/>
      <c r="J41" s="745"/>
      <c r="K41" s="16"/>
      <c r="L41" s="16"/>
      <c r="M41" s="16"/>
      <c r="N41" s="16"/>
      <c r="O41" s="16"/>
      <c r="P41" s="16"/>
      <c r="Q41" s="16"/>
      <c r="R41" s="16"/>
      <c r="S41" s="16"/>
      <c r="T41" s="16"/>
      <c r="U41" s="16"/>
      <c r="V41" s="16"/>
      <c r="W41" s="16"/>
      <c r="X41" s="16"/>
      <c r="Y41" s="16"/>
      <c r="Z41" s="16"/>
      <c r="AA41" s="16"/>
      <c r="AD41" s="16"/>
      <c r="AE41" s="275" t="s">
        <v>461</v>
      </c>
      <c r="AF41" s="274">
        <f>SUM(AF30:AF40)</f>
        <v>10</v>
      </c>
      <c r="AG41" s="247"/>
      <c r="AH41" s="245"/>
      <c r="AI41" s="246"/>
      <c r="AJ41" s="247"/>
    </row>
    <row r="42" spans="1:58" ht="15.75" customHeight="1" thickBot="1">
      <c r="A42" s="231"/>
      <c r="B42" s="326"/>
      <c r="C42" s="245"/>
      <c r="D42" s="232"/>
      <c r="E42" s="261"/>
      <c r="F42" s="261"/>
      <c r="G42" s="231"/>
      <c r="H42" s="746"/>
      <c r="I42" s="747"/>
      <c r="J42" s="748"/>
      <c r="K42" s="16"/>
      <c r="L42" s="16"/>
      <c r="M42" s="16"/>
      <c r="N42" s="16"/>
      <c r="O42" s="16"/>
      <c r="P42" s="16"/>
      <c r="Q42" s="16"/>
      <c r="R42" s="16"/>
      <c r="S42" s="16"/>
      <c r="T42" s="16"/>
      <c r="U42" s="16"/>
      <c r="V42" s="16"/>
      <c r="W42" s="16"/>
      <c r="X42" s="16"/>
      <c r="Y42" s="16"/>
      <c r="Z42" s="16"/>
      <c r="AA42" s="16"/>
    </row>
    <row r="43" spans="1:58" ht="15.75" customHeight="1" thickTop="1">
      <c r="A43" s="18"/>
      <c r="B43" s="18"/>
      <c r="C43" s="18"/>
      <c r="D43" s="18"/>
      <c r="E43" s="18"/>
      <c r="F43" s="18"/>
      <c r="G43" s="17"/>
      <c r="H43" s="17"/>
      <c r="I43" s="17"/>
      <c r="J43" s="17"/>
      <c r="K43" s="17"/>
      <c r="L43" s="17"/>
      <c r="M43" s="17"/>
      <c r="N43" s="17"/>
      <c r="O43" s="17"/>
      <c r="P43" s="17"/>
      <c r="Q43" s="16"/>
      <c r="R43" s="17"/>
      <c r="S43" s="17"/>
      <c r="T43" s="17"/>
      <c r="U43" s="17"/>
      <c r="V43" s="17"/>
      <c r="W43" s="17"/>
      <c r="X43" s="17"/>
      <c r="Y43" s="17"/>
      <c r="Z43" s="17"/>
      <c r="AA43" s="17"/>
      <c r="AB43" s="17"/>
      <c r="AC43" s="17"/>
      <c r="AD43" s="17"/>
    </row>
    <row r="44" spans="1:58" ht="15.75" customHeight="1" thickBot="1">
      <c r="A44" s="179" t="s">
        <v>462</v>
      </c>
      <c r="B44" s="169"/>
      <c r="C44" s="16"/>
      <c r="D44" s="16"/>
      <c r="E44" s="16"/>
      <c r="F44" s="16"/>
      <c r="G44" s="16"/>
      <c r="H44" s="16"/>
      <c r="I44" s="16"/>
      <c r="J44" s="16"/>
      <c r="K44" s="16"/>
      <c r="L44" s="16"/>
      <c r="M44" s="16"/>
      <c r="N44" s="16"/>
      <c r="O44" s="16"/>
      <c r="P44" s="16"/>
      <c r="Q44" s="16"/>
      <c r="R44" s="16"/>
      <c r="S44" s="16"/>
      <c r="T44" s="16"/>
      <c r="U44" s="16"/>
      <c r="V44" s="16"/>
      <c r="W44" s="16"/>
      <c r="X44" s="16"/>
      <c r="Y44" s="16"/>
      <c r="Z44" s="16"/>
      <c r="AA44" s="16"/>
      <c r="AB44" s="18"/>
      <c r="AC44" s="16"/>
      <c r="AD44" s="16"/>
    </row>
    <row r="45" spans="1:58" ht="15" customHeight="1" thickTop="1" thickBot="1">
      <c r="A45" s="258" t="s">
        <v>449</v>
      </c>
      <c r="B45" s="259" t="s">
        <v>450</v>
      </c>
      <c r="C45" s="258" t="s">
        <v>463</v>
      </c>
      <c r="D45" s="258" t="s">
        <v>464</v>
      </c>
      <c r="E45" s="258" t="s">
        <v>465</v>
      </c>
      <c r="F45" s="258" t="s">
        <v>466</v>
      </c>
      <c r="G45" s="258" t="s">
        <v>467</v>
      </c>
      <c r="H45" s="259" t="s">
        <v>455</v>
      </c>
      <c r="I45" s="561" t="s">
        <v>456</v>
      </c>
      <c r="J45" s="716"/>
      <c r="K45" s="717"/>
      <c r="L45" s="98"/>
      <c r="M45" s="98"/>
      <c r="N45" s="98"/>
      <c r="O45" s="98"/>
      <c r="P45" s="98"/>
      <c r="Q45" s="98"/>
      <c r="R45" s="98"/>
      <c r="S45" s="98"/>
      <c r="T45" s="98"/>
      <c r="U45" s="98"/>
      <c r="V45" s="96"/>
      <c r="W45" s="96"/>
      <c r="X45" s="96"/>
      <c r="Y45" s="96"/>
      <c r="Z45" s="99"/>
      <c r="AA45" s="96"/>
      <c r="AB45" s="96"/>
      <c r="AC45" s="100"/>
      <c r="AD45" s="100"/>
      <c r="AE45" s="100"/>
      <c r="AF45" s="100"/>
      <c r="AG45" s="100"/>
      <c r="AH45" s="100"/>
      <c r="AI45" s="100"/>
      <c r="AJ45" s="100"/>
      <c r="AK45" s="100"/>
      <c r="AL45" s="100"/>
      <c r="AM45" s="100"/>
      <c r="AN45" s="100"/>
      <c r="AO45" s="100"/>
      <c r="AP45" s="100"/>
      <c r="AQ45" s="100"/>
      <c r="AR45" s="100"/>
      <c r="AS45" s="100"/>
      <c r="AT45" s="100"/>
      <c r="AU45" s="100"/>
      <c r="AV45" s="100"/>
      <c r="AW45" s="100"/>
      <c r="AX45" s="100"/>
      <c r="AY45" s="100"/>
      <c r="AZ45" s="100"/>
      <c r="BA45" s="100"/>
      <c r="BB45" s="100"/>
      <c r="BC45" s="100"/>
      <c r="BD45" s="100"/>
      <c r="BE45" s="100"/>
      <c r="BF45" s="100"/>
    </row>
    <row r="46" spans="1:58" ht="14.25" customHeight="1" thickTop="1">
      <c r="A46" s="312"/>
      <c r="B46" s="323"/>
      <c r="C46" s="312"/>
      <c r="D46" s="312"/>
      <c r="E46" s="327"/>
      <c r="F46" s="327"/>
      <c r="G46" s="323"/>
      <c r="H46" s="323"/>
      <c r="I46" s="618"/>
      <c r="J46" s="741"/>
      <c r="K46" s="742"/>
      <c r="L46" s="16"/>
      <c r="M46" s="16"/>
      <c r="N46" s="16"/>
      <c r="O46" s="16"/>
      <c r="P46" s="16"/>
      <c r="Q46" s="16"/>
      <c r="R46" s="16"/>
      <c r="S46" s="16"/>
      <c r="T46" s="16"/>
      <c r="U46" s="16"/>
      <c r="V46" s="16"/>
      <c r="W46" s="16"/>
      <c r="X46" s="16"/>
      <c r="Y46" s="16"/>
      <c r="Z46" s="17"/>
      <c r="AA46" s="16"/>
      <c r="AB46" s="16"/>
    </row>
    <row r="47" spans="1:58" ht="14.25" customHeight="1">
      <c r="A47" s="312"/>
      <c r="B47" s="323"/>
      <c r="C47" s="312"/>
      <c r="D47" s="312"/>
      <c r="E47" s="328"/>
      <c r="F47" s="327"/>
      <c r="G47" s="323"/>
      <c r="H47" s="323"/>
      <c r="I47" s="743"/>
      <c r="J47" s="744"/>
      <c r="K47" s="745"/>
      <c r="L47" s="16"/>
      <c r="M47" s="16"/>
      <c r="N47" s="16"/>
      <c r="O47" s="16"/>
      <c r="P47" s="16"/>
      <c r="Q47" s="16"/>
      <c r="R47" s="16"/>
      <c r="S47" s="16"/>
      <c r="T47" s="16"/>
      <c r="U47" s="16"/>
      <c r="V47" s="16"/>
      <c r="W47" s="16"/>
      <c r="X47" s="16"/>
      <c r="Y47" s="16"/>
      <c r="Z47" s="17"/>
      <c r="AA47" s="16"/>
      <c r="AB47" s="16"/>
    </row>
    <row r="48" spans="1:58" ht="15.75" customHeight="1">
      <c r="A48" s="323"/>
      <c r="B48" s="323"/>
      <c r="C48" s="323"/>
      <c r="D48" s="312"/>
      <c r="E48" s="328"/>
      <c r="F48" s="327"/>
      <c r="G48" s="329"/>
      <c r="H48" s="323"/>
      <c r="I48" s="743"/>
      <c r="J48" s="744"/>
      <c r="K48" s="745"/>
      <c r="L48" s="16"/>
      <c r="M48" s="16"/>
      <c r="N48" s="16"/>
      <c r="O48" s="16"/>
      <c r="P48" s="16"/>
      <c r="Q48" s="16"/>
      <c r="R48" s="16"/>
      <c r="S48" s="16"/>
      <c r="T48" s="16"/>
      <c r="U48" s="16"/>
      <c r="V48" s="16"/>
      <c r="W48" s="16"/>
      <c r="X48" s="16"/>
      <c r="Y48" s="16"/>
      <c r="Z48" s="16"/>
      <c r="AA48" s="16"/>
      <c r="AB48" s="16"/>
    </row>
    <row r="49" spans="1:30" ht="15.75" customHeight="1">
      <c r="A49" s="231"/>
      <c r="B49" s="232"/>
      <c r="C49" s="231"/>
      <c r="D49" s="269"/>
      <c r="E49" s="245"/>
      <c r="F49" s="261"/>
      <c r="G49" s="263"/>
      <c r="H49" s="231"/>
      <c r="I49" s="743"/>
      <c r="J49" s="744"/>
      <c r="K49" s="745"/>
      <c r="L49" s="16"/>
      <c r="M49" s="16"/>
      <c r="N49" s="16"/>
      <c r="O49" s="16"/>
      <c r="P49" s="16"/>
      <c r="Q49" s="16"/>
      <c r="R49" s="16"/>
      <c r="S49" s="16"/>
      <c r="T49" s="16"/>
      <c r="U49" s="16"/>
      <c r="V49" s="16"/>
      <c r="W49" s="16"/>
      <c r="X49" s="16"/>
      <c r="Y49" s="16"/>
      <c r="Z49" s="16"/>
      <c r="AA49" s="16"/>
      <c r="AB49" s="16"/>
    </row>
    <row r="50" spans="1:30" ht="15.75" customHeight="1" thickBot="1">
      <c r="A50" s="231"/>
      <c r="B50" s="326"/>
      <c r="C50" s="245"/>
      <c r="D50" s="245"/>
      <c r="E50" s="261"/>
      <c r="F50" s="261"/>
      <c r="G50" s="263"/>
      <c r="H50" s="231"/>
      <c r="I50" s="746"/>
      <c r="J50" s="747"/>
      <c r="K50" s="748"/>
      <c r="L50" s="16"/>
      <c r="M50" s="16"/>
      <c r="N50" s="16"/>
      <c r="O50" s="16"/>
      <c r="P50" s="16"/>
      <c r="Q50" s="16"/>
      <c r="R50" s="16"/>
      <c r="S50" s="16"/>
      <c r="T50" s="16"/>
      <c r="U50" s="16"/>
      <c r="V50" s="16"/>
      <c r="W50" s="16"/>
      <c r="X50" s="16"/>
      <c r="Y50" s="16"/>
      <c r="Z50" s="16"/>
      <c r="AA50" s="16"/>
      <c r="AB50" s="16"/>
    </row>
    <row r="51" spans="1:30" ht="15.75" customHeight="1" thickTop="1">
      <c r="A51" s="15"/>
      <c r="B51" s="16"/>
      <c r="C51" s="16"/>
      <c r="D51" s="16"/>
      <c r="E51" s="16"/>
      <c r="F51" s="16"/>
      <c r="G51" s="16"/>
      <c r="H51" s="16"/>
      <c r="I51" s="16"/>
      <c r="J51" s="16"/>
      <c r="K51" s="16"/>
      <c r="L51" s="16"/>
      <c r="M51" s="16"/>
      <c r="N51" s="16"/>
      <c r="O51" s="16"/>
      <c r="P51" s="16"/>
      <c r="Q51" s="16"/>
      <c r="R51" s="16"/>
      <c r="S51" s="16"/>
      <c r="T51" s="16"/>
      <c r="U51" s="16"/>
      <c r="V51" s="16"/>
      <c r="W51" s="16"/>
      <c r="X51" s="16"/>
      <c r="Y51" s="16"/>
      <c r="Z51" s="16"/>
      <c r="AA51" s="16"/>
      <c r="AB51" s="16"/>
      <c r="AC51" s="16"/>
      <c r="AD51" s="16"/>
    </row>
    <row r="52" spans="1:30" ht="15.75" customHeight="1">
      <c r="A52" s="15"/>
      <c r="B52" s="16"/>
      <c r="C52" s="16"/>
      <c r="D52" s="16"/>
      <c r="E52" s="16"/>
      <c r="F52" s="16"/>
      <c r="G52" s="16"/>
      <c r="H52" s="16"/>
      <c r="I52" s="16"/>
      <c r="J52" s="16"/>
      <c r="K52" s="16"/>
      <c r="L52" s="16"/>
      <c r="M52" s="16"/>
      <c r="N52" s="16"/>
      <c r="O52" s="16"/>
      <c r="P52" s="16"/>
      <c r="Q52" s="16"/>
      <c r="W52" s="16"/>
      <c r="X52" s="16"/>
      <c r="Y52" s="16"/>
      <c r="Z52" s="16"/>
      <c r="AA52" s="16"/>
      <c r="AB52" s="16"/>
      <c r="AC52" s="16"/>
      <c r="AD52" s="16"/>
    </row>
    <row r="53" spans="1:30" ht="15.75" customHeight="1" thickBot="1">
      <c r="A53" s="186" t="s">
        <v>475</v>
      </c>
      <c r="B53" s="231"/>
      <c r="C53" s="231"/>
      <c r="D53" s="231"/>
      <c r="E53" s="231"/>
      <c r="F53" s="231"/>
      <c r="G53" s="231"/>
      <c r="H53" s="231"/>
      <c r="I53" s="231"/>
      <c r="J53" s="231"/>
      <c r="K53" s="16"/>
      <c r="L53" s="16"/>
      <c r="M53" s="16"/>
      <c r="N53" s="16"/>
      <c r="O53" s="16"/>
      <c r="P53" s="16"/>
      <c r="Q53" s="16"/>
      <c r="W53" s="16"/>
      <c r="X53" s="16"/>
      <c r="Y53" s="16"/>
      <c r="Z53" s="16"/>
      <c r="AA53" s="16"/>
      <c r="AB53" s="16"/>
      <c r="AC53" s="16"/>
      <c r="AD53" s="16"/>
    </row>
    <row r="54" spans="1:30" ht="15.75" customHeight="1" thickTop="1" thickBot="1">
      <c r="A54" s="230" t="s">
        <v>476</v>
      </c>
      <c r="B54" s="230" t="s">
        <v>477</v>
      </c>
      <c r="C54" s="230" t="s">
        <v>478</v>
      </c>
      <c r="D54" s="230" t="s">
        <v>479</v>
      </c>
      <c r="E54" s="230" t="s">
        <v>480</v>
      </c>
      <c r="F54" s="230" t="s">
        <v>481</v>
      </c>
      <c r="G54" s="230" t="s">
        <v>482</v>
      </c>
      <c r="H54" s="230" t="s">
        <v>453</v>
      </c>
      <c r="I54" s="230" t="s">
        <v>483</v>
      </c>
      <c r="J54" s="230" t="s">
        <v>484</v>
      </c>
      <c r="K54" s="721" t="s">
        <v>485</v>
      </c>
      <c r="L54" s="716"/>
      <c r="M54" s="722"/>
      <c r="N54" s="15"/>
      <c r="O54" s="16"/>
      <c r="P54" s="16"/>
      <c r="Q54" s="16"/>
      <c r="W54" s="16"/>
      <c r="X54" s="16"/>
      <c r="Y54" s="16"/>
      <c r="Z54" s="16"/>
      <c r="AA54" s="16"/>
      <c r="AB54" s="16"/>
    </row>
    <row r="55" spans="1:30" ht="15" customHeight="1" thickTop="1">
      <c r="A55" s="319" t="s">
        <v>1600</v>
      </c>
      <c r="B55" s="319" t="s">
        <v>287</v>
      </c>
      <c r="C55" s="231">
        <v>42</v>
      </c>
      <c r="D55" s="231">
        <v>1</v>
      </c>
      <c r="E55" s="231">
        <v>2</v>
      </c>
      <c r="F55" s="231">
        <f>Table_4168194[[#This Row],['# Weeks]]*Table_4168194[[#This Row],[Total hours/week]]</f>
        <v>84</v>
      </c>
      <c r="G55" s="330" t="s">
        <v>1601</v>
      </c>
      <c r="H55" s="319" t="s">
        <v>55</v>
      </c>
      <c r="I55" s="331">
        <v>0</v>
      </c>
      <c r="J55" s="231"/>
      <c r="K55" s="564"/>
      <c r="L55" s="741"/>
      <c r="M55" s="742"/>
      <c r="N55" s="16"/>
      <c r="O55" s="16"/>
      <c r="P55" s="16"/>
      <c r="Q55" s="16"/>
      <c r="W55" s="16"/>
      <c r="X55" s="16"/>
      <c r="Y55" s="16"/>
      <c r="Z55" s="16"/>
      <c r="AA55" s="16"/>
      <c r="AB55" s="16"/>
    </row>
    <row r="56" spans="1:30" ht="15.75" customHeight="1">
      <c r="A56" s="319" t="s">
        <v>1602</v>
      </c>
      <c r="B56" s="319" t="s">
        <v>293</v>
      </c>
      <c r="C56" s="231"/>
      <c r="D56" s="231"/>
      <c r="E56" s="231"/>
      <c r="F56" s="231">
        <f>Table_4168194[[#This Row],['# Weeks]]*Table_4168194[[#This Row],[Total hours/week]]</f>
        <v>0</v>
      </c>
      <c r="G56" s="231"/>
      <c r="H56" s="319"/>
      <c r="I56" s="331">
        <v>275</v>
      </c>
      <c r="J56" s="231" t="s">
        <v>1603</v>
      </c>
      <c r="K56" s="749"/>
      <c r="L56" s="744"/>
      <c r="M56" s="745"/>
      <c r="N56" s="16"/>
      <c r="O56" s="16"/>
      <c r="P56" s="16"/>
      <c r="Q56" s="16"/>
      <c r="W56" s="16"/>
      <c r="X56" s="16"/>
      <c r="Y56" s="16"/>
      <c r="Z56" s="16"/>
      <c r="AA56" s="16"/>
      <c r="AB56" s="16"/>
    </row>
    <row r="57" spans="1:30" ht="14.25" customHeight="1">
      <c r="A57" s="231"/>
      <c r="B57" s="319"/>
      <c r="C57" s="231"/>
      <c r="D57" s="231"/>
      <c r="E57" s="231"/>
      <c r="F57" s="231">
        <f>Table_4168194[[#This Row],['# Weeks]]*Table_4168194[[#This Row],[Total hours/week]]</f>
        <v>0</v>
      </c>
      <c r="G57" s="248"/>
      <c r="H57" s="319"/>
      <c r="I57" s="331"/>
      <c r="J57" s="231"/>
      <c r="K57" s="749"/>
      <c r="L57" s="744"/>
      <c r="M57" s="745"/>
      <c r="N57" s="16"/>
      <c r="O57" s="16"/>
      <c r="P57" s="16"/>
      <c r="Q57" s="16"/>
      <c r="W57" s="16"/>
      <c r="X57" s="16"/>
      <c r="Y57" s="16"/>
      <c r="Z57" s="16"/>
      <c r="AA57" s="16"/>
      <c r="AB57" s="16"/>
    </row>
    <row r="58" spans="1:30" ht="15.75" customHeight="1">
      <c r="A58" s="319"/>
      <c r="B58" s="319"/>
      <c r="C58" s="231"/>
      <c r="D58" s="231"/>
      <c r="E58" s="231"/>
      <c r="F58" s="231">
        <f>Table_4168194[[#This Row],['# Weeks]]*Table_4168194[[#This Row],[Total hours/week]]</f>
        <v>0</v>
      </c>
      <c r="G58" s="231"/>
      <c r="H58" s="319"/>
      <c r="I58" s="331"/>
      <c r="J58" s="231"/>
      <c r="K58" s="749"/>
      <c r="L58" s="744"/>
      <c r="M58" s="745"/>
      <c r="N58" s="16"/>
      <c r="O58" s="16"/>
      <c r="P58" s="16"/>
      <c r="Q58" s="16"/>
      <c r="W58" s="16"/>
      <c r="X58" s="16"/>
      <c r="Y58" s="16"/>
      <c r="Z58" s="16"/>
      <c r="AA58" s="16"/>
      <c r="AB58" s="16"/>
    </row>
    <row r="59" spans="1:30" ht="15.75" customHeight="1">
      <c r="A59" s="319"/>
      <c r="B59" s="319"/>
      <c r="C59" s="231"/>
      <c r="D59" s="231"/>
      <c r="E59" s="231"/>
      <c r="F59" s="231">
        <f>Table_4168194[[#This Row],['# Weeks]]*Table_4168194[[#This Row],[Total hours/week]]</f>
        <v>0</v>
      </c>
      <c r="G59" s="231"/>
      <c r="H59" s="319"/>
      <c r="I59" s="331"/>
      <c r="J59" s="231"/>
      <c r="K59" s="749"/>
      <c r="L59" s="744"/>
      <c r="M59" s="745"/>
      <c r="N59" s="16"/>
      <c r="O59" s="16"/>
      <c r="P59" s="16"/>
      <c r="Q59" s="16"/>
      <c r="W59" s="16"/>
      <c r="X59" s="16"/>
      <c r="Y59" s="16"/>
      <c r="Z59" s="16"/>
      <c r="AA59" s="16"/>
      <c r="AB59" s="16"/>
    </row>
    <row r="60" spans="1:30" ht="15.75" customHeight="1">
      <c r="A60" s="319"/>
      <c r="B60" s="319"/>
      <c r="C60" s="231"/>
      <c r="D60" s="231"/>
      <c r="E60" s="231"/>
      <c r="F60" s="231">
        <f>Table_4168194[[#This Row],['# Weeks]]*Table_4168194[[#This Row],[Total hours/week]]</f>
        <v>0</v>
      </c>
      <c r="G60" s="319"/>
      <c r="H60" s="319"/>
      <c r="I60" s="331"/>
      <c r="J60" s="231"/>
      <c r="K60" s="749"/>
      <c r="L60" s="744"/>
      <c r="M60" s="745"/>
      <c r="N60" s="16"/>
      <c r="O60" s="16"/>
      <c r="P60" s="16"/>
      <c r="Q60" s="16"/>
      <c r="W60" s="16"/>
      <c r="X60" s="16"/>
      <c r="Y60" s="16"/>
      <c r="Z60" s="16"/>
      <c r="AA60" s="16"/>
      <c r="AB60" s="16"/>
    </row>
    <row r="61" spans="1:30" ht="15.75" customHeight="1">
      <c r="A61" s="319"/>
      <c r="B61" s="319"/>
      <c r="C61" s="231"/>
      <c r="D61" s="231"/>
      <c r="E61" s="231"/>
      <c r="F61" s="231">
        <f>Table_4168194[[#This Row],['# Weeks]]*Table_4168194[[#This Row],[Total hours/week]]</f>
        <v>0</v>
      </c>
      <c r="G61" s="319"/>
      <c r="H61" s="319"/>
      <c r="I61" s="331"/>
      <c r="J61" s="231"/>
      <c r="K61" s="749"/>
      <c r="L61" s="744"/>
      <c r="M61" s="745"/>
      <c r="N61" s="16"/>
      <c r="O61" s="16"/>
      <c r="P61" s="16"/>
      <c r="Q61" s="16"/>
      <c r="W61" s="16"/>
      <c r="X61" s="16"/>
      <c r="Y61" s="16"/>
      <c r="Z61" s="16"/>
      <c r="AA61" s="16"/>
      <c r="AB61" s="16"/>
    </row>
    <row r="62" spans="1:30" ht="15.75" customHeight="1">
      <c r="A62" s="319"/>
      <c r="B62" s="319"/>
      <c r="C62" s="261"/>
      <c r="D62" s="261"/>
      <c r="E62" s="261"/>
      <c r="F62" s="262">
        <f>Table_4168194[[#This Row],['# Weeks]]*Table_4168194[[#This Row],[Total hours/week]]</f>
        <v>0</v>
      </c>
      <c r="G62" s="319"/>
      <c r="H62" s="319"/>
      <c r="I62" s="331"/>
      <c r="J62" s="231"/>
      <c r="K62" s="749"/>
      <c r="L62" s="744"/>
      <c r="M62" s="745"/>
      <c r="N62" s="16"/>
      <c r="O62" s="16"/>
      <c r="P62" s="16"/>
      <c r="Q62" s="16"/>
      <c r="W62" s="16"/>
      <c r="X62" s="16"/>
      <c r="Y62" s="16"/>
      <c r="Z62" s="16"/>
      <c r="AA62" s="16"/>
      <c r="AB62" s="16"/>
    </row>
    <row r="63" spans="1:30" ht="15.75" customHeight="1">
      <c r="A63" s="319"/>
      <c r="B63" s="319"/>
      <c r="C63" s="261"/>
      <c r="D63" s="261"/>
      <c r="E63" s="261"/>
      <c r="F63" s="262">
        <f>Table_4168194[[#This Row],['# Weeks]]*Table_4168194[[#This Row],[Total hours/week]]</f>
        <v>0</v>
      </c>
      <c r="G63" s="319"/>
      <c r="H63" s="319"/>
      <c r="I63" s="331"/>
      <c r="J63" s="231"/>
      <c r="K63" s="749"/>
      <c r="L63" s="744"/>
      <c r="M63" s="745"/>
      <c r="N63" s="16"/>
      <c r="O63" s="16"/>
      <c r="P63" s="16"/>
      <c r="Q63" s="16"/>
      <c r="W63" s="16"/>
      <c r="X63" s="16"/>
      <c r="Y63" s="16"/>
      <c r="Z63" s="16"/>
      <c r="AA63" s="16"/>
      <c r="AB63" s="16"/>
    </row>
    <row r="64" spans="1:30" ht="15.75" customHeight="1">
      <c r="A64" s="231"/>
      <c r="B64" s="319"/>
      <c r="C64" s="232"/>
      <c r="D64" s="232"/>
      <c r="E64" s="261"/>
      <c r="F64" s="262">
        <f>Table_4168194[[#This Row],['# Weeks]]*Table_4168194[[#This Row],[Total hours/week]]</f>
        <v>0</v>
      </c>
      <c r="G64" s="231"/>
      <c r="H64" s="319"/>
      <c r="I64" s="331"/>
      <c r="J64" s="231"/>
      <c r="K64" s="749"/>
      <c r="L64" s="744"/>
      <c r="M64" s="745"/>
      <c r="N64" s="16"/>
      <c r="O64" s="16"/>
      <c r="P64" s="16"/>
      <c r="Q64" s="16"/>
      <c r="W64" s="16"/>
      <c r="X64" s="16"/>
      <c r="Y64" s="16"/>
      <c r="Z64" s="16"/>
      <c r="AA64" s="16"/>
      <c r="AB64" s="16"/>
    </row>
    <row r="65" spans="1:30" ht="15.75" customHeight="1">
      <c r="A65" s="231"/>
      <c r="B65" s="319"/>
      <c r="C65" s="232"/>
      <c r="D65" s="232"/>
      <c r="E65" s="261"/>
      <c r="F65" s="262">
        <f>Table_4168194[[#This Row],['# Weeks]]*Table_4168194[[#This Row],[Total hours/week]]</f>
        <v>0</v>
      </c>
      <c r="G65" s="231"/>
      <c r="H65" s="319"/>
      <c r="I65" s="331"/>
      <c r="J65" s="231"/>
      <c r="K65" s="749"/>
      <c r="L65" s="744"/>
      <c r="M65" s="745"/>
      <c r="N65" s="16"/>
      <c r="O65" s="16"/>
      <c r="P65" s="16"/>
      <c r="Q65" s="16"/>
      <c r="W65" s="16"/>
      <c r="X65" s="16"/>
      <c r="Y65" s="16"/>
      <c r="Z65" s="16"/>
      <c r="AA65" s="16"/>
      <c r="AB65" s="16"/>
    </row>
    <row r="66" spans="1:30" ht="15.75" customHeight="1">
      <c r="A66" s="231"/>
      <c r="B66" s="319"/>
      <c r="C66" s="232"/>
      <c r="D66" s="232"/>
      <c r="E66" s="261"/>
      <c r="F66" s="262">
        <f>Table_4168194[[#This Row],['# Weeks]]*Table_4168194[[#This Row],[Total hours/week]]</f>
        <v>0</v>
      </c>
      <c r="G66" s="231"/>
      <c r="H66" s="319"/>
      <c r="I66" s="331"/>
      <c r="J66" s="231"/>
      <c r="K66" s="749"/>
      <c r="L66" s="744"/>
      <c r="M66" s="745"/>
      <c r="N66" s="16"/>
      <c r="O66" s="16"/>
      <c r="P66" s="16"/>
      <c r="Q66" s="16"/>
      <c r="W66" s="16"/>
      <c r="X66" s="16"/>
      <c r="Y66" s="16"/>
      <c r="Z66" s="16"/>
      <c r="AA66" s="16"/>
      <c r="AB66" s="16"/>
    </row>
    <row r="67" spans="1:30" ht="15.75" customHeight="1" thickBot="1">
      <c r="A67" s="231"/>
      <c r="B67" s="319"/>
      <c r="C67" s="245"/>
      <c r="D67" s="232"/>
      <c r="E67" s="261"/>
      <c r="F67" s="262">
        <f>Table_4168194[[#This Row],['# Weeks]]*Table_4168194[[#This Row],[Total hours/week]]</f>
        <v>0</v>
      </c>
      <c r="G67" s="263"/>
      <c r="H67" s="263"/>
      <c r="I67" s="264"/>
      <c r="J67" s="231"/>
      <c r="K67" s="746"/>
      <c r="L67" s="747"/>
      <c r="M67" s="748"/>
      <c r="N67" s="16"/>
      <c r="O67" s="16"/>
      <c r="P67" s="16"/>
      <c r="Q67" s="16"/>
      <c r="W67" s="16"/>
      <c r="X67" s="16"/>
      <c r="Y67" s="16"/>
      <c r="Z67" s="16"/>
      <c r="AA67" s="16"/>
      <c r="AB67" s="16"/>
    </row>
    <row r="68" spans="1:30" ht="15.75" customHeight="1" thickTop="1">
      <c r="A68" s="16"/>
      <c r="B68" s="16"/>
      <c r="C68" s="16"/>
      <c r="D68" s="16"/>
      <c r="E68" s="16"/>
      <c r="F68" s="16"/>
      <c r="G68" s="16"/>
      <c r="H68" s="16"/>
      <c r="I68" s="16"/>
      <c r="J68" s="16"/>
      <c r="K68" s="16"/>
      <c r="L68" s="16"/>
      <c r="M68" s="16"/>
      <c r="N68" s="16"/>
      <c r="O68" s="16"/>
      <c r="P68" s="16"/>
      <c r="Q68" s="16"/>
      <c r="W68" s="16"/>
      <c r="X68" s="16"/>
      <c r="Y68" s="16"/>
      <c r="Z68" s="16"/>
      <c r="AA68" s="16"/>
      <c r="AB68" s="16"/>
      <c r="AC68" s="16"/>
      <c r="AD68" s="16"/>
    </row>
    <row r="69" spans="1:30" ht="15.75" customHeight="1" thickBot="1">
      <c r="A69" s="186" t="s">
        <v>499</v>
      </c>
      <c r="B69" s="231"/>
      <c r="C69" s="231"/>
      <c r="D69" s="231"/>
      <c r="E69" s="231"/>
      <c r="F69" s="231"/>
      <c r="G69" s="231"/>
      <c r="H69" s="231"/>
      <c r="I69" s="231"/>
      <c r="J69" s="231"/>
      <c r="K69" s="123"/>
      <c r="L69" s="123"/>
      <c r="M69" s="16"/>
      <c r="N69" s="16"/>
      <c r="O69" s="16"/>
      <c r="P69" s="16"/>
      <c r="Q69" s="16"/>
      <c r="W69" s="16"/>
      <c r="X69" s="16"/>
      <c r="Y69" s="16"/>
      <c r="Z69" s="16"/>
      <c r="AA69" s="16"/>
      <c r="AB69" s="16"/>
      <c r="AC69" s="16"/>
      <c r="AD69" s="16"/>
    </row>
    <row r="70" spans="1:30" ht="15.75" customHeight="1" thickTop="1" thickBot="1">
      <c r="A70" s="230" t="s">
        <v>476</v>
      </c>
      <c r="B70" s="230" t="s">
        <v>500</v>
      </c>
      <c r="C70" s="230" t="s">
        <v>501</v>
      </c>
      <c r="D70" s="230" t="s">
        <v>502</v>
      </c>
      <c r="E70" s="230" t="s">
        <v>503</v>
      </c>
      <c r="F70" s="230" t="s">
        <v>504</v>
      </c>
      <c r="G70" s="230" t="s">
        <v>505</v>
      </c>
      <c r="H70" s="230" t="s">
        <v>506</v>
      </c>
      <c r="I70" s="230" t="s">
        <v>507</v>
      </c>
      <c r="J70" s="230" t="s">
        <v>508</v>
      </c>
      <c r="K70" s="561" t="s">
        <v>441</v>
      </c>
      <c r="L70" s="561"/>
      <c r="M70" s="561"/>
      <c r="N70" s="561"/>
      <c r="O70" s="570"/>
      <c r="P70" s="726" t="s">
        <v>434</v>
      </c>
      <c r="Q70" s="727"/>
      <c r="R70" s="16"/>
      <c r="S70" s="16"/>
      <c r="V70" s="16"/>
      <c r="W70" s="16"/>
      <c r="X70" s="16"/>
      <c r="Y70" s="16"/>
      <c r="Z70" s="16"/>
      <c r="AA70" s="16"/>
    </row>
    <row r="71" spans="1:30" ht="15.75" customHeight="1" thickTop="1">
      <c r="A71" s="231">
        <v>1</v>
      </c>
      <c r="B71" s="231" t="s">
        <v>248</v>
      </c>
      <c r="C71" s="232" t="s">
        <v>512</v>
      </c>
      <c r="D71" s="261">
        <v>2</v>
      </c>
      <c r="E71" s="245">
        <v>42</v>
      </c>
      <c r="F71" s="326">
        <f>Sagittarius!$D71*Sagittarius!$E71</f>
        <v>84</v>
      </c>
      <c r="G71" s="245">
        <v>3</v>
      </c>
      <c r="H71" s="332">
        <f>IF($B71= "","-",IF($B71= "External","Specify location tariff", INDEX(Constants!$3:$3,MATCH($B71,Constants!$2:$2,0))))</f>
        <v>40</v>
      </c>
      <c r="I71" s="333">
        <f t="shared" ref="I71:I87" si="2">IF($H71="-","-",IF($H71="Specify location tariff","-",$H71*$F71))</f>
        <v>3360</v>
      </c>
      <c r="J71" s="247"/>
      <c r="K71" s="610"/>
      <c r="L71" s="611"/>
      <c r="M71" s="611"/>
      <c r="N71" s="611"/>
      <c r="O71" s="612"/>
      <c r="P71" s="564" t="s">
        <v>511</v>
      </c>
      <c r="Q71" s="565"/>
      <c r="R71" s="16"/>
      <c r="S71" s="16"/>
      <c r="V71" s="16"/>
      <c r="W71" s="16"/>
      <c r="X71" s="16"/>
      <c r="Y71" s="16"/>
      <c r="Z71" s="16"/>
      <c r="AA71" s="16"/>
    </row>
    <row r="72" spans="1:30" ht="15.75" customHeight="1">
      <c r="A72" s="231">
        <v>1</v>
      </c>
      <c r="B72" s="231" t="s">
        <v>248</v>
      </c>
      <c r="C72" s="232" t="s">
        <v>516</v>
      </c>
      <c r="D72" s="261">
        <v>2</v>
      </c>
      <c r="E72" s="245">
        <v>42</v>
      </c>
      <c r="F72" s="326">
        <f>Sagittarius!$D72*Sagittarius!$E72</f>
        <v>84</v>
      </c>
      <c r="G72" s="245">
        <v>3</v>
      </c>
      <c r="H72" s="332">
        <f>IF($B72= "","-",IF($B72= "External","Specify location tariff", INDEX(Constants!$3:$3,MATCH($B72,Constants!$2:$2,0))))</f>
        <v>40</v>
      </c>
      <c r="I72" s="333">
        <f t="shared" si="2"/>
        <v>3360</v>
      </c>
      <c r="J72" s="247"/>
      <c r="K72" s="613"/>
      <c r="L72" s="562"/>
      <c r="M72" s="562"/>
      <c r="N72" s="562"/>
      <c r="O72" s="614"/>
      <c r="P72" s="566"/>
      <c r="Q72" s="567"/>
      <c r="R72" s="16"/>
      <c r="S72" s="16"/>
      <c r="V72" s="16"/>
      <c r="W72" s="16"/>
      <c r="X72" s="16"/>
      <c r="Y72" s="16"/>
      <c r="Z72" s="16"/>
      <c r="AA72" s="16"/>
    </row>
    <row r="73" spans="1:30" ht="15.75" customHeight="1">
      <c r="A73" s="231"/>
      <c r="B73" s="231"/>
      <c r="C73" s="232"/>
      <c r="D73" s="261"/>
      <c r="E73" s="245"/>
      <c r="F73" s="326">
        <f>Sagittarius!$D73*Sagittarius!$E73</f>
        <v>0</v>
      </c>
      <c r="G73" s="245"/>
      <c r="H73" s="332" t="str">
        <f>IF($B73= "","-",IF($B73= "External","Specify location tariff", INDEX(Constants!$3:$3,MATCH($B73,Constants!$2:$2,0))))</f>
        <v>-</v>
      </c>
      <c r="I73" s="333" t="str">
        <f t="shared" si="2"/>
        <v>-</v>
      </c>
      <c r="J73" s="247"/>
      <c r="K73" s="613"/>
      <c r="L73" s="562"/>
      <c r="M73" s="562"/>
      <c r="N73" s="562"/>
      <c r="O73" s="614"/>
      <c r="P73" s="566"/>
      <c r="Q73" s="567"/>
      <c r="R73" s="16"/>
      <c r="S73" s="16"/>
      <c r="V73" s="16"/>
      <c r="W73" s="16"/>
      <c r="X73" s="16"/>
      <c r="Y73" s="16"/>
      <c r="Z73" s="16"/>
      <c r="AA73" s="16"/>
    </row>
    <row r="74" spans="1:30" ht="15.75" customHeight="1">
      <c r="A74" s="231"/>
      <c r="B74" s="231"/>
      <c r="C74" s="232"/>
      <c r="D74" s="261"/>
      <c r="E74" s="245"/>
      <c r="F74" s="326">
        <f>Sagittarius!$D74*Sagittarius!$E74</f>
        <v>0</v>
      </c>
      <c r="G74" s="245"/>
      <c r="H74" s="332" t="str">
        <f>IF($B74= "","-",IF($B74= "External","Specify location tariff", INDEX(Constants!$3:$3,MATCH($B74,Constants!$2:$2,0))))</f>
        <v>-</v>
      </c>
      <c r="I74" s="333" t="str">
        <f t="shared" si="2"/>
        <v>-</v>
      </c>
      <c r="J74" s="247"/>
      <c r="K74" s="613"/>
      <c r="L74" s="562"/>
      <c r="M74" s="562"/>
      <c r="N74" s="562"/>
      <c r="O74" s="614"/>
      <c r="P74" s="566"/>
      <c r="Q74" s="567"/>
      <c r="R74" s="16"/>
      <c r="S74" s="16"/>
      <c r="V74" s="16"/>
      <c r="W74" s="16"/>
      <c r="X74" s="16"/>
      <c r="Y74" s="16"/>
      <c r="Z74" s="16"/>
      <c r="AA74" s="16"/>
    </row>
    <row r="75" spans="1:30" ht="15.75" customHeight="1">
      <c r="A75" s="231"/>
      <c r="B75" s="231"/>
      <c r="C75" s="232"/>
      <c r="D75" s="261"/>
      <c r="E75" s="245"/>
      <c r="F75" s="326">
        <f>Sagittarius!$D75*Sagittarius!$E75</f>
        <v>0</v>
      </c>
      <c r="G75" s="245"/>
      <c r="H75" s="332" t="str">
        <f>IF($B75= "","-",IF($B75= "External","Specify location tariff", INDEX(Constants!$3:$3,MATCH($B75,Constants!$2:$2,0))))</f>
        <v>-</v>
      </c>
      <c r="I75" s="333" t="str">
        <f t="shared" si="2"/>
        <v>-</v>
      </c>
      <c r="J75" s="247"/>
      <c r="K75" s="613"/>
      <c r="L75" s="562"/>
      <c r="M75" s="562"/>
      <c r="N75" s="562"/>
      <c r="O75" s="614"/>
      <c r="P75" s="566"/>
      <c r="Q75" s="567"/>
      <c r="R75" s="16"/>
      <c r="S75" s="16"/>
      <c r="V75" s="16"/>
      <c r="W75" s="16"/>
      <c r="X75" s="16"/>
      <c r="Y75" s="16"/>
      <c r="Z75" s="16"/>
      <c r="AA75" s="16"/>
    </row>
    <row r="76" spans="1:30" ht="15.75" customHeight="1">
      <c r="A76" s="231"/>
      <c r="B76" s="231"/>
      <c r="C76" s="232"/>
      <c r="D76" s="261"/>
      <c r="E76" s="245"/>
      <c r="F76" s="326">
        <f>Sagittarius!$D76*Sagittarius!$E76</f>
        <v>0</v>
      </c>
      <c r="G76" s="245"/>
      <c r="H76" s="332" t="str">
        <f>IF($B76= "","-",IF($B76= "External","Specify location tariff", INDEX(Constants!$3:$3,MATCH($B76,Constants!$2:$2,0))))</f>
        <v>-</v>
      </c>
      <c r="I76" s="333" t="str">
        <f t="shared" si="2"/>
        <v>-</v>
      </c>
      <c r="J76" s="247"/>
      <c r="K76" s="613"/>
      <c r="L76" s="562"/>
      <c r="M76" s="562"/>
      <c r="N76" s="562"/>
      <c r="O76" s="614"/>
      <c r="P76" s="566"/>
      <c r="Q76" s="567"/>
      <c r="R76" s="16"/>
      <c r="S76" s="16"/>
      <c r="V76" s="16"/>
      <c r="W76" s="16"/>
      <c r="X76" s="16"/>
      <c r="Y76" s="16"/>
      <c r="Z76" s="16"/>
      <c r="AA76" s="16"/>
    </row>
    <row r="77" spans="1:30" ht="15.75" customHeight="1">
      <c r="A77" s="231"/>
      <c r="B77" s="231"/>
      <c r="C77" s="232"/>
      <c r="D77" s="261"/>
      <c r="E77" s="245"/>
      <c r="F77" s="326">
        <f>Sagittarius!$D77*Sagittarius!$E77</f>
        <v>0</v>
      </c>
      <c r="G77" s="245"/>
      <c r="H77" s="332" t="str">
        <f>IF($B77= "","-",IF($B77= "External","Specify location tariff", INDEX(Constants!$3:$3,MATCH($B77,Constants!$2:$2,0))))</f>
        <v>-</v>
      </c>
      <c r="I77" s="333" t="str">
        <f t="shared" si="2"/>
        <v>-</v>
      </c>
      <c r="J77" s="247"/>
      <c r="K77" s="613"/>
      <c r="L77" s="562"/>
      <c r="M77" s="562"/>
      <c r="N77" s="562"/>
      <c r="O77" s="614"/>
      <c r="P77" s="566"/>
      <c r="Q77" s="567"/>
      <c r="R77" s="16"/>
      <c r="S77" s="16"/>
      <c r="V77" s="16"/>
      <c r="W77" s="16"/>
      <c r="X77" s="16"/>
      <c r="Y77" s="16"/>
      <c r="Z77" s="16"/>
      <c r="AA77" s="16"/>
    </row>
    <row r="78" spans="1:30" ht="15.75" customHeight="1">
      <c r="A78" s="231"/>
      <c r="B78" s="231"/>
      <c r="C78" s="232"/>
      <c r="D78" s="261"/>
      <c r="E78" s="245"/>
      <c r="F78" s="326">
        <f>Sagittarius!$D78*Sagittarius!$E78</f>
        <v>0</v>
      </c>
      <c r="G78" s="245"/>
      <c r="H78" s="332" t="str">
        <f>IF($B78= "","-",IF($B78= "External","Specify location tariff", INDEX(Constants!$3:$3,MATCH($B78,Constants!$2:$2,0))))</f>
        <v>-</v>
      </c>
      <c r="I78" s="333" t="str">
        <f t="shared" si="2"/>
        <v>-</v>
      </c>
      <c r="J78" s="247"/>
      <c r="K78" s="613"/>
      <c r="L78" s="562"/>
      <c r="M78" s="562"/>
      <c r="N78" s="562"/>
      <c r="O78" s="614"/>
      <c r="P78" s="566"/>
      <c r="Q78" s="567"/>
      <c r="R78" s="16"/>
      <c r="S78" s="16"/>
      <c r="V78" s="16"/>
      <c r="W78" s="16"/>
      <c r="X78" s="16"/>
      <c r="Y78" s="16"/>
      <c r="Z78" s="16"/>
      <c r="AA78" s="16"/>
    </row>
    <row r="79" spans="1:30" ht="15.75" customHeight="1">
      <c r="A79" s="231"/>
      <c r="B79" s="231"/>
      <c r="C79" s="232"/>
      <c r="D79" s="261"/>
      <c r="E79" s="245"/>
      <c r="F79" s="326">
        <f>Sagittarius!$D79*Sagittarius!$E79</f>
        <v>0</v>
      </c>
      <c r="G79" s="245"/>
      <c r="H79" s="332" t="str">
        <f>IF($B79= "","-",IF($B79= "External","Specify location tariff", INDEX(Constants!$3:$3,MATCH($B79,Constants!$2:$2,0))))</f>
        <v>-</v>
      </c>
      <c r="I79" s="333" t="str">
        <f t="shared" si="2"/>
        <v>-</v>
      </c>
      <c r="J79" s="247"/>
      <c r="K79" s="613"/>
      <c r="L79" s="562"/>
      <c r="M79" s="562"/>
      <c r="N79" s="562"/>
      <c r="O79" s="614"/>
      <c r="P79" s="566"/>
      <c r="Q79" s="567"/>
      <c r="R79" s="16"/>
      <c r="S79" s="16"/>
      <c r="V79" s="16"/>
      <c r="W79" s="16"/>
      <c r="X79" s="16"/>
      <c r="Y79" s="16"/>
      <c r="Z79" s="16"/>
      <c r="AA79" s="16"/>
    </row>
    <row r="80" spans="1:30" ht="15.75" customHeight="1">
      <c r="A80" s="231"/>
      <c r="B80" s="231"/>
      <c r="C80" s="232"/>
      <c r="D80" s="261"/>
      <c r="E80" s="245"/>
      <c r="F80" s="326">
        <f>Sagittarius!$D80*Sagittarius!$E80</f>
        <v>0</v>
      </c>
      <c r="G80" s="245"/>
      <c r="H80" s="332" t="str">
        <f>IF($B80= "","-",IF($B80= "External","Specify location tariff", INDEX(Constants!$3:$3,MATCH($B80,Constants!$2:$2,0))))</f>
        <v>-</v>
      </c>
      <c r="I80" s="333" t="str">
        <f t="shared" si="2"/>
        <v>-</v>
      </c>
      <c r="J80" s="247"/>
      <c r="K80" s="613"/>
      <c r="L80" s="562"/>
      <c r="M80" s="562"/>
      <c r="N80" s="562"/>
      <c r="O80" s="614"/>
      <c r="P80" s="566"/>
      <c r="Q80" s="567"/>
      <c r="R80" s="16"/>
      <c r="S80" s="16"/>
      <c r="V80" s="16"/>
      <c r="W80" s="16"/>
      <c r="X80" s="16"/>
      <c r="Y80" s="16"/>
      <c r="Z80" s="16"/>
      <c r="AA80" s="16"/>
    </row>
    <row r="81" spans="1:30" ht="15.75" customHeight="1">
      <c r="A81" s="231"/>
      <c r="B81" s="231"/>
      <c r="C81" s="232"/>
      <c r="D81" s="261"/>
      <c r="E81" s="245"/>
      <c r="F81" s="326">
        <f>Sagittarius!$D81*Sagittarius!$E81</f>
        <v>0</v>
      </c>
      <c r="G81" s="245"/>
      <c r="H81" s="332" t="str">
        <f>IF($B81= "","-",IF($B81= "External","Specify location tariff", INDEX(Constants!$3:$3,MATCH($B81,Constants!$2:$2,0))))</f>
        <v>-</v>
      </c>
      <c r="I81" s="333" t="str">
        <f t="shared" si="2"/>
        <v>-</v>
      </c>
      <c r="J81" s="247"/>
      <c r="K81" s="613"/>
      <c r="L81" s="562"/>
      <c r="M81" s="562"/>
      <c r="N81" s="562"/>
      <c r="O81" s="614"/>
      <c r="P81" s="566"/>
      <c r="Q81" s="567"/>
      <c r="R81" s="16"/>
      <c r="S81" s="16"/>
      <c r="V81" s="16"/>
      <c r="W81" s="16"/>
      <c r="X81" s="16"/>
      <c r="Y81" s="16"/>
      <c r="Z81" s="16"/>
      <c r="AA81" s="16"/>
    </row>
    <row r="82" spans="1:30" ht="15.75" customHeight="1">
      <c r="A82" s="231"/>
      <c r="B82" s="231"/>
      <c r="C82" s="232"/>
      <c r="D82" s="261"/>
      <c r="E82" s="245"/>
      <c r="F82" s="326">
        <f>Sagittarius!$D82*Sagittarius!$E82</f>
        <v>0</v>
      </c>
      <c r="G82" s="245"/>
      <c r="H82" s="332" t="str">
        <f>IF($B82= "","-",IF($B82= "External","Specify location tariff", INDEX(Constants!$3:$3,MATCH($B82,Constants!$2:$2,0))))</f>
        <v>-</v>
      </c>
      <c r="I82" s="333" t="str">
        <f t="shared" si="2"/>
        <v>-</v>
      </c>
      <c r="J82" s="247"/>
      <c r="K82" s="613"/>
      <c r="L82" s="562"/>
      <c r="M82" s="562"/>
      <c r="N82" s="562"/>
      <c r="O82" s="614"/>
      <c r="P82" s="566"/>
      <c r="Q82" s="567"/>
      <c r="R82" s="16"/>
      <c r="S82" s="16"/>
      <c r="V82" s="16"/>
      <c r="W82" s="16"/>
      <c r="X82" s="16"/>
      <c r="Y82" s="16"/>
      <c r="Z82" s="16"/>
      <c r="AA82" s="16"/>
    </row>
    <row r="83" spans="1:30" ht="15.75" customHeight="1">
      <c r="A83" s="231"/>
      <c r="B83" s="231"/>
      <c r="C83" s="232"/>
      <c r="D83" s="261"/>
      <c r="E83" s="245"/>
      <c r="F83" s="326">
        <f>Sagittarius!$D83*Sagittarius!$E83</f>
        <v>0</v>
      </c>
      <c r="G83" s="245"/>
      <c r="H83" s="332" t="str">
        <f>IF($B83= "","-",IF($B83= "External","Specify location tariff", INDEX(Constants!$3:$3,MATCH($B83,Constants!$2:$2,0))))</f>
        <v>-</v>
      </c>
      <c r="I83" s="333" t="str">
        <f t="shared" si="2"/>
        <v>-</v>
      </c>
      <c r="J83" s="247"/>
      <c r="K83" s="613"/>
      <c r="L83" s="562"/>
      <c r="M83" s="562"/>
      <c r="N83" s="562"/>
      <c r="O83" s="614"/>
      <c r="P83" s="566"/>
      <c r="Q83" s="567"/>
      <c r="R83" s="16"/>
      <c r="S83" s="16"/>
      <c r="V83" s="16"/>
      <c r="W83" s="16"/>
      <c r="X83" s="16"/>
      <c r="Y83" s="16"/>
      <c r="Z83" s="16"/>
      <c r="AA83" s="16"/>
    </row>
    <row r="84" spans="1:30" ht="15.75" customHeight="1">
      <c r="A84" s="231"/>
      <c r="B84" s="231"/>
      <c r="C84" s="232"/>
      <c r="D84" s="261"/>
      <c r="E84" s="245"/>
      <c r="F84" s="326">
        <f>Sagittarius!$D84*Sagittarius!$E84</f>
        <v>0</v>
      </c>
      <c r="G84" s="245"/>
      <c r="H84" s="332" t="str">
        <f>IF($B84= "","-",IF($B84= "External","Specify location tariff", INDEX(Constants!$3:$3,MATCH($B84,Constants!$2:$2,0))))</f>
        <v>-</v>
      </c>
      <c r="I84" s="333" t="str">
        <f t="shared" si="2"/>
        <v>-</v>
      </c>
      <c r="J84" s="247"/>
      <c r="K84" s="613"/>
      <c r="L84" s="562"/>
      <c r="M84" s="562"/>
      <c r="N84" s="562"/>
      <c r="O84" s="614"/>
      <c r="P84" s="566"/>
      <c r="Q84" s="567"/>
      <c r="R84" s="16"/>
      <c r="S84" s="16"/>
      <c r="V84" s="16"/>
      <c r="W84" s="16"/>
      <c r="X84" s="16"/>
      <c r="Y84" s="16"/>
      <c r="Z84" s="16"/>
      <c r="AA84" s="16"/>
    </row>
    <row r="85" spans="1:30" ht="15.75" customHeight="1">
      <c r="A85" s="231"/>
      <c r="B85" s="231"/>
      <c r="C85" s="232"/>
      <c r="D85" s="261"/>
      <c r="E85" s="245"/>
      <c r="F85" s="326">
        <f>Sagittarius!$D85*Sagittarius!$E85</f>
        <v>0</v>
      </c>
      <c r="G85" s="245"/>
      <c r="H85" s="332" t="str">
        <f>IF($B85= "","-",IF($B85= "External","Specify location tariff", INDEX(Constants!$3:$3,MATCH($B85,Constants!$2:$2,0))))</f>
        <v>-</v>
      </c>
      <c r="I85" s="333" t="str">
        <f t="shared" si="2"/>
        <v>-</v>
      </c>
      <c r="J85" s="247"/>
      <c r="K85" s="613"/>
      <c r="L85" s="562"/>
      <c r="M85" s="562"/>
      <c r="N85" s="562"/>
      <c r="O85" s="614"/>
      <c r="P85" s="566"/>
      <c r="Q85" s="567"/>
      <c r="R85" s="16"/>
      <c r="S85" s="16"/>
      <c r="V85" s="16"/>
      <c r="W85" s="16"/>
      <c r="X85" s="16"/>
      <c r="Y85" s="16"/>
      <c r="Z85" s="16"/>
      <c r="AA85" s="16"/>
    </row>
    <row r="86" spans="1:30" ht="15.75" customHeight="1">
      <c r="A86" s="231"/>
      <c r="B86" s="231"/>
      <c r="C86" s="232"/>
      <c r="D86" s="261"/>
      <c r="E86" s="245"/>
      <c r="F86" s="326">
        <f>Sagittarius!$D86*Sagittarius!$E86</f>
        <v>0</v>
      </c>
      <c r="G86" s="245"/>
      <c r="H86" s="332" t="str">
        <f>IF($B86= "","-",IF($B86= "External","Specify location tariff", INDEX(Constants!$3:$3,MATCH($B86,Constants!$2:$2,0))))</f>
        <v>-</v>
      </c>
      <c r="I86" s="333" t="str">
        <f t="shared" si="2"/>
        <v>-</v>
      </c>
      <c r="J86" s="247"/>
      <c r="K86" s="613"/>
      <c r="L86" s="562"/>
      <c r="M86" s="562"/>
      <c r="N86" s="562"/>
      <c r="O86" s="614"/>
      <c r="P86" s="566"/>
      <c r="Q86" s="567"/>
      <c r="R86" s="16"/>
      <c r="S86" s="16"/>
      <c r="V86" s="16"/>
      <c r="W86" s="16"/>
      <c r="X86" s="16"/>
      <c r="Y86" s="16"/>
      <c r="Z86" s="16"/>
      <c r="AA86" s="16"/>
    </row>
    <row r="87" spans="1:30" ht="15.75" customHeight="1" thickBot="1">
      <c r="A87" s="231"/>
      <c r="B87" s="231"/>
      <c r="C87" s="232"/>
      <c r="D87" s="261"/>
      <c r="E87" s="245"/>
      <c r="F87" s="326">
        <f>Sagittarius!$D87*Sagittarius!$E87</f>
        <v>0</v>
      </c>
      <c r="G87" s="245"/>
      <c r="H87" s="332" t="str">
        <f>IF($B87= "","-",IF($B87= "External","Specify location tariff", INDEX(Constants!$3:$3,MATCH($B87,Constants!$2:$2,0))))</f>
        <v>-</v>
      </c>
      <c r="I87" s="333" t="str">
        <f t="shared" si="2"/>
        <v>-</v>
      </c>
      <c r="J87" s="247"/>
      <c r="K87" s="615"/>
      <c r="L87" s="616"/>
      <c r="M87" s="616"/>
      <c r="N87" s="616"/>
      <c r="O87" s="617"/>
      <c r="P87" s="568"/>
      <c r="Q87" s="569"/>
      <c r="R87" s="16"/>
      <c r="S87" s="16"/>
      <c r="V87" s="16"/>
      <c r="W87" s="16"/>
      <c r="X87" s="16"/>
      <c r="Y87" s="16"/>
      <c r="Z87" s="16"/>
      <c r="AA87" s="16"/>
    </row>
    <row r="88" spans="1:30" ht="15.75" customHeight="1" thickTop="1">
      <c r="A88" s="15"/>
      <c r="B88" s="16"/>
      <c r="C88" s="16"/>
      <c r="D88" s="16"/>
      <c r="E88" s="16"/>
      <c r="F88" s="16"/>
      <c r="G88" s="16"/>
      <c r="H88" s="16"/>
      <c r="I88" s="16"/>
      <c r="J88" s="16"/>
      <c r="K88" s="16"/>
      <c r="L88" s="16"/>
      <c r="M88" s="16"/>
      <c r="N88" s="16"/>
      <c r="O88" s="16"/>
      <c r="P88" s="16"/>
      <c r="Q88" s="16"/>
      <c r="R88" s="16"/>
      <c r="S88" s="16"/>
      <c r="T88" s="16"/>
      <c r="U88" s="16"/>
      <c r="V88" s="16"/>
      <c r="W88" s="16"/>
      <c r="X88" s="16"/>
      <c r="Y88" s="16"/>
      <c r="Z88" s="16"/>
      <c r="AA88" s="16"/>
      <c r="AB88" s="16"/>
      <c r="AC88" s="16"/>
      <c r="AD88" s="16"/>
    </row>
    <row r="89" spans="1:30" ht="15.75" customHeight="1">
      <c r="A89" s="15"/>
      <c r="B89" s="16"/>
      <c r="C89" s="16"/>
      <c r="D89" s="16"/>
      <c r="E89" s="16"/>
      <c r="F89" s="16"/>
      <c r="G89" s="16"/>
      <c r="H89" s="16"/>
      <c r="I89" s="16"/>
      <c r="J89" s="16"/>
      <c r="K89" s="16"/>
      <c r="L89" s="16"/>
      <c r="M89" s="16"/>
      <c r="N89" s="16"/>
      <c r="O89" s="16"/>
      <c r="P89" s="16"/>
      <c r="Q89" s="16"/>
      <c r="R89" s="16"/>
      <c r="S89" s="16"/>
      <c r="T89" s="16"/>
      <c r="U89" s="16"/>
      <c r="V89" s="16"/>
      <c r="W89" s="16"/>
      <c r="X89" s="16"/>
      <c r="Y89" s="16"/>
      <c r="Z89" s="16"/>
      <c r="AA89" s="16"/>
      <c r="AB89" s="16"/>
      <c r="AC89" s="16"/>
      <c r="AD89" s="16"/>
    </row>
    <row r="90" spans="1:30" ht="15.75" customHeight="1" thickBot="1">
      <c r="A90" s="186" t="s">
        <v>519</v>
      </c>
      <c r="B90" s="16"/>
      <c r="C90" s="128"/>
      <c r="D90" s="51"/>
      <c r="E90" s="51"/>
      <c r="F90" s="51"/>
      <c r="G90" s="51"/>
      <c r="H90" s="51"/>
      <c r="I90" s="51"/>
      <c r="J90" s="51"/>
      <c r="K90" s="51"/>
      <c r="L90" s="232"/>
      <c r="M90" s="231"/>
      <c r="N90" s="16"/>
      <c r="O90" s="16"/>
      <c r="P90" s="16"/>
      <c r="Q90" s="16"/>
      <c r="R90" s="16"/>
      <c r="S90" s="16"/>
      <c r="T90" s="16"/>
      <c r="U90" s="16"/>
      <c r="V90" s="16"/>
      <c r="W90" s="16"/>
      <c r="X90" s="16"/>
      <c r="Y90" s="16"/>
      <c r="Z90" s="16"/>
      <c r="AA90" s="16"/>
      <c r="AB90" s="16"/>
      <c r="AC90" s="16"/>
      <c r="AD90" s="16"/>
    </row>
    <row r="91" spans="1:30" ht="15" customHeight="1" thickTop="1" thickBot="1">
      <c r="A91" s="230" t="s">
        <v>438</v>
      </c>
      <c r="B91" s="230" t="s">
        <v>439</v>
      </c>
      <c r="C91" s="230" t="s">
        <v>520</v>
      </c>
      <c r="D91" s="230" t="s">
        <v>521</v>
      </c>
      <c r="E91" s="230" t="s">
        <v>522</v>
      </c>
      <c r="F91" s="230" t="s">
        <v>523</v>
      </c>
      <c r="G91" s="230" t="s">
        <v>508</v>
      </c>
      <c r="H91" s="721" t="s">
        <v>441</v>
      </c>
      <c r="I91" s="728"/>
      <c r="J91" s="729" t="s">
        <v>434</v>
      </c>
      <c r="K91" s="730"/>
      <c r="L91" s="16"/>
      <c r="M91" s="16"/>
      <c r="N91" s="16"/>
      <c r="O91" s="16"/>
      <c r="P91" s="117"/>
      <c r="Q91" s="15"/>
      <c r="R91" s="16"/>
      <c r="S91" s="130"/>
      <c r="T91" s="16"/>
      <c r="U91" s="16"/>
      <c r="V91" s="16"/>
      <c r="W91" s="241"/>
      <c r="X91" s="16"/>
      <c r="Y91" s="16"/>
      <c r="Z91" s="16"/>
      <c r="AA91" s="16"/>
      <c r="AB91" s="16"/>
    </row>
    <row r="92" spans="1:30" ht="15" customHeight="1" thickTop="1">
      <c r="A92" s="405" t="s">
        <v>1604</v>
      </c>
      <c r="B92" s="191" t="s">
        <v>1605</v>
      </c>
      <c r="C92" s="200">
        <v>1047.3</v>
      </c>
      <c r="D92" s="201" t="s">
        <v>1606</v>
      </c>
      <c r="E92" s="193">
        <v>15</v>
      </c>
      <c r="F92" s="202">
        <v>104.73</v>
      </c>
      <c r="G92" s="247"/>
      <c r="H92" s="606"/>
      <c r="I92" s="595"/>
      <c r="J92" s="576" t="s">
        <v>526</v>
      </c>
      <c r="K92" s="577"/>
      <c r="L92" s="16"/>
      <c r="M92" s="16"/>
      <c r="N92" s="16"/>
      <c r="O92" s="16"/>
      <c r="P92" s="117"/>
      <c r="Q92" s="15"/>
      <c r="R92" s="16"/>
      <c r="S92" s="130"/>
      <c r="T92" s="16"/>
      <c r="U92" s="16"/>
      <c r="V92" s="16"/>
      <c r="W92" s="241"/>
      <c r="X92" s="16"/>
      <c r="Y92" s="16"/>
      <c r="Z92" s="16"/>
      <c r="AA92" s="16"/>
      <c r="AB92" s="16"/>
    </row>
    <row r="93" spans="1:30" ht="15" customHeight="1">
      <c r="A93" s="405" t="s">
        <v>1607</v>
      </c>
      <c r="B93" s="191" t="s">
        <v>1605</v>
      </c>
      <c r="C93" s="200">
        <v>1087.25</v>
      </c>
      <c r="D93" s="201" t="s">
        <v>1606</v>
      </c>
      <c r="E93" s="193">
        <v>18</v>
      </c>
      <c r="F93" s="202">
        <v>108.73</v>
      </c>
      <c r="G93" s="247"/>
      <c r="H93" s="589"/>
      <c r="I93" s="597"/>
      <c r="J93" s="578"/>
      <c r="K93" s="579"/>
      <c r="L93" s="16"/>
      <c r="M93" s="16"/>
      <c r="N93" s="16"/>
      <c r="O93" s="16"/>
      <c r="P93" s="117"/>
      <c r="Q93" s="15"/>
      <c r="R93" s="16"/>
      <c r="S93" s="130"/>
      <c r="T93" s="16"/>
      <c r="U93" s="16"/>
      <c r="V93" s="16"/>
      <c r="W93" s="241"/>
      <c r="X93" s="16"/>
      <c r="Y93" s="16"/>
      <c r="Z93" s="16"/>
      <c r="AA93" s="16"/>
      <c r="AB93" s="16"/>
    </row>
    <row r="94" spans="1:30" ht="15" customHeight="1">
      <c r="A94" s="405" t="s">
        <v>1608</v>
      </c>
      <c r="B94" s="191" t="s">
        <v>1605</v>
      </c>
      <c r="C94" s="200">
        <v>1050.55</v>
      </c>
      <c r="D94" s="201" t="s">
        <v>1609</v>
      </c>
      <c r="E94" s="193">
        <v>116</v>
      </c>
      <c r="F94" s="202">
        <v>131.19999999999999</v>
      </c>
      <c r="G94" s="247"/>
      <c r="H94" s="589"/>
      <c r="I94" s="597"/>
      <c r="J94" s="578"/>
      <c r="K94" s="579"/>
      <c r="L94" s="16"/>
      <c r="M94" s="16"/>
      <c r="N94" s="16"/>
      <c r="O94" s="16"/>
      <c r="P94" s="117"/>
      <c r="Q94" s="15"/>
      <c r="R94" s="16"/>
      <c r="S94" s="130"/>
      <c r="T94" s="16"/>
      <c r="U94" s="16"/>
      <c r="V94" s="16"/>
      <c r="W94" s="241"/>
      <c r="X94" s="16"/>
      <c r="Y94" s="16"/>
      <c r="Z94" s="16"/>
      <c r="AA94" s="16"/>
      <c r="AB94" s="16"/>
    </row>
    <row r="95" spans="1:30" ht="15" customHeight="1">
      <c r="A95" s="405" t="s">
        <v>1610</v>
      </c>
      <c r="B95" s="191" t="s">
        <v>1611</v>
      </c>
      <c r="C95" s="200">
        <v>36</v>
      </c>
      <c r="D95" s="201" t="s">
        <v>1612</v>
      </c>
      <c r="E95" s="193">
        <v>5</v>
      </c>
      <c r="F95" s="202">
        <v>7.2</v>
      </c>
      <c r="G95" s="247"/>
      <c r="H95" s="589"/>
      <c r="I95" s="597"/>
      <c r="J95" s="578"/>
      <c r="K95" s="579"/>
      <c r="L95" s="16"/>
      <c r="M95" s="16"/>
      <c r="N95" s="16"/>
      <c r="O95" s="16"/>
      <c r="P95" s="117"/>
      <c r="Q95" s="15"/>
      <c r="R95" s="16"/>
      <c r="S95" s="130"/>
      <c r="T95" s="16"/>
      <c r="U95" s="16"/>
      <c r="V95" s="16"/>
      <c r="W95" s="241"/>
      <c r="X95" s="16"/>
      <c r="Y95" s="16"/>
      <c r="Z95" s="16"/>
      <c r="AA95" s="16"/>
      <c r="AB95" s="16"/>
    </row>
    <row r="96" spans="1:30" ht="15" customHeight="1">
      <c r="A96" s="405" t="s">
        <v>1613</v>
      </c>
      <c r="B96" s="191" t="s">
        <v>1611</v>
      </c>
      <c r="C96" s="200">
        <v>188.55</v>
      </c>
      <c r="D96" s="201" t="s">
        <v>1614</v>
      </c>
      <c r="E96" s="193">
        <v>22</v>
      </c>
      <c r="F96" s="202">
        <v>26.97</v>
      </c>
      <c r="G96" s="247"/>
      <c r="H96" s="589"/>
      <c r="I96" s="597"/>
      <c r="J96" s="578"/>
      <c r="K96" s="579"/>
      <c r="L96" s="16"/>
      <c r="M96" s="16"/>
      <c r="N96" s="16"/>
      <c r="O96" s="16"/>
      <c r="P96" s="117"/>
      <c r="Q96" s="15"/>
      <c r="R96" s="16"/>
      <c r="S96" s="130"/>
      <c r="T96" s="16"/>
      <c r="U96" s="16"/>
      <c r="V96" s="16"/>
      <c r="W96" s="241"/>
      <c r="X96" s="16"/>
      <c r="Y96" s="16"/>
      <c r="Z96" s="16"/>
      <c r="AA96" s="16"/>
      <c r="AB96" s="16"/>
    </row>
    <row r="97" spans="1:28" ht="15" customHeight="1">
      <c r="A97" s="405" t="s">
        <v>1615</v>
      </c>
      <c r="B97" s="191" t="s">
        <v>1611</v>
      </c>
      <c r="C97" s="200">
        <v>275.64999999999998</v>
      </c>
      <c r="D97" s="201" t="s">
        <v>1614</v>
      </c>
      <c r="E97" s="193">
        <v>21</v>
      </c>
      <c r="F97" s="202">
        <v>39.33</v>
      </c>
      <c r="G97" s="247"/>
      <c r="H97" s="589"/>
      <c r="I97" s="597"/>
      <c r="J97" s="578"/>
      <c r="K97" s="579"/>
      <c r="L97" s="16"/>
      <c r="M97" s="16"/>
      <c r="N97" s="16"/>
      <c r="O97" s="16"/>
      <c r="P97" s="117"/>
      <c r="Q97" s="15"/>
      <c r="R97" s="16"/>
      <c r="S97" s="130"/>
      <c r="T97" s="16"/>
      <c r="U97" s="16"/>
      <c r="V97" s="16"/>
      <c r="W97" s="241"/>
      <c r="X97" s="16"/>
      <c r="Y97" s="16"/>
      <c r="Z97" s="16"/>
      <c r="AA97" s="16"/>
      <c r="AB97" s="16"/>
    </row>
    <row r="98" spans="1:28" ht="15" customHeight="1">
      <c r="A98" s="405" t="s">
        <v>1616</v>
      </c>
      <c r="B98" s="191" t="s">
        <v>1611</v>
      </c>
      <c r="C98" s="200">
        <v>314.2</v>
      </c>
      <c r="D98" s="201" t="s">
        <v>1617</v>
      </c>
      <c r="E98" s="193">
        <v>24</v>
      </c>
      <c r="F98" s="202">
        <v>31.42</v>
      </c>
      <c r="G98" s="247"/>
      <c r="H98" s="589"/>
      <c r="I98" s="597"/>
      <c r="J98" s="578"/>
      <c r="K98" s="579"/>
      <c r="L98" s="16"/>
      <c r="M98" s="16"/>
      <c r="N98" s="16"/>
      <c r="O98" s="16"/>
      <c r="P98" s="117"/>
      <c r="Q98" s="15"/>
      <c r="R98" s="16"/>
      <c r="S98" s="130"/>
      <c r="T98" s="16"/>
      <c r="U98" s="16"/>
      <c r="V98" s="16"/>
      <c r="W98" s="241"/>
      <c r="X98" s="16"/>
      <c r="Y98" s="16"/>
      <c r="Z98" s="16"/>
      <c r="AA98" s="16"/>
      <c r="AB98" s="16"/>
    </row>
    <row r="99" spans="1:28" ht="15" customHeight="1">
      <c r="A99" s="405" t="s">
        <v>1618</v>
      </c>
      <c r="B99" s="191" t="s">
        <v>1611</v>
      </c>
      <c r="C99" s="200">
        <v>75.599999999999994</v>
      </c>
      <c r="D99" s="201" t="s">
        <v>1617</v>
      </c>
      <c r="E99" s="193">
        <v>6</v>
      </c>
      <c r="F99" s="202">
        <v>7.56</v>
      </c>
      <c r="G99" s="247"/>
      <c r="H99" s="589"/>
      <c r="I99" s="597"/>
      <c r="J99" s="578"/>
      <c r="K99" s="579"/>
      <c r="L99" s="16"/>
      <c r="M99" s="16"/>
      <c r="N99" s="16"/>
      <c r="O99" s="16"/>
      <c r="P99" s="117"/>
      <c r="Q99" s="15"/>
      <c r="R99" s="16"/>
      <c r="S99" s="130"/>
      <c r="T99" s="16"/>
      <c r="U99" s="16"/>
      <c r="V99" s="16"/>
      <c r="W99" s="241"/>
      <c r="X99" s="16"/>
      <c r="Y99" s="16"/>
      <c r="Z99" s="16"/>
      <c r="AA99" s="16"/>
      <c r="AB99" s="16"/>
    </row>
    <row r="100" spans="1:28" ht="15" customHeight="1">
      <c r="A100" s="405" t="s">
        <v>1619</v>
      </c>
      <c r="B100" s="191" t="s">
        <v>1611</v>
      </c>
      <c r="C100" s="200">
        <v>59.75</v>
      </c>
      <c r="D100" s="201" t="s">
        <v>1617</v>
      </c>
      <c r="E100" s="193">
        <v>7</v>
      </c>
      <c r="F100" s="202">
        <v>6</v>
      </c>
      <c r="G100" s="247"/>
      <c r="H100" s="589"/>
      <c r="I100" s="597"/>
      <c r="J100" s="578"/>
      <c r="K100" s="579"/>
      <c r="L100" s="16"/>
      <c r="M100" s="16"/>
      <c r="N100" s="16"/>
      <c r="O100" s="16"/>
      <c r="P100" s="117"/>
      <c r="Q100" s="15"/>
      <c r="R100" s="16"/>
      <c r="S100" s="130"/>
      <c r="T100" s="16"/>
      <c r="U100" s="16"/>
      <c r="V100" s="16"/>
      <c r="W100" s="241"/>
      <c r="X100" s="16"/>
      <c r="Y100" s="16"/>
      <c r="Z100" s="16"/>
      <c r="AA100" s="16"/>
      <c r="AB100" s="16"/>
    </row>
    <row r="101" spans="1:28" ht="15" customHeight="1">
      <c r="A101" s="405" t="s">
        <v>1620</v>
      </c>
      <c r="B101" s="191" t="s">
        <v>1611</v>
      </c>
      <c r="C101" s="200">
        <v>426.9</v>
      </c>
      <c r="D101" s="201" t="s">
        <v>1621</v>
      </c>
      <c r="E101" s="193">
        <v>3</v>
      </c>
      <c r="F101" s="202">
        <v>213.45</v>
      </c>
      <c r="G101" s="247"/>
      <c r="H101" s="589"/>
      <c r="I101" s="597"/>
      <c r="J101" s="578"/>
      <c r="K101" s="579"/>
      <c r="L101" s="16"/>
      <c r="M101" s="16"/>
      <c r="N101" s="16"/>
      <c r="O101" s="16"/>
      <c r="P101" s="117"/>
      <c r="Q101" s="15"/>
      <c r="R101" s="16"/>
      <c r="S101" s="130"/>
      <c r="T101" s="16"/>
      <c r="U101" s="16"/>
      <c r="V101" s="16"/>
      <c r="W101" s="241"/>
      <c r="X101" s="16"/>
      <c r="Y101" s="16"/>
      <c r="Z101" s="16"/>
      <c r="AA101" s="16"/>
      <c r="AB101" s="16"/>
    </row>
    <row r="102" spans="1:28" ht="15" customHeight="1">
      <c r="A102" s="405" t="s">
        <v>1622</v>
      </c>
      <c r="B102" s="191" t="s">
        <v>1611</v>
      </c>
      <c r="C102" s="200">
        <v>482.97</v>
      </c>
      <c r="D102" s="201" t="s">
        <v>1623</v>
      </c>
      <c r="E102" s="193">
        <v>3</v>
      </c>
      <c r="F102" s="202">
        <v>96.6</v>
      </c>
      <c r="G102" s="247"/>
      <c r="H102" s="589"/>
      <c r="I102" s="597"/>
      <c r="J102" s="578"/>
      <c r="K102" s="579"/>
      <c r="L102" s="16"/>
      <c r="M102" s="16"/>
      <c r="N102" s="16"/>
      <c r="O102" s="16"/>
      <c r="P102" s="117"/>
      <c r="Q102" s="15"/>
      <c r="R102" s="16"/>
      <c r="S102" s="130"/>
      <c r="T102" s="16"/>
      <c r="U102" s="16"/>
      <c r="V102" s="16"/>
      <c r="W102" s="241"/>
      <c r="X102" s="16"/>
      <c r="Y102" s="16"/>
      <c r="Z102" s="16"/>
      <c r="AA102" s="16"/>
      <c r="AB102" s="16"/>
    </row>
    <row r="103" spans="1:28" ht="15" customHeight="1">
      <c r="A103" s="440"/>
      <c r="B103" s="203"/>
      <c r="C103" s="204"/>
      <c r="D103" s="205"/>
      <c r="E103" s="206"/>
      <c r="F103" s="207"/>
      <c r="G103" s="439"/>
      <c r="H103" s="589"/>
      <c r="I103" s="597"/>
      <c r="J103" s="578"/>
      <c r="K103" s="579"/>
      <c r="L103" s="16"/>
      <c r="M103" s="16"/>
      <c r="N103" s="16"/>
      <c r="O103" s="16"/>
      <c r="P103" s="117"/>
      <c r="Q103" s="15"/>
      <c r="R103" s="16"/>
      <c r="S103" s="130"/>
      <c r="T103" s="16"/>
      <c r="U103" s="16"/>
      <c r="V103" s="16"/>
      <c r="W103" s="241"/>
      <c r="X103" s="16"/>
      <c r="Y103" s="16"/>
      <c r="Z103" s="16"/>
      <c r="AA103" s="16"/>
      <c r="AB103" s="16"/>
    </row>
    <row r="104" spans="1:28" ht="15" customHeight="1">
      <c r="A104" s="405" t="s">
        <v>1604</v>
      </c>
      <c r="B104" s="191" t="s">
        <v>1611</v>
      </c>
      <c r="C104" s="208">
        <v>720</v>
      </c>
      <c r="D104" s="191" t="s">
        <v>1624</v>
      </c>
      <c r="E104" s="191">
        <v>8</v>
      </c>
      <c r="F104" s="202">
        <v>72</v>
      </c>
      <c r="G104" s="406"/>
      <c r="H104" s="589"/>
      <c r="I104" s="597"/>
      <c r="J104" s="578"/>
      <c r="K104" s="579"/>
      <c r="L104" s="16"/>
      <c r="M104" s="16"/>
      <c r="N104" s="16"/>
      <c r="O104" s="16"/>
      <c r="P104" s="117"/>
      <c r="Q104" s="15"/>
      <c r="R104" s="16"/>
      <c r="S104" s="130"/>
      <c r="T104" s="16"/>
      <c r="U104" s="16"/>
      <c r="V104" s="16"/>
      <c r="W104" s="241"/>
      <c r="X104" s="16"/>
      <c r="Y104" s="16"/>
      <c r="Z104" s="16"/>
      <c r="AA104" s="16"/>
      <c r="AB104" s="16"/>
    </row>
    <row r="105" spans="1:28" ht="15" customHeight="1">
      <c r="A105" s="405" t="s">
        <v>1607</v>
      </c>
      <c r="B105" s="191" t="s">
        <v>1611</v>
      </c>
      <c r="C105" s="208">
        <v>720</v>
      </c>
      <c r="D105" s="191" t="s">
        <v>1624</v>
      </c>
      <c r="E105" s="191">
        <v>8</v>
      </c>
      <c r="F105" s="202">
        <v>72</v>
      </c>
      <c r="G105" s="406"/>
      <c r="H105" s="589"/>
      <c r="I105" s="597"/>
      <c r="J105" s="578"/>
      <c r="K105" s="579"/>
      <c r="L105" s="16"/>
      <c r="M105" s="16"/>
      <c r="N105" s="16"/>
      <c r="O105" s="16"/>
      <c r="P105" s="117"/>
      <c r="Q105" s="15"/>
      <c r="R105" s="16"/>
      <c r="S105" s="130"/>
      <c r="T105" s="16"/>
      <c r="U105" s="16"/>
      <c r="V105" s="16"/>
      <c r="W105" s="241"/>
      <c r="X105" s="16"/>
      <c r="Y105" s="16"/>
      <c r="Z105" s="16"/>
      <c r="AA105" s="16"/>
      <c r="AB105" s="16"/>
    </row>
    <row r="106" spans="1:28" ht="14.25" customHeight="1">
      <c r="A106" s="405" t="s">
        <v>1625</v>
      </c>
      <c r="B106" s="191" t="s">
        <v>1611</v>
      </c>
      <c r="C106" s="208">
        <v>445.5</v>
      </c>
      <c r="D106" s="191" t="s">
        <v>1623</v>
      </c>
      <c r="E106" s="191">
        <v>60</v>
      </c>
      <c r="F106" s="202">
        <v>89.1</v>
      </c>
      <c r="G106" s="406"/>
      <c r="H106" s="589"/>
      <c r="I106" s="597"/>
      <c r="J106" s="578"/>
      <c r="K106" s="579"/>
      <c r="L106" s="16"/>
      <c r="M106" s="16"/>
      <c r="N106" s="16"/>
      <c r="O106" s="16"/>
      <c r="P106" s="16"/>
      <c r="Q106" s="133"/>
      <c r="R106" s="16"/>
      <c r="S106" s="16"/>
      <c r="T106" s="16"/>
      <c r="U106" s="16"/>
      <c r="V106" s="16"/>
      <c r="W106" s="16"/>
      <c r="X106" s="16"/>
      <c r="Y106" s="16"/>
      <c r="Z106" s="16"/>
      <c r="AA106" s="16"/>
      <c r="AB106" s="16"/>
    </row>
    <row r="107" spans="1:28" ht="15.75" customHeight="1">
      <c r="A107" s="405" t="s">
        <v>1613</v>
      </c>
      <c r="B107" s="191" t="s">
        <v>1611</v>
      </c>
      <c r="C107" s="208">
        <v>58</v>
      </c>
      <c r="D107" s="191" t="s">
        <v>1626</v>
      </c>
      <c r="E107" s="191">
        <v>4</v>
      </c>
      <c r="F107" s="202">
        <v>8.2899999999999991</v>
      </c>
      <c r="G107" s="406"/>
      <c r="H107" s="589"/>
      <c r="I107" s="597"/>
      <c r="J107" s="578"/>
      <c r="K107" s="579"/>
      <c r="L107" s="16"/>
      <c r="M107" s="16"/>
      <c r="N107" s="16"/>
      <c r="O107" s="16"/>
      <c r="P107" s="16"/>
      <c r="Q107" s="16"/>
      <c r="R107" s="16"/>
      <c r="S107" s="16"/>
      <c r="T107" s="16"/>
      <c r="U107" s="16"/>
      <c r="V107" s="16"/>
      <c r="W107" s="16"/>
      <c r="X107" s="16"/>
      <c r="Y107" s="16"/>
      <c r="Z107" s="16"/>
      <c r="AA107" s="16"/>
      <c r="AB107" s="16"/>
    </row>
    <row r="108" spans="1:28" ht="15.75" customHeight="1">
      <c r="A108" s="405" t="s">
        <v>1615</v>
      </c>
      <c r="B108" s="191" t="s">
        <v>1611</v>
      </c>
      <c r="C108" s="208">
        <v>78</v>
      </c>
      <c r="D108" s="191" t="s">
        <v>1626</v>
      </c>
      <c r="E108" s="191">
        <v>6</v>
      </c>
      <c r="F108" s="202">
        <v>11.14</v>
      </c>
      <c r="G108" s="406"/>
      <c r="H108" s="589"/>
      <c r="I108" s="597"/>
      <c r="J108" s="578"/>
      <c r="K108" s="579"/>
      <c r="L108" s="16"/>
      <c r="M108" s="16"/>
      <c r="N108" s="16"/>
      <c r="O108" s="16"/>
      <c r="P108" s="16"/>
      <c r="Q108" s="16"/>
      <c r="R108" s="16"/>
      <c r="S108" s="16"/>
      <c r="T108" s="16"/>
      <c r="U108" s="16"/>
      <c r="V108" s="16"/>
      <c r="W108" s="16"/>
      <c r="X108" s="16"/>
      <c r="Y108" s="16"/>
      <c r="Z108" s="16"/>
      <c r="AA108" s="16"/>
      <c r="AB108" s="16"/>
    </row>
    <row r="109" spans="1:28" ht="15.75" customHeight="1">
      <c r="A109" s="405" t="s">
        <v>1616</v>
      </c>
      <c r="B109" s="191" t="s">
        <v>1611</v>
      </c>
      <c r="C109" s="208">
        <v>52</v>
      </c>
      <c r="D109" s="191" t="s">
        <v>1624</v>
      </c>
      <c r="E109" s="191">
        <v>4</v>
      </c>
      <c r="F109" s="202">
        <v>5.2</v>
      </c>
      <c r="G109" s="406"/>
      <c r="H109" s="589"/>
      <c r="I109" s="597"/>
      <c r="J109" s="578"/>
      <c r="K109" s="579"/>
      <c r="L109" s="16"/>
      <c r="M109" s="16"/>
      <c r="N109" s="16"/>
      <c r="O109" s="16"/>
      <c r="P109" s="16"/>
      <c r="Q109" s="16"/>
      <c r="R109" s="16"/>
      <c r="S109" s="16"/>
      <c r="T109" s="16"/>
      <c r="U109" s="16"/>
      <c r="V109" s="16"/>
      <c r="W109" s="16"/>
      <c r="X109" s="16"/>
      <c r="Y109" s="16"/>
      <c r="Z109" s="16"/>
      <c r="AA109" s="16"/>
      <c r="AB109" s="16"/>
    </row>
    <row r="110" spans="1:28" ht="15.75" customHeight="1">
      <c r="A110" s="405" t="s">
        <v>1618</v>
      </c>
      <c r="B110" s="191" t="s">
        <v>1611</v>
      </c>
      <c r="C110" s="208">
        <v>112</v>
      </c>
      <c r="D110" s="191" t="s">
        <v>1624</v>
      </c>
      <c r="E110" s="191">
        <v>8</v>
      </c>
      <c r="F110" s="202">
        <v>11.2</v>
      </c>
      <c r="G110" s="406"/>
      <c r="H110" s="589"/>
      <c r="I110" s="597"/>
      <c r="J110" s="578"/>
      <c r="K110" s="579"/>
      <c r="L110" s="16"/>
      <c r="M110" s="16"/>
      <c r="N110" s="16"/>
      <c r="O110" s="16"/>
      <c r="P110" s="16"/>
      <c r="Q110" s="16"/>
      <c r="R110" s="16"/>
      <c r="S110" s="16"/>
      <c r="T110" s="16"/>
      <c r="U110" s="16"/>
      <c r="V110" s="16"/>
      <c r="W110" s="16"/>
      <c r="X110" s="16"/>
      <c r="Y110" s="16"/>
      <c r="Z110" s="16"/>
      <c r="AA110" s="16"/>
      <c r="AB110" s="16"/>
    </row>
    <row r="111" spans="1:28" ht="15.75" customHeight="1">
      <c r="A111" s="405" t="s">
        <v>1619</v>
      </c>
      <c r="B111" s="191" t="s">
        <v>1611</v>
      </c>
      <c r="C111" s="208">
        <v>77</v>
      </c>
      <c r="D111" s="191" t="s">
        <v>1624</v>
      </c>
      <c r="E111" s="191">
        <v>7</v>
      </c>
      <c r="F111" s="202">
        <v>7.7</v>
      </c>
      <c r="G111" s="406"/>
      <c r="H111" s="589"/>
      <c r="I111" s="597"/>
      <c r="J111" s="578"/>
      <c r="K111" s="579"/>
      <c r="L111" s="16"/>
      <c r="M111" s="16"/>
      <c r="N111" s="16"/>
      <c r="O111" s="16"/>
      <c r="P111" s="16"/>
      <c r="Q111" s="16"/>
      <c r="R111" s="16"/>
      <c r="S111" s="16"/>
      <c r="T111" s="16"/>
      <c r="U111" s="16"/>
      <c r="V111" s="16"/>
      <c r="W111" s="16"/>
      <c r="X111" s="16"/>
      <c r="Y111" s="16"/>
      <c r="Z111" s="16"/>
      <c r="AA111" s="16"/>
      <c r="AB111" s="16"/>
    </row>
    <row r="112" spans="1:28" ht="15.75" customHeight="1">
      <c r="A112" s="405" t="s">
        <v>1627</v>
      </c>
      <c r="B112" s="191" t="s">
        <v>1611</v>
      </c>
      <c r="C112" s="208">
        <v>235</v>
      </c>
      <c r="D112" s="191" t="s">
        <v>1624</v>
      </c>
      <c r="E112" s="191">
        <v>10</v>
      </c>
      <c r="F112" s="202">
        <v>23.5</v>
      </c>
      <c r="G112" s="406"/>
      <c r="H112" s="589"/>
      <c r="I112" s="597"/>
      <c r="J112" s="578"/>
      <c r="K112" s="579"/>
      <c r="L112" s="16"/>
      <c r="M112" s="16"/>
      <c r="N112" s="16"/>
      <c r="O112" s="16"/>
      <c r="P112" s="16"/>
      <c r="Q112" s="16"/>
      <c r="R112" s="16"/>
      <c r="S112" s="16"/>
      <c r="T112" s="16"/>
      <c r="U112" s="16"/>
      <c r="V112" s="16"/>
      <c r="W112" s="16"/>
      <c r="X112" s="16"/>
      <c r="Y112" s="16"/>
      <c r="Z112" s="16"/>
      <c r="AA112" s="16"/>
      <c r="AB112" s="16"/>
    </row>
    <row r="113" spans="1:30" ht="15.75" customHeight="1">
      <c r="A113" s="405" t="s">
        <v>1620</v>
      </c>
      <c r="B113" s="191" t="s">
        <v>1611</v>
      </c>
      <c r="C113" s="208">
        <v>2130</v>
      </c>
      <c r="D113" s="191" t="s">
        <v>1628</v>
      </c>
      <c r="E113" s="191">
        <v>15</v>
      </c>
      <c r="F113" s="202">
        <v>1065</v>
      </c>
      <c r="G113" s="406"/>
      <c r="H113" s="589"/>
      <c r="I113" s="597"/>
      <c r="J113" s="578"/>
      <c r="K113" s="579"/>
      <c r="L113" s="16"/>
      <c r="M113" s="16"/>
      <c r="N113" s="16"/>
      <c r="O113" s="16"/>
      <c r="P113" s="16"/>
      <c r="Q113" s="16"/>
      <c r="R113" s="16"/>
      <c r="S113" s="16"/>
      <c r="T113" s="16"/>
      <c r="U113" s="16"/>
      <c r="V113" s="16"/>
      <c r="W113" s="16"/>
      <c r="X113" s="16"/>
      <c r="Y113" s="16"/>
      <c r="Z113" s="16"/>
      <c r="AA113" s="16"/>
      <c r="AB113" s="16"/>
    </row>
    <row r="114" spans="1:30" ht="15.75" customHeight="1">
      <c r="A114" s="231"/>
      <c r="B114" s="244"/>
      <c r="C114" s="246">
        <v>0</v>
      </c>
      <c r="D114" s="247"/>
      <c r="E114" s="245"/>
      <c r="F114" s="246">
        <v>0</v>
      </c>
      <c r="G114" s="247"/>
      <c r="H114" s="589"/>
      <c r="I114" s="597"/>
      <c r="J114" s="578"/>
      <c r="K114" s="579"/>
      <c r="L114" s="16"/>
      <c r="M114" s="16"/>
      <c r="N114" s="16"/>
      <c r="O114" s="16"/>
      <c r="P114" s="16"/>
      <c r="Q114" s="16"/>
      <c r="R114" s="16"/>
      <c r="S114" s="16"/>
      <c r="T114" s="16"/>
      <c r="U114" s="16"/>
      <c r="V114" s="16"/>
      <c r="W114" s="16"/>
      <c r="X114" s="16"/>
      <c r="Y114" s="16"/>
      <c r="Z114" s="16"/>
      <c r="AA114" s="16"/>
      <c r="AB114" s="16"/>
    </row>
    <row r="115" spans="1:30" ht="15.75" customHeight="1">
      <c r="A115" s="231"/>
      <c r="B115" s="244"/>
      <c r="C115" s="246">
        <v>0</v>
      </c>
      <c r="D115" s="247"/>
      <c r="E115" s="245"/>
      <c r="F115" s="246">
        <v>0</v>
      </c>
      <c r="G115" s="247"/>
      <c r="H115" s="589"/>
      <c r="I115" s="597"/>
      <c r="J115" s="578"/>
      <c r="K115" s="579"/>
      <c r="L115" s="16"/>
      <c r="M115" s="16"/>
      <c r="N115" s="16"/>
      <c r="O115" s="16"/>
      <c r="P115" s="16"/>
      <c r="Q115" s="16"/>
      <c r="R115" s="16"/>
      <c r="S115" s="16"/>
      <c r="T115" s="16"/>
      <c r="U115" s="16"/>
      <c r="V115" s="16"/>
      <c r="W115" s="16"/>
      <c r="X115" s="16"/>
      <c r="Y115" s="16"/>
      <c r="Z115" s="16"/>
      <c r="AA115" s="16"/>
      <c r="AB115" s="16"/>
    </row>
    <row r="116" spans="1:30" ht="15.75" customHeight="1">
      <c r="A116" s="231"/>
      <c r="B116" s="244"/>
      <c r="C116" s="246">
        <v>0</v>
      </c>
      <c r="D116" s="247"/>
      <c r="E116" s="245"/>
      <c r="F116" s="246">
        <v>0</v>
      </c>
      <c r="G116" s="247"/>
      <c r="H116" s="589"/>
      <c r="I116" s="597"/>
      <c r="J116" s="578"/>
      <c r="K116" s="579"/>
      <c r="L116" s="16"/>
      <c r="M116" s="16"/>
      <c r="N116" s="16"/>
      <c r="O116" s="16"/>
      <c r="P116" s="16"/>
      <c r="Q116" s="16"/>
      <c r="R116" s="16"/>
      <c r="S116" s="16"/>
      <c r="T116" s="16"/>
      <c r="U116" s="16"/>
      <c r="V116" s="16"/>
      <c r="W116" s="16"/>
      <c r="X116" s="16"/>
      <c r="Y116" s="16"/>
      <c r="Z116" s="16"/>
      <c r="AA116" s="16"/>
      <c r="AB116" s="16"/>
    </row>
    <row r="117" spans="1:30" ht="15.75" customHeight="1">
      <c r="A117" s="231"/>
      <c r="B117" s="244"/>
      <c r="C117" s="246">
        <v>0</v>
      </c>
      <c r="D117" s="247"/>
      <c r="E117" s="245"/>
      <c r="F117" s="246">
        <v>0</v>
      </c>
      <c r="G117" s="247"/>
      <c r="H117" s="589"/>
      <c r="I117" s="597"/>
      <c r="J117" s="578"/>
      <c r="K117" s="579"/>
      <c r="L117" s="16"/>
      <c r="M117" s="16"/>
      <c r="N117" s="16"/>
      <c r="O117" s="16"/>
      <c r="P117" s="16"/>
      <c r="Q117" s="16"/>
      <c r="R117" s="16"/>
      <c r="S117" s="16"/>
      <c r="T117" s="16"/>
      <c r="U117" s="16"/>
      <c r="V117" s="16"/>
      <c r="W117" s="16"/>
      <c r="X117" s="16"/>
      <c r="Y117" s="16"/>
      <c r="Z117" s="16"/>
      <c r="AA117" s="16"/>
      <c r="AB117" s="16"/>
    </row>
    <row r="118" spans="1:30" ht="15.75" customHeight="1">
      <c r="A118" s="231"/>
      <c r="B118" s="244"/>
      <c r="C118" s="246">
        <v>0</v>
      </c>
      <c r="D118" s="247"/>
      <c r="E118" s="245"/>
      <c r="F118" s="246">
        <v>0</v>
      </c>
      <c r="G118" s="247"/>
      <c r="H118" s="589"/>
      <c r="I118" s="597"/>
      <c r="J118" s="578"/>
      <c r="K118" s="579"/>
      <c r="L118" s="16"/>
      <c r="M118" s="16"/>
      <c r="N118" s="16"/>
      <c r="O118" s="16"/>
      <c r="P118" s="16"/>
      <c r="Q118" s="16"/>
      <c r="R118" s="16"/>
      <c r="S118" s="16"/>
      <c r="T118" s="16"/>
      <c r="U118" s="16"/>
      <c r="V118" s="16"/>
      <c r="W118" s="16"/>
      <c r="X118" s="16"/>
      <c r="Y118" s="16"/>
      <c r="Z118" s="16"/>
      <c r="AA118" s="16"/>
      <c r="AB118" s="16"/>
    </row>
    <row r="119" spans="1:30" ht="15.75" customHeight="1" thickBot="1">
      <c r="A119" s="231"/>
      <c r="B119" s="244"/>
      <c r="C119" s="246">
        <v>0</v>
      </c>
      <c r="D119" s="247"/>
      <c r="E119" s="245"/>
      <c r="F119" s="246">
        <v>0</v>
      </c>
      <c r="G119" s="247"/>
      <c r="H119" s="607"/>
      <c r="I119" s="599"/>
      <c r="J119" s="580"/>
      <c r="K119" s="581"/>
      <c r="L119" s="16"/>
      <c r="M119" s="16"/>
      <c r="N119" s="16"/>
      <c r="O119" s="16"/>
      <c r="P119" s="16"/>
      <c r="Q119" s="16"/>
      <c r="R119" s="16"/>
      <c r="S119" s="16"/>
      <c r="T119" s="16"/>
      <c r="U119" s="16"/>
      <c r="V119" s="16"/>
      <c r="W119" s="16"/>
      <c r="X119" s="16"/>
      <c r="Y119" s="16"/>
      <c r="Z119" s="16"/>
      <c r="AA119" s="16"/>
      <c r="AB119" s="16"/>
    </row>
    <row r="120" spans="1:30" ht="15.75" customHeight="1" thickTop="1">
      <c r="A120" s="15"/>
      <c r="B120" s="131"/>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c r="AA120" s="16"/>
      <c r="AB120" s="16"/>
      <c r="AC120" s="16"/>
      <c r="AD120" s="16"/>
    </row>
    <row r="121" spans="1:30" ht="15.75" customHeight="1">
      <c r="A121" s="15"/>
      <c r="B121" s="131"/>
      <c r="C121" s="16"/>
      <c r="D121" s="16"/>
      <c r="E121" s="16"/>
      <c r="F121" s="16"/>
      <c r="G121" s="16"/>
      <c r="I121" s="16"/>
      <c r="J121" s="16"/>
      <c r="K121" s="16"/>
      <c r="L121" s="16"/>
      <c r="M121" s="16"/>
      <c r="N121" s="16"/>
      <c r="O121" s="16"/>
      <c r="P121" s="16"/>
      <c r="Q121" s="16"/>
      <c r="R121" s="16"/>
      <c r="S121" s="16"/>
      <c r="T121" s="16"/>
      <c r="U121" s="16"/>
      <c r="V121" s="16"/>
      <c r="W121" s="16"/>
      <c r="X121" s="16"/>
      <c r="Y121" s="16"/>
      <c r="Z121" s="16"/>
      <c r="AA121" s="16"/>
      <c r="AB121" s="16"/>
      <c r="AC121" s="16"/>
      <c r="AD121" s="16"/>
    </row>
    <row r="122" spans="1:30" ht="15.75" customHeight="1">
      <c r="H122" s="51"/>
      <c r="I122" s="51"/>
      <c r="J122" s="51"/>
      <c r="K122" s="51"/>
      <c r="L122" s="16"/>
      <c r="M122" s="16"/>
      <c r="N122" s="16"/>
      <c r="O122" s="16"/>
      <c r="P122" s="16"/>
      <c r="Q122" s="16"/>
      <c r="R122" s="16"/>
      <c r="S122" s="16"/>
      <c r="T122" s="16"/>
      <c r="U122" s="16"/>
      <c r="V122" s="16"/>
      <c r="W122" s="16"/>
      <c r="X122" s="16"/>
      <c r="Y122" s="16"/>
      <c r="Z122" s="16"/>
      <c r="AA122" s="16"/>
      <c r="AB122" s="16"/>
      <c r="AC122" s="16"/>
      <c r="AD122" s="16"/>
    </row>
    <row r="123" spans="1:30" ht="15.75" customHeight="1">
      <c r="L123" s="16"/>
      <c r="M123" s="16"/>
      <c r="N123" s="16"/>
      <c r="O123" s="16"/>
      <c r="P123" s="16"/>
      <c r="Q123" s="16"/>
      <c r="R123" s="16"/>
      <c r="S123" s="16"/>
      <c r="T123" s="16"/>
      <c r="U123" s="16"/>
      <c r="V123" s="16"/>
      <c r="W123" s="16"/>
      <c r="X123" s="16"/>
      <c r="Y123" s="16"/>
      <c r="Z123" s="16"/>
      <c r="AA123" s="16"/>
      <c r="AB123" s="16"/>
      <c r="AC123" s="16"/>
      <c r="AD123" s="16"/>
    </row>
    <row r="124" spans="1:30" ht="15.75" customHeight="1">
      <c r="L124" s="16"/>
      <c r="M124" s="16"/>
      <c r="N124" s="16"/>
      <c r="O124" s="16"/>
      <c r="P124" s="16"/>
      <c r="Q124" s="16"/>
      <c r="R124" s="16"/>
      <c r="S124" s="16"/>
      <c r="T124" s="16"/>
      <c r="U124" s="16"/>
      <c r="V124" s="16"/>
      <c r="W124" s="16"/>
      <c r="X124" s="16"/>
      <c r="Y124" s="16"/>
      <c r="Z124" s="16"/>
      <c r="AA124" s="16"/>
      <c r="AB124" s="16"/>
      <c r="AC124" s="16"/>
      <c r="AD124" s="16"/>
    </row>
    <row r="125" spans="1:30" ht="15.75" customHeight="1">
      <c r="L125" s="16"/>
      <c r="M125" s="16"/>
      <c r="N125" s="16"/>
      <c r="O125" s="16"/>
      <c r="P125" s="16"/>
      <c r="Q125" s="16"/>
      <c r="R125" s="16"/>
      <c r="S125" s="16"/>
      <c r="T125" s="16"/>
      <c r="U125" s="16"/>
      <c r="V125" s="16"/>
      <c r="W125" s="16"/>
      <c r="X125" s="16"/>
      <c r="Y125" s="16"/>
      <c r="Z125" s="16"/>
      <c r="AA125" s="16"/>
      <c r="AB125" s="16"/>
      <c r="AC125" s="16"/>
      <c r="AD125" s="16"/>
    </row>
    <row r="126" spans="1:30" ht="15.75" customHeight="1">
      <c r="L126" s="16"/>
      <c r="M126" s="16"/>
      <c r="N126" s="16"/>
      <c r="O126" s="16"/>
      <c r="P126" s="16"/>
      <c r="Q126" s="16"/>
      <c r="R126" s="16"/>
      <c r="S126" s="16"/>
      <c r="T126" s="16"/>
      <c r="U126" s="16"/>
      <c r="V126" s="16"/>
      <c r="W126" s="16"/>
      <c r="X126" s="16"/>
      <c r="Y126" s="16"/>
      <c r="Z126" s="16"/>
      <c r="AA126" s="16"/>
      <c r="AB126" s="16"/>
      <c r="AC126" s="16"/>
      <c r="AD126" s="16"/>
    </row>
    <row r="127" spans="1:30" ht="15.75" customHeight="1">
      <c r="L127" s="16"/>
      <c r="M127" s="16"/>
      <c r="N127" s="16"/>
      <c r="O127" s="16"/>
      <c r="P127" s="16"/>
      <c r="Q127" s="16"/>
      <c r="R127" s="16"/>
      <c r="S127" s="16"/>
      <c r="T127" s="16"/>
      <c r="U127" s="16"/>
      <c r="V127" s="16"/>
      <c r="W127" s="16"/>
      <c r="X127" s="16"/>
      <c r="Y127" s="16"/>
      <c r="Z127" s="16"/>
      <c r="AA127" s="16"/>
      <c r="AB127" s="16"/>
      <c r="AC127" s="16"/>
      <c r="AD127" s="16"/>
    </row>
    <row r="128" spans="1:30" ht="15.75" customHeight="1">
      <c r="L128" s="16"/>
      <c r="M128" s="16"/>
      <c r="N128" s="16"/>
      <c r="O128" s="16"/>
      <c r="P128" s="16"/>
      <c r="Q128" s="16"/>
      <c r="R128" s="16"/>
      <c r="S128" s="16"/>
      <c r="T128" s="16"/>
      <c r="U128" s="16"/>
      <c r="V128" s="16"/>
      <c r="W128" s="16"/>
      <c r="X128" s="16"/>
      <c r="Y128" s="16"/>
      <c r="Z128" s="16"/>
      <c r="AA128" s="16"/>
      <c r="AB128" s="16"/>
      <c r="AC128" s="16"/>
      <c r="AD128" s="16"/>
    </row>
    <row r="129" spans="1:30" ht="15.75" customHeight="1">
      <c r="L129" s="16"/>
      <c r="M129" s="16"/>
      <c r="N129" s="16"/>
      <c r="O129" s="16"/>
      <c r="P129" s="735"/>
      <c r="Q129" s="696"/>
      <c r="R129" s="696"/>
      <c r="S129" s="16"/>
      <c r="T129" s="16"/>
      <c r="U129" s="16"/>
      <c r="V129" s="16"/>
      <c r="W129" s="16"/>
      <c r="X129" s="16"/>
      <c r="Y129" s="16"/>
      <c r="Z129" s="16"/>
      <c r="AA129" s="16"/>
      <c r="AB129" s="16"/>
      <c r="AC129" s="16"/>
      <c r="AD129" s="16"/>
    </row>
    <row r="130" spans="1:30" ht="15.75" customHeight="1">
      <c r="L130" s="16"/>
      <c r="M130" s="16"/>
      <c r="N130" s="16"/>
      <c r="O130" s="16"/>
      <c r="P130" s="735"/>
      <c r="Q130" s="696"/>
      <c r="R130" s="696"/>
      <c r="S130" s="16"/>
      <c r="T130" s="16"/>
      <c r="U130" s="16"/>
      <c r="V130" s="16"/>
      <c r="W130" s="16"/>
      <c r="X130" s="16"/>
      <c r="Y130" s="16"/>
      <c r="Z130" s="16"/>
      <c r="AA130" s="16"/>
      <c r="AB130" s="16"/>
      <c r="AC130" s="16"/>
      <c r="AD130" s="16"/>
    </row>
    <row r="131" spans="1:30" ht="15.75" customHeight="1">
      <c r="L131" s="16"/>
      <c r="M131" s="16"/>
      <c r="N131" s="16"/>
      <c r="O131" s="16"/>
      <c r="P131" s="735"/>
      <c r="Q131" s="696"/>
      <c r="R131" s="696"/>
      <c r="S131" s="16"/>
      <c r="T131" s="16"/>
      <c r="U131" s="16"/>
      <c r="V131" s="16"/>
      <c r="W131" s="16"/>
      <c r="X131" s="16"/>
      <c r="Y131" s="16"/>
      <c r="Z131" s="16"/>
      <c r="AA131" s="16"/>
      <c r="AB131" s="16"/>
      <c r="AC131" s="16"/>
      <c r="AD131" s="16"/>
    </row>
    <row r="132" spans="1:30" ht="15.75" customHeight="1">
      <c r="L132" s="16"/>
      <c r="M132" s="16"/>
      <c r="N132" s="16"/>
      <c r="O132" s="16"/>
      <c r="P132" s="735"/>
      <c r="Q132" s="696"/>
      <c r="R132" s="696"/>
      <c r="S132" s="16"/>
      <c r="T132" s="16"/>
      <c r="U132" s="16"/>
      <c r="V132" s="16"/>
      <c r="W132" s="16"/>
      <c r="X132" s="16"/>
      <c r="Y132" s="16"/>
      <c r="Z132" s="16"/>
      <c r="AA132" s="16"/>
      <c r="AB132" s="16"/>
      <c r="AC132" s="16"/>
      <c r="AD132" s="16"/>
    </row>
    <row r="133" spans="1:30" ht="15.75" customHeight="1">
      <c r="L133" s="16"/>
      <c r="M133" s="16"/>
      <c r="N133" s="16"/>
      <c r="O133" s="16"/>
      <c r="P133" s="735"/>
      <c r="Q133" s="696"/>
      <c r="R133" s="696"/>
      <c r="S133" s="16"/>
      <c r="T133" s="16"/>
      <c r="U133" s="16"/>
      <c r="V133" s="16"/>
      <c r="W133" s="16"/>
      <c r="X133" s="16"/>
      <c r="Y133" s="16"/>
      <c r="Z133" s="16"/>
      <c r="AA133" s="16"/>
      <c r="AB133" s="16"/>
      <c r="AC133" s="16"/>
      <c r="AD133" s="16"/>
    </row>
    <row r="134" spans="1:30" ht="15.75" customHeight="1">
      <c r="L134" s="16"/>
      <c r="M134" s="16"/>
      <c r="N134" s="16"/>
      <c r="O134" s="16"/>
      <c r="P134" s="735"/>
      <c r="Q134" s="696"/>
      <c r="R134" s="696"/>
      <c r="S134" s="16"/>
      <c r="T134" s="16"/>
      <c r="U134" s="16"/>
      <c r="V134" s="16"/>
      <c r="W134" s="16"/>
      <c r="X134" s="16"/>
      <c r="Y134" s="16"/>
      <c r="Z134" s="16"/>
      <c r="AA134" s="16"/>
      <c r="AB134" s="16"/>
      <c r="AC134" s="16"/>
      <c r="AD134" s="16"/>
    </row>
    <row r="135" spans="1:30" ht="15.75" customHeight="1">
      <c r="H135" s="248"/>
      <c r="I135" s="248"/>
      <c r="J135" s="228"/>
      <c r="K135" s="228"/>
      <c r="L135" s="16"/>
      <c r="M135" s="16"/>
      <c r="N135" s="16"/>
      <c r="O135" s="16"/>
      <c r="P135" s="735"/>
      <c r="Q135" s="696"/>
      <c r="R135" s="696"/>
      <c r="S135" s="16"/>
      <c r="T135" s="16"/>
      <c r="U135" s="16"/>
      <c r="V135" s="16"/>
      <c r="W135" s="16"/>
      <c r="X135" s="16"/>
      <c r="Y135" s="16"/>
      <c r="Z135" s="16"/>
      <c r="AA135" s="16"/>
      <c r="AB135" s="16"/>
      <c r="AC135" s="16"/>
      <c r="AD135" s="16"/>
    </row>
    <row r="136" spans="1:30" ht="15.75" customHeight="1">
      <c r="A136" s="231"/>
      <c r="B136" s="231"/>
      <c r="C136" s="246"/>
      <c r="D136" s="247"/>
      <c r="E136" s="245"/>
      <c r="F136" s="246"/>
      <c r="G136" s="247"/>
      <c r="H136" s="248"/>
      <c r="I136" s="248"/>
      <c r="J136" s="228"/>
      <c r="K136" s="228"/>
      <c r="L136" s="16"/>
      <c r="M136" s="16"/>
      <c r="N136" s="16"/>
      <c r="O136" s="16"/>
      <c r="P136" s="16"/>
      <c r="Q136" s="16"/>
      <c r="R136" s="16"/>
      <c r="S136" s="16"/>
      <c r="T136" s="16"/>
      <c r="U136" s="16"/>
      <c r="V136" s="16"/>
      <c r="W136" s="16"/>
      <c r="X136" s="16"/>
      <c r="Y136" s="16"/>
      <c r="Z136" s="16"/>
      <c r="AA136" s="16"/>
      <c r="AB136" s="16"/>
      <c r="AC136" s="16"/>
      <c r="AD136" s="16"/>
    </row>
    <row r="137" spans="1:30" ht="15.75" customHeight="1">
      <c r="A137" s="231"/>
      <c r="B137" s="16"/>
      <c r="C137" s="246"/>
      <c r="D137" s="247"/>
      <c r="E137" s="245"/>
      <c r="F137" s="246"/>
      <c r="G137" s="247"/>
      <c r="H137" s="228"/>
      <c r="I137" s="228"/>
      <c r="J137" s="228"/>
      <c r="K137" s="228"/>
      <c r="L137" s="16"/>
      <c r="M137" s="735"/>
      <c r="N137" s="696"/>
      <c r="O137" s="696"/>
      <c r="P137" s="735"/>
      <c r="Q137" s="696"/>
      <c r="R137" s="696"/>
      <c r="S137" s="696"/>
      <c r="T137" s="696"/>
      <c r="U137" s="16"/>
      <c r="V137" s="16"/>
      <c r="W137" s="16"/>
      <c r="X137" s="16"/>
      <c r="Y137" s="16"/>
      <c r="Z137" s="16"/>
      <c r="AA137" s="16"/>
      <c r="AB137" s="16"/>
      <c r="AC137" s="16"/>
      <c r="AD137" s="16"/>
    </row>
    <row r="138" spans="1:30" ht="15.75" customHeight="1">
      <c r="A138" s="16"/>
      <c r="B138" s="16"/>
      <c r="C138" s="16"/>
      <c r="D138" s="16"/>
      <c r="E138" s="16"/>
      <c r="F138" s="16"/>
      <c r="G138" s="16"/>
      <c r="H138" s="16"/>
      <c r="I138" s="16"/>
      <c r="J138" s="16"/>
      <c r="K138" s="16"/>
      <c r="L138" s="16"/>
      <c r="M138" s="735"/>
      <c r="N138" s="696"/>
      <c r="O138" s="696"/>
      <c r="P138" s="735"/>
      <c r="Q138" s="696"/>
      <c r="R138" s="696"/>
      <c r="S138" s="696"/>
      <c r="T138" s="696"/>
      <c r="U138" s="16"/>
      <c r="V138" s="16"/>
      <c r="W138" s="16"/>
      <c r="X138" s="16"/>
      <c r="Y138" s="16"/>
      <c r="Z138" s="16"/>
      <c r="AA138" s="16"/>
      <c r="AB138" s="16"/>
      <c r="AC138" s="16"/>
      <c r="AD138" s="16"/>
    </row>
    <row r="139" spans="1:30" ht="15.75" customHeight="1">
      <c r="A139" s="16"/>
      <c r="B139" s="16"/>
      <c r="C139" s="16"/>
      <c r="D139" s="16"/>
      <c r="E139" s="16"/>
      <c r="F139" s="16"/>
      <c r="G139" s="16"/>
      <c r="H139" s="16"/>
      <c r="I139" s="16"/>
      <c r="J139" s="16"/>
      <c r="K139" s="16"/>
      <c r="L139" s="16"/>
      <c r="M139" s="735"/>
      <c r="N139" s="696"/>
      <c r="O139" s="696"/>
      <c r="P139" s="696"/>
      <c r="Q139" s="696"/>
      <c r="R139" s="696"/>
      <c r="S139" s="696"/>
      <c r="T139" s="696"/>
      <c r="U139" s="16"/>
      <c r="V139" s="16"/>
      <c r="W139" s="16"/>
      <c r="X139" s="16"/>
      <c r="Y139" s="16"/>
      <c r="Z139" s="16"/>
      <c r="AA139" s="16"/>
      <c r="AB139" s="16"/>
      <c r="AC139" s="16"/>
      <c r="AD139" s="16"/>
    </row>
    <row r="140" spans="1:30" ht="15.75" customHeight="1">
      <c r="A140" s="16"/>
      <c r="B140" s="16"/>
      <c r="C140" s="16"/>
      <c r="D140" s="16"/>
      <c r="E140" s="16"/>
      <c r="F140" s="16"/>
      <c r="G140" s="16"/>
      <c r="H140" s="16"/>
      <c r="I140" s="16"/>
      <c r="J140" s="16"/>
      <c r="K140" s="16"/>
      <c r="L140" s="16"/>
      <c r="M140" s="735"/>
      <c r="N140" s="696"/>
      <c r="O140" s="696"/>
      <c r="P140" s="696"/>
      <c r="Q140" s="696"/>
      <c r="R140" s="696"/>
      <c r="S140" s="696"/>
      <c r="T140" s="696"/>
      <c r="U140" s="16"/>
      <c r="V140" s="16"/>
      <c r="W140" s="16"/>
      <c r="X140" s="16"/>
      <c r="Y140" s="16"/>
      <c r="Z140" s="16"/>
      <c r="AA140" s="16"/>
      <c r="AB140" s="16"/>
      <c r="AC140" s="16"/>
      <c r="AD140" s="16"/>
    </row>
    <row r="141" spans="1:30" ht="15.75" customHeight="1">
      <c r="A141" s="16"/>
      <c r="B141" s="16"/>
      <c r="C141" s="16"/>
      <c r="D141" s="16"/>
      <c r="E141" s="16"/>
      <c r="F141" s="16"/>
      <c r="G141" s="16"/>
      <c r="H141" s="16"/>
      <c r="I141" s="16"/>
      <c r="J141" s="16"/>
      <c r="K141" s="16"/>
      <c r="L141" s="16"/>
      <c r="M141" s="735"/>
      <c r="N141" s="696"/>
      <c r="O141" s="696"/>
      <c r="P141" s="696"/>
      <c r="Q141" s="696"/>
      <c r="R141" s="696"/>
      <c r="S141" s="696"/>
      <c r="T141" s="696"/>
      <c r="U141" s="16"/>
      <c r="V141" s="16"/>
      <c r="W141" s="16"/>
      <c r="X141" s="16"/>
      <c r="Y141" s="16"/>
      <c r="Z141" s="16"/>
      <c r="AA141" s="16"/>
      <c r="AB141" s="16"/>
      <c r="AC141" s="16"/>
      <c r="AD141" s="16"/>
    </row>
    <row r="142" spans="1:30" ht="15.75" customHeight="1">
      <c r="A142" s="16"/>
      <c r="B142" s="16"/>
      <c r="C142" s="16"/>
      <c r="D142" s="16"/>
      <c r="E142" s="16"/>
      <c r="F142" s="16"/>
      <c r="G142" s="16"/>
      <c r="H142" s="16"/>
      <c r="I142" s="16"/>
      <c r="J142" s="16"/>
      <c r="K142" s="16"/>
      <c r="L142" s="16"/>
      <c r="M142" s="735"/>
      <c r="N142" s="696"/>
      <c r="O142" s="696"/>
      <c r="P142" s="696"/>
      <c r="Q142" s="696"/>
      <c r="R142" s="696"/>
      <c r="S142" s="696"/>
      <c r="T142" s="696"/>
      <c r="U142" s="16"/>
      <c r="V142" s="16"/>
      <c r="W142" s="16"/>
      <c r="X142" s="16"/>
      <c r="Y142" s="16"/>
      <c r="Z142" s="16"/>
      <c r="AA142" s="16"/>
      <c r="AB142" s="16"/>
      <c r="AC142" s="16"/>
      <c r="AD142" s="16"/>
    </row>
    <row r="143" spans="1:30" ht="15.75" customHeight="1">
      <c r="A143" s="16"/>
      <c r="B143" s="16"/>
      <c r="C143" s="16"/>
      <c r="D143" s="16"/>
      <c r="E143" s="16"/>
      <c r="F143" s="16"/>
      <c r="G143" s="16"/>
      <c r="H143" s="16"/>
      <c r="I143" s="16"/>
      <c r="J143" s="16"/>
      <c r="K143" s="16"/>
      <c r="L143" s="16"/>
      <c r="M143" s="735"/>
      <c r="N143" s="696"/>
      <c r="O143" s="696"/>
      <c r="P143" s="696"/>
      <c r="Q143" s="696"/>
      <c r="R143" s="696"/>
      <c r="S143" s="696"/>
      <c r="T143" s="696"/>
      <c r="U143" s="16"/>
      <c r="V143" s="16"/>
      <c r="W143" s="16"/>
      <c r="X143" s="16"/>
      <c r="Y143" s="16"/>
      <c r="Z143" s="16"/>
      <c r="AA143" s="16"/>
      <c r="AB143" s="16"/>
      <c r="AC143" s="16"/>
      <c r="AD143" s="16"/>
    </row>
    <row r="144" spans="1:30" ht="15.75" customHeight="1">
      <c r="A144" s="16"/>
      <c r="B144" s="16"/>
      <c r="C144" s="16"/>
      <c r="D144" s="16"/>
      <c r="E144" s="16"/>
      <c r="F144" s="16"/>
      <c r="G144" s="16"/>
      <c r="H144" s="16"/>
      <c r="I144" s="16"/>
      <c r="J144" s="16"/>
      <c r="K144" s="16"/>
      <c r="L144" s="16"/>
      <c r="M144" s="735"/>
      <c r="N144" s="696"/>
      <c r="O144" s="696"/>
      <c r="P144" s="696"/>
      <c r="Q144" s="696"/>
      <c r="R144" s="696"/>
      <c r="S144" s="696"/>
      <c r="T144" s="696"/>
      <c r="U144" s="16"/>
      <c r="V144" s="16"/>
      <c r="W144" s="16"/>
      <c r="X144" s="16"/>
      <c r="Y144" s="16"/>
      <c r="Z144" s="16"/>
      <c r="AA144" s="16"/>
      <c r="AB144" s="16"/>
      <c r="AC144" s="16"/>
      <c r="AD144" s="16"/>
    </row>
    <row r="145" spans="1:30" ht="15.75" customHeight="1">
      <c r="A145" s="16"/>
      <c r="B145" s="16"/>
      <c r="C145" s="16"/>
      <c r="D145" s="16"/>
      <c r="E145" s="16"/>
      <c r="F145" s="16"/>
      <c r="G145" s="16"/>
      <c r="H145" s="16"/>
      <c r="I145" s="16"/>
      <c r="J145" s="16"/>
      <c r="K145" s="16"/>
      <c r="L145" s="16"/>
      <c r="M145" s="735"/>
      <c r="N145" s="696"/>
      <c r="O145" s="696"/>
      <c r="P145" s="696"/>
      <c r="Q145" s="696"/>
      <c r="R145" s="696"/>
      <c r="S145" s="696"/>
      <c r="T145" s="696"/>
      <c r="U145" s="16"/>
      <c r="V145" s="16"/>
      <c r="W145" s="16"/>
      <c r="X145" s="16"/>
      <c r="Y145" s="16"/>
      <c r="Z145" s="16"/>
      <c r="AA145" s="16"/>
      <c r="AB145" s="16"/>
      <c r="AC145" s="16"/>
      <c r="AD145" s="16"/>
    </row>
    <row r="146" spans="1:30" ht="15.75" customHeight="1">
      <c r="A146" s="16"/>
      <c r="B146" s="16"/>
      <c r="C146" s="16"/>
      <c r="D146" s="16"/>
      <c r="E146" s="16"/>
      <c r="F146" s="16"/>
      <c r="G146" s="16"/>
      <c r="H146" s="16"/>
      <c r="I146" s="16"/>
      <c r="J146" s="16"/>
      <c r="K146" s="16"/>
      <c r="L146" s="16"/>
      <c r="M146" s="735"/>
      <c r="N146" s="696"/>
      <c r="O146" s="696"/>
      <c r="P146" s="696"/>
      <c r="Q146" s="696"/>
      <c r="R146" s="696"/>
      <c r="S146" s="696"/>
      <c r="T146" s="696"/>
      <c r="U146" s="16"/>
      <c r="V146" s="16"/>
      <c r="W146" s="16"/>
      <c r="X146" s="16"/>
      <c r="Y146" s="16"/>
      <c r="Z146" s="16"/>
      <c r="AA146" s="16"/>
      <c r="AB146" s="16"/>
      <c r="AC146" s="16"/>
      <c r="AD146" s="16"/>
    </row>
    <row r="147" spans="1:30" ht="15.75" customHeight="1">
      <c r="A147" s="16"/>
      <c r="B147" s="16"/>
      <c r="C147" s="16"/>
      <c r="D147" s="16"/>
      <c r="E147" s="16"/>
      <c r="F147" s="16"/>
      <c r="G147" s="16"/>
      <c r="H147" s="16"/>
      <c r="I147" s="16"/>
      <c r="J147" s="16"/>
      <c r="K147" s="16"/>
      <c r="L147" s="16"/>
      <c r="M147" s="735"/>
      <c r="N147" s="696"/>
      <c r="O147" s="696"/>
      <c r="P147" s="696"/>
      <c r="Q147" s="696"/>
      <c r="R147" s="696"/>
      <c r="S147" s="696"/>
      <c r="T147" s="696"/>
      <c r="U147" s="16"/>
      <c r="V147" s="16"/>
      <c r="W147" s="16"/>
      <c r="X147" s="16"/>
      <c r="Y147" s="16"/>
      <c r="Z147" s="16"/>
      <c r="AA147" s="16"/>
      <c r="AB147" s="16"/>
      <c r="AC147" s="16"/>
      <c r="AD147" s="16"/>
    </row>
    <row r="148" spans="1:30" ht="15.75" customHeight="1">
      <c r="A148" s="16"/>
      <c r="B148" s="16"/>
      <c r="C148" s="16"/>
      <c r="D148" s="16"/>
      <c r="E148" s="16"/>
      <c r="F148" s="16"/>
      <c r="G148" s="16"/>
      <c r="H148" s="16"/>
      <c r="I148" s="16"/>
      <c r="J148" s="16"/>
      <c r="K148" s="16"/>
      <c r="L148" s="16"/>
      <c r="M148" s="735"/>
      <c r="N148" s="696"/>
      <c r="O148" s="696"/>
      <c r="P148" s="696"/>
      <c r="Q148" s="696"/>
      <c r="R148" s="696"/>
      <c r="S148" s="696"/>
      <c r="T148" s="696"/>
      <c r="U148" s="16"/>
      <c r="V148" s="16"/>
      <c r="W148" s="16"/>
      <c r="X148" s="16"/>
      <c r="Y148" s="16"/>
      <c r="Z148" s="16"/>
      <c r="AA148" s="16"/>
      <c r="AB148" s="16"/>
      <c r="AC148" s="16"/>
      <c r="AD148" s="16"/>
    </row>
    <row r="149" spans="1:30" ht="15.75" customHeight="1">
      <c r="A149" s="16"/>
      <c r="B149" s="16"/>
      <c r="C149" s="16"/>
      <c r="D149" s="16"/>
      <c r="E149" s="16"/>
      <c r="F149" s="16"/>
      <c r="G149" s="16"/>
      <c r="H149" s="16"/>
      <c r="I149" s="16"/>
      <c r="J149" s="16"/>
      <c r="K149" s="16"/>
      <c r="L149" s="16"/>
      <c r="M149" s="735"/>
      <c r="N149" s="696"/>
      <c r="O149" s="696"/>
      <c r="P149" s="696"/>
      <c r="Q149" s="696"/>
      <c r="R149" s="696"/>
      <c r="S149" s="696"/>
      <c r="T149" s="696"/>
      <c r="U149" s="16"/>
      <c r="V149" s="16"/>
      <c r="W149" s="16"/>
      <c r="X149" s="16"/>
      <c r="Y149" s="16"/>
      <c r="Z149" s="16"/>
      <c r="AA149" s="16"/>
      <c r="AB149" s="16"/>
      <c r="AC149" s="16"/>
      <c r="AD149" s="16"/>
    </row>
    <row r="150" spans="1:30" ht="15.75" customHeight="1">
      <c r="A150" s="1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c r="AA150" s="16"/>
      <c r="AB150" s="16"/>
      <c r="AC150" s="16"/>
      <c r="AD150" s="16"/>
    </row>
    <row r="151" spans="1:30" ht="15.75" customHeight="1">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c r="AA151" s="16"/>
      <c r="AB151" s="16"/>
      <c r="AC151" s="16"/>
      <c r="AD151" s="16"/>
    </row>
    <row r="152" spans="1:30" ht="15.75" customHeight="1">
      <c r="A152" s="16"/>
      <c r="B152" s="16"/>
      <c r="C152" s="16"/>
      <c r="D152" s="16"/>
      <c r="E152" s="16"/>
      <c r="F152" s="16"/>
      <c r="G152" s="16"/>
      <c r="H152" s="16"/>
      <c r="I152" s="16"/>
      <c r="J152" s="16"/>
      <c r="K152" s="16"/>
      <c r="L152" s="16"/>
      <c r="M152" s="735"/>
      <c r="N152" s="696"/>
      <c r="O152" s="696"/>
      <c r="P152" s="735"/>
      <c r="Q152" s="696"/>
      <c r="R152" s="696"/>
      <c r="S152" s="696"/>
      <c r="T152" s="696"/>
      <c r="U152" s="16"/>
      <c r="V152" s="16"/>
      <c r="W152" s="16"/>
      <c r="X152" s="16"/>
      <c r="Y152" s="16"/>
      <c r="Z152" s="16"/>
      <c r="AA152" s="16"/>
      <c r="AB152" s="16"/>
      <c r="AC152" s="16"/>
      <c r="AD152" s="16"/>
    </row>
    <row r="153" spans="1:30" ht="15.75" customHeight="1">
      <c r="A153" s="16"/>
      <c r="B153" s="16"/>
      <c r="C153" s="16"/>
      <c r="D153" s="16"/>
      <c r="E153" s="16"/>
      <c r="F153" s="16"/>
      <c r="G153" s="16"/>
      <c r="H153" s="16"/>
      <c r="I153" s="16"/>
      <c r="J153" s="16"/>
      <c r="K153" s="16"/>
      <c r="L153" s="16"/>
      <c r="M153" s="735"/>
      <c r="N153" s="696"/>
      <c r="O153" s="696"/>
      <c r="P153" s="735"/>
      <c r="Q153" s="696"/>
      <c r="R153" s="696"/>
      <c r="S153" s="696"/>
      <c r="T153" s="696"/>
      <c r="U153" s="16"/>
      <c r="V153" s="16"/>
      <c r="W153" s="16"/>
      <c r="X153" s="16"/>
      <c r="Y153" s="16"/>
      <c r="Z153" s="16"/>
      <c r="AA153" s="16"/>
      <c r="AB153" s="16"/>
      <c r="AC153" s="16"/>
      <c r="AD153" s="16"/>
    </row>
    <row r="154" spans="1:30" ht="15.75" customHeight="1">
      <c r="A154" s="16"/>
      <c r="B154" s="16"/>
      <c r="C154" s="16"/>
      <c r="D154" s="16"/>
      <c r="E154" s="16"/>
      <c r="F154" s="16"/>
      <c r="G154" s="16"/>
      <c r="H154" s="16"/>
      <c r="I154" s="16"/>
      <c r="J154" s="16"/>
      <c r="K154" s="16"/>
      <c r="L154" s="16"/>
      <c r="M154" s="735"/>
      <c r="N154" s="696"/>
      <c r="O154" s="696"/>
      <c r="P154" s="696"/>
      <c r="Q154" s="696"/>
      <c r="R154" s="696"/>
      <c r="S154" s="696"/>
      <c r="T154" s="696"/>
      <c r="U154" s="16"/>
      <c r="V154" s="16"/>
      <c r="W154" s="16"/>
      <c r="X154" s="16"/>
      <c r="Y154" s="16"/>
      <c r="Z154" s="16"/>
      <c r="AA154" s="16"/>
      <c r="AB154" s="16"/>
      <c r="AC154" s="16"/>
      <c r="AD154" s="16"/>
    </row>
    <row r="155" spans="1:30" ht="15.75" customHeight="1">
      <c r="A155" s="16"/>
      <c r="B155" s="16"/>
      <c r="C155" s="16"/>
      <c r="D155" s="16"/>
      <c r="E155" s="16"/>
      <c r="F155" s="16"/>
      <c r="G155" s="16"/>
      <c r="H155" s="16"/>
      <c r="I155" s="16"/>
      <c r="J155" s="16"/>
      <c r="K155" s="16"/>
      <c r="L155" s="16"/>
      <c r="M155" s="735"/>
      <c r="N155" s="696"/>
      <c r="O155" s="696"/>
      <c r="P155" s="696"/>
      <c r="Q155" s="696"/>
      <c r="R155" s="696"/>
      <c r="S155" s="696"/>
      <c r="T155" s="696"/>
      <c r="U155" s="16"/>
      <c r="V155" s="16"/>
      <c r="W155" s="16"/>
      <c r="X155" s="16"/>
      <c r="Y155" s="16"/>
      <c r="Z155" s="16"/>
      <c r="AA155" s="16"/>
      <c r="AB155" s="16"/>
      <c r="AC155" s="16"/>
      <c r="AD155" s="16"/>
    </row>
    <row r="156" spans="1:30" ht="15.75" customHeight="1">
      <c r="A156" s="16"/>
      <c r="B156" s="16"/>
      <c r="C156" s="16"/>
      <c r="D156" s="16"/>
      <c r="E156" s="16"/>
      <c r="F156" s="16"/>
      <c r="G156" s="16"/>
      <c r="H156" s="16"/>
      <c r="I156" s="16"/>
      <c r="J156" s="16"/>
      <c r="K156" s="16"/>
      <c r="L156" s="16"/>
      <c r="M156" s="735"/>
      <c r="N156" s="696"/>
      <c r="O156" s="696"/>
      <c r="P156" s="696"/>
      <c r="Q156" s="696"/>
      <c r="R156" s="696"/>
      <c r="S156" s="696"/>
      <c r="T156" s="696"/>
      <c r="U156" s="16"/>
      <c r="V156" s="16"/>
      <c r="W156" s="16"/>
      <c r="X156" s="16"/>
      <c r="Y156" s="16"/>
      <c r="Z156" s="16"/>
      <c r="AA156" s="16"/>
      <c r="AB156" s="16"/>
      <c r="AC156" s="16"/>
      <c r="AD156" s="16"/>
    </row>
    <row r="157" spans="1:30" ht="15.75" customHeight="1">
      <c r="A157" s="16"/>
      <c r="B157" s="16"/>
      <c r="C157" s="16"/>
      <c r="D157" s="16"/>
      <c r="E157" s="16"/>
      <c r="F157" s="16"/>
      <c r="G157" s="16"/>
      <c r="H157" s="16"/>
      <c r="I157" s="16"/>
      <c r="J157" s="16"/>
      <c r="K157" s="16"/>
      <c r="L157" s="16"/>
      <c r="M157" s="735"/>
      <c r="N157" s="696"/>
      <c r="O157" s="696"/>
      <c r="P157" s="696"/>
      <c r="Q157" s="696"/>
      <c r="R157" s="696"/>
      <c r="S157" s="696"/>
      <c r="T157" s="696"/>
      <c r="U157" s="16"/>
      <c r="V157" s="16"/>
      <c r="W157" s="16"/>
      <c r="X157" s="16"/>
      <c r="Y157" s="16"/>
      <c r="Z157" s="16"/>
      <c r="AA157" s="16"/>
      <c r="AB157" s="16"/>
      <c r="AC157" s="16"/>
      <c r="AD157" s="16"/>
    </row>
    <row r="158" spans="1:30" ht="15.75" customHeight="1">
      <c r="A158" s="16"/>
      <c r="B158" s="16"/>
      <c r="C158" s="16"/>
      <c r="D158" s="16"/>
      <c r="E158" s="16"/>
      <c r="F158" s="16"/>
      <c r="G158" s="16"/>
      <c r="H158" s="16"/>
      <c r="I158" s="16"/>
      <c r="J158" s="16"/>
      <c r="K158" s="16"/>
      <c r="L158" s="16"/>
      <c r="M158" s="735"/>
      <c r="N158" s="696"/>
      <c r="O158" s="696"/>
      <c r="P158" s="696"/>
      <c r="Q158" s="696"/>
      <c r="R158" s="696"/>
      <c r="S158" s="696"/>
      <c r="T158" s="696"/>
      <c r="U158" s="16"/>
      <c r="V158" s="16"/>
      <c r="W158" s="16"/>
      <c r="X158" s="16"/>
      <c r="Y158" s="16"/>
      <c r="Z158" s="16"/>
      <c r="AA158" s="16"/>
      <c r="AB158" s="16"/>
      <c r="AC158" s="16"/>
      <c r="AD158" s="16"/>
    </row>
    <row r="159" spans="1:30" ht="15.75" customHeight="1">
      <c r="A159" s="16"/>
      <c r="B159" s="16"/>
      <c r="C159" s="16"/>
      <c r="D159" s="16"/>
      <c r="E159" s="16"/>
      <c r="F159" s="16"/>
      <c r="G159" s="16"/>
      <c r="H159" s="16"/>
      <c r="I159" s="16"/>
      <c r="J159" s="16"/>
      <c r="K159" s="16"/>
      <c r="L159" s="16"/>
      <c r="M159" s="735"/>
      <c r="N159" s="696"/>
      <c r="O159" s="696"/>
      <c r="P159" s="696"/>
      <c r="Q159" s="696"/>
      <c r="R159" s="696"/>
      <c r="S159" s="696"/>
      <c r="T159" s="696"/>
      <c r="U159" s="16"/>
      <c r="V159" s="16"/>
      <c r="W159" s="16"/>
      <c r="X159" s="16"/>
      <c r="Y159" s="16"/>
      <c r="Z159" s="16"/>
      <c r="AA159" s="16"/>
      <c r="AB159" s="16"/>
      <c r="AC159" s="16"/>
      <c r="AD159" s="16"/>
    </row>
    <row r="160" spans="1:30" ht="15.75" customHeight="1">
      <c r="A160" s="16"/>
      <c r="B160" s="16"/>
      <c r="C160" s="16"/>
      <c r="D160" s="16"/>
      <c r="E160" s="16"/>
      <c r="F160" s="16"/>
      <c r="G160" s="16"/>
      <c r="H160" s="16"/>
      <c r="I160" s="16"/>
      <c r="J160" s="16"/>
      <c r="K160" s="16"/>
      <c r="L160" s="16"/>
      <c r="M160" s="735"/>
      <c r="N160" s="696"/>
      <c r="O160" s="696"/>
      <c r="P160" s="696"/>
      <c r="Q160" s="696"/>
      <c r="R160" s="696"/>
      <c r="S160" s="696"/>
      <c r="T160" s="696"/>
      <c r="U160" s="16"/>
      <c r="V160" s="16"/>
      <c r="W160" s="16"/>
      <c r="X160" s="16"/>
      <c r="Y160" s="16"/>
      <c r="Z160" s="16"/>
      <c r="AA160" s="16"/>
      <c r="AB160" s="16"/>
      <c r="AC160" s="16"/>
      <c r="AD160" s="16"/>
    </row>
    <row r="161" spans="1:30" ht="15.75" customHeight="1">
      <c r="A161" s="16"/>
      <c r="B161" s="16"/>
      <c r="C161" s="16"/>
      <c r="D161" s="16"/>
      <c r="E161" s="16"/>
      <c r="F161" s="16"/>
      <c r="G161" s="16"/>
      <c r="H161" s="16"/>
      <c r="I161" s="16"/>
      <c r="J161" s="16"/>
      <c r="K161" s="16"/>
      <c r="L161" s="16"/>
      <c r="M161" s="735"/>
      <c r="N161" s="696"/>
      <c r="O161" s="696"/>
      <c r="P161" s="696"/>
      <c r="Q161" s="696"/>
      <c r="R161" s="696"/>
      <c r="S161" s="696"/>
      <c r="T161" s="696"/>
      <c r="U161" s="16"/>
      <c r="V161" s="16"/>
      <c r="W161" s="16"/>
      <c r="X161" s="16"/>
      <c r="Y161" s="16"/>
      <c r="Z161" s="16"/>
      <c r="AA161" s="16"/>
      <c r="AB161" s="16"/>
      <c r="AC161" s="16"/>
      <c r="AD161" s="16"/>
    </row>
    <row r="162" spans="1:30" ht="15.75" customHeight="1">
      <c r="A162" s="16"/>
      <c r="B162" s="16"/>
      <c r="C162" s="16"/>
      <c r="D162" s="16"/>
      <c r="E162" s="16"/>
      <c r="F162" s="16"/>
      <c r="G162" s="16"/>
      <c r="H162" s="16"/>
      <c r="I162" s="16"/>
      <c r="J162" s="16"/>
      <c r="K162" s="16"/>
      <c r="L162" s="16"/>
      <c r="M162" s="735"/>
      <c r="N162" s="696"/>
      <c r="O162" s="696"/>
      <c r="P162" s="696"/>
      <c r="Q162" s="696"/>
      <c r="R162" s="696"/>
      <c r="S162" s="696"/>
      <c r="T162" s="696"/>
      <c r="U162" s="16"/>
      <c r="V162" s="16"/>
      <c r="W162" s="16"/>
      <c r="X162" s="16"/>
      <c r="Y162" s="16"/>
      <c r="Z162" s="16"/>
      <c r="AA162" s="16"/>
      <c r="AB162" s="16"/>
      <c r="AC162" s="16"/>
      <c r="AD162" s="16"/>
    </row>
    <row r="163" spans="1:30" ht="15.75" customHeight="1">
      <c r="A163" s="16"/>
      <c r="B163" s="16"/>
      <c r="C163" s="16"/>
      <c r="D163" s="16"/>
      <c r="E163" s="16"/>
      <c r="F163" s="16"/>
      <c r="G163" s="16"/>
      <c r="H163" s="16"/>
      <c r="I163" s="16"/>
      <c r="J163" s="16"/>
      <c r="K163" s="16"/>
      <c r="L163" s="16"/>
      <c r="M163" s="735"/>
      <c r="N163" s="696"/>
      <c r="O163" s="696"/>
      <c r="P163" s="696"/>
      <c r="Q163" s="696"/>
      <c r="R163" s="696"/>
      <c r="S163" s="696"/>
      <c r="T163" s="696"/>
      <c r="U163" s="16"/>
      <c r="V163" s="16"/>
      <c r="W163" s="16"/>
      <c r="X163" s="16"/>
      <c r="Y163" s="16"/>
      <c r="Z163" s="16"/>
      <c r="AA163" s="16"/>
      <c r="AB163" s="16"/>
      <c r="AC163" s="16"/>
      <c r="AD163" s="16"/>
    </row>
    <row r="164" spans="1:30" ht="15.75" customHeight="1">
      <c r="A164" s="16"/>
      <c r="B164" s="16"/>
      <c r="C164" s="16"/>
      <c r="D164" s="16"/>
      <c r="E164" s="16"/>
      <c r="F164" s="16"/>
      <c r="G164" s="16"/>
      <c r="H164" s="16"/>
      <c r="I164" s="16"/>
      <c r="J164" s="16"/>
      <c r="K164" s="16"/>
      <c r="L164" s="16"/>
      <c r="M164" s="735"/>
      <c r="N164" s="696"/>
      <c r="O164" s="696"/>
      <c r="P164" s="696"/>
      <c r="Q164" s="696"/>
      <c r="R164" s="696"/>
      <c r="S164" s="696"/>
      <c r="T164" s="696"/>
      <c r="U164" s="16"/>
      <c r="V164" s="16"/>
      <c r="W164" s="16"/>
      <c r="X164" s="16"/>
      <c r="Y164" s="16"/>
      <c r="Z164" s="16"/>
      <c r="AA164" s="16"/>
      <c r="AB164" s="16"/>
      <c r="AC164" s="16"/>
      <c r="AD164" s="16"/>
    </row>
    <row r="165" spans="1:30" ht="15.75" customHeight="1">
      <c r="A165" s="16"/>
      <c r="B165" s="16"/>
      <c r="C165" s="16"/>
      <c r="D165" s="16"/>
      <c r="E165" s="16"/>
      <c r="F165" s="16"/>
      <c r="G165" s="16"/>
      <c r="H165" s="16"/>
      <c r="I165" s="16"/>
      <c r="J165" s="16"/>
      <c r="K165" s="16"/>
      <c r="L165" s="16"/>
      <c r="M165" s="735"/>
      <c r="N165" s="696"/>
      <c r="O165" s="696"/>
      <c r="P165" s="696"/>
      <c r="Q165" s="696"/>
      <c r="R165" s="696"/>
      <c r="S165" s="696"/>
      <c r="T165" s="696"/>
      <c r="U165" s="16"/>
      <c r="V165" s="16"/>
      <c r="W165" s="16"/>
      <c r="X165" s="16"/>
      <c r="Y165" s="16"/>
      <c r="Z165" s="16"/>
      <c r="AA165" s="16"/>
      <c r="AB165" s="16"/>
      <c r="AC165" s="16"/>
      <c r="AD165" s="16"/>
    </row>
    <row r="166" spans="1:30" ht="15.75" customHeight="1">
      <c r="A166" s="16"/>
      <c r="B166" s="16"/>
      <c r="C166" s="16"/>
      <c r="D166" s="16"/>
      <c r="E166" s="16"/>
      <c r="F166" s="16"/>
      <c r="G166" s="16"/>
      <c r="H166" s="16"/>
      <c r="I166" s="16"/>
      <c r="J166" s="16"/>
      <c r="K166" s="16"/>
      <c r="L166" s="16"/>
      <c r="M166" s="735"/>
      <c r="N166" s="696"/>
      <c r="O166" s="696"/>
      <c r="P166" s="696"/>
      <c r="Q166" s="696"/>
      <c r="R166" s="696"/>
      <c r="S166" s="696"/>
      <c r="T166" s="696"/>
      <c r="U166" s="16"/>
      <c r="V166" s="16"/>
      <c r="W166" s="16"/>
      <c r="X166" s="16"/>
      <c r="Y166" s="16"/>
      <c r="Z166" s="16"/>
      <c r="AA166" s="16"/>
      <c r="AB166" s="16"/>
      <c r="AC166" s="16"/>
      <c r="AD166" s="16"/>
    </row>
    <row r="167" spans="1:30" ht="15.75" customHeight="1">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c r="AA167" s="16"/>
      <c r="AB167" s="16"/>
      <c r="AC167" s="16"/>
      <c r="AD167" s="16"/>
    </row>
    <row r="168" spans="1:30" ht="15.75" customHeight="1">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c r="AA168" s="16"/>
      <c r="AB168" s="16"/>
      <c r="AC168" s="16"/>
      <c r="AD168" s="16"/>
    </row>
    <row r="169" spans="1:30" ht="15.75" customHeight="1">
      <c r="A169" s="16"/>
      <c r="B169" s="735"/>
      <c r="C169" s="696"/>
      <c r="D169" s="16"/>
      <c r="E169" s="16"/>
      <c r="F169" s="16"/>
      <c r="G169" s="16"/>
      <c r="H169" s="16"/>
      <c r="I169" s="16"/>
      <c r="J169" s="16"/>
      <c r="K169" s="16"/>
      <c r="L169" s="16"/>
      <c r="M169" s="735"/>
      <c r="N169" s="696"/>
      <c r="O169" s="696"/>
      <c r="P169" s="735"/>
      <c r="Q169" s="696"/>
      <c r="R169" s="696"/>
      <c r="S169" s="696"/>
      <c r="T169" s="696"/>
      <c r="U169" s="16"/>
      <c r="V169" s="16"/>
      <c r="W169" s="16"/>
      <c r="X169" s="16"/>
      <c r="Y169" s="16"/>
      <c r="Z169" s="16"/>
      <c r="AA169" s="16"/>
      <c r="AB169" s="16"/>
      <c r="AC169" s="16"/>
      <c r="AD169" s="16"/>
    </row>
    <row r="170" spans="1:30" ht="15.75" customHeight="1">
      <c r="A170" s="16"/>
      <c r="B170" s="735"/>
      <c r="C170" s="696"/>
      <c r="D170" s="16"/>
      <c r="E170" s="16"/>
      <c r="F170" s="16"/>
      <c r="G170" s="16"/>
      <c r="H170" s="16"/>
      <c r="I170" s="16"/>
      <c r="J170" s="16"/>
      <c r="K170" s="16"/>
      <c r="L170" s="16"/>
      <c r="M170" s="735"/>
      <c r="N170" s="696"/>
      <c r="O170" s="696"/>
      <c r="P170" s="735"/>
      <c r="Q170" s="696"/>
      <c r="R170" s="696"/>
      <c r="S170" s="696"/>
      <c r="T170" s="696"/>
      <c r="U170" s="16"/>
      <c r="V170" s="16"/>
      <c r="W170" s="16"/>
      <c r="X170" s="16"/>
      <c r="Y170" s="16"/>
      <c r="Z170" s="16"/>
      <c r="AA170" s="16"/>
      <c r="AB170" s="16"/>
      <c r="AC170" s="16"/>
      <c r="AD170" s="16"/>
    </row>
    <row r="171" spans="1:30" ht="15.75" customHeight="1">
      <c r="A171" s="16"/>
      <c r="B171" s="735"/>
      <c r="C171" s="696"/>
      <c r="D171" s="16"/>
      <c r="E171" s="16"/>
      <c r="F171" s="16"/>
      <c r="G171" s="16"/>
      <c r="H171" s="16"/>
      <c r="I171" s="16"/>
      <c r="J171" s="16"/>
      <c r="K171" s="16"/>
      <c r="L171" s="16"/>
      <c r="M171" s="735"/>
      <c r="N171" s="696"/>
      <c r="O171" s="696"/>
      <c r="P171" s="696"/>
      <c r="Q171" s="696"/>
      <c r="R171" s="696"/>
      <c r="S171" s="696"/>
      <c r="T171" s="696"/>
      <c r="U171" s="16"/>
      <c r="V171" s="16"/>
      <c r="W171" s="16"/>
      <c r="X171" s="16"/>
      <c r="Y171" s="16"/>
      <c r="Z171" s="16"/>
      <c r="AA171" s="16"/>
      <c r="AB171" s="16"/>
      <c r="AC171" s="16"/>
      <c r="AD171" s="16"/>
    </row>
    <row r="172" spans="1:30" ht="15.75" customHeight="1">
      <c r="A172" s="16"/>
      <c r="B172" s="735"/>
      <c r="C172" s="696"/>
      <c r="D172" s="16"/>
      <c r="E172" s="16"/>
      <c r="F172" s="16"/>
      <c r="G172" s="16"/>
      <c r="H172" s="16"/>
      <c r="I172" s="16"/>
      <c r="J172" s="16"/>
      <c r="K172" s="16"/>
      <c r="L172" s="16"/>
      <c r="M172" s="735"/>
      <c r="N172" s="696"/>
      <c r="O172" s="696"/>
      <c r="P172" s="696"/>
      <c r="Q172" s="696"/>
      <c r="R172" s="696"/>
      <c r="S172" s="696"/>
      <c r="T172" s="696"/>
      <c r="U172" s="16"/>
      <c r="V172" s="16"/>
      <c r="W172" s="16"/>
      <c r="X172" s="16"/>
      <c r="Y172" s="16"/>
      <c r="Z172" s="16"/>
      <c r="AA172" s="16"/>
      <c r="AB172" s="16"/>
      <c r="AC172" s="16"/>
      <c r="AD172" s="16"/>
    </row>
    <row r="173" spans="1:30" ht="15.75" customHeight="1">
      <c r="A173" s="16"/>
      <c r="B173" s="735"/>
      <c r="C173" s="696"/>
      <c r="D173" s="16"/>
      <c r="E173" s="16"/>
      <c r="F173" s="16"/>
      <c r="G173" s="16"/>
      <c r="H173" s="16"/>
      <c r="I173" s="16"/>
      <c r="J173" s="16"/>
      <c r="K173" s="16"/>
      <c r="L173" s="16"/>
      <c r="M173" s="735"/>
      <c r="N173" s="696"/>
      <c r="O173" s="696"/>
      <c r="P173" s="696"/>
      <c r="Q173" s="696"/>
      <c r="R173" s="696"/>
      <c r="S173" s="696"/>
      <c r="T173" s="696"/>
      <c r="U173" s="16"/>
      <c r="V173" s="16"/>
      <c r="W173" s="16"/>
      <c r="X173" s="16"/>
      <c r="Y173" s="16"/>
      <c r="Z173" s="16"/>
      <c r="AA173" s="16"/>
      <c r="AB173" s="16"/>
      <c r="AC173" s="16"/>
      <c r="AD173" s="16"/>
    </row>
    <row r="174" spans="1:30" ht="15.75" customHeight="1">
      <c r="A174" s="16"/>
      <c r="B174" s="735"/>
      <c r="C174" s="696"/>
      <c r="D174" s="16"/>
      <c r="E174" s="16"/>
      <c r="F174" s="16"/>
      <c r="G174" s="16"/>
      <c r="H174" s="16"/>
      <c r="I174" s="16"/>
      <c r="J174" s="16"/>
      <c r="K174" s="16"/>
      <c r="L174" s="16"/>
      <c r="M174" s="735"/>
      <c r="N174" s="696"/>
      <c r="O174" s="696"/>
      <c r="P174" s="696"/>
      <c r="Q174" s="696"/>
      <c r="R174" s="696"/>
      <c r="S174" s="696"/>
      <c r="T174" s="696"/>
      <c r="U174" s="16"/>
      <c r="V174" s="16"/>
      <c r="W174" s="16"/>
      <c r="X174" s="16"/>
      <c r="Y174" s="16"/>
      <c r="Z174" s="16"/>
      <c r="AA174" s="16"/>
      <c r="AB174" s="16"/>
      <c r="AC174" s="16"/>
      <c r="AD174" s="16"/>
    </row>
    <row r="175" spans="1:30" ht="15.75" customHeight="1">
      <c r="A175" s="16"/>
      <c r="B175" s="735"/>
      <c r="C175" s="696"/>
      <c r="D175" s="16"/>
      <c r="E175" s="16"/>
      <c r="F175" s="16"/>
      <c r="G175" s="16"/>
      <c r="H175" s="16"/>
      <c r="I175" s="16"/>
      <c r="J175" s="16"/>
      <c r="K175" s="16"/>
      <c r="L175" s="16"/>
      <c r="M175" s="735"/>
      <c r="N175" s="696"/>
      <c r="O175" s="696"/>
      <c r="P175" s="696"/>
      <c r="Q175" s="696"/>
      <c r="R175" s="696"/>
      <c r="S175" s="696"/>
      <c r="T175" s="696"/>
      <c r="U175" s="16"/>
      <c r="V175" s="16"/>
      <c r="W175" s="16"/>
      <c r="X175" s="16"/>
      <c r="Y175" s="16"/>
      <c r="Z175" s="16"/>
      <c r="AA175" s="16"/>
      <c r="AB175" s="16"/>
      <c r="AC175" s="16"/>
      <c r="AD175" s="16"/>
    </row>
    <row r="176" spans="1:30" ht="15.75" customHeight="1">
      <c r="A176" s="16"/>
      <c r="B176" s="735"/>
      <c r="C176" s="696"/>
      <c r="D176" s="16"/>
      <c r="E176" s="16"/>
      <c r="F176" s="16"/>
      <c r="G176" s="16"/>
      <c r="H176" s="16"/>
      <c r="I176" s="16"/>
      <c r="J176" s="16"/>
      <c r="K176" s="16"/>
      <c r="L176" s="16"/>
      <c r="M176" s="735"/>
      <c r="N176" s="696"/>
      <c r="O176" s="696"/>
      <c r="P176" s="696"/>
      <c r="Q176" s="696"/>
      <c r="R176" s="696"/>
      <c r="S176" s="696"/>
      <c r="T176" s="696"/>
      <c r="U176" s="16"/>
      <c r="V176" s="16"/>
      <c r="W176" s="16"/>
      <c r="X176" s="16"/>
      <c r="Y176" s="16"/>
      <c r="Z176" s="16"/>
      <c r="AA176" s="16"/>
      <c r="AB176" s="16"/>
      <c r="AC176" s="16"/>
      <c r="AD176" s="16"/>
    </row>
    <row r="177" spans="1:30" ht="15.75" customHeight="1">
      <c r="A177" s="16"/>
      <c r="B177" s="735"/>
      <c r="C177" s="696"/>
      <c r="D177" s="16"/>
      <c r="E177" s="16"/>
      <c r="F177" s="16"/>
      <c r="G177" s="16"/>
      <c r="H177" s="16"/>
      <c r="I177" s="16"/>
      <c r="J177" s="16"/>
      <c r="K177" s="16"/>
      <c r="L177" s="16"/>
      <c r="M177" s="735"/>
      <c r="N177" s="696"/>
      <c r="O177" s="696"/>
      <c r="P177" s="696"/>
      <c r="Q177" s="696"/>
      <c r="R177" s="696"/>
      <c r="S177" s="696"/>
      <c r="T177" s="696"/>
      <c r="U177" s="16"/>
      <c r="V177" s="16"/>
      <c r="W177" s="16"/>
      <c r="X177" s="16"/>
      <c r="Y177" s="16"/>
      <c r="Z177" s="16"/>
      <c r="AA177" s="16"/>
      <c r="AB177" s="16"/>
      <c r="AC177" s="16"/>
      <c r="AD177" s="16"/>
    </row>
    <row r="178" spans="1:30" ht="15.75" customHeight="1">
      <c r="A178" s="16"/>
      <c r="B178" s="735"/>
      <c r="C178" s="696"/>
      <c r="D178" s="16"/>
      <c r="E178" s="16"/>
      <c r="F178" s="16"/>
      <c r="G178" s="16"/>
      <c r="H178" s="16"/>
      <c r="I178" s="16"/>
      <c r="J178" s="16"/>
      <c r="K178" s="16"/>
      <c r="L178" s="16"/>
      <c r="M178" s="735"/>
      <c r="N178" s="696"/>
      <c r="O178" s="696"/>
      <c r="P178" s="696"/>
      <c r="Q178" s="696"/>
      <c r="R178" s="696"/>
      <c r="S178" s="696"/>
      <c r="T178" s="696"/>
      <c r="U178" s="16"/>
      <c r="V178" s="16"/>
      <c r="W178" s="16"/>
      <c r="X178" s="16"/>
      <c r="Y178" s="16"/>
      <c r="Z178" s="16"/>
      <c r="AA178" s="16"/>
      <c r="AB178" s="16"/>
      <c r="AC178" s="16"/>
      <c r="AD178" s="16"/>
    </row>
    <row r="179" spans="1:30" ht="15.75" customHeight="1">
      <c r="A179" s="16"/>
      <c r="B179" s="735"/>
      <c r="C179" s="696"/>
      <c r="D179" s="16"/>
      <c r="E179" s="16"/>
      <c r="F179" s="16"/>
      <c r="G179" s="16"/>
      <c r="H179" s="16"/>
      <c r="I179" s="16"/>
      <c r="J179" s="16"/>
      <c r="K179" s="16"/>
      <c r="L179" s="16"/>
      <c r="M179" s="735"/>
      <c r="N179" s="696"/>
      <c r="O179" s="696"/>
      <c r="P179" s="696"/>
      <c r="Q179" s="696"/>
      <c r="R179" s="696"/>
      <c r="S179" s="696"/>
      <c r="T179" s="696"/>
      <c r="U179" s="16"/>
      <c r="V179" s="16"/>
      <c r="W179" s="16"/>
      <c r="X179" s="16"/>
      <c r="Y179" s="16"/>
      <c r="Z179" s="16"/>
      <c r="AA179" s="16"/>
      <c r="AB179" s="16"/>
      <c r="AC179" s="16"/>
      <c r="AD179" s="16"/>
    </row>
    <row r="180" spans="1:30" ht="15.75" customHeight="1">
      <c r="A180" s="16"/>
      <c r="B180" s="735"/>
      <c r="C180" s="696"/>
      <c r="D180" s="16"/>
      <c r="E180" s="16"/>
      <c r="F180" s="16"/>
      <c r="G180" s="16"/>
      <c r="H180" s="16"/>
      <c r="I180" s="16"/>
      <c r="J180" s="16"/>
      <c r="K180" s="16"/>
      <c r="L180" s="16"/>
      <c r="M180" s="735"/>
      <c r="N180" s="696"/>
      <c r="O180" s="696"/>
      <c r="P180" s="696"/>
      <c r="Q180" s="696"/>
      <c r="R180" s="696"/>
      <c r="S180" s="696"/>
      <c r="T180" s="696"/>
      <c r="U180" s="16"/>
      <c r="V180" s="16"/>
      <c r="W180" s="16"/>
      <c r="X180" s="16"/>
      <c r="Y180" s="16"/>
      <c r="Z180" s="16"/>
      <c r="AA180" s="16"/>
      <c r="AB180" s="16"/>
      <c r="AC180" s="16"/>
      <c r="AD180" s="16"/>
    </row>
    <row r="181" spans="1:30" ht="15.75" customHeight="1">
      <c r="A181" s="16"/>
      <c r="B181" s="735"/>
      <c r="C181" s="696"/>
      <c r="D181" s="16"/>
      <c r="E181" s="16"/>
      <c r="F181" s="16"/>
      <c r="G181" s="16"/>
      <c r="H181" s="16"/>
      <c r="I181" s="16"/>
      <c r="J181" s="16"/>
      <c r="K181" s="16"/>
      <c r="L181" s="16"/>
      <c r="M181" s="735"/>
      <c r="N181" s="696"/>
      <c r="O181" s="696"/>
      <c r="P181" s="696"/>
      <c r="Q181" s="696"/>
      <c r="R181" s="696"/>
      <c r="S181" s="696"/>
      <c r="T181" s="696"/>
      <c r="U181" s="16"/>
      <c r="V181" s="16"/>
      <c r="W181" s="16"/>
      <c r="X181" s="16"/>
      <c r="Y181" s="16"/>
      <c r="Z181" s="16"/>
      <c r="AA181" s="16"/>
      <c r="AB181" s="16"/>
      <c r="AC181" s="16"/>
      <c r="AD181" s="16"/>
    </row>
    <row r="182" spans="1:30" ht="15.75" customHeight="1">
      <c r="A182" s="16"/>
      <c r="B182" s="735"/>
      <c r="C182" s="696"/>
      <c r="D182" s="16"/>
      <c r="E182" s="16"/>
      <c r="F182" s="16"/>
      <c r="G182" s="16"/>
      <c r="H182" s="16"/>
      <c r="I182" s="16"/>
      <c r="J182" s="16"/>
      <c r="K182" s="16"/>
      <c r="L182" s="16"/>
      <c r="M182" s="735"/>
      <c r="N182" s="696"/>
      <c r="O182" s="696"/>
      <c r="P182" s="696"/>
      <c r="Q182" s="696"/>
      <c r="R182" s="696"/>
      <c r="S182" s="696"/>
      <c r="T182" s="696"/>
      <c r="U182" s="16"/>
      <c r="V182" s="16"/>
      <c r="W182" s="16"/>
      <c r="X182" s="16"/>
      <c r="Y182" s="16"/>
      <c r="Z182" s="16"/>
      <c r="AA182" s="16"/>
      <c r="AB182" s="16"/>
      <c r="AC182" s="16"/>
      <c r="AD182" s="16"/>
    </row>
    <row r="183" spans="1:30" ht="15.75" customHeight="1">
      <c r="A183" s="16"/>
      <c r="B183" s="735"/>
      <c r="C183" s="696"/>
      <c r="D183" s="16"/>
      <c r="E183" s="16"/>
      <c r="F183" s="16"/>
      <c r="G183" s="16"/>
      <c r="H183" s="16"/>
      <c r="I183" s="16"/>
      <c r="J183" s="16"/>
      <c r="K183" s="16"/>
      <c r="L183" s="16"/>
      <c r="M183" s="735"/>
      <c r="N183" s="696"/>
      <c r="O183" s="696"/>
      <c r="P183" s="696"/>
      <c r="Q183" s="696"/>
      <c r="R183" s="696"/>
      <c r="S183" s="696"/>
      <c r="T183" s="696"/>
      <c r="U183" s="16"/>
      <c r="V183" s="16"/>
      <c r="W183" s="16"/>
      <c r="X183" s="16"/>
      <c r="Y183" s="16"/>
      <c r="Z183" s="16"/>
      <c r="AA183" s="16"/>
      <c r="AB183" s="16"/>
      <c r="AC183" s="16"/>
      <c r="AD183" s="16"/>
    </row>
    <row r="184" spans="1:30" ht="15.75" customHeight="1">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c r="AD184" s="16"/>
    </row>
    <row r="185" spans="1:30" ht="15.75" customHeight="1">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c r="AD185" s="16"/>
    </row>
    <row r="186" spans="1:30" ht="15.75" customHeight="1">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c r="AD186" s="16"/>
    </row>
    <row r="187" spans="1:30" ht="15.75" customHeight="1">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16"/>
      <c r="AB187" s="16"/>
      <c r="AC187" s="16"/>
      <c r="AD187" s="16"/>
    </row>
    <row r="188" spans="1:30" ht="15.75" customHeight="1">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c r="AD188" s="16"/>
    </row>
    <row r="189" spans="1:30" ht="15.75" customHeight="1">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c r="AD189" s="16"/>
    </row>
    <row r="190" spans="1:30" ht="15.75" customHeight="1">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c r="AD190" s="16"/>
    </row>
    <row r="191" spans="1:30" ht="15.75" customHeight="1">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c r="AD191" s="16"/>
    </row>
    <row r="192" spans="1:30" ht="15.75" customHeight="1">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c r="AD192" s="16"/>
    </row>
    <row r="193" spans="1:30" ht="15.75" customHeight="1">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c r="AA193" s="16"/>
      <c r="AB193" s="16"/>
      <c r="AC193" s="16"/>
      <c r="AD193" s="16"/>
    </row>
    <row r="194" spans="1:30" ht="15.75" customHeight="1">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c r="AA194" s="16"/>
      <c r="AB194" s="16"/>
      <c r="AC194" s="16"/>
      <c r="AD194" s="16"/>
    </row>
    <row r="195" spans="1:30" ht="15.75" customHeight="1">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c r="AA195" s="16"/>
      <c r="AB195" s="16"/>
      <c r="AC195" s="16"/>
      <c r="AD195" s="16"/>
    </row>
    <row r="196" spans="1:30" ht="15.75" customHeight="1">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c r="AA196" s="16"/>
      <c r="AB196" s="16"/>
      <c r="AC196" s="16"/>
      <c r="AD196" s="16"/>
    </row>
    <row r="197" spans="1:30" ht="15.75" customHeight="1">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c r="AD197" s="16"/>
    </row>
    <row r="198" spans="1:30" ht="15.75" customHeight="1">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c r="AD198" s="16"/>
    </row>
    <row r="199" spans="1:30" ht="15.75" customHeight="1">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c r="AA199" s="16"/>
      <c r="AB199" s="16"/>
      <c r="AC199" s="16"/>
      <c r="AD199" s="16"/>
    </row>
    <row r="200" spans="1:30" ht="15.75" customHeight="1">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c r="AA200" s="16"/>
      <c r="AB200" s="16"/>
      <c r="AC200" s="16"/>
      <c r="AD200" s="16"/>
    </row>
    <row r="201" spans="1:30" ht="15.75" customHeight="1">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c r="AD201" s="16"/>
    </row>
    <row r="202" spans="1:30" ht="15.75" customHeight="1">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c r="AD202" s="16"/>
    </row>
    <row r="203" spans="1:30" ht="15.75" customHeight="1">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c r="AA203" s="16"/>
      <c r="AB203" s="16"/>
      <c r="AC203" s="16"/>
      <c r="AD203" s="16"/>
    </row>
    <row r="204" spans="1:30" ht="15.75" customHeight="1">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c r="AA204" s="16"/>
      <c r="AB204" s="16"/>
      <c r="AC204" s="16"/>
      <c r="AD204" s="16"/>
    </row>
    <row r="205" spans="1:30" ht="15.75" customHeight="1">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c r="AD205" s="16"/>
    </row>
    <row r="206" spans="1:30" ht="15.75" customHeight="1">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row>
    <row r="207" spans="1:30" ht="15.75" customHeight="1">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c r="AD207" s="16"/>
    </row>
    <row r="208" spans="1:30" ht="15.75" customHeight="1">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c r="AD208" s="16"/>
    </row>
    <row r="209" spans="1:30" ht="15.75" customHeight="1">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c r="AD209" s="16"/>
    </row>
    <row r="210" spans="1:30" ht="15.75" customHeight="1">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c r="AD210" s="16"/>
    </row>
    <row r="211" spans="1:30" ht="15.75" customHeight="1">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row>
    <row r="212" spans="1:30" ht="15.75" customHeight="1">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c r="AD212" s="16"/>
    </row>
    <row r="213" spans="1:30" ht="15.75" customHeight="1">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c r="AD213" s="16"/>
    </row>
    <row r="214" spans="1:30" ht="15.75" customHeight="1">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row>
    <row r="215" spans="1:30" ht="15.75" customHeight="1">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c r="AD215" s="16"/>
    </row>
    <row r="216" spans="1:30" ht="15.75" customHeight="1">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c r="AD216" s="16"/>
    </row>
    <row r="217" spans="1:30" ht="15.75" customHeight="1">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c r="AD217" s="16"/>
    </row>
    <row r="218" spans="1:30" ht="15.75" customHeight="1">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c r="AD218" s="16"/>
    </row>
    <row r="219" spans="1:30" ht="15.75" customHeight="1">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c r="AD219" s="16"/>
    </row>
    <row r="220" spans="1:30" ht="15.75" customHeight="1">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c r="AD220" s="16"/>
    </row>
    <row r="221" spans="1:30" ht="15.75" customHeight="1">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row>
    <row r="222" spans="1:30" ht="15.75" customHeight="1">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row>
    <row r="223" spans="1:30" ht="15.75" customHeight="1">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c r="AD223" s="16"/>
    </row>
    <row r="224" spans="1:30" ht="15.75" customHeight="1">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c r="AD224" s="16"/>
    </row>
    <row r="225" spans="1:30" ht="15.75" customHeight="1">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16"/>
    </row>
    <row r="226" spans="1:30" ht="15.75" customHeight="1">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row>
    <row r="227" spans="1:30" ht="15.75" customHeight="1">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16"/>
    </row>
    <row r="228" spans="1:30" ht="15.75" customHeight="1">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c r="AD228" s="16"/>
    </row>
    <row r="229" spans="1:30" ht="15.75" customHeight="1">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c r="AD229" s="16"/>
    </row>
    <row r="230" spans="1:30" ht="15.75" customHeight="1">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row>
    <row r="231" spans="1:30" ht="15.75" customHeight="1">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c r="AD231" s="16"/>
    </row>
    <row r="232" spans="1:30" ht="15.75" customHeight="1">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c r="AD232" s="16"/>
    </row>
    <row r="233" spans="1:30" ht="15.75" customHeight="1">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c r="AD233" s="16"/>
    </row>
    <row r="234" spans="1:30" ht="15.75" customHeight="1">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c r="AD234" s="16"/>
    </row>
    <row r="235" spans="1:30" ht="15.75" customHeight="1">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row>
    <row r="236" spans="1:30" ht="15.75" customHeight="1">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c r="AD236" s="16"/>
    </row>
    <row r="237" spans="1:30" ht="15.75" customHeight="1">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c r="AD237" s="16"/>
    </row>
    <row r="238" spans="1:30" ht="15.75" customHeight="1">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c r="AD238" s="16"/>
    </row>
    <row r="239" spans="1:30" ht="15.75" customHeight="1">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c r="AD239" s="16"/>
    </row>
    <row r="240" spans="1:30" ht="15.75" customHeight="1">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c r="AD240" s="16"/>
    </row>
    <row r="241" spans="1:30" ht="15.75" customHeight="1">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c r="AD241" s="16"/>
    </row>
    <row r="242" spans="1:30" ht="15.75" customHeight="1">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c r="AD242" s="16"/>
    </row>
    <row r="243" spans="1:30" ht="15.75" customHeight="1">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c r="AD243" s="16"/>
    </row>
    <row r="244" spans="1:30" ht="15.75" customHeight="1">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16"/>
    </row>
    <row r="245" spans="1:30" ht="15.75" customHeight="1">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c r="AD245" s="16"/>
    </row>
    <row r="246" spans="1:30" ht="15.75" customHeight="1">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row>
    <row r="247" spans="1:30" ht="15.75" customHeight="1">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c r="AD247" s="16"/>
    </row>
    <row r="248" spans="1:30" ht="15.75" customHeight="1">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row>
    <row r="249" spans="1:30" ht="15.75" customHeight="1">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row>
    <row r="250" spans="1:30" ht="15.75" customHeight="1">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c r="AD250" s="16"/>
    </row>
    <row r="251" spans="1:30" ht="15.75" customHeight="1">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row>
    <row r="252" spans="1:30" ht="15.75" customHeight="1">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16"/>
    </row>
    <row r="253" spans="1:30" ht="15.75" customHeight="1">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c r="AD253" s="16"/>
    </row>
    <row r="254" spans="1:30" ht="15.75" customHeight="1">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row>
    <row r="255" spans="1:30" ht="15.75" customHeight="1">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c r="AD255" s="16"/>
    </row>
    <row r="256" spans="1:30" ht="15.75" customHeight="1">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row>
    <row r="257" spans="1:30" ht="15.75" customHeight="1">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c r="AD257" s="16"/>
    </row>
    <row r="258" spans="1:30" ht="15.75" customHeight="1">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c r="AD258" s="16"/>
    </row>
    <row r="259" spans="1:30" ht="15.75" customHeight="1">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row>
    <row r="260" spans="1:30" ht="15.75" customHeight="1">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row>
    <row r="261" spans="1:30" ht="15.75" customHeight="1">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c r="AD261" s="16"/>
    </row>
    <row r="262" spans="1:30" ht="15.75" customHeight="1">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row>
    <row r="263" spans="1:30" ht="15.75" customHeight="1">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row>
    <row r="264" spans="1:30" ht="15.75" customHeight="1">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c r="AD264" s="16"/>
    </row>
    <row r="265" spans="1:30" ht="15.75" customHeight="1">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row>
    <row r="266" spans="1:30" ht="15.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row>
    <row r="267" spans="1:30" ht="15.75" customHeight="1">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row>
    <row r="268" spans="1:30" ht="15.75" customHeight="1">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c r="AD268" s="16"/>
    </row>
    <row r="269" spans="1:30" ht="15.75" customHeight="1">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row>
    <row r="270" spans="1:30" ht="15.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row>
    <row r="271" spans="1:30" ht="15.75" customHeight="1">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c r="AD271" s="16"/>
    </row>
    <row r="272" spans="1:30" ht="15.75" customHeight="1">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c r="AD272" s="16"/>
    </row>
    <row r="273" spans="1:30" ht="15.75" customHeight="1">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c r="AD273" s="16"/>
    </row>
    <row r="274" spans="1:30" ht="15.75" customHeight="1">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c r="AD274" s="16"/>
    </row>
    <row r="275" spans="1:30" ht="15.75" customHeight="1">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c r="AD275" s="16"/>
    </row>
    <row r="276" spans="1:30" ht="15.75" customHeight="1">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row>
    <row r="277" spans="1:30" ht="15.75" customHeight="1">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16"/>
    </row>
    <row r="278" spans="1:30" ht="15.75" customHeight="1">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row>
    <row r="279" spans="1:30" ht="15.75" customHeight="1">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16"/>
    </row>
    <row r="280" spans="1:30" ht="15.75" customHeight="1">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c r="AD280" s="16"/>
    </row>
    <row r="281" spans="1:30" ht="15.75" customHeight="1">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c r="AD281" s="16"/>
    </row>
    <row r="282" spans="1:30" ht="15.75" customHeight="1">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c r="AD282" s="16"/>
    </row>
    <row r="283" spans="1:30" ht="15.75" customHeight="1">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c r="AD283" s="16"/>
    </row>
    <row r="284" spans="1:30" ht="15.75" customHeight="1">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c r="AD284" s="16"/>
    </row>
    <row r="285" spans="1:30" ht="15.75" customHeight="1">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c r="AD285" s="16"/>
    </row>
    <row r="286" spans="1:30" ht="15.75" customHeight="1">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row>
    <row r="287" spans="1:30" ht="15.75" customHeight="1">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row>
    <row r="288" spans="1:30" ht="15.75" customHeight="1">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row>
    <row r="289" spans="1:30" ht="15.75" customHeight="1">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row>
    <row r="290" spans="1:30" ht="15.75" customHeight="1">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row>
    <row r="291" spans="1:30" ht="15.75" customHeight="1">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c r="AD291" s="16"/>
    </row>
    <row r="292" spans="1:30" ht="15.75" customHeight="1">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row>
    <row r="293" spans="1:30" ht="15.75" customHeight="1">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row>
    <row r="294" spans="1:30" ht="15.75" customHeight="1">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row>
    <row r="295" spans="1:30" ht="15.75" customHeight="1">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row>
    <row r="296" spans="1:30" ht="15.75" customHeight="1">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row>
    <row r="297" spans="1:30" ht="15.75" customHeight="1">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row>
    <row r="298" spans="1:30" ht="15.75" customHeight="1">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row>
    <row r="299" spans="1:30" ht="15.75" customHeight="1">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row>
    <row r="300" spans="1:30" ht="15.75" customHeight="1">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row>
    <row r="301" spans="1:30" ht="15.75" customHeight="1">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c r="AD301" s="16"/>
    </row>
    <row r="302" spans="1:30" ht="15.75" customHeight="1">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c r="AD302" s="16"/>
    </row>
    <row r="303" spans="1:30" ht="15.75" customHeight="1">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row>
    <row r="304" spans="1:30" ht="15.75" customHeight="1">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c r="AD304" s="16"/>
    </row>
    <row r="305" spans="1:30" ht="15.75" customHeight="1">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c r="AD305" s="16"/>
    </row>
    <row r="306" spans="1:30" ht="15.75" customHeight="1">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c r="AA306" s="16"/>
      <c r="AB306" s="16"/>
      <c r="AC306" s="16"/>
      <c r="AD306" s="16"/>
    </row>
    <row r="307" spans="1:30" ht="15.75" customHeight="1">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c r="AA307" s="16"/>
      <c r="AB307" s="16"/>
      <c r="AC307" s="16"/>
      <c r="AD307" s="16"/>
    </row>
    <row r="308" spans="1:30" ht="15.75" customHeight="1">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c r="AA308" s="16"/>
      <c r="AB308" s="16"/>
      <c r="AC308" s="16"/>
      <c r="AD308" s="16"/>
    </row>
    <row r="309" spans="1:30" ht="15.75" customHeight="1">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c r="AA309" s="16"/>
      <c r="AB309" s="16"/>
      <c r="AC309" s="16"/>
      <c r="AD309" s="16"/>
    </row>
    <row r="310" spans="1:30" ht="15.75" customHeight="1">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c r="AA310" s="16"/>
      <c r="AB310" s="16"/>
      <c r="AC310" s="16"/>
      <c r="AD310" s="16"/>
    </row>
    <row r="311" spans="1:30" ht="15.75" customHeight="1">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c r="AA311" s="16"/>
      <c r="AB311" s="16"/>
      <c r="AC311" s="16"/>
      <c r="AD311" s="16"/>
    </row>
    <row r="312" spans="1:30" ht="15.75" customHeight="1">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c r="AA312" s="16"/>
      <c r="AB312" s="16"/>
      <c r="AC312" s="16"/>
      <c r="AD312" s="16"/>
    </row>
    <row r="313" spans="1:30" ht="15.75" customHeight="1">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c r="AA313" s="16"/>
      <c r="AB313" s="16"/>
      <c r="AC313" s="16"/>
      <c r="AD313" s="16"/>
    </row>
    <row r="314" spans="1:30" ht="15.75" customHeight="1">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c r="AA314" s="16"/>
      <c r="AB314" s="16"/>
      <c r="AC314" s="16"/>
      <c r="AD314" s="16"/>
    </row>
    <row r="315" spans="1:30" ht="15.75" customHeight="1">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c r="AA315" s="16"/>
      <c r="AB315" s="16"/>
      <c r="AC315" s="16"/>
      <c r="AD315" s="16"/>
    </row>
    <row r="316" spans="1:30" ht="15.75" customHeight="1">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c r="AA316" s="16"/>
      <c r="AB316" s="16"/>
      <c r="AC316" s="16"/>
      <c r="AD316" s="16"/>
    </row>
    <row r="317" spans="1:30" ht="15.75" customHeight="1">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c r="AA317" s="16"/>
      <c r="AB317" s="16"/>
      <c r="AC317" s="16"/>
      <c r="AD317" s="16"/>
    </row>
    <row r="318" spans="1:30" ht="15.75" customHeight="1">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c r="AA318" s="16"/>
      <c r="AB318" s="16"/>
      <c r="AC318" s="16"/>
      <c r="AD318" s="16"/>
    </row>
    <row r="319" spans="1:30" ht="15.75" customHeight="1">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c r="AA319" s="16"/>
      <c r="AB319" s="16"/>
      <c r="AC319" s="16"/>
      <c r="AD319" s="16"/>
    </row>
    <row r="320" spans="1:3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sheetData>
  <mergeCells count="99">
    <mergeCell ref="M178:O178"/>
    <mergeCell ref="B182:C182"/>
    <mergeCell ref="M182:O182"/>
    <mergeCell ref="B183:C183"/>
    <mergeCell ref="M183:O183"/>
    <mergeCell ref="B179:C179"/>
    <mergeCell ref="M179:O179"/>
    <mergeCell ref="B180:C180"/>
    <mergeCell ref="M180:O180"/>
    <mergeCell ref="B181:C181"/>
    <mergeCell ref="M181:O181"/>
    <mergeCell ref="M166:O166"/>
    <mergeCell ref="B169:C169"/>
    <mergeCell ref="M169:O169"/>
    <mergeCell ref="M172:O172"/>
    <mergeCell ref="B173:C173"/>
    <mergeCell ref="M173:O173"/>
    <mergeCell ref="P169:T169"/>
    <mergeCell ref="B170:C170"/>
    <mergeCell ref="M170:O170"/>
    <mergeCell ref="P170:T183"/>
    <mergeCell ref="B171:C171"/>
    <mergeCell ref="M171:O171"/>
    <mergeCell ref="B172:C172"/>
    <mergeCell ref="B175:C175"/>
    <mergeCell ref="M175:O175"/>
    <mergeCell ref="B174:C174"/>
    <mergeCell ref="M174:O174"/>
    <mergeCell ref="B176:C176"/>
    <mergeCell ref="M176:O176"/>
    <mergeCell ref="B177:C177"/>
    <mergeCell ref="M177:O177"/>
    <mergeCell ref="B178:C178"/>
    <mergeCell ref="M165:O165"/>
    <mergeCell ref="M152:O152"/>
    <mergeCell ref="P152:T152"/>
    <mergeCell ref="M153:O153"/>
    <mergeCell ref="P153:T166"/>
    <mergeCell ref="M154:O154"/>
    <mergeCell ref="M155:O155"/>
    <mergeCell ref="M156:O156"/>
    <mergeCell ref="M157:O157"/>
    <mergeCell ref="M158:O158"/>
    <mergeCell ref="M159:O159"/>
    <mergeCell ref="M160:O160"/>
    <mergeCell ref="M161:O161"/>
    <mergeCell ref="M162:O162"/>
    <mergeCell ref="M163:O163"/>
    <mergeCell ref="M164:O164"/>
    <mergeCell ref="M149:O149"/>
    <mergeCell ref="P135:R135"/>
    <mergeCell ref="M137:O137"/>
    <mergeCell ref="P137:T137"/>
    <mergeCell ref="M138:O138"/>
    <mergeCell ref="P138:T149"/>
    <mergeCell ref="M139:O139"/>
    <mergeCell ref="M140:O140"/>
    <mergeCell ref="M141:O141"/>
    <mergeCell ref="M142:O142"/>
    <mergeCell ref="M143:O143"/>
    <mergeCell ref="M144:O144"/>
    <mergeCell ref="M145:O145"/>
    <mergeCell ref="M146:O146"/>
    <mergeCell ref="M147:O147"/>
    <mergeCell ref="M148:O148"/>
    <mergeCell ref="P133:R133"/>
    <mergeCell ref="P134:R134"/>
    <mergeCell ref="AG29:AH29"/>
    <mergeCell ref="AI29:AJ29"/>
    <mergeCell ref="AG30:AH40"/>
    <mergeCell ref="AI30:AJ40"/>
    <mergeCell ref="P129:R129"/>
    <mergeCell ref="P70:Q70"/>
    <mergeCell ref="J92:K119"/>
    <mergeCell ref="H92:I119"/>
    <mergeCell ref="P130:R130"/>
    <mergeCell ref="P131:R131"/>
    <mergeCell ref="P132:R132"/>
    <mergeCell ref="H37:J37"/>
    <mergeCell ref="K71:O87"/>
    <mergeCell ref="P71:Q87"/>
    <mergeCell ref="H91:I91"/>
    <mergeCell ref="J91:K91"/>
    <mergeCell ref="K70:O70"/>
    <mergeCell ref="H38:J42"/>
    <mergeCell ref="I45:K45"/>
    <mergeCell ref="I46:K50"/>
    <mergeCell ref="K54:M54"/>
    <mergeCell ref="K55:M67"/>
    <mergeCell ref="A1:C1"/>
    <mergeCell ref="E1:H1"/>
    <mergeCell ref="D7:I7"/>
    <mergeCell ref="D8:I8"/>
    <mergeCell ref="A28:F28"/>
    <mergeCell ref="A30:F30"/>
    <mergeCell ref="A31:F31"/>
    <mergeCell ref="A32:F32"/>
    <mergeCell ref="A34:F34"/>
    <mergeCell ref="A29:F29"/>
  </mergeCells>
  <phoneticPr fontId="31" type="noConversion"/>
  <conditionalFormatting sqref="I55:I66">
    <cfRule type="containsText" dxfId="274" priority="1" operator="containsText" text="5">
      <formula>NOT(ISERROR(SEARCH(("5"),(I55))))</formula>
    </cfRule>
    <cfRule type="containsText" dxfId="273" priority="2" operator="containsText" text="42">
      <formula>NOT(ISERROR(SEARCH(("42"),(I55))))</formula>
    </cfRule>
    <cfRule type="containsText" dxfId="272" priority="3" operator="containsText" text="Please fill in">
      <formula>NOT(ISERROR(SEARCH(("Please fill in"),(I55))))</formula>
    </cfRule>
  </conditionalFormatting>
  <dataValidations count="3">
    <dataValidation type="list" allowBlank="1" showErrorMessage="1" sqref="D46:D50 H55:H67" xr:uid="{71648C05-916D-4785-B115-44E58C0A4531}">
      <formula1>Sagittarius!TypesOfTrainers</formula1>
    </dataValidation>
    <dataValidation type="list" allowBlank="1" showErrorMessage="1" sqref="B9" xr:uid="{9015C86A-CF2A-4827-B2A5-EDF225B70D0C}">
      <formula1>"yes,no,partial"</formula1>
    </dataValidation>
    <dataValidation type="list" allowBlank="1" sqref="G46:G50" xr:uid="{6626C33E-3E62-49F9-9D08-D461A6C8F97F}">
      <formula1>"yes,no"</formula1>
    </dataValidation>
  </dataValidations>
  <pageMargins left="0.7" right="0.7" top="0.75" bottom="0.75" header="0" footer="0"/>
  <pageSetup paperSize="9" orientation="portrait"/>
  <drawing r:id="rId1"/>
  <legacyDrawing r:id="rId2"/>
  <tableParts count="6">
    <tablePart r:id="rId3"/>
    <tablePart r:id="rId4"/>
    <tablePart r:id="rId5"/>
    <tablePart r:id="rId6"/>
    <tablePart r:id="rId7"/>
    <tablePart r:id="rId8"/>
  </tableParts>
  <extLst>
    <ext xmlns:x14="http://schemas.microsoft.com/office/spreadsheetml/2009/9/main" uri="{CCE6A557-97BC-4b89-ADB6-D9C93CAAB3DF}">
      <x14:dataValidations xmlns:xm="http://schemas.microsoft.com/office/excel/2006/main" count="4">
        <x14:dataValidation type="list" allowBlank="1" showInputMessage="1" showErrorMessage="1" xr:uid="{CE134208-7D9C-4BC0-9FC8-8A59059E8BAB}">
          <x14:formula1>
            <xm:f>Constants!$M$6:$M$7</xm:f>
          </x14:formula1>
          <xm:sqref>B114:B121</xm:sqref>
        </x14:dataValidation>
        <x14:dataValidation type="list" allowBlank="1" showInputMessage="1" showErrorMessage="1" xr:uid="{A369F183-4461-4A84-A5F7-56FD1CB4FECD}">
          <x14:formula1>
            <xm:f>Constants!$C$55:$C$56</xm:f>
          </x14:formula1>
          <xm:sqref>B12</xm:sqref>
        </x14:dataValidation>
        <x14:dataValidation type="list" allowBlank="1" showErrorMessage="1" xr:uid="{04C611B0-5C2E-4D68-A0B6-5B2A0E9BF1C6}">
          <x14:formula1>
            <xm:f>Constants!$H$6:$H$13</xm:f>
          </x14:formula1>
          <xm:sqref>B55:B67</xm:sqref>
        </x14:dataValidation>
        <x14:dataValidation type="list" allowBlank="1" showErrorMessage="1" xr:uid="{01081238-5BFE-4798-BBC6-C37942BC1066}">
          <x14:formula1>
            <xm:f>Constants!$A$2:$AD$2</xm:f>
          </x14:formula1>
          <xm:sqref>B71:B87</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F02C1E-8C9C-4B45-A5D4-CE782EEDA2CB}">
  <dimension ref="A1:BG1012"/>
  <sheetViews>
    <sheetView topLeftCell="A85" zoomScale="112" zoomScaleNormal="160" workbookViewId="0">
      <selection activeCell="I35" sqref="I35"/>
    </sheetView>
  </sheetViews>
  <sheetFormatPr defaultColWidth="12.625" defaultRowHeight="15" customHeight="1"/>
  <cols>
    <col min="1" max="1" width="36.625" customWidth="1"/>
    <col min="2" max="2" width="28.125" customWidth="1"/>
    <col min="3" max="3" width="21" customWidth="1"/>
    <col min="4" max="4" width="17.5" customWidth="1"/>
    <col min="5" max="5" width="16.125" customWidth="1"/>
    <col min="6" max="6" width="21.5" customWidth="1"/>
    <col min="7" max="7" width="22.625" customWidth="1"/>
    <col min="8" max="8" width="18.625" customWidth="1"/>
    <col min="9" max="9" width="19.625" customWidth="1"/>
    <col min="10" max="10" width="18.875" customWidth="1"/>
    <col min="11" max="11" width="21.625" customWidth="1"/>
    <col min="12" max="12" width="17.375" customWidth="1"/>
    <col min="13" max="13" width="15.125" customWidth="1"/>
    <col min="14" max="14" width="15.625" customWidth="1"/>
    <col min="15" max="15" width="28.5" customWidth="1"/>
    <col min="16" max="16" width="13.125" customWidth="1"/>
    <col min="17" max="17" width="21.875" customWidth="1"/>
    <col min="18" max="18" width="27" customWidth="1"/>
    <col min="19" max="19" width="20.5" customWidth="1"/>
    <col min="20" max="22" width="7.625" customWidth="1"/>
    <col min="23" max="23" width="31.875" customWidth="1"/>
    <col min="24" max="24" width="7.625" customWidth="1"/>
    <col min="25" max="25" width="8.375" customWidth="1"/>
    <col min="26" max="26" width="21.625" customWidth="1"/>
    <col min="27" max="27" width="12" customWidth="1"/>
    <col min="28" max="28" width="16.5" customWidth="1"/>
    <col min="29" max="29" width="6" customWidth="1"/>
    <col min="30" max="30" width="13.625" customWidth="1"/>
  </cols>
  <sheetData>
    <row r="1" spans="1:59" ht="171" customHeight="1">
      <c r="A1" s="703"/>
      <c r="B1" s="704"/>
      <c r="C1" s="705"/>
      <c r="D1" s="16"/>
      <c r="E1" s="572" t="s">
        <v>1629</v>
      </c>
      <c r="F1" s="704"/>
      <c r="G1" s="704"/>
      <c r="H1" s="705"/>
      <c r="I1" s="16"/>
      <c r="J1" s="16"/>
      <c r="K1" s="16"/>
      <c r="L1" s="16"/>
      <c r="M1" s="16"/>
      <c r="N1" s="16"/>
      <c r="O1" s="16"/>
      <c r="P1" s="16"/>
      <c r="Q1" s="16"/>
      <c r="R1" s="16"/>
      <c r="S1" s="16"/>
      <c r="T1" s="16"/>
      <c r="U1" s="16"/>
      <c r="V1" s="16"/>
      <c r="W1" s="16"/>
      <c r="X1" s="16"/>
      <c r="Y1" s="16"/>
      <c r="Z1" s="16"/>
      <c r="AA1" s="16"/>
      <c r="AB1" s="16"/>
      <c r="AC1" s="16"/>
      <c r="AD1" s="16"/>
    </row>
    <row r="2" spans="1:59">
      <c r="A2" s="58" t="s">
        <v>404</v>
      </c>
      <c r="B2" s="152" t="s">
        <v>405</v>
      </c>
      <c r="C2" s="59"/>
      <c r="D2" s="16"/>
      <c r="E2" s="60" t="s">
        <v>406</v>
      </c>
      <c r="F2" s="153" t="s">
        <v>1630</v>
      </c>
      <c r="G2" s="154"/>
      <c r="H2" s="61"/>
      <c r="I2" s="16"/>
      <c r="J2" s="16"/>
      <c r="K2" s="16"/>
      <c r="L2" s="16"/>
      <c r="M2" s="16"/>
      <c r="N2" s="16"/>
      <c r="O2" s="16"/>
      <c r="P2" s="16"/>
      <c r="Q2" s="16"/>
      <c r="R2" s="16"/>
      <c r="S2" s="16"/>
      <c r="T2" s="16"/>
      <c r="U2" s="16"/>
      <c r="V2" s="16"/>
      <c r="W2" s="16"/>
      <c r="X2" s="16"/>
      <c r="Y2" s="16"/>
      <c r="Z2" s="15"/>
      <c r="AA2" s="15"/>
      <c r="AB2" s="15"/>
      <c r="AC2" s="15"/>
      <c r="AD2" s="16"/>
      <c r="AE2" s="16"/>
      <c r="AF2" s="16"/>
      <c r="AG2" s="16"/>
      <c r="AH2" s="16"/>
      <c r="AI2" s="17"/>
      <c r="AJ2" s="17"/>
      <c r="AK2" s="17"/>
      <c r="AL2" s="17"/>
      <c r="AM2" s="17"/>
      <c r="AN2" s="17"/>
      <c r="AO2" s="17"/>
      <c r="AP2" s="17"/>
      <c r="AQ2" s="17"/>
      <c r="AR2" s="18"/>
      <c r="AS2" s="17"/>
      <c r="AT2" s="17"/>
      <c r="AU2" s="16"/>
      <c r="AV2" s="16"/>
      <c r="AW2" s="16"/>
      <c r="AX2" s="16"/>
      <c r="AY2" s="16"/>
      <c r="AZ2" s="16"/>
      <c r="BA2" s="16"/>
    </row>
    <row r="3" spans="1:59">
      <c r="A3" s="62" t="s">
        <v>408</v>
      </c>
      <c r="B3" s="155">
        <v>1</v>
      </c>
      <c r="C3" s="156"/>
      <c r="D3" s="16"/>
      <c r="E3" s="63" t="s">
        <v>409</v>
      </c>
      <c r="F3" s="189">
        <v>45792</v>
      </c>
      <c r="G3" s="158"/>
      <c r="H3" s="159"/>
      <c r="I3" s="16"/>
      <c r="J3" s="16"/>
      <c r="K3" s="16"/>
      <c r="L3" s="16"/>
      <c r="M3" s="16"/>
      <c r="N3" s="16"/>
      <c r="O3" s="16"/>
      <c r="P3" s="16"/>
      <c r="Q3" s="16"/>
      <c r="R3" s="16"/>
      <c r="S3" s="16"/>
      <c r="T3" s="16"/>
      <c r="U3" s="16"/>
      <c r="V3" s="16"/>
      <c r="W3" s="16"/>
      <c r="X3" s="16"/>
      <c r="Y3" s="16"/>
      <c r="Z3" s="16"/>
      <c r="AA3" s="16"/>
      <c r="AB3" s="16"/>
      <c r="AC3" s="16"/>
      <c r="AD3" s="16"/>
    </row>
    <row r="4" spans="1:59">
      <c r="A4" s="160" t="s">
        <v>410</v>
      </c>
      <c r="B4" s="161">
        <v>45812</v>
      </c>
      <c r="C4" s="162"/>
      <c r="D4" s="16"/>
      <c r="E4" s="163"/>
      <c r="F4" s="164"/>
      <c r="G4" s="165"/>
      <c r="H4" s="166"/>
      <c r="I4" s="16"/>
      <c r="J4" s="16"/>
      <c r="K4" s="16"/>
      <c r="L4" s="16"/>
      <c r="M4" s="16"/>
      <c r="N4" s="16"/>
      <c r="O4" s="16"/>
      <c r="P4" s="16"/>
      <c r="Q4" s="16"/>
      <c r="R4" s="16"/>
      <c r="S4" s="16"/>
      <c r="T4" s="16"/>
      <c r="U4" s="16"/>
      <c r="V4" s="16"/>
      <c r="W4" s="16"/>
      <c r="X4" s="16"/>
      <c r="Y4" s="16"/>
      <c r="Z4" s="16"/>
      <c r="AA4" s="16"/>
      <c r="AB4" s="16"/>
      <c r="AC4" s="16"/>
      <c r="AD4" s="16"/>
    </row>
    <row r="5" spans="1:59">
      <c r="A5" s="167" t="s">
        <v>411</v>
      </c>
      <c r="B5" s="168"/>
      <c r="C5" s="167"/>
      <c r="D5" s="16"/>
      <c r="E5" s="169" t="s">
        <v>412</v>
      </c>
      <c r="F5" s="169"/>
      <c r="G5" s="158"/>
      <c r="H5" s="169"/>
      <c r="I5" s="16"/>
      <c r="J5" s="16"/>
      <c r="K5" s="16"/>
      <c r="L5" s="16"/>
      <c r="M5" s="16"/>
      <c r="N5" s="16"/>
      <c r="O5" s="16"/>
      <c r="P5" s="16"/>
      <c r="Q5" s="16"/>
      <c r="R5" s="16"/>
      <c r="S5" s="16"/>
      <c r="T5" s="16"/>
      <c r="U5" s="16"/>
      <c r="V5" s="16"/>
      <c r="W5" s="16"/>
      <c r="X5" s="16"/>
      <c r="Y5" s="16"/>
      <c r="Z5" s="16"/>
      <c r="AA5" s="16"/>
      <c r="AB5" s="16"/>
      <c r="AC5" s="16"/>
      <c r="AD5" s="16"/>
    </row>
    <row r="6" spans="1:59">
      <c r="A6" s="15"/>
      <c r="B6" s="64"/>
      <c r="C6" s="16"/>
      <c r="D6" s="16"/>
      <c r="E6" s="16"/>
      <c r="F6" s="16"/>
      <c r="G6" s="16"/>
      <c r="H6" s="16"/>
      <c r="I6" s="16"/>
      <c r="J6" s="64"/>
      <c r="K6" s="16"/>
      <c r="L6" s="16"/>
      <c r="M6" s="16"/>
      <c r="N6" s="16"/>
      <c r="O6" s="16"/>
      <c r="P6" s="16"/>
      <c r="Q6" s="16"/>
      <c r="R6" s="16"/>
      <c r="S6" s="16"/>
      <c r="T6" s="16"/>
      <c r="U6" s="16"/>
      <c r="V6" s="16"/>
      <c r="W6" s="16"/>
      <c r="X6" s="16"/>
      <c r="Y6" s="16"/>
      <c r="Z6" s="16"/>
      <c r="AA6" s="16"/>
      <c r="AB6" s="16"/>
      <c r="AC6" s="16"/>
      <c r="AD6" s="16"/>
    </row>
    <row r="7" spans="1:59">
      <c r="A7" s="170" t="s">
        <v>413</v>
      </c>
      <c r="B7" s="59">
        <v>165</v>
      </c>
      <c r="C7" s="16"/>
      <c r="D7" s="573" t="s">
        <v>414</v>
      </c>
      <c r="E7" s="701"/>
      <c r="F7" s="701"/>
      <c r="G7" s="701"/>
      <c r="H7" s="701"/>
      <c r="I7" s="701"/>
      <c r="J7" s="16"/>
      <c r="K7" s="16"/>
      <c r="L7" s="16"/>
      <c r="M7" s="16"/>
      <c r="N7" s="16"/>
      <c r="O7" s="16"/>
      <c r="P7" s="16"/>
      <c r="Q7" s="16"/>
      <c r="R7" s="16"/>
      <c r="S7" s="16"/>
      <c r="T7" s="16"/>
      <c r="U7" s="16"/>
      <c r="V7" s="16"/>
      <c r="W7" s="16"/>
      <c r="X7" s="16"/>
      <c r="Y7" s="16"/>
      <c r="Z7" s="16"/>
      <c r="AA7" s="16"/>
      <c r="AB7" s="16"/>
      <c r="AC7" s="16"/>
      <c r="AD7" s="16"/>
    </row>
    <row r="8" spans="1:59" ht="14.25" customHeight="1">
      <c r="A8" s="171" t="s">
        <v>415</v>
      </c>
      <c r="B8" s="172">
        <f ca="1">M21-M17</f>
        <v>12631.255364310508</v>
      </c>
      <c r="C8" s="16" t="s">
        <v>416</v>
      </c>
      <c r="D8" s="574" t="s">
        <v>417</v>
      </c>
      <c r="E8" s="704"/>
      <c r="F8" s="704"/>
      <c r="G8" s="704"/>
      <c r="H8" s="704"/>
      <c r="I8" s="704"/>
      <c r="J8" s="16"/>
      <c r="K8" s="16"/>
      <c r="L8" s="16"/>
      <c r="M8" s="16"/>
      <c r="N8" s="16"/>
      <c r="O8" s="16"/>
      <c r="P8" s="16"/>
      <c r="Q8" s="16"/>
      <c r="R8" s="16"/>
      <c r="S8" s="16"/>
      <c r="T8" s="16"/>
      <c r="U8" s="16"/>
      <c r="V8" s="16"/>
      <c r="W8" s="16"/>
      <c r="X8" s="16"/>
      <c r="Y8" s="16"/>
      <c r="Z8" s="16"/>
      <c r="AA8" s="16"/>
      <c r="AB8" s="16"/>
      <c r="AC8" s="16"/>
    </row>
    <row r="9" spans="1:59">
      <c r="A9" s="65" t="s">
        <v>418</v>
      </c>
      <c r="B9" s="173" t="s">
        <v>419</v>
      </c>
      <c r="C9" s="16"/>
      <c r="D9" s="16"/>
      <c r="E9" s="17"/>
      <c r="F9" s="17"/>
      <c r="G9" s="17"/>
      <c r="H9" s="17"/>
      <c r="I9" s="17"/>
      <c r="J9" s="17"/>
      <c r="K9" s="17"/>
      <c r="L9" s="17"/>
      <c r="M9" s="17"/>
      <c r="N9" s="17"/>
      <c r="O9" s="17"/>
      <c r="P9" s="17"/>
      <c r="Q9" s="16"/>
      <c r="R9" s="17"/>
      <c r="S9" s="17"/>
      <c r="T9" s="17"/>
      <c r="U9" s="17"/>
      <c r="V9" s="17"/>
      <c r="W9" s="17"/>
      <c r="X9" s="17"/>
      <c r="Y9" s="17"/>
      <c r="Z9" s="17"/>
      <c r="AA9" s="17"/>
      <c r="AB9" s="17"/>
      <c r="AC9" s="17"/>
      <c r="AD9" s="18" t="s">
        <v>242</v>
      </c>
    </row>
    <row r="10" spans="1:59">
      <c r="A10" s="174" t="s">
        <v>420</v>
      </c>
      <c r="B10" s="257">
        <f>COUNTA(A38:A46)</f>
        <v>8</v>
      </c>
      <c r="C10" s="16"/>
      <c r="D10" s="16"/>
      <c r="E10" s="17"/>
      <c r="F10" s="17"/>
      <c r="G10" s="17"/>
      <c r="H10" s="17"/>
      <c r="I10" s="17"/>
      <c r="J10" s="17"/>
      <c r="K10" s="17"/>
      <c r="L10" s="17"/>
      <c r="M10" s="17"/>
      <c r="N10" s="17"/>
      <c r="O10" s="17"/>
      <c r="P10" s="17"/>
      <c r="Q10" s="16"/>
      <c r="R10" s="17"/>
      <c r="S10" s="17"/>
      <c r="T10" s="17"/>
      <c r="U10" s="17"/>
      <c r="V10" s="17"/>
      <c r="W10" s="17"/>
      <c r="X10" s="17"/>
      <c r="Y10" s="17"/>
      <c r="Z10" s="17"/>
      <c r="AA10" s="17"/>
      <c r="AB10" s="17"/>
      <c r="AC10" s="17"/>
      <c r="AD10" s="18"/>
    </row>
    <row r="11" spans="1:59">
      <c r="A11" s="171" t="s">
        <v>421</v>
      </c>
      <c r="B11" s="256">
        <f>SUM(B38:B46)</f>
        <v>0</v>
      </c>
      <c r="C11" s="16"/>
      <c r="D11" s="16"/>
      <c r="E11" s="17"/>
      <c r="F11" s="17"/>
      <c r="G11" s="17"/>
      <c r="H11" s="17"/>
      <c r="I11" s="17"/>
      <c r="J11" s="17"/>
      <c r="K11" s="17"/>
      <c r="L11" s="17"/>
      <c r="M11" s="17"/>
      <c r="N11" s="17"/>
      <c r="O11" s="17"/>
      <c r="P11" s="17"/>
      <c r="Q11" s="16"/>
      <c r="R11" s="17"/>
      <c r="S11" s="17"/>
      <c r="T11" s="17"/>
      <c r="U11" s="17"/>
      <c r="V11" s="17"/>
      <c r="W11" s="17"/>
      <c r="X11" s="17"/>
      <c r="Y11" s="17"/>
      <c r="Z11" s="17"/>
      <c r="AA11" s="17"/>
      <c r="AB11" s="17"/>
      <c r="AC11" s="17"/>
      <c r="AD11" s="18"/>
    </row>
    <row r="12" spans="1:59">
      <c r="A12" s="239" t="s">
        <v>422</v>
      </c>
      <c r="B12" s="240" t="s">
        <v>317</v>
      </c>
      <c r="C12" s="16"/>
      <c r="D12" s="16"/>
      <c r="E12" s="17"/>
      <c r="F12" s="17"/>
      <c r="G12" s="17"/>
      <c r="H12" s="17"/>
      <c r="I12" s="17"/>
      <c r="J12" s="17"/>
      <c r="K12" s="17"/>
      <c r="L12" s="17"/>
      <c r="M12" s="17"/>
      <c r="N12" s="17"/>
      <c r="O12" s="17"/>
      <c r="P12" s="17"/>
      <c r="Q12" s="16"/>
      <c r="R12" s="17"/>
      <c r="S12" s="17"/>
      <c r="T12" s="17"/>
      <c r="U12" s="17"/>
      <c r="V12" s="17"/>
      <c r="W12" s="17"/>
      <c r="X12" s="17"/>
      <c r="Y12" s="17"/>
      <c r="Z12" s="17"/>
      <c r="AA12" s="17"/>
      <c r="AB12" s="17"/>
      <c r="AC12" s="17"/>
      <c r="AD12" s="18"/>
    </row>
    <row r="13" spans="1:59">
      <c r="A13" s="16"/>
      <c r="B13" s="16"/>
      <c r="C13" s="16"/>
      <c r="D13" s="16"/>
      <c r="E13" s="17"/>
      <c r="F13" s="17"/>
      <c r="G13" s="17"/>
      <c r="H13" s="17"/>
      <c r="I13" s="17"/>
      <c r="J13" s="17"/>
      <c r="K13" s="17"/>
      <c r="L13" s="17"/>
      <c r="M13" s="17"/>
      <c r="N13" s="17"/>
      <c r="O13" s="17"/>
      <c r="P13" s="17"/>
      <c r="Q13" s="16"/>
      <c r="R13" s="17"/>
      <c r="S13" s="17"/>
      <c r="T13" s="17"/>
      <c r="U13" s="17"/>
      <c r="V13" s="17"/>
      <c r="W13" s="17"/>
      <c r="X13" s="17"/>
      <c r="Y13" s="17"/>
      <c r="Z13" s="17"/>
      <c r="AA13" s="17"/>
      <c r="AB13" s="17"/>
      <c r="AC13" s="17"/>
      <c r="AD13" s="17" t="str" cm="1">
        <f t="array" ref="AD13:BF14">Constants!A2:AC3</f>
        <v>SC1</v>
      </c>
      <c r="AE13" s="17" t="str">
        <v>SC1 - Half</v>
      </c>
      <c r="AF13" s="17" t="str">
        <v>SC2</v>
      </c>
      <c r="AG13" s="17" t="str">
        <v>SC2 - Half</v>
      </c>
      <c r="AH13" s="17" t="str">
        <v>SC3</v>
      </c>
      <c r="AI13" s="17" t="str">
        <v>SC4</v>
      </c>
      <c r="AJ13" s="17" t="str">
        <v>SC5</v>
      </c>
      <c r="AK13" s="17" t="str">
        <v>SC6</v>
      </c>
      <c r="AL13" s="17" t="str">
        <v>Dojo</v>
      </c>
      <c r="AM13" s="17" t="str">
        <v>Boulder Wall</v>
      </c>
      <c r="AN13" s="17" t="str">
        <v>Climbing Wall</v>
      </c>
      <c r="AO13" s="17" t="str">
        <v>Artificial Hockey field</v>
      </c>
      <c r="AP13" s="17" t="str">
        <v>Artificial Hockey field - Half</v>
      </c>
      <c r="AQ13" s="17" t="str">
        <v>Artificial Soccer field</v>
      </c>
      <c r="AR13" s="17" t="str">
        <v>Artificial Soccer field - Half</v>
      </c>
      <c r="AS13" s="17" t="str">
        <v>Basketball</v>
      </c>
      <c r="AT13" s="17" t="str">
        <v>Bastille field</v>
      </c>
      <c r="AU13" s="17" t="str">
        <v>Beach fields</v>
      </c>
      <c r="AV13" s="17" t="str">
        <v>Shooting range</v>
      </c>
      <c r="AW13" s="17" t="str">
        <v>Multi/Lacrosse field</v>
      </c>
      <c r="AX13" s="17" t="str">
        <v>Multi/Lacrosse field - Half</v>
      </c>
      <c r="AY13" s="17" t="str">
        <v>Bootcamp field</v>
      </c>
      <c r="AZ13" s="17" t="str">
        <v>Multi/Baseball field</v>
      </c>
      <c r="BA13" s="17" t="str">
        <v>Tennis court</v>
      </c>
      <c r="BB13" s="17" t="str">
        <v>Utrack</v>
      </c>
      <c r="BC13" s="22" t="str">
        <v>Verreveld</v>
      </c>
      <c r="BD13" s="22" t="str">
        <v>Wsc</v>
      </c>
      <c r="BE13" s="22" t="str">
        <v>Indoor pool</v>
      </c>
      <c r="BF13" s="22" t="str">
        <v>Outdoor pool</v>
      </c>
      <c r="BG13" s="22"/>
    </row>
    <row r="14" spans="1:59" ht="15.95" thickBot="1">
      <c r="A14" s="175" t="s">
        <v>423</v>
      </c>
      <c r="B14" s="16"/>
      <c r="C14" s="16"/>
      <c r="D14" s="16"/>
      <c r="E14" s="16"/>
      <c r="F14" s="16"/>
      <c r="G14" s="175" t="s">
        <v>424</v>
      </c>
      <c r="I14" s="17"/>
      <c r="J14" s="17"/>
      <c r="K14" s="176" t="s">
        <v>425</v>
      </c>
      <c r="L14" s="17"/>
      <c r="M14" s="176" t="s">
        <v>426</v>
      </c>
      <c r="N14" s="17"/>
      <c r="O14" s="17"/>
      <c r="P14" s="17"/>
      <c r="Q14" s="17"/>
      <c r="R14" s="17"/>
      <c r="S14" s="16"/>
      <c r="T14" s="17"/>
      <c r="U14" s="17"/>
      <c r="V14" s="17"/>
      <c r="W14" s="17"/>
      <c r="X14" s="17"/>
      <c r="Y14" s="17"/>
      <c r="Z14" s="17"/>
      <c r="AA14" s="17"/>
      <c r="AB14" s="17"/>
      <c r="AC14" s="17"/>
      <c r="AD14" s="19">
        <v>67.5</v>
      </c>
      <c r="AE14" s="19">
        <v>35</v>
      </c>
      <c r="AF14" s="19">
        <v>67.5</v>
      </c>
      <c r="AG14" s="19">
        <v>35</v>
      </c>
      <c r="AH14" s="19">
        <v>40</v>
      </c>
      <c r="AI14" s="19">
        <v>40</v>
      </c>
      <c r="AJ14" s="19">
        <v>35</v>
      </c>
      <c r="AK14" s="19">
        <v>35</v>
      </c>
      <c r="AL14" s="19">
        <v>40</v>
      </c>
      <c r="AM14" s="19">
        <v>27.5</v>
      </c>
      <c r="AN14" s="19">
        <v>45</v>
      </c>
      <c r="AO14" s="19">
        <v>75</v>
      </c>
      <c r="AP14" s="19">
        <v>40</v>
      </c>
      <c r="AQ14" s="19">
        <v>75</v>
      </c>
      <c r="AR14" s="19">
        <v>40</v>
      </c>
      <c r="AS14" s="19">
        <v>30</v>
      </c>
      <c r="AT14" s="19">
        <v>50</v>
      </c>
      <c r="AU14" s="19">
        <v>75</v>
      </c>
      <c r="AV14" s="19">
        <v>40</v>
      </c>
      <c r="AW14" s="19">
        <v>75</v>
      </c>
      <c r="AX14" s="19">
        <v>40</v>
      </c>
      <c r="AY14" s="19">
        <v>50</v>
      </c>
      <c r="AZ14" s="19">
        <v>65</v>
      </c>
      <c r="BA14" s="19">
        <v>35</v>
      </c>
      <c r="BB14" s="19">
        <v>45</v>
      </c>
      <c r="BC14" s="19">
        <v>50</v>
      </c>
      <c r="BD14" s="19">
        <v>0</v>
      </c>
      <c r="BE14" s="19">
        <v>65</v>
      </c>
      <c r="BF14" s="20">
        <v>70</v>
      </c>
      <c r="BG14" s="20"/>
    </row>
    <row r="15" spans="1:59" ht="15.95" thickTop="1">
      <c r="A15" s="67"/>
      <c r="B15" s="68" t="str">
        <f>Constants!H6</f>
        <v>Performance training</v>
      </c>
      <c r="C15" s="68" t="str">
        <f>Constants!H7</f>
        <v>Performance coaching</v>
      </c>
      <c r="D15" s="68" t="str">
        <f>Constants!H8</f>
        <v>Dangerous</v>
      </c>
      <c r="E15" s="69" t="str">
        <f>Constants!H9</f>
        <v>Recreational</v>
      </c>
      <c r="F15" s="69" t="s">
        <v>290</v>
      </c>
      <c r="G15" s="70"/>
      <c r="H15" s="71" t="s">
        <v>427</v>
      </c>
      <c r="I15" s="72" t="s">
        <v>272</v>
      </c>
      <c r="J15" s="70" t="s">
        <v>5</v>
      </c>
      <c r="K15" s="72" t="s">
        <v>428</v>
      </c>
      <c r="L15" s="70" t="s">
        <v>429</v>
      </c>
      <c r="M15" s="73" cm="1">
        <f t="array" ref="M15">(SUM(IF($D$50:$D$54="PT",($F$50:$F$54)/1.5+IF($G$50:$G$54="yes",1)))+SUM(IF($D$50:$D$54="Extern",($F$50:$F$54)/1.5+IF($G$50:$G$54="yes",1)))+SUM(IF($D$50:$D$54="PT-ZZP",($F$50:$F$54)/1.5+IF($G$50:$G$54="yes",1))))*Constants!B10</f>
        <v>2500</v>
      </c>
      <c r="N15" s="17"/>
      <c r="O15" s="17"/>
      <c r="P15" s="17"/>
      <c r="Q15" s="17"/>
      <c r="R15" s="16"/>
      <c r="S15" s="17"/>
      <c r="T15" s="17"/>
      <c r="U15" s="17"/>
      <c r="V15" s="17"/>
      <c r="W15" s="17"/>
      <c r="X15" s="17"/>
      <c r="Y15" s="17"/>
      <c r="Z15" s="17"/>
      <c r="AA15" s="17"/>
      <c r="AB15" s="17"/>
      <c r="AC15" s="17"/>
      <c r="AD15" s="16">
        <f t="shared" ref="AD15:BF15" si="0">SUMIF($B$80:$B$97,AD13,$F$80:$F$97)</f>
        <v>0</v>
      </c>
      <c r="AE15" s="16">
        <f t="shared" si="0"/>
        <v>0</v>
      </c>
      <c r="AF15" s="16">
        <f t="shared" si="0"/>
        <v>0</v>
      </c>
      <c r="AG15" s="16">
        <f t="shared" si="0"/>
        <v>0</v>
      </c>
      <c r="AH15" s="16">
        <f t="shared" si="0"/>
        <v>0</v>
      </c>
      <c r="AI15" s="16">
        <f t="shared" si="0"/>
        <v>0</v>
      </c>
      <c r="AJ15" s="16">
        <f t="shared" si="0"/>
        <v>0</v>
      </c>
      <c r="AK15" s="16">
        <f t="shared" si="0"/>
        <v>0</v>
      </c>
      <c r="AL15" s="16">
        <f t="shared" si="0"/>
        <v>0</v>
      </c>
      <c r="AM15" s="16">
        <f t="shared" si="0"/>
        <v>0</v>
      </c>
      <c r="AN15" s="16">
        <f t="shared" si="0"/>
        <v>0</v>
      </c>
      <c r="AO15" s="16">
        <f t="shared" si="0"/>
        <v>0</v>
      </c>
      <c r="AP15" s="16">
        <f t="shared" si="0"/>
        <v>0</v>
      </c>
      <c r="AQ15" s="16">
        <f t="shared" si="0"/>
        <v>0</v>
      </c>
      <c r="AR15" s="16">
        <f t="shared" si="0"/>
        <v>0</v>
      </c>
      <c r="AS15" s="16">
        <f t="shared" si="0"/>
        <v>0</v>
      </c>
      <c r="AT15" s="16">
        <f t="shared" si="0"/>
        <v>0</v>
      </c>
      <c r="AU15" s="16">
        <f t="shared" si="0"/>
        <v>3</v>
      </c>
      <c r="AV15" s="16">
        <f t="shared" si="0"/>
        <v>0</v>
      </c>
      <c r="AW15" s="16">
        <f t="shared" si="0"/>
        <v>0</v>
      </c>
      <c r="AX15" s="16">
        <f t="shared" si="0"/>
        <v>0</v>
      </c>
      <c r="AY15" s="16">
        <f t="shared" si="0"/>
        <v>0</v>
      </c>
      <c r="AZ15" s="16">
        <f t="shared" si="0"/>
        <v>0</v>
      </c>
      <c r="BA15" s="16">
        <f t="shared" si="0"/>
        <v>0</v>
      </c>
      <c r="BB15" s="16">
        <f t="shared" si="0"/>
        <v>27</v>
      </c>
      <c r="BC15" s="16">
        <f t="shared" si="0"/>
        <v>0</v>
      </c>
      <c r="BD15" s="16">
        <f t="shared" si="0"/>
        <v>0</v>
      </c>
      <c r="BE15" s="16">
        <f t="shared" si="0"/>
        <v>0</v>
      </c>
      <c r="BF15" s="16">
        <f t="shared" si="0"/>
        <v>0</v>
      </c>
    </row>
    <row r="16" spans="1:59">
      <c r="A16" s="74" t="str">
        <f>Constants!E6</f>
        <v>PT</v>
      </c>
      <c r="B16" s="16">
        <f>SUMIFS(Skeuvel!$F$59:$F$76,Skeuvel!$B$59:$B$76, B$15,Skeuvel!$H$59:$H$76,$A16)*(1+Constants!$B$7)</f>
        <v>309.59999999999997</v>
      </c>
      <c r="C16" s="16">
        <f>SUMIFS(Skeuvel!$F$59:$F$76,Skeuvel!$B$59:$B$76, C$15,Skeuvel!$H$59:$H$76,$A16)</f>
        <v>75</v>
      </c>
      <c r="D16" s="16">
        <f>SUMIFS(Skeuvel!$F$59:$F$76,Skeuvel!$B$59:$B$76, D$15,Skeuvel!$H$59:$H$76,$A16)*(1+Constants!$B$7)</f>
        <v>0</v>
      </c>
      <c r="E16" s="16">
        <f>SUMIFS(Skeuvel!$F$59:$F$76,Skeuvel!$B$59:$B$76, E$15,Skeuvel!$H$59:$H$76,$A16)*(1+Constants!$B$7)</f>
        <v>0</v>
      </c>
      <c r="F16" s="16">
        <f>SUMIFS(Skeuvel!$F$59:$F$76,Skeuvel!$B$59:$B$76, F$15,Skeuvel!$H$59:$H$76,$A16)*(1+Constants!$B$7)</f>
        <v>206.4</v>
      </c>
      <c r="G16" s="74" t="s">
        <v>430</v>
      </c>
      <c r="H16" s="16">
        <f>SUMIF(Skeuvel!$B$80:$B$98,"&lt;&gt;External",Skeuvel!$F$80:$F$98)</f>
        <v>30</v>
      </c>
      <c r="I16" s="75">
        <f>SUMIF(Skeuvel!$B$80:$B$98,"External",Skeuvel!$F$80:$F$98)</f>
        <v>232</v>
      </c>
      <c r="J16" s="234">
        <f>SUM($F$101:$F$114)</f>
        <v>350.84</v>
      </c>
      <c r="K16" s="76">
        <f>IF(OR(ISBLANK(B7),ISBLANK(B9)), "ERROR",MAX(MIN(J16,B7*Constants!B15)-Constants!B14*B7,0)*IF(B9="yes",Constants!B16,IF(B9="no",Constants!B17,0)))</f>
        <v>0</v>
      </c>
      <c r="L16" s="77" t="s">
        <v>360</v>
      </c>
      <c r="M16" s="76">
        <f>E16*Constants!B6+E17*Constants!B8+E22+E21</f>
        <v>0</v>
      </c>
      <c r="N16" s="17"/>
      <c r="O16" s="17"/>
      <c r="P16" s="17"/>
      <c r="Q16" s="17"/>
      <c r="R16" s="16"/>
      <c r="S16" s="17"/>
      <c r="T16" s="17"/>
      <c r="U16" s="17"/>
      <c r="V16" s="17"/>
      <c r="W16" s="17"/>
      <c r="X16" s="17"/>
      <c r="Y16" s="17"/>
      <c r="Z16" s="17"/>
      <c r="AA16" s="17"/>
      <c r="AB16" s="17"/>
      <c r="AC16" s="17"/>
      <c r="AD16" s="19">
        <f t="shared" ref="AD16:BF16" si="1">AD14*AD15</f>
        <v>0</v>
      </c>
      <c r="AE16" s="19">
        <f t="shared" si="1"/>
        <v>0</v>
      </c>
      <c r="AF16" s="19">
        <f t="shared" si="1"/>
        <v>0</v>
      </c>
      <c r="AG16" s="19">
        <f t="shared" si="1"/>
        <v>0</v>
      </c>
      <c r="AH16" s="19">
        <f t="shared" si="1"/>
        <v>0</v>
      </c>
      <c r="AI16" s="19">
        <f t="shared" si="1"/>
        <v>0</v>
      </c>
      <c r="AJ16" s="19">
        <f t="shared" si="1"/>
        <v>0</v>
      </c>
      <c r="AK16" s="19">
        <f t="shared" si="1"/>
        <v>0</v>
      </c>
      <c r="AL16" s="19">
        <f t="shared" si="1"/>
        <v>0</v>
      </c>
      <c r="AM16" s="19">
        <f t="shared" si="1"/>
        <v>0</v>
      </c>
      <c r="AN16" s="19">
        <f t="shared" si="1"/>
        <v>0</v>
      </c>
      <c r="AO16" s="19">
        <f t="shared" si="1"/>
        <v>0</v>
      </c>
      <c r="AP16" s="19">
        <f t="shared" si="1"/>
        <v>0</v>
      </c>
      <c r="AQ16" s="19">
        <f t="shared" si="1"/>
        <v>0</v>
      </c>
      <c r="AR16" s="19">
        <f t="shared" si="1"/>
        <v>0</v>
      </c>
      <c r="AS16" s="19">
        <f t="shared" si="1"/>
        <v>0</v>
      </c>
      <c r="AT16" s="19">
        <f t="shared" si="1"/>
        <v>0</v>
      </c>
      <c r="AU16" s="19">
        <f t="shared" si="1"/>
        <v>225</v>
      </c>
      <c r="AV16" s="19">
        <f t="shared" si="1"/>
        <v>0</v>
      </c>
      <c r="AW16" s="19">
        <f t="shared" si="1"/>
        <v>0</v>
      </c>
      <c r="AX16" s="19">
        <f t="shared" si="1"/>
        <v>0</v>
      </c>
      <c r="AY16" s="19">
        <f t="shared" si="1"/>
        <v>0</v>
      </c>
      <c r="AZ16" s="19">
        <f t="shared" si="1"/>
        <v>0</v>
      </c>
      <c r="BA16" s="19">
        <f t="shared" si="1"/>
        <v>0</v>
      </c>
      <c r="BB16" s="19">
        <f t="shared" si="1"/>
        <v>1215</v>
      </c>
      <c r="BC16" s="19">
        <f t="shared" si="1"/>
        <v>0</v>
      </c>
      <c r="BD16" s="19">
        <f t="shared" si="1"/>
        <v>0</v>
      </c>
      <c r="BE16" s="19">
        <f t="shared" si="1"/>
        <v>0</v>
      </c>
      <c r="BF16" s="19">
        <f t="shared" si="1"/>
        <v>0</v>
      </c>
    </row>
    <row r="17" spans="1:36">
      <c r="A17" s="74" t="str">
        <f>Constants!E7</f>
        <v>PT-V</v>
      </c>
      <c r="B17" s="16">
        <f>SUMIFS(Skeuvel!$F$59:$F$76,Skeuvel!$B$59:$B$76, B$15,Skeuvel!$H$59:$H$76,$A17)*(1+Constants!$B$9)</f>
        <v>0</v>
      </c>
      <c r="C17" s="16">
        <f>SUMIFS(Skeuvel!$F$59:$F$76,Skeuvel!$B$59:$B$76, C$15,Skeuvel!$H$59:$H$76,$A17)</f>
        <v>0</v>
      </c>
      <c r="D17" s="16">
        <f>SUMIFS(Skeuvel!$F$59:$F$76,Skeuvel!$B$59:$B$76, D$15,Skeuvel!$H$59:$H$76,$A17)*(1+Constants!$B$9)</f>
        <v>0</v>
      </c>
      <c r="E17" s="16">
        <f>SUMIFS(Skeuvel!$F$59:$F$76,Skeuvel!$B$59:$B$76, E$15,Skeuvel!$H$59:$H$76,$A17)*(1+Constants!$B$9)</f>
        <v>0</v>
      </c>
      <c r="F17" s="16">
        <f>SUMIFS(Skeuvel!$F$59:$F$76,Skeuvel!$B$59:$B$76, F$15,Skeuvel!$H$59:$H$76,$A17)</f>
        <v>0</v>
      </c>
      <c r="G17" s="74" t="s">
        <v>38</v>
      </c>
      <c r="H17" s="78">
        <f>SUM(AD16:BZ16)</f>
        <v>1440</v>
      </c>
      <c r="I17" s="76">
        <v>32760</v>
      </c>
      <c r="J17" s="79"/>
      <c r="K17" s="80"/>
      <c r="L17" s="77" t="s">
        <v>63</v>
      </c>
      <c r="M17" s="76">
        <f>J16-K16</f>
        <v>350.84</v>
      </c>
      <c r="N17" s="17"/>
      <c r="O17" s="17"/>
      <c r="P17" s="17"/>
      <c r="Q17" s="17"/>
      <c r="R17" s="16"/>
      <c r="S17" s="17"/>
      <c r="T17" s="17"/>
      <c r="U17" s="17"/>
      <c r="V17" s="17"/>
      <c r="W17" s="17"/>
      <c r="X17" s="17"/>
      <c r="Y17" s="17"/>
      <c r="Z17" s="17"/>
      <c r="AA17" s="17"/>
      <c r="AB17" s="17"/>
      <c r="AC17" s="17"/>
      <c r="AD17" s="17"/>
      <c r="AE17" s="17"/>
    </row>
    <row r="18" spans="1:36">
      <c r="A18" s="74" t="str">
        <f>Constants!E8</f>
        <v>PT-ZZP</v>
      </c>
      <c r="B18" s="16">
        <f>SUMIFS(Skeuvel!$F$59:$F$76,Skeuvel!$B$59:$B$76, B$15,Skeuvel!$H$59:$H$76,$A18)*(1+Constants!$B$7)</f>
        <v>0</v>
      </c>
      <c r="C18" s="16">
        <f>SUMIFS(Skeuvel!$F$59:$F$76,Skeuvel!$B$59:$B$76, C$15,Skeuvel!$H$59:$H$76,$A18)</f>
        <v>0</v>
      </c>
      <c r="D18" s="16">
        <f>SUMIFS(Skeuvel!$F$59:$F$76,Skeuvel!$B$59:$B$76, D$15,Skeuvel!$H$59:$H$76,$A18)*(1+Constants!$B$7)</f>
        <v>0</v>
      </c>
      <c r="E18" s="16">
        <f>SUMIFS(Skeuvel!$F$59:$F$76,Skeuvel!$B$59:$B$76, E$15,Skeuvel!$H$59:$H$76,$A18)*(1+Constants!$B$7)</f>
        <v>0</v>
      </c>
      <c r="F18" s="16">
        <f>SUMIFS(Skeuvel!$F$59:$F$76,Skeuvel!$B$59:$B$76, F$15,Skeuvel!$H$59:$H$76,$A18)*(1+Constants!$B$7)</f>
        <v>0</v>
      </c>
      <c r="G18" s="74"/>
      <c r="H18" s="78"/>
      <c r="I18" s="76"/>
      <c r="J18" s="79"/>
      <c r="K18" s="80"/>
      <c r="L18" s="77" t="s">
        <v>60</v>
      </c>
      <c r="M18" s="76" t="str">
        <f>IF(I17-Constants!I17*$B$7&gt;0,$I$17-Constants!I17*$B$7,"-")</f>
        <v>-</v>
      </c>
      <c r="N18" s="17"/>
      <c r="O18" s="17"/>
      <c r="P18" s="17"/>
      <c r="Q18" s="17"/>
      <c r="R18" s="16"/>
      <c r="S18" s="17"/>
      <c r="T18" s="17"/>
      <c r="U18" s="17"/>
      <c r="V18" s="17"/>
      <c r="W18" s="17"/>
      <c r="X18" s="17"/>
      <c r="Y18" s="17"/>
      <c r="Z18" s="17"/>
      <c r="AA18" s="17"/>
      <c r="AB18" s="17"/>
      <c r="AC18" s="17"/>
      <c r="AD18" s="17"/>
      <c r="AE18" s="17"/>
    </row>
    <row r="19" spans="1:36">
      <c r="A19" s="74" t="str">
        <f>Constants!E9</f>
        <v>RT</v>
      </c>
      <c r="B19" s="16">
        <f>SUMIFS(Skeuvel!$F$59:$F$76,Skeuvel!$B$59:$B$76, B$15,Skeuvel!$H$59:$H$76,$A19)</f>
        <v>0</v>
      </c>
      <c r="C19" s="16">
        <f>SUMIFS(Skeuvel!$F$59:$F$76,Skeuvel!$B$59:$B$76, C$15,Skeuvel!$H$59:$H$76,$A19)</f>
        <v>0</v>
      </c>
      <c r="D19" s="16">
        <f>SUMIFS(Skeuvel!$F$59:$F$76,Skeuvel!$B$59:$B$76, D$15,Skeuvel!$H$59:$H$76,$A19)</f>
        <v>0</v>
      </c>
      <c r="E19" s="16">
        <f>SUMIFS(Skeuvel!$F$59:$F$76,Skeuvel!$B$59:$B$76, E$15,Skeuvel!$H$59:$H$76,$A19)</f>
        <v>607</v>
      </c>
      <c r="F19" s="16">
        <f>SUMIFS(Skeuvel!$F$59:$F$76,Skeuvel!$B$59:$B$76, F$15,Skeuvel!$H$59:$H$76,$A19)</f>
        <v>0</v>
      </c>
      <c r="G19" s="74" t="s">
        <v>396</v>
      </c>
      <c r="H19" s="78"/>
      <c r="I19" s="76">
        <f>IF(B7*Constants!I17&lt;I17,B7*Constants!I17,I17)</f>
        <v>32760</v>
      </c>
      <c r="J19" s="79"/>
      <c r="K19" s="80"/>
      <c r="L19" s="77" t="s">
        <v>431</v>
      </c>
      <c r="M19" s="255">
        <f ca="1">Constants!C31*B7+Data!L28</f>
        <v>10131.255364310508</v>
      </c>
      <c r="N19" s="17"/>
      <c r="O19" s="17"/>
      <c r="P19" s="17"/>
      <c r="Q19" s="17"/>
      <c r="R19" s="16"/>
      <c r="S19" s="17"/>
      <c r="T19" s="17"/>
      <c r="U19" s="17"/>
      <c r="V19" s="17"/>
      <c r="W19" s="17"/>
      <c r="X19" s="17"/>
      <c r="Y19" s="17"/>
      <c r="Z19" s="17"/>
      <c r="AA19" s="17"/>
      <c r="AB19" s="17"/>
      <c r="AC19" s="17"/>
      <c r="AD19" s="17"/>
      <c r="AE19" s="17"/>
    </row>
    <row r="20" spans="1:36">
      <c r="A20" s="74" t="str">
        <f>Constants!E10</f>
        <v>Extern</v>
      </c>
      <c r="B20" s="16">
        <f>SUMIFS(Skeuvel!$F$59:$F$76,Skeuvel!$B$59:$B$76, B$15,Skeuvel!$H$59:$H$76,$A20)</f>
        <v>0</v>
      </c>
      <c r="C20" s="16">
        <f>SUMIFS(Skeuvel!$F$59:$F$76,Skeuvel!$B$59:$B$76, C$15,Skeuvel!$H$59:$H$76,$A20)</f>
        <v>0</v>
      </c>
      <c r="D20" s="16">
        <f>SUMIFS(Skeuvel!$F$59:$F$76,Skeuvel!$B$59:$B$76, D$15,Skeuvel!$H$59:$H$76,$A20)</f>
        <v>0</v>
      </c>
      <c r="E20" s="16">
        <f>SUMIFS(Skeuvel!$F$59:$F$76,Skeuvel!$B$59:$B$76, E$15,Skeuvel!$H$59:$H$76,$A20)</f>
        <v>0</v>
      </c>
      <c r="F20" s="16">
        <f>SUMIFS(Skeuvel!$F$59:$F$76,Skeuvel!$B$59:$B$76, F$15,Skeuvel!$H$59:$H$76,$A20)</f>
        <v>0</v>
      </c>
      <c r="G20" s="81"/>
      <c r="H20" s="16"/>
      <c r="I20" s="75"/>
      <c r="J20" s="79"/>
      <c r="K20" s="82"/>
      <c r="L20" s="83"/>
      <c r="M20" s="84"/>
      <c r="N20" s="17"/>
      <c r="O20" s="17"/>
      <c r="P20" s="17"/>
      <c r="Q20" s="17"/>
      <c r="R20" s="16"/>
      <c r="S20" s="17"/>
      <c r="T20" s="17"/>
      <c r="U20" s="17"/>
      <c r="V20" s="17"/>
      <c r="W20" s="17"/>
      <c r="X20" s="17"/>
      <c r="Y20" s="17"/>
      <c r="Z20" s="17"/>
      <c r="AA20" s="17"/>
      <c r="AB20" s="17"/>
      <c r="AC20" s="17"/>
      <c r="AD20" s="17"/>
      <c r="AE20" s="17"/>
    </row>
    <row r="21" spans="1:36">
      <c r="A21" s="74" t="str">
        <f>CONCATENATE(A18," Costs")</f>
        <v>PT-ZZP Costs</v>
      </c>
      <c r="B21" s="78">
        <f t="array" ref="B21">SUM(IF(Skeuvel!$B$59:$B$76=B$15,IF(Skeuvel!$H$59:$H$76="PT-ZZP",Skeuvel!$F$59:$F$76*Skeuvel!$I$59:$I$76*(1+Constants!$B$7),0),0))</f>
        <v>0</v>
      </c>
      <c r="C21" s="78">
        <f t="array" ref="C21">SUM(IF(Skeuvel!$B$59:$B$76=C$15,IF(Skeuvel!$H$59:$H$76="PT-ZZP",Skeuvel!$F$59:$F$76*Skeuvel!$I$59:$I$76,0),0))</f>
        <v>0</v>
      </c>
      <c r="D21" s="78">
        <f t="array" ref="D21">SUM(IF(Skeuvel!$B$59:$B$76=D$15,IF(Skeuvel!$H$59:$H$76="PT-ZZP",Skeuvel!$F$59:$F$76*Skeuvel!$I$59:$I$76*(1+Constants!$B$7),0),0))</f>
        <v>0</v>
      </c>
      <c r="E21" s="78">
        <f t="array" ref="E21">SUM(IF(Skeuvel!$B$59:$B$76=E$15,IF(Skeuvel!$H$59:$H$76="PT-ZZP",Skeuvel!$F$59:$F$76*Skeuvel!$I$59:$I$76*(1+Constants!$B$7),0),0))</f>
        <v>0</v>
      </c>
      <c r="F21" s="78">
        <f t="array" ref="F21">SUM(IF(Skeuvel!$B$59:$B$76=F$15,IF(Skeuvel!$H$59:$H$76="PT-ZZP",Skeuvel!$F$59:$F$76*Skeuvel!$I$59:$I$76*(1+Constants!$B$7),0),0))</f>
        <v>0</v>
      </c>
      <c r="G21" s="81"/>
      <c r="H21" s="16"/>
      <c r="I21" s="75"/>
      <c r="J21" s="79"/>
      <c r="K21" s="82"/>
      <c r="L21" s="77" t="s">
        <v>5</v>
      </c>
      <c r="M21" s="76">
        <f ca="1">SUM(M15:M20)</f>
        <v>12982.095364310508</v>
      </c>
      <c r="N21" s="17"/>
      <c r="O21" s="17"/>
      <c r="P21" s="17"/>
      <c r="Q21" s="17"/>
      <c r="R21" s="16"/>
      <c r="S21" s="17"/>
      <c r="T21" s="17"/>
      <c r="U21" s="17"/>
      <c r="V21" s="17"/>
      <c r="W21" s="17"/>
      <c r="X21" s="17"/>
      <c r="Y21" s="17"/>
      <c r="Z21" s="17"/>
      <c r="AA21" s="17"/>
      <c r="AB21" s="17"/>
      <c r="AC21" s="17"/>
      <c r="AD21" s="17"/>
      <c r="AE21" s="17"/>
    </row>
    <row r="22" spans="1:36" ht="15.75" customHeight="1" thickBot="1">
      <c r="A22" s="74" t="str">
        <f>CONCATENATE(A20," Costs")</f>
        <v>Extern Costs</v>
      </c>
      <c r="B22" s="78">
        <f t="array" ref="B22">SUM(IF(Skeuvel!$B$59:$B$76=B$15,IF(Skeuvel!$H$59:$H$76="Extern",Skeuvel!$F$59:$F$76*Skeuvel!$I$59:$I$76,0),0))</f>
        <v>0</v>
      </c>
      <c r="C22" s="78">
        <f t="array" ref="C22">SUM(IF(Skeuvel!$B$59:$B$76=C$15,IF(Skeuvel!$H$59:$H$76="Extern",Skeuvel!$F$59:$F$76*Skeuvel!$I$59:$I$76,0),0))</f>
        <v>0</v>
      </c>
      <c r="D22" s="78">
        <f t="array" ref="D22">SUM(IF(Skeuvel!$B$59:$B$76=D$15,IF(Skeuvel!$H$59:$H$76="Extern",Skeuvel!$F$59:$F$76*Skeuvel!$I$59:$I$76,0),0))</f>
        <v>0</v>
      </c>
      <c r="E22" s="78">
        <f t="array" ref="E22">SUM(IF(Skeuvel!$B$59:$B$76=E$15,IF(Skeuvel!$H$59:$H$76="Extern",Skeuvel!$F$59:$F$76*Skeuvel!$I$59:$I$76,0),0))</f>
        <v>0</v>
      </c>
      <c r="F22" s="76">
        <f t="array" ref="F22">SUM(IF(Skeuvel!$B$59:$B$76=F$15,IF(Skeuvel!$H$59:$H$76="Extern",Skeuvel!$F$59:$F$76*Skeuvel!$I$59:$I$76,0),0))</f>
        <v>0</v>
      </c>
      <c r="G22" s="85"/>
      <c r="H22" s="177"/>
      <c r="I22" s="86"/>
      <c r="J22" s="87"/>
      <c r="K22" s="88"/>
      <c r="L22" s="87"/>
      <c r="M22" s="88"/>
      <c r="N22" s="17"/>
      <c r="O22" s="17"/>
      <c r="P22" s="17"/>
      <c r="Q22" s="17"/>
      <c r="R22" s="16"/>
      <c r="S22" s="17"/>
      <c r="T22" s="17"/>
      <c r="U22" s="17"/>
      <c r="V22" s="17"/>
      <c r="W22" s="17"/>
      <c r="X22" s="17"/>
      <c r="Y22" s="17"/>
      <c r="Z22" s="17"/>
      <c r="AA22" s="17"/>
      <c r="AB22" s="17"/>
      <c r="AC22" s="17"/>
      <c r="AD22" s="17"/>
      <c r="AE22" s="17"/>
    </row>
    <row r="23" spans="1:36" ht="15" customHeight="1" thickTop="1">
      <c r="A23" s="74" t="s">
        <v>432</v>
      </c>
      <c r="B23" s="78"/>
      <c r="C23" s="78"/>
      <c r="D23" s="78"/>
      <c r="E23" s="78"/>
      <c r="F23" s="76">
        <f t="array" ref="F23">SUMIFS(Skeuvel!$F$59:$F$76,Skeuvel!$B$59:$B$76,"Mentorship",Skeuvel!$H$59:$H$76,"PT-V")*Constants!B8+SUMIFS(Skeuvel!$F$59:$F$76,Skeuvel!$B$59:$B$76,"Mentorship",Skeuvel!$H$59:$H$76,"PT")*Constants!B6+SUMPRODUCT(IF(Skeuvel!$B$59:$B$76="Mentorship",IF(Skeuvel!$H$59:$H$76="PT-ZZP",Skeuvel!$F$59:$F$76*Skeuvel!$I$59:$I$76,0)))</f>
        <v>8600</v>
      </c>
    </row>
    <row r="24" spans="1:36" ht="15" customHeight="1" thickBot="1">
      <c r="A24" s="89" t="s">
        <v>433</v>
      </c>
      <c r="B24" s="178"/>
      <c r="C24" s="178"/>
      <c r="D24" s="178"/>
      <c r="E24" s="178">
        <f>SUMIF(Skeuvel!$B$59:$B$76,"External Trainer Course",Skeuvel!$I$59:$I$76)</f>
        <v>0</v>
      </c>
      <c r="F24" s="90"/>
    </row>
    <row r="25" spans="1:36" ht="15.75" customHeight="1" thickTop="1">
      <c r="A25" s="16"/>
      <c r="B25" s="16"/>
      <c r="C25" s="16"/>
      <c r="D25" s="16"/>
      <c r="E25" s="17"/>
      <c r="F25" s="17"/>
      <c r="G25" s="17"/>
      <c r="H25" s="17"/>
      <c r="I25" s="17"/>
      <c r="J25" s="17"/>
      <c r="K25" s="17"/>
      <c r="L25" s="17"/>
      <c r="M25" s="17"/>
      <c r="N25" s="17"/>
      <c r="O25" s="17"/>
      <c r="P25" s="17"/>
      <c r="Q25" s="16"/>
      <c r="R25" s="17"/>
      <c r="S25" s="17"/>
      <c r="T25" s="17"/>
      <c r="U25" s="17"/>
      <c r="V25" s="17"/>
      <c r="W25" s="17"/>
      <c r="X25" s="17"/>
      <c r="Y25" s="17"/>
      <c r="Z25" s="17"/>
      <c r="AA25" s="17"/>
      <c r="AB25" s="17"/>
      <c r="AC25" s="17"/>
      <c r="AD25" s="17"/>
    </row>
    <row r="26" spans="1:36" ht="15.75" customHeight="1">
      <c r="A26" s="16"/>
      <c r="B26" s="16"/>
      <c r="C26" s="16"/>
      <c r="D26" s="16"/>
      <c r="E26" s="17"/>
      <c r="F26" s="17"/>
      <c r="G26" s="17"/>
      <c r="H26" s="17"/>
      <c r="I26" s="17"/>
      <c r="J26" s="17"/>
      <c r="K26" s="17"/>
      <c r="L26" s="17"/>
      <c r="M26" s="17"/>
      <c r="N26" s="17"/>
      <c r="O26" s="17"/>
      <c r="P26" s="17"/>
      <c r="Q26" s="16"/>
      <c r="R26" s="17"/>
      <c r="S26" s="17"/>
      <c r="T26" s="17"/>
      <c r="U26" s="17"/>
      <c r="V26" s="17"/>
      <c r="W26" s="17"/>
      <c r="X26" s="17"/>
      <c r="Y26" s="17"/>
      <c r="Z26" s="17"/>
      <c r="AA26" s="17"/>
      <c r="AB26" s="17"/>
      <c r="AC26" s="17"/>
      <c r="AD26" s="17"/>
    </row>
    <row r="27" spans="1:36" ht="15.75" customHeight="1" thickBot="1">
      <c r="A27" s="91" t="s">
        <v>434</v>
      </c>
      <c r="B27" s="17"/>
      <c r="C27" s="17"/>
      <c r="D27" s="17"/>
      <c r="E27" s="17"/>
      <c r="F27" s="17"/>
      <c r="G27" s="92"/>
      <c r="H27" s="19"/>
      <c r="I27" s="17"/>
      <c r="J27" s="17"/>
      <c r="K27" s="17"/>
      <c r="L27" s="17"/>
      <c r="M27" s="17"/>
      <c r="N27" s="17"/>
      <c r="O27" s="17"/>
      <c r="P27" s="17"/>
      <c r="Q27" s="16"/>
      <c r="R27" s="17"/>
      <c r="S27" s="17"/>
      <c r="T27" s="17"/>
      <c r="U27" s="17"/>
      <c r="V27" s="17"/>
      <c r="W27" s="17"/>
      <c r="X27" s="17"/>
      <c r="Y27" s="17"/>
      <c r="Z27" s="17"/>
      <c r="AA27" s="17"/>
      <c r="AB27" s="17"/>
      <c r="AC27" s="17"/>
      <c r="AD27" s="17"/>
    </row>
    <row r="28" spans="1:36" ht="15.75" customHeight="1" thickTop="1" thickBot="1">
      <c r="A28" s="706" t="s">
        <v>435</v>
      </c>
      <c r="B28" s="707"/>
      <c r="C28" s="707"/>
      <c r="D28" s="707"/>
      <c r="E28" s="707"/>
      <c r="F28" s="708"/>
      <c r="G28" s="15"/>
      <c r="H28" s="17"/>
      <c r="I28" s="17"/>
      <c r="J28" s="17"/>
      <c r="K28" s="17"/>
      <c r="L28" s="17"/>
      <c r="M28" s="17"/>
      <c r="N28" s="17"/>
      <c r="O28" s="17"/>
      <c r="P28" s="17"/>
      <c r="Q28" s="16"/>
      <c r="R28" s="17"/>
      <c r="S28" s="17"/>
      <c r="T28" s="17"/>
      <c r="U28" s="17"/>
      <c r="V28" s="17"/>
      <c r="W28" s="17"/>
      <c r="X28" s="17"/>
      <c r="Y28" s="17"/>
      <c r="Z28" s="17"/>
      <c r="AA28" s="17"/>
      <c r="AB28" s="17"/>
      <c r="AC28" s="17"/>
      <c r="AD28" s="242" t="s">
        <v>436</v>
      </c>
      <c r="AE28" s="16"/>
      <c r="AF28" s="128"/>
      <c r="AG28" s="51"/>
      <c r="AH28" s="51"/>
      <c r="AI28" s="51"/>
      <c r="AJ28" s="51"/>
    </row>
    <row r="29" spans="1:36" ht="15.75" customHeight="1" thickBot="1">
      <c r="A29" s="709" t="s">
        <v>437</v>
      </c>
      <c r="B29" s="696"/>
      <c r="C29" s="696"/>
      <c r="D29" s="696"/>
      <c r="E29" s="696"/>
      <c r="F29" s="710"/>
      <c r="G29" s="17"/>
      <c r="H29" s="17"/>
      <c r="I29" s="17"/>
      <c r="J29" s="17"/>
      <c r="K29" s="17"/>
      <c r="L29" s="17"/>
      <c r="M29" s="17"/>
      <c r="N29" s="17"/>
      <c r="O29" s="17"/>
      <c r="P29" s="17"/>
      <c r="Q29" s="16"/>
      <c r="R29" s="17"/>
      <c r="S29" s="17"/>
      <c r="T29" s="17"/>
      <c r="U29" s="17"/>
      <c r="V29" s="17"/>
      <c r="W29" s="17"/>
      <c r="X29" s="17"/>
      <c r="Y29" s="17"/>
      <c r="Z29" s="17"/>
      <c r="AA29" s="17"/>
      <c r="AB29" s="17"/>
      <c r="AC29" s="17"/>
      <c r="AD29" s="243" t="s">
        <v>438</v>
      </c>
      <c r="AE29" s="243" t="s">
        <v>439</v>
      </c>
      <c r="AF29" s="243" t="s">
        <v>440</v>
      </c>
      <c r="AG29" s="711" t="s">
        <v>441</v>
      </c>
      <c r="AH29" s="712"/>
      <c r="AI29" s="711" t="s">
        <v>434</v>
      </c>
      <c r="AJ29" s="712"/>
    </row>
    <row r="30" spans="1:36" ht="15.75" customHeight="1" thickBot="1">
      <c r="A30" s="709" t="s">
        <v>442</v>
      </c>
      <c r="B30" s="696"/>
      <c r="C30" s="696"/>
      <c r="D30" s="696"/>
      <c r="E30" s="696"/>
      <c r="F30" s="710"/>
      <c r="G30" s="17"/>
      <c r="H30" s="17"/>
      <c r="I30" s="17"/>
      <c r="J30" s="17"/>
      <c r="K30" s="17"/>
      <c r="L30" s="17"/>
      <c r="M30" s="17"/>
      <c r="N30" s="17"/>
      <c r="O30" s="17"/>
      <c r="P30" s="17"/>
      <c r="Q30" s="16"/>
      <c r="R30" s="17"/>
      <c r="S30" s="17"/>
      <c r="T30" s="17"/>
      <c r="U30" s="17"/>
      <c r="V30" s="17"/>
      <c r="W30" s="17"/>
      <c r="X30" s="17"/>
      <c r="Y30" s="17"/>
      <c r="Z30" s="17"/>
      <c r="AA30" s="17"/>
      <c r="AB30" s="17"/>
      <c r="AC30" s="17"/>
      <c r="AD30" s="244" t="str">
        <f>IF($B$12="individual",Constants!F55,Constants!L55)</f>
        <v>member count</v>
      </c>
      <c r="AE30" s="244">
        <f>B7</f>
        <v>165</v>
      </c>
      <c r="AF30" s="269">
        <f>IF(AE30&gt;=301,5,IF(AE30&gt;=176,4,IF(AE30&gt;=101,3,IF(AE30&gt;=51,2,1))))</f>
        <v>3</v>
      </c>
      <c r="AG30" s="560"/>
      <c r="AH30" s="560"/>
      <c r="AI30" s="560" t="s">
        <v>443</v>
      </c>
      <c r="AJ30" s="560"/>
    </row>
    <row r="31" spans="1:36" ht="15" customHeight="1" thickBot="1">
      <c r="A31" s="709" t="s">
        <v>444</v>
      </c>
      <c r="B31" s="696"/>
      <c r="C31" s="696"/>
      <c r="D31" s="696"/>
      <c r="E31" s="696"/>
      <c r="F31" s="710"/>
      <c r="G31" s="17"/>
      <c r="H31" s="17"/>
      <c r="I31" s="17"/>
      <c r="J31" s="17"/>
      <c r="K31" s="17"/>
      <c r="L31" s="17"/>
      <c r="M31" s="17"/>
      <c r="N31" s="17"/>
      <c r="O31" s="17"/>
      <c r="P31" s="17"/>
      <c r="Q31" s="16"/>
      <c r="R31" s="17"/>
      <c r="S31" s="17"/>
      <c r="T31" s="17"/>
      <c r="U31" s="17"/>
      <c r="V31" s="17"/>
      <c r="W31" s="17"/>
      <c r="X31" s="17"/>
      <c r="Y31" s="17"/>
      <c r="Z31" s="17"/>
      <c r="AA31" s="17"/>
      <c r="AB31" s="17"/>
      <c r="AC31" s="17"/>
      <c r="AD31" s="244" t="str">
        <f>IF($B$12="individual",Constants!F56,Constants!L56)</f>
        <v>number of trainings per week</v>
      </c>
      <c r="AE31" s="244" cm="1">
        <f t="array" ref="AE31">SUMPRODUCT(C59:C76*D59:D76)/42</f>
        <v>16.571428571428573</v>
      </c>
      <c r="AF31" s="270">
        <f>IF(AE31&gt;=4,3,IF(AE31&gt;=3,2,IF(AE31&gt;=2,1,0)))</f>
        <v>3</v>
      </c>
      <c r="AG31" s="560"/>
      <c r="AH31" s="560"/>
      <c r="AI31" s="560"/>
      <c r="AJ31" s="560"/>
    </row>
    <row r="32" spans="1:36" ht="15.75" customHeight="1" thickBot="1">
      <c r="A32" s="709" t="s">
        <v>445</v>
      </c>
      <c r="B32" s="696"/>
      <c r="C32" s="696"/>
      <c r="D32" s="696"/>
      <c r="E32" s="696"/>
      <c r="F32" s="710"/>
      <c r="G32" s="17"/>
      <c r="H32" s="16"/>
      <c r="I32" s="16"/>
      <c r="J32" s="16"/>
      <c r="K32" s="17"/>
      <c r="L32" s="17"/>
      <c r="M32" s="17"/>
      <c r="N32" s="17"/>
      <c r="O32" s="17"/>
      <c r="P32" s="17"/>
      <c r="Q32" s="16"/>
      <c r="R32" s="17"/>
      <c r="S32" s="17"/>
      <c r="T32" s="17"/>
      <c r="U32" s="17"/>
      <c r="V32" s="17"/>
      <c r="W32" s="17"/>
      <c r="X32" s="17"/>
      <c r="Y32" s="17"/>
      <c r="Z32" s="17"/>
      <c r="AA32" s="17"/>
      <c r="AB32" s="17"/>
      <c r="AC32" s="17"/>
      <c r="AD32" s="244" t="str">
        <f>IF($B$12="individual",Constants!F57,Constants!L57)</f>
        <v>number of trainings weeks per year</v>
      </c>
      <c r="AE32" s="252">
        <f>MAX(C59:C76)</f>
        <v>43</v>
      </c>
      <c r="AF32" s="250">
        <f>IF(AE32&gt;=40,3,IF(AE32&gt;=35,2,1))</f>
        <v>3</v>
      </c>
      <c r="AG32" s="560"/>
      <c r="AH32" s="560"/>
      <c r="AI32" s="560"/>
      <c r="AJ32" s="560"/>
    </row>
    <row r="33" spans="1:58" ht="15.75" customHeight="1" thickBot="1">
      <c r="A33" s="93" t="s">
        <v>446</v>
      </c>
      <c r="F33" s="94"/>
      <c r="G33" s="17"/>
      <c r="H33" s="16"/>
      <c r="I33" s="16"/>
      <c r="J33" s="16"/>
      <c r="K33" s="17"/>
      <c r="L33" s="17"/>
      <c r="M33" s="17"/>
      <c r="N33" s="17"/>
      <c r="O33" s="17"/>
      <c r="P33" s="17"/>
      <c r="Q33" s="16"/>
      <c r="R33" s="17"/>
      <c r="S33" s="17"/>
      <c r="T33" s="17"/>
      <c r="U33" s="17"/>
      <c r="V33" s="17"/>
      <c r="W33" s="17"/>
      <c r="X33" s="17"/>
      <c r="Y33" s="17"/>
      <c r="Z33" s="17"/>
      <c r="AA33" s="17"/>
      <c r="AB33" s="17"/>
      <c r="AC33" s="17"/>
      <c r="AD33" s="244" t="str">
        <f>IF($B$12="individual",Constants!F58,Constants!L58)</f>
        <v>number of training hours by RT / PT-V</v>
      </c>
      <c r="AE33" s="251">
        <f>(SUMIF(H59:H76,"RT",F59:F76)+SUMIF(H59:H76,"PT-V",F59:F76))/SUM(F59:F76)</f>
        <v>0.54586330935251803</v>
      </c>
      <c r="AF33" s="270">
        <f>IF(AE33&gt;0.9,3,IF(AE33&gt;0.6,2,IF(AE33&gt;0.3,1,0)))</f>
        <v>1</v>
      </c>
      <c r="AG33" s="560"/>
      <c r="AH33" s="560"/>
      <c r="AI33" s="560"/>
      <c r="AJ33" s="560"/>
    </row>
    <row r="34" spans="1:58" ht="15.75" customHeight="1" thickBot="1">
      <c r="A34" s="713" t="s">
        <v>447</v>
      </c>
      <c r="B34" s="714"/>
      <c r="C34" s="714"/>
      <c r="D34" s="714"/>
      <c r="E34" s="714"/>
      <c r="F34" s="715"/>
      <c r="G34" s="17"/>
      <c r="H34" s="16"/>
      <c r="I34" s="16"/>
      <c r="J34" s="16"/>
      <c r="K34" s="17"/>
      <c r="L34" s="17"/>
      <c r="M34" s="17"/>
      <c r="N34" s="17"/>
      <c r="O34" s="17"/>
      <c r="P34" s="17"/>
      <c r="Q34" s="16"/>
      <c r="R34" s="17"/>
      <c r="S34" s="17"/>
      <c r="T34" s="17"/>
      <c r="U34" s="17"/>
      <c r="V34" s="17"/>
      <c r="W34" s="17"/>
      <c r="X34" s="17"/>
      <c r="Y34" s="17"/>
      <c r="Z34" s="17"/>
      <c r="AA34" s="17"/>
      <c r="AB34" s="17"/>
      <c r="AC34" s="17"/>
      <c r="AD34" s="244" t="str">
        <f>IF($B$12="individual",Constants!F59,Constants!L59)</f>
        <v>number of training groups / teams</v>
      </c>
      <c r="AE34" s="244">
        <f>B10</f>
        <v>8</v>
      </c>
      <c r="AF34" s="271">
        <f>IF(AE34&gt;9,3,IF(AE34&gt;4,2,IF(AE34&gt;2,1,0)))</f>
        <v>2</v>
      </c>
      <c r="AG34" s="560"/>
      <c r="AH34" s="560"/>
      <c r="AI34" s="560"/>
      <c r="AJ34" s="560"/>
    </row>
    <row r="35" spans="1:58" ht="15.75" customHeight="1" thickTop="1" thickBot="1">
      <c r="A35" s="16"/>
      <c r="G35" s="17"/>
      <c r="H35" s="16"/>
      <c r="I35" s="16"/>
      <c r="J35" s="16"/>
      <c r="K35" s="17"/>
      <c r="L35" s="17"/>
      <c r="M35" s="17"/>
      <c r="N35" s="17"/>
      <c r="O35" s="17"/>
      <c r="P35" s="17"/>
      <c r="Q35" s="16"/>
      <c r="R35" s="17"/>
      <c r="S35" s="17"/>
      <c r="T35" s="17"/>
      <c r="U35" s="17"/>
      <c r="V35" s="17"/>
      <c r="W35" s="17"/>
      <c r="X35" s="17"/>
      <c r="Y35" s="17"/>
      <c r="Z35" s="17"/>
      <c r="AA35" s="17"/>
      <c r="AB35" s="17"/>
      <c r="AC35" s="17"/>
      <c r="AD35" s="244" t="str">
        <f>IF($B$12="individual",Constants!F60,Constants!L60)</f>
        <v>number of competitions organised</v>
      </c>
      <c r="AE35" s="249">
        <v>4</v>
      </c>
      <c r="AF35" s="271">
        <f>IF(AE35&gt;=4,5,IF(AE35&gt;=2,3,IF(AE35&gt;=1,1,0)))</f>
        <v>5</v>
      </c>
      <c r="AG35" s="560"/>
      <c r="AH35" s="560"/>
      <c r="AI35" s="560"/>
      <c r="AJ35" s="560"/>
    </row>
    <row r="36" spans="1:58" ht="15.75" customHeight="1" thickBot="1">
      <c r="A36" s="179" t="s">
        <v>448</v>
      </c>
      <c r="B36" s="16"/>
      <c r="C36" s="16"/>
      <c r="D36" s="16"/>
      <c r="E36" s="16"/>
      <c r="F36" s="16"/>
      <c r="G36" s="16"/>
      <c r="H36" s="16"/>
      <c r="I36" s="16"/>
      <c r="J36" s="16"/>
      <c r="K36" s="16"/>
      <c r="L36" s="16"/>
      <c r="M36" s="16"/>
      <c r="N36" s="16"/>
      <c r="O36" s="16"/>
      <c r="P36" s="16"/>
      <c r="Q36" s="16"/>
      <c r="R36" s="16"/>
      <c r="S36" s="16"/>
      <c r="T36" s="16"/>
      <c r="U36" s="16"/>
      <c r="V36" s="16"/>
      <c r="W36" s="16"/>
      <c r="X36" s="16"/>
      <c r="Y36" s="16"/>
      <c r="Z36" s="16"/>
      <c r="AA36" s="16"/>
      <c r="AB36" s="18"/>
      <c r="AC36" s="16"/>
      <c r="AD36" s="244" t="str">
        <f>IF($B$12="individual",Constants!F61,Constants!L61)</f>
        <v>number of social activities</v>
      </c>
      <c r="AE36" s="249">
        <v>13</v>
      </c>
      <c r="AF36" s="271">
        <f>IF(AE36&gt;=20,2,IF(AE36&gt;=10,1,0))</f>
        <v>1</v>
      </c>
      <c r="AG36" s="560"/>
      <c r="AH36" s="560"/>
      <c r="AI36" s="560"/>
      <c r="AJ36" s="560"/>
    </row>
    <row r="37" spans="1:58" ht="15" customHeight="1" thickTop="1" thickBot="1">
      <c r="A37" s="258" t="s">
        <v>449</v>
      </c>
      <c r="B37" s="259" t="s">
        <v>450</v>
      </c>
      <c r="C37" s="258" t="s">
        <v>451</v>
      </c>
      <c r="D37" s="258" t="s">
        <v>452</v>
      </c>
      <c r="E37" s="258" t="s">
        <v>453</v>
      </c>
      <c r="F37" s="258" t="s">
        <v>454</v>
      </c>
      <c r="G37" s="259" t="s">
        <v>455</v>
      </c>
      <c r="H37" s="561" t="s">
        <v>456</v>
      </c>
      <c r="I37" s="716"/>
      <c r="J37" s="717"/>
      <c r="K37" s="98"/>
      <c r="L37" s="98"/>
      <c r="M37" s="98"/>
      <c r="N37" s="98"/>
      <c r="O37" s="98"/>
      <c r="P37" s="98"/>
      <c r="Q37" s="98"/>
      <c r="R37" s="98"/>
      <c r="S37" s="98"/>
      <c r="T37" s="98"/>
      <c r="U37" s="96"/>
      <c r="V37" s="96"/>
      <c r="W37" s="96"/>
      <c r="X37" s="96"/>
      <c r="Y37" s="99"/>
      <c r="Z37" s="96"/>
      <c r="AA37" s="96"/>
      <c r="AB37" s="100"/>
      <c r="AC37" s="100"/>
      <c r="AD37" s="244" t="str">
        <f>IF($B$12="individual",Constants!F62,Constants!L62)</f>
        <v>number of bar days</v>
      </c>
      <c r="AE37" s="249">
        <v>12</v>
      </c>
      <c r="AF37" s="271">
        <f>IF(AE37&gt;=15,2,IF(AE37&gt;=8,1,0))</f>
        <v>1</v>
      </c>
      <c r="AG37" s="560"/>
      <c r="AH37" s="560"/>
      <c r="AI37" s="560"/>
      <c r="AJ37" s="560"/>
      <c r="AK37" s="100"/>
      <c r="AL37" s="100"/>
      <c r="AM37" s="100"/>
      <c r="AN37" s="100"/>
      <c r="AO37" s="100"/>
      <c r="AP37" s="100"/>
      <c r="AQ37" s="100"/>
      <c r="AR37" s="100"/>
      <c r="AS37" s="100"/>
      <c r="AT37" s="100"/>
      <c r="AU37" s="100"/>
      <c r="AV37" s="100"/>
      <c r="AW37" s="100"/>
      <c r="AX37" s="100"/>
      <c r="AY37" s="100"/>
      <c r="AZ37" s="100"/>
      <c r="BA37" s="100"/>
      <c r="BB37" s="100"/>
      <c r="BC37" s="100"/>
      <c r="BD37" s="100"/>
      <c r="BE37" s="100"/>
      <c r="BF37" s="100"/>
    </row>
    <row r="38" spans="1:58" ht="15" customHeight="1" thickTop="1" thickBot="1">
      <c r="A38" s="441" t="s">
        <v>1631</v>
      </c>
      <c r="B38" s="441" t="s">
        <v>1632</v>
      </c>
      <c r="C38" s="441">
        <v>2</v>
      </c>
      <c r="D38" s="441">
        <v>43</v>
      </c>
      <c r="E38" s="441" t="s">
        <v>55</v>
      </c>
      <c r="F38" s="442" t="s">
        <v>328</v>
      </c>
      <c r="G38" s="441" t="s">
        <v>1633</v>
      </c>
      <c r="H38" s="594"/>
      <c r="I38" s="606"/>
      <c r="J38" s="595"/>
      <c r="K38" s="98"/>
      <c r="L38" s="98"/>
      <c r="M38" s="98"/>
      <c r="N38" s="98"/>
      <c r="O38" s="98"/>
      <c r="P38" s="98"/>
      <c r="Q38" s="98"/>
      <c r="R38" s="98"/>
      <c r="S38" s="98"/>
      <c r="T38" s="98"/>
      <c r="U38" s="96"/>
      <c r="V38" s="96"/>
      <c r="W38" s="96"/>
      <c r="X38" s="96"/>
      <c r="Y38" s="99"/>
      <c r="Z38" s="96"/>
      <c r="AA38" s="96"/>
      <c r="AB38" s="100"/>
      <c r="AC38" s="100"/>
      <c r="AD38" s="244" t="str">
        <f>IF($B$12="individual",Constants!F63,Constants!L63)</f>
        <v>own bar / extra location</v>
      </c>
      <c r="AE38" s="249">
        <v>0</v>
      </c>
      <c r="AF38" s="271">
        <f>IF(AE38&gt;=15,2,IF(AE38&gt;=8,1,0))</f>
        <v>0</v>
      </c>
      <c r="AG38" s="560"/>
      <c r="AH38" s="560"/>
      <c r="AI38" s="560"/>
      <c r="AJ38" s="560"/>
      <c r="AK38" s="100"/>
      <c r="AL38" s="100"/>
      <c r="AM38" s="100"/>
      <c r="AN38" s="100"/>
      <c r="AO38" s="100"/>
      <c r="AP38" s="100"/>
      <c r="AQ38" s="100"/>
      <c r="AR38" s="100"/>
      <c r="AS38" s="100"/>
      <c r="AT38" s="100"/>
      <c r="AU38" s="100"/>
      <c r="AV38" s="100"/>
      <c r="AW38" s="100"/>
      <c r="AX38" s="100"/>
      <c r="AY38" s="100"/>
      <c r="AZ38" s="100"/>
      <c r="BA38" s="100"/>
      <c r="BB38" s="100"/>
      <c r="BC38" s="100"/>
      <c r="BD38" s="100"/>
      <c r="BE38" s="100"/>
      <c r="BF38" s="100"/>
    </row>
    <row r="39" spans="1:58" ht="15" customHeight="1" thickBot="1">
      <c r="A39" s="443" t="s">
        <v>1634</v>
      </c>
      <c r="B39" s="443" t="s">
        <v>1632</v>
      </c>
      <c r="C39" s="443">
        <v>2</v>
      </c>
      <c r="D39" s="443">
        <v>43</v>
      </c>
      <c r="E39" s="443" t="s">
        <v>55</v>
      </c>
      <c r="F39" s="444" t="s">
        <v>328</v>
      </c>
      <c r="G39" s="443" t="s">
        <v>1633</v>
      </c>
      <c r="H39" s="596"/>
      <c r="I39" s="589"/>
      <c r="J39" s="597"/>
      <c r="K39" s="98"/>
      <c r="L39" s="98"/>
      <c r="M39" s="98"/>
      <c r="N39" s="98"/>
      <c r="O39" s="98"/>
      <c r="P39" s="98"/>
      <c r="Q39" s="98"/>
      <c r="R39" s="98"/>
      <c r="S39" s="98"/>
      <c r="T39" s="98"/>
      <c r="U39" s="96"/>
      <c r="V39" s="96"/>
      <c r="W39" s="96"/>
      <c r="X39" s="96"/>
      <c r="Y39" s="99"/>
      <c r="Z39" s="96"/>
      <c r="AA39" s="96"/>
      <c r="AB39" s="100"/>
      <c r="AC39" s="100"/>
      <c r="AD39" s="244" t="str">
        <f>IF($B$12="individual",Constants!F65,Constants!L64)</f>
        <v>number of competitions attended</v>
      </c>
      <c r="AE39" s="249">
        <v>14</v>
      </c>
      <c r="AF39" s="273">
        <f>IF(B12="individual", IF(AE39&gt;10, 5, IF(AE39&gt;6, 3, IF(AE39&gt;2, 1, 0))), IF(AE39&gt;3, 3, IF(AE39&gt;1, 2, 1)))</f>
        <v>5</v>
      </c>
      <c r="AG39" s="560"/>
      <c r="AH39" s="560"/>
      <c r="AI39" s="560"/>
      <c r="AJ39" s="560"/>
      <c r="AK39" s="100"/>
      <c r="AL39" s="100"/>
      <c r="AM39" s="100"/>
      <c r="AN39" s="100"/>
      <c r="AO39" s="100"/>
      <c r="AP39" s="100"/>
      <c r="AQ39" s="100"/>
      <c r="AR39" s="100"/>
      <c r="AS39" s="100"/>
      <c r="AT39" s="100"/>
      <c r="AU39" s="100"/>
      <c r="AV39" s="100"/>
      <c r="AW39" s="100"/>
      <c r="AX39" s="100"/>
      <c r="AY39" s="100"/>
      <c r="AZ39" s="100"/>
      <c r="BA39" s="100"/>
      <c r="BB39" s="100"/>
      <c r="BC39" s="100"/>
      <c r="BD39" s="100"/>
      <c r="BE39" s="100"/>
      <c r="BF39" s="100"/>
    </row>
    <row r="40" spans="1:58" ht="15" customHeight="1" thickBot="1">
      <c r="A40" s="441" t="s">
        <v>1635</v>
      </c>
      <c r="B40" s="441" t="s">
        <v>1632</v>
      </c>
      <c r="C40" s="441">
        <v>2</v>
      </c>
      <c r="D40" s="441">
        <v>43</v>
      </c>
      <c r="E40" s="441" t="s">
        <v>55</v>
      </c>
      <c r="F40" s="442" t="s">
        <v>328</v>
      </c>
      <c r="G40" s="441" t="s">
        <v>1633</v>
      </c>
      <c r="H40" s="596"/>
      <c r="I40" s="589"/>
      <c r="J40" s="597"/>
      <c r="K40" s="98"/>
      <c r="L40" s="98"/>
      <c r="M40" s="98"/>
      <c r="N40" s="98"/>
      <c r="O40" s="98"/>
      <c r="P40" s="98"/>
      <c r="Q40" s="98"/>
      <c r="R40" s="98"/>
      <c r="S40" s="98"/>
      <c r="T40" s="98"/>
      <c r="U40" s="96"/>
      <c r="V40" s="96"/>
      <c r="W40" s="96"/>
      <c r="X40" s="96"/>
      <c r="Y40" s="99"/>
      <c r="Z40" s="96"/>
      <c r="AA40" s="96"/>
      <c r="AB40" s="100"/>
      <c r="AC40" s="100"/>
      <c r="AD40" s="231" t="str">
        <f>IF($B$12="individual",Constants!F64,Constants!L65)</f>
        <v>n/a</v>
      </c>
      <c r="AE40" s="248" t="str">
        <f>IF(AD40="n/a","",COUNTA(A50:A54)/COUNTA(A38:A46))</f>
        <v/>
      </c>
      <c r="AF40" s="272" t="str">
        <f>IF(B12="group", IF(AE40&gt;0.15, 5, IF(AE40&gt;0.1, 3, IF(AE40&gt;0.05, 1, 0))), " ")</f>
        <v xml:space="preserve"> </v>
      </c>
      <c r="AG40" s="560"/>
      <c r="AH40" s="560"/>
      <c r="AI40" s="560"/>
      <c r="AJ40" s="560"/>
      <c r="AK40" s="100"/>
      <c r="AL40" s="100"/>
      <c r="AM40" s="100"/>
      <c r="AN40" s="100"/>
      <c r="AO40" s="100"/>
      <c r="AP40" s="100"/>
      <c r="AQ40" s="100"/>
      <c r="AR40" s="100"/>
      <c r="AS40" s="100"/>
      <c r="AT40" s="100"/>
      <c r="AU40" s="100"/>
      <c r="AV40" s="100"/>
      <c r="AW40" s="100"/>
      <c r="AX40" s="100"/>
      <c r="AY40" s="100"/>
      <c r="AZ40" s="100"/>
      <c r="BA40" s="100"/>
      <c r="BB40" s="100"/>
      <c r="BC40" s="100"/>
      <c r="BD40" s="100"/>
      <c r="BE40" s="100"/>
      <c r="BF40" s="100"/>
    </row>
    <row r="41" spans="1:58" ht="15" customHeight="1" thickBot="1">
      <c r="A41" s="443" t="s">
        <v>1636</v>
      </c>
      <c r="B41" s="443" t="s">
        <v>1632</v>
      </c>
      <c r="C41" s="443">
        <v>2</v>
      </c>
      <c r="D41" s="443">
        <v>43</v>
      </c>
      <c r="E41" s="443" t="s">
        <v>55</v>
      </c>
      <c r="F41" s="444" t="s">
        <v>328</v>
      </c>
      <c r="G41" s="443" t="s">
        <v>1633</v>
      </c>
      <c r="H41" s="596"/>
      <c r="I41" s="589"/>
      <c r="J41" s="597"/>
      <c r="K41" s="98"/>
      <c r="L41" s="98"/>
      <c r="M41" s="98"/>
      <c r="N41" s="98"/>
      <c r="O41" s="98"/>
      <c r="P41" s="98"/>
      <c r="Q41" s="98"/>
      <c r="R41" s="98"/>
      <c r="S41" s="98"/>
      <c r="T41" s="98"/>
      <c r="U41" s="96"/>
      <c r="V41" s="96"/>
      <c r="W41" s="96"/>
      <c r="X41" s="96"/>
      <c r="Y41" s="99"/>
      <c r="Z41" s="96"/>
      <c r="AA41" s="96"/>
      <c r="AB41" s="100"/>
      <c r="AC41" s="100"/>
      <c r="AD41" s="16"/>
      <c r="AE41" s="275" t="s">
        <v>461</v>
      </c>
      <c r="AF41" s="277">
        <f>SUM(AF30:AF40)</f>
        <v>24</v>
      </c>
      <c r="AG41" s="247"/>
      <c r="AH41" s="245"/>
      <c r="AI41" s="246"/>
      <c r="AJ41" s="247"/>
      <c r="AK41" s="100"/>
      <c r="AL41" s="100"/>
      <c r="AM41" s="100"/>
      <c r="AN41" s="100"/>
      <c r="AO41" s="100"/>
      <c r="AP41" s="100"/>
      <c r="AQ41" s="100"/>
      <c r="AR41" s="100"/>
      <c r="AS41" s="100"/>
      <c r="AT41" s="100"/>
      <c r="AU41" s="100"/>
      <c r="AV41" s="100"/>
      <c r="AW41" s="100"/>
      <c r="AX41" s="100"/>
      <c r="AY41" s="100"/>
      <c r="AZ41" s="100"/>
      <c r="BA41" s="100"/>
      <c r="BB41" s="100"/>
      <c r="BC41" s="100"/>
      <c r="BD41" s="100"/>
      <c r="BE41" s="100"/>
      <c r="BF41" s="100"/>
    </row>
    <row r="42" spans="1:58" ht="14.25" customHeight="1">
      <c r="A42" s="441" t="s">
        <v>1637</v>
      </c>
      <c r="B42" s="441" t="s">
        <v>1632</v>
      </c>
      <c r="C42" s="441">
        <v>2</v>
      </c>
      <c r="D42" s="441">
        <v>43</v>
      </c>
      <c r="E42" s="441" t="s">
        <v>55</v>
      </c>
      <c r="F42" s="442" t="s">
        <v>328</v>
      </c>
      <c r="G42" s="441" t="s">
        <v>1633</v>
      </c>
      <c r="H42" s="596"/>
      <c r="I42" s="589"/>
      <c r="J42" s="597"/>
      <c r="K42" s="16"/>
      <c r="L42" s="16"/>
      <c r="M42" s="16"/>
      <c r="N42" s="16"/>
      <c r="O42" s="16"/>
      <c r="P42" s="16"/>
      <c r="Q42" s="16"/>
      <c r="R42" s="16"/>
      <c r="S42" s="16"/>
      <c r="T42" s="16"/>
      <c r="U42" s="16"/>
      <c r="V42" s="16"/>
      <c r="W42" s="16"/>
      <c r="X42" s="16"/>
      <c r="Y42" s="17"/>
      <c r="Z42" s="16"/>
      <c r="AA42" s="16"/>
    </row>
    <row r="43" spans="1:58" ht="14.25" customHeight="1">
      <c r="A43" s="443" t="s">
        <v>1638</v>
      </c>
      <c r="B43" s="443" t="s">
        <v>1632</v>
      </c>
      <c r="C43" s="443">
        <v>2</v>
      </c>
      <c r="D43" s="443">
        <v>43</v>
      </c>
      <c r="E43" s="443" t="s">
        <v>55</v>
      </c>
      <c r="F43" s="444" t="s">
        <v>328</v>
      </c>
      <c r="G43" s="443" t="s">
        <v>1633</v>
      </c>
      <c r="H43" s="596"/>
      <c r="I43" s="589"/>
      <c r="J43" s="597"/>
      <c r="K43" s="16"/>
      <c r="L43" s="16"/>
      <c r="M43" s="16"/>
      <c r="N43" s="16"/>
      <c r="O43" s="16"/>
      <c r="P43" s="16"/>
      <c r="Q43" s="16"/>
      <c r="R43" s="16"/>
      <c r="S43" s="16"/>
      <c r="T43" s="16"/>
      <c r="U43" s="16"/>
      <c r="V43" s="16"/>
      <c r="W43" s="16"/>
      <c r="X43" s="16"/>
      <c r="Y43" s="17"/>
      <c r="Z43" s="16"/>
      <c r="AA43" s="16"/>
    </row>
    <row r="44" spans="1:58" ht="15.75" customHeight="1">
      <c r="A44" s="441" t="s">
        <v>1639</v>
      </c>
      <c r="B44" s="441" t="s">
        <v>1632</v>
      </c>
      <c r="C44" s="441">
        <v>2</v>
      </c>
      <c r="D44" s="441">
        <v>43</v>
      </c>
      <c r="E44" s="445" t="s">
        <v>55</v>
      </c>
      <c r="F44" s="442" t="s">
        <v>328</v>
      </c>
      <c r="G44" s="441" t="s">
        <v>1633</v>
      </c>
      <c r="H44" s="596"/>
      <c r="I44" s="589"/>
      <c r="J44" s="597"/>
      <c r="K44" s="16"/>
      <c r="L44" s="16"/>
      <c r="M44" s="16"/>
      <c r="N44" s="16"/>
      <c r="O44" s="16"/>
      <c r="P44" s="16"/>
      <c r="Q44" s="16"/>
      <c r="R44" s="16"/>
      <c r="S44" s="16"/>
      <c r="T44" s="16"/>
      <c r="U44" s="16"/>
      <c r="V44" s="16"/>
      <c r="W44" s="16"/>
      <c r="X44" s="16"/>
      <c r="Y44" s="16"/>
      <c r="Z44" s="16"/>
      <c r="AA44" s="16"/>
    </row>
    <row r="45" spans="1:58" ht="15.75" customHeight="1">
      <c r="A45" s="443" t="s">
        <v>1640</v>
      </c>
      <c r="B45" s="443" t="s">
        <v>1641</v>
      </c>
      <c r="C45" s="443">
        <v>3</v>
      </c>
      <c r="D45" s="443">
        <v>43</v>
      </c>
      <c r="E45" s="446" t="s">
        <v>57</v>
      </c>
      <c r="F45" s="444" t="s">
        <v>1642</v>
      </c>
      <c r="G45" s="443"/>
      <c r="H45" s="596"/>
      <c r="I45" s="589"/>
      <c r="J45" s="597"/>
      <c r="K45" s="16"/>
      <c r="L45" s="16"/>
      <c r="M45" s="16"/>
      <c r="N45" s="16"/>
      <c r="O45" s="16"/>
      <c r="P45" s="16"/>
      <c r="Q45" s="16"/>
      <c r="R45" s="16"/>
      <c r="S45" s="16"/>
      <c r="T45" s="16"/>
      <c r="U45" s="16"/>
      <c r="V45" s="16"/>
      <c r="W45" s="16"/>
      <c r="X45" s="16"/>
      <c r="Y45" s="16"/>
      <c r="Z45" s="16"/>
      <c r="AA45" s="16"/>
    </row>
    <row r="46" spans="1:58" ht="15.75" customHeight="1" thickBot="1">
      <c r="A46" s="231"/>
      <c r="B46" s="326"/>
      <c r="C46" s="245"/>
      <c r="D46" s="232"/>
      <c r="E46" s="261"/>
      <c r="F46" s="261"/>
      <c r="G46" s="231"/>
      <c r="H46" s="598"/>
      <c r="I46" s="607"/>
      <c r="J46" s="599"/>
      <c r="K46" s="16"/>
      <c r="L46" s="16"/>
      <c r="M46" s="16"/>
      <c r="N46" s="16"/>
      <c r="O46" s="16"/>
      <c r="P46" s="16"/>
      <c r="Q46" s="16"/>
      <c r="R46" s="16"/>
      <c r="S46" s="16"/>
      <c r="T46" s="16"/>
      <c r="U46" s="16"/>
      <c r="V46" s="16"/>
      <c r="W46" s="16"/>
      <c r="X46" s="16"/>
      <c r="Y46" s="16"/>
      <c r="Z46" s="16"/>
      <c r="AA46" s="16"/>
    </row>
    <row r="47" spans="1:58" ht="15.75" customHeight="1" thickTop="1">
      <c r="A47" s="18"/>
      <c r="B47" s="18"/>
      <c r="C47" s="18"/>
      <c r="D47" s="18"/>
      <c r="E47" s="18"/>
      <c r="F47" s="18"/>
      <c r="G47" s="17"/>
      <c r="H47" s="17"/>
      <c r="I47" s="17"/>
      <c r="J47" s="17"/>
      <c r="K47" s="17"/>
      <c r="L47" s="17"/>
      <c r="M47" s="17"/>
      <c r="N47" s="17"/>
      <c r="O47" s="17"/>
      <c r="P47" s="17"/>
      <c r="Q47" s="16"/>
      <c r="R47" s="17"/>
      <c r="S47" s="17"/>
      <c r="T47" s="17"/>
      <c r="U47" s="17"/>
      <c r="V47" s="17"/>
      <c r="W47" s="17"/>
      <c r="X47" s="17"/>
      <c r="Y47" s="17"/>
      <c r="Z47" s="17"/>
      <c r="AA47" s="17"/>
      <c r="AB47" s="17"/>
      <c r="AC47" s="17"/>
      <c r="AD47" s="17"/>
    </row>
    <row r="48" spans="1:58" ht="15.75" customHeight="1" thickBot="1">
      <c r="A48" s="179" t="s">
        <v>462</v>
      </c>
      <c r="B48" s="169"/>
      <c r="C48" s="16"/>
      <c r="D48" s="16"/>
      <c r="E48" s="16"/>
      <c r="F48" s="16"/>
      <c r="G48" s="16"/>
      <c r="H48" s="16"/>
      <c r="I48" s="16"/>
      <c r="J48" s="16"/>
      <c r="K48" s="16"/>
      <c r="L48" s="16"/>
      <c r="M48" s="16"/>
      <c r="N48" s="16"/>
      <c r="O48" s="16"/>
      <c r="P48" s="16"/>
      <c r="Q48" s="16"/>
      <c r="R48" s="16"/>
      <c r="S48" s="16"/>
      <c r="T48" s="16"/>
      <c r="U48" s="16"/>
      <c r="V48" s="16"/>
      <c r="W48" s="16"/>
      <c r="X48" s="16"/>
      <c r="Y48" s="16"/>
      <c r="Z48" s="16"/>
      <c r="AA48" s="16"/>
      <c r="AB48" s="18"/>
      <c r="AC48" s="16"/>
      <c r="AD48" s="16"/>
    </row>
    <row r="49" spans="1:58" ht="15" customHeight="1" thickTop="1" thickBot="1">
      <c r="A49" s="258" t="s">
        <v>449</v>
      </c>
      <c r="B49" s="259" t="s">
        <v>450</v>
      </c>
      <c r="C49" s="258" t="s">
        <v>463</v>
      </c>
      <c r="D49" s="258" t="s">
        <v>464</v>
      </c>
      <c r="E49" s="258" t="s">
        <v>465</v>
      </c>
      <c r="F49" s="258" t="s">
        <v>466</v>
      </c>
      <c r="G49" s="258" t="s">
        <v>467</v>
      </c>
      <c r="H49" s="259" t="s">
        <v>455</v>
      </c>
      <c r="I49" s="561" t="s">
        <v>456</v>
      </c>
      <c r="J49" s="716"/>
      <c r="K49" s="717"/>
      <c r="L49" s="98"/>
      <c r="M49" s="98"/>
      <c r="N49" s="98"/>
      <c r="O49" s="98"/>
      <c r="P49" s="98"/>
      <c r="Q49" s="98"/>
      <c r="R49" s="98"/>
      <c r="S49" s="98"/>
      <c r="T49" s="98"/>
      <c r="U49" s="98"/>
      <c r="V49" s="96"/>
      <c r="W49" s="96"/>
      <c r="X49" s="96"/>
      <c r="Y49" s="96"/>
      <c r="Z49" s="99"/>
      <c r="AA49" s="96"/>
      <c r="AB49" s="96"/>
      <c r="AC49" s="100"/>
      <c r="AD49" s="100"/>
      <c r="AE49" s="100"/>
      <c r="AF49" s="100"/>
      <c r="AG49" s="100"/>
      <c r="AH49" s="100"/>
      <c r="AI49" s="100"/>
      <c r="AJ49" s="100"/>
      <c r="AK49" s="100"/>
      <c r="AL49" s="100"/>
      <c r="AM49" s="100"/>
      <c r="AN49" s="100"/>
      <c r="AO49" s="100"/>
      <c r="AP49" s="100"/>
      <c r="AQ49" s="100"/>
      <c r="AR49" s="100"/>
      <c r="AS49" s="100"/>
      <c r="AT49" s="100"/>
      <c r="AU49" s="100"/>
      <c r="AV49" s="100"/>
      <c r="AW49" s="100"/>
      <c r="AX49" s="100"/>
      <c r="AY49" s="100"/>
      <c r="AZ49" s="100"/>
      <c r="BA49" s="100"/>
      <c r="BB49" s="100"/>
      <c r="BC49" s="100"/>
      <c r="BD49" s="100"/>
      <c r="BE49" s="100"/>
      <c r="BF49" s="100"/>
    </row>
    <row r="50" spans="1:58" ht="14.25" customHeight="1" thickTop="1">
      <c r="A50" s="441" t="s">
        <v>1640</v>
      </c>
      <c r="B50" s="441">
        <v>30</v>
      </c>
      <c r="C50" s="441" t="s">
        <v>1643</v>
      </c>
      <c r="D50" s="441" t="s">
        <v>57</v>
      </c>
      <c r="E50" s="441">
        <v>3</v>
      </c>
      <c r="F50" s="441">
        <f>6*0.5</f>
        <v>3</v>
      </c>
      <c r="G50" s="441" t="s">
        <v>419</v>
      </c>
      <c r="H50" s="441" t="s">
        <v>1644</v>
      </c>
      <c r="I50" s="618" t="s">
        <v>1645</v>
      </c>
      <c r="J50" s="741"/>
      <c r="K50" s="742"/>
      <c r="L50" s="16"/>
      <c r="M50" s="16"/>
      <c r="N50" s="16"/>
      <c r="O50" s="16"/>
      <c r="P50" s="16"/>
      <c r="Q50" s="16"/>
      <c r="R50" s="16"/>
      <c r="S50" s="16"/>
      <c r="T50" s="16"/>
      <c r="U50" s="16"/>
      <c r="V50" s="16"/>
      <c r="W50" s="16"/>
      <c r="X50" s="16"/>
      <c r="Y50" s="16"/>
      <c r="Z50" s="17"/>
      <c r="AA50" s="16"/>
      <c r="AB50" s="16"/>
    </row>
    <row r="51" spans="1:58" ht="14.25" customHeight="1">
      <c r="A51" s="443" t="s">
        <v>1640</v>
      </c>
      <c r="B51" s="443">
        <v>30</v>
      </c>
      <c r="C51" s="443" t="s">
        <v>1643</v>
      </c>
      <c r="D51" s="443" t="s">
        <v>57</v>
      </c>
      <c r="E51" s="443">
        <v>1</v>
      </c>
      <c r="F51" s="443">
        <f>2*0.5</f>
        <v>1</v>
      </c>
      <c r="G51" s="443" t="s">
        <v>471</v>
      </c>
      <c r="H51" s="443" t="s">
        <v>1646</v>
      </c>
      <c r="I51" s="743"/>
      <c r="J51" s="744"/>
      <c r="K51" s="745"/>
      <c r="L51" s="16"/>
      <c r="M51" s="16"/>
      <c r="N51" s="16"/>
      <c r="O51" s="16"/>
      <c r="P51" s="16"/>
      <c r="Q51" s="16"/>
      <c r="R51" s="16"/>
      <c r="S51" s="16"/>
      <c r="T51" s="16"/>
      <c r="U51" s="16"/>
      <c r="V51" s="16"/>
      <c r="W51" s="16"/>
      <c r="X51" s="16"/>
      <c r="Y51" s="16"/>
      <c r="Z51" s="17"/>
      <c r="AA51" s="16"/>
      <c r="AB51" s="16"/>
    </row>
    <row r="52" spans="1:58" ht="15.75" customHeight="1">
      <c r="A52" s="441" t="s">
        <v>1640</v>
      </c>
      <c r="B52" s="441">
        <v>30</v>
      </c>
      <c r="C52" s="441" t="s">
        <v>1643</v>
      </c>
      <c r="D52" s="441" t="s">
        <v>57</v>
      </c>
      <c r="E52" s="441">
        <v>1</v>
      </c>
      <c r="F52" s="441">
        <v>1</v>
      </c>
      <c r="G52" s="441" t="s">
        <v>471</v>
      </c>
      <c r="H52" s="441" t="s">
        <v>1647</v>
      </c>
      <c r="I52" s="743"/>
      <c r="J52" s="744"/>
      <c r="K52" s="745"/>
      <c r="L52" s="16"/>
      <c r="M52" s="16"/>
      <c r="N52" s="16"/>
      <c r="O52" s="16"/>
      <c r="P52" s="16"/>
      <c r="Q52" s="16"/>
      <c r="R52" s="16"/>
      <c r="S52" s="16"/>
      <c r="T52" s="16"/>
      <c r="U52" s="16"/>
      <c r="V52" s="16"/>
      <c r="W52" s="16"/>
      <c r="X52" s="16"/>
      <c r="Y52" s="16"/>
      <c r="Z52" s="16"/>
      <c r="AA52" s="16"/>
      <c r="AB52" s="16"/>
    </row>
    <row r="53" spans="1:58" ht="15.75" customHeight="1">
      <c r="A53" s="443" t="s">
        <v>1640</v>
      </c>
      <c r="B53" s="443">
        <v>30</v>
      </c>
      <c r="C53" s="443" t="s">
        <v>1643</v>
      </c>
      <c r="D53" s="443" t="s">
        <v>57</v>
      </c>
      <c r="E53" s="443">
        <v>1</v>
      </c>
      <c r="F53" s="443">
        <f>2*0.5</f>
        <v>1</v>
      </c>
      <c r="G53" s="443" t="s">
        <v>471</v>
      </c>
      <c r="H53" s="443" t="s">
        <v>1648</v>
      </c>
      <c r="I53" s="743"/>
      <c r="J53" s="744"/>
      <c r="K53" s="745"/>
      <c r="L53" s="16"/>
      <c r="M53" s="16"/>
      <c r="N53" s="16"/>
      <c r="O53" s="16"/>
      <c r="P53" s="16"/>
      <c r="Q53" s="16"/>
      <c r="R53" s="16"/>
      <c r="S53" s="16"/>
      <c r="T53" s="16"/>
      <c r="U53" s="16"/>
      <c r="V53" s="16"/>
      <c r="W53" s="16"/>
      <c r="X53" s="16"/>
      <c r="Y53" s="16"/>
      <c r="Z53" s="16"/>
      <c r="AA53" s="16"/>
      <c r="AB53" s="16"/>
    </row>
    <row r="54" spans="1:58" ht="15.75" customHeight="1" thickBot="1">
      <c r="A54" s="231"/>
      <c r="B54" s="326"/>
      <c r="C54" s="245"/>
      <c r="D54" s="245"/>
      <c r="E54" s="261"/>
      <c r="F54" s="261"/>
      <c r="G54" s="263"/>
      <c r="H54" s="231"/>
      <c r="I54" s="746"/>
      <c r="J54" s="747"/>
      <c r="K54" s="748"/>
      <c r="L54" s="16"/>
      <c r="M54" s="16"/>
      <c r="N54" s="16"/>
      <c r="O54" s="16"/>
      <c r="P54" s="16"/>
      <c r="Q54" s="16"/>
      <c r="R54" s="16"/>
      <c r="S54" s="16"/>
      <c r="T54" s="16"/>
      <c r="U54" s="16"/>
      <c r="V54" s="16"/>
      <c r="W54" s="16"/>
      <c r="X54" s="16"/>
      <c r="Y54" s="16"/>
      <c r="Z54" s="16"/>
      <c r="AA54" s="16"/>
      <c r="AB54" s="16"/>
    </row>
    <row r="55" spans="1:58" ht="15.75" customHeight="1" thickTop="1">
      <c r="A55" s="15"/>
      <c r="B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c r="AD55" s="16"/>
    </row>
    <row r="56" spans="1:58" ht="15.75" customHeight="1">
      <c r="A56" s="15"/>
      <c r="B56" s="16"/>
      <c r="C56" s="16"/>
      <c r="D56" s="16"/>
      <c r="E56" s="16"/>
      <c r="F56" s="16"/>
      <c r="G56" s="16"/>
      <c r="H56" s="16"/>
      <c r="I56" s="16"/>
      <c r="J56" s="16"/>
      <c r="K56" s="16"/>
      <c r="L56" s="16"/>
      <c r="M56" s="16"/>
      <c r="N56" s="16"/>
      <c r="O56" s="16"/>
      <c r="P56" s="16"/>
      <c r="Q56" s="16"/>
      <c r="W56" s="16"/>
      <c r="X56" s="16"/>
      <c r="Y56" s="16"/>
      <c r="Z56" s="16"/>
      <c r="AA56" s="16"/>
      <c r="AB56" s="16"/>
      <c r="AC56" s="16"/>
      <c r="AD56" s="16"/>
    </row>
    <row r="57" spans="1:58" ht="15.75" customHeight="1" thickBot="1">
      <c r="A57" s="186" t="s">
        <v>475</v>
      </c>
      <c r="B57" s="231"/>
      <c r="C57" s="231"/>
      <c r="D57" s="231"/>
      <c r="E57" s="231"/>
      <c r="F57" s="231"/>
      <c r="G57" s="231"/>
      <c r="H57" s="231"/>
      <c r="I57" s="231"/>
      <c r="J57" s="231"/>
      <c r="K57" s="16"/>
      <c r="L57" s="16"/>
      <c r="M57" s="16"/>
      <c r="N57" s="16"/>
      <c r="O57" s="16"/>
      <c r="P57" s="16"/>
      <c r="Q57" s="16"/>
      <c r="W57" s="16"/>
      <c r="X57" s="16"/>
      <c r="Y57" s="16"/>
      <c r="Z57" s="16"/>
      <c r="AA57" s="16"/>
      <c r="AB57" s="16"/>
      <c r="AC57" s="16"/>
      <c r="AD57" s="16"/>
    </row>
    <row r="58" spans="1:58" ht="15.75" customHeight="1" thickTop="1" thickBot="1">
      <c r="A58" s="230" t="s">
        <v>476</v>
      </c>
      <c r="B58" s="230" t="s">
        <v>477</v>
      </c>
      <c r="C58" s="230" t="s">
        <v>478</v>
      </c>
      <c r="D58" s="230" t="s">
        <v>479</v>
      </c>
      <c r="E58" s="230" t="s">
        <v>480</v>
      </c>
      <c r="F58" s="230" t="s">
        <v>481</v>
      </c>
      <c r="G58" s="230" t="s">
        <v>482</v>
      </c>
      <c r="H58" s="230" t="s">
        <v>453</v>
      </c>
      <c r="I58" s="230" t="s">
        <v>483</v>
      </c>
      <c r="J58" s="230" t="s">
        <v>484</v>
      </c>
      <c r="K58" s="721" t="s">
        <v>485</v>
      </c>
      <c r="L58" s="716"/>
      <c r="M58" s="722"/>
      <c r="N58" s="15"/>
      <c r="O58" s="16"/>
      <c r="P58" s="16"/>
      <c r="Q58" s="16"/>
      <c r="W58" s="16"/>
      <c r="X58" s="16"/>
      <c r="Y58" s="16"/>
      <c r="Z58" s="16"/>
      <c r="AA58" s="16"/>
      <c r="AB58" s="16"/>
    </row>
    <row r="59" spans="1:58" ht="15" customHeight="1" thickTop="1">
      <c r="A59" s="442" t="s">
        <v>1640</v>
      </c>
      <c r="B59" s="442" t="s">
        <v>278</v>
      </c>
      <c r="C59" s="442">
        <v>25</v>
      </c>
      <c r="D59" s="442">
        <v>3</v>
      </c>
      <c r="E59" s="442">
        <v>6</v>
      </c>
      <c r="F59" s="231">
        <f>Table_4168284[[#This Row],['# Weeks]]*Table_4168284[[#This Row],[Total hours/week]]</f>
        <v>150</v>
      </c>
      <c r="G59" s="442" t="s">
        <v>1643</v>
      </c>
      <c r="H59" s="442" t="s">
        <v>57</v>
      </c>
      <c r="I59" s="447" t="s">
        <v>328</v>
      </c>
      <c r="J59" s="441" t="s">
        <v>1649</v>
      </c>
      <c r="K59" s="564" t="s">
        <v>1650</v>
      </c>
      <c r="L59" s="741"/>
      <c r="M59" s="742"/>
      <c r="N59" s="16"/>
      <c r="O59" s="16"/>
      <c r="P59" s="16"/>
      <c r="Q59" s="16"/>
      <c r="W59" s="16"/>
      <c r="X59" s="16"/>
      <c r="Y59" s="16"/>
      <c r="Z59" s="16"/>
      <c r="AA59" s="16"/>
      <c r="AB59" s="16"/>
    </row>
    <row r="60" spans="1:58" ht="15" customHeight="1">
      <c r="A60" s="443" t="s">
        <v>1640</v>
      </c>
      <c r="B60" s="444" t="s">
        <v>278</v>
      </c>
      <c r="C60" s="444">
        <v>18</v>
      </c>
      <c r="D60" s="444">
        <v>3</v>
      </c>
      <c r="E60" s="444">
        <v>6</v>
      </c>
      <c r="F60" s="231">
        <f>Table_4168284[[#This Row],['# Weeks]]*Table_4168284[[#This Row],[Total hours/week]]</f>
        <v>108</v>
      </c>
      <c r="G60" s="444" t="s">
        <v>1643</v>
      </c>
      <c r="H60" s="444" t="s">
        <v>57</v>
      </c>
      <c r="I60" s="448" t="s">
        <v>328</v>
      </c>
      <c r="J60" s="443" t="s">
        <v>1651</v>
      </c>
      <c r="K60" s="566"/>
      <c r="L60" s="744"/>
      <c r="M60" s="745"/>
      <c r="N60" s="16"/>
      <c r="O60" s="16"/>
      <c r="P60" s="16"/>
      <c r="Q60" s="16"/>
      <c r="W60" s="16"/>
      <c r="X60" s="16"/>
      <c r="Y60" s="16"/>
      <c r="Z60" s="16"/>
      <c r="AA60" s="16"/>
      <c r="AB60" s="16"/>
    </row>
    <row r="61" spans="1:58" ht="15" customHeight="1">
      <c r="A61" s="442" t="s">
        <v>1640</v>
      </c>
      <c r="B61" s="442" t="s">
        <v>282</v>
      </c>
      <c r="C61" s="442">
        <v>25</v>
      </c>
      <c r="D61" s="442">
        <v>1</v>
      </c>
      <c r="E61" s="442">
        <v>3</v>
      </c>
      <c r="F61" s="231">
        <f>Table_4168284[[#This Row],['# Weeks]]*Table_4168284[[#This Row],[Total hours/week]]</f>
        <v>75</v>
      </c>
      <c r="G61" s="442" t="s">
        <v>1643</v>
      </c>
      <c r="H61" s="442" t="s">
        <v>57</v>
      </c>
      <c r="I61" s="447" t="s">
        <v>328</v>
      </c>
      <c r="J61" s="441" t="s">
        <v>1649</v>
      </c>
      <c r="K61" s="566"/>
      <c r="L61" s="744"/>
      <c r="M61" s="745"/>
      <c r="N61" s="16"/>
      <c r="O61" s="16"/>
      <c r="P61" s="16"/>
      <c r="Q61" s="16"/>
      <c r="W61" s="16"/>
      <c r="X61" s="16"/>
      <c r="Y61" s="16"/>
      <c r="Z61" s="16"/>
      <c r="AA61" s="16"/>
      <c r="AB61" s="16"/>
    </row>
    <row r="62" spans="1:58" ht="15" customHeight="1">
      <c r="A62" s="444" t="s">
        <v>1631</v>
      </c>
      <c r="B62" s="444" t="s">
        <v>287</v>
      </c>
      <c r="C62" s="444">
        <v>25</v>
      </c>
      <c r="D62" s="444">
        <v>2</v>
      </c>
      <c r="E62" s="444">
        <v>2.4</v>
      </c>
      <c r="F62" s="231">
        <f>Table_4168284[[#This Row],['# Weeks]]*Table_4168284[[#This Row],[Total hours/week]]</f>
        <v>60</v>
      </c>
      <c r="G62" s="444"/>
      <c r="H62" s="444" t="s">
        <v>55</v>
      </c>
      <c r="I62" s="448" t="s">
        <v>328</v>
      </c>
      <c r="J62" s="443" t="s">
        <v>1649</v>
      </c>
      <c r="K62" s="566"/>
      <c r="L62" s="744"/>
      <c r="M62" s="745"/>
      <c r="N62" s="16"/>
      <c r="O62" s="16"/>
      <c r="P62" s="16"/>
      <c r="Q62" s="16"/>
      <c r="W62" s="16"/>
      <c r="X62" s="16"/>
      <c r="Y62" s="16"/>
      <c r="Z62" s="16"/>
      <c r="AA62" s="16"/>
      <c r="AB62" s="16"/>
    </row>
    <row r="63" spans="1:58" ht="15" customHeight="1">
      <c r="A63" s="442" t="s">
        <v>1634</v>
      </c>
      <c r="B63" s="442" t="s">
        <v>287</v>
      </c>
      <c r="C63" s="442">
        <v>25</v>
      </c>
      <c r="D63" s="442">
        <v>2</v>
      </c>
      <c r="E63" s="442">
        <v>2.4</v>
      </c>
      <c r="F63" s="231">
        <f>Table_4168284[[#This Row],['# Weeks]]*Table_4168284[[#This Row],[Total hours/week]]</f>
        <v>60</v>
      </c>
      <c r="G63" s="442"/>
      <c r="H63" s="442" t="s">
        <v>55</v>
      </c>
      <c r="I63" s="447" t="s">
        <v>328</v>
      </c>
      <c r="J63" s="441" t="s">
        <v>1649</v>
      </c>
      <c r="K63" s="566"/>
      <c r="L63" s="744"/>
      <c r="M63" s="745"/>
      <c r="N63" s="16"/>
      <c r="O63" s="16"/>
      <c r="P63" s="16"/>
      <c r="Q63" s="16"/>
      <c r="W63" s="16"/>
      <c r="X63" s="16"/>
      <c r="Y63" s="16"/>
      <c r="Z63" s="16"/>
      <c r="AA63" s="16"/>
      <c r="AB63" s="16"/>
    </row>
    <row r="64" spans="1:58" ht="15" customHeight="1">
      <c r="A64" s="444" t="s">
        <v>1635</v>
      </c>
      <c r="B64" s="444" t="s">
        <v>287</v>
      </c>
      <c r="C64" s="444">
        <v>25</v>
      </c>
      <c r="D64" s="444">
        <v>2</v>
      </c>
      <c r="E64" s="444">
        <v>2.4</v>
      </c>
      <c r="F64" s="231">
        <f>Table_4168284[[#This Row],['# Weeks]]*Table_4168284[[#This Row],[Total hours/week]]</f>
        <v>60</v>
      </c>
      <c r="G64" s="444"/>
      <c r="H64" s="444" t="s">
        <v>55</v>
      </c>
      <c r="I64" s="448" t="s">
        <v>328</v>
      </c>
      <c r="J64" s="443" t="s">
        <v>1649</v>
      </c>
      <c r="K64" s="566"/>
      <c r="L64" s="744"/>
      <c r="M64" s="745"/>
      <c r="N64" s="16"/>
      <c r="O64" s="16"/>
      <c r="P64" s="16"/>
      <c r="Q64" s="16"/>
      <c r="W64" s="16"/>
      <c r="X64" s="16"/>
      <c r="Y64" s="16"/>
      <c r="Z64" s="16"/>
      <c r="AA64" s="16"/>
      <c r="AB64" s="16"/>
    </row>
    <row r="65" spans="1:30" ht="15.75" customHeight="1">
      <c r="A65" s="442" t="s">
        <v>1636</v>
      </c>
      <c r="B65" s="442" t="s">
        <v>287</v>
      </c>
      <c r="C65" s="442">
        <v>25</v>
      </c>
      <c r="D65" s="442">
        <v>2</v>
      </c>
      <c r="E65" s="442">
        <v>2.4</v>
      </c>
      <c r="F65" s="231">
        <f>Table_4168284[[#This Row],['# Weeks]]*Table_4168284[[#This Row],[Total hours/week]]</f>
        <v>60</v>
      </c>
      <c r="G65" s="442"/>
      <c r="H65" s="442" t="s">
        <v>55</v>
      </c>
      <c r="I65" s="447" t="s">
        <v>328</v>
      </c>
      <c r="J65" s="441" t="s">
        <v>1649</v>
      </c>
      <c r="K65" s="749"/>
      <c r="L65" s="744"/>
      <c r="M65" s="745"/>
      <c r="N65" s="16"/>
      <c r="O65" s="16"/>
      <c r="P65" s="16"/>
      <c r="Q65" s="16"/>
      <c r="W65" s="16"/>
      <c r="X65" s="16"/>
      <c r="Y65" s="16"/>
      <c r="Z65" s="16"/>
      <c r="AA65" s="16"/>
      <c r="AB65" s="16"/>
    </row>
    <row r="66" spans="1:30" ht="14.25" customHeight="1">
      <c r="A66" s="444" t="s">
        <v>1637</v>
      </c>
      <c r="B66" s="444" t="s">
        <v>287</v>
      </c>
      <c r="C66" s="444">
        <v>25</v>
      </c>
      <c r="D66" s="444">
        <v>2</v>
      </c>
      <c r="E66" s="444">
        <v>2.4</v>
      </c>
      <c r="F66" s="231">
        <f>Table_4168284[[#This Row],['# Weeks]]*Table_4168284[[#This Row],[Total hours/week]]</f>
        <v>60</v>
      </c>
      <c r="G66" s="444"/>
      <c r="H66" s="444" t="s">
        <v>55</v>
      </c>
      <c r="I66" s="448" t="s">
        <v>328</v>
      </c>
      <c r="J66" s="443" t="s">
        <v>1649</v>
      </c>
      <c r="K66" s="749"/>
      <c r="L66" s="744"/>
      <c r="M66" s="745"/>
      <c r="N66" s="16"/>
      <c r="O66" s="16"/>
      <c r="P66" s="16"/>
      <c r="Q66" s="16"/>
      <c r="W66" s="16"/>
      <c r="X66" s="16"/>
      <c r="Y66" s="16"/>
      <c r="Z66" s="16"/>
      <c r="AA66" s="16"/>
      <c r="AB66" s="16"/>
    </row>
    <row r="67" spans="1:30" ht="15.75" customHeight="1">
      <c r="A67" s="442" t="s">
        <v>1638</v>
      </c>
      <c r="B67" s="442" t="s">
        <v>287</v>
      </c>
      <c r="C67" s="442">
        <v>25</v>
      </c>
      <c r="D67" s="442">
        <v>2</v>
      </c>
      <c r="E67" s="442">
        <v>2.4</v>
      </c>
      <c r="F67" s="231">
        <f>Table_4168284[[#This Row],['# Weeks]]*Table_4168284[[#This Row],[Total hours/week]]</f>
        <v>60</v>
      </c>
      <c r="G67" s="442"/>
      <c r="H67" s="442" t="s">
        <v>55</v>
      </c>
      <c r="I67" s="447" t="s">
        <v>328</v>
      </c>
      <c r="J67" s="441" t="s">
        <v>1649</v>
      </c>
      <c r="K67" s="749"/>
      <c r="L67" s="744"/>
      <c r="M67" s="745"/>
      <c r="N67" s="16"/>
      <c r="O67" s="16"/>
      <c r="P67" s="16"/>
      <c r="Q67" s="16"/>
      <c r="W67" s="16"/>
      <c r="X67" s="16"/>
      <c r="Y67" s="16"/>
      <c r="Z67" s="16"/>
      <c r="AA67" s="16"/>
      <c r="AB67" s="16"/>
    </row>
    <row r="68" spans="1:30" ht="15.75" customHeight="1">
      <c r="A68" s="444" t="s">
        <v>1639</v>
      </c>
      <c r="B68" s="444" t="s">
        <v>287</v>
      </c>
      <c r="C68" s="444">
        <v>25</v>
      </c>
      <c r="D68" s="444">
        <v>2</v>
      </c>
      <c r="E68" s="444">
        <v>2.4</v>
      </c>
      <c r="F68" s="231">
        <f>Table_4168284[[#This Row],['# Weeks]]*Table_4168284[[#This Row],[Total hours/week]]</f>
        <v>60</v>
      </c>
      <c r="G68" s="444"/>
      <c r="H68" s="444" t="s">
        <v>55</v>
      </c>
      <c r="I68" s="448" t="s">
        <v>328</v>
      </c>
      <c r="J68" s="443" t="s">
        <v>1649</v>
      </c>
      <c r="K68" s="749"/>
      <c r="L68" s="744"/>
      <c r="M68" s="745"/>
      <c r="N68" s="16"/>
      <c r="O68" s="16"/>
      <c r="P68" s="16"/>
      <c r="Q68" s="16"/>
      <c r="W68" s="16"/>
      <c r="X68" s="16"/>
      <c r="Y68" s="16"/>
      <c r="Z68" s="16"/>
      <c r="AA68" s="16"/>
      <c r="AB68" s="16"/>
    </row>
    <row r="69" spans="1:30" ht="15.75" customHeight="1">
      <c r="A69" s="442" t="s">
        <v>1652</v>
      </c>
      <c r="B69" s="442" t="s">
        <v>290</v>
      </c>
      <c r="C69" s="442">
        <v>25</v>
      </c>
      <c r="D69" s="442">
        <v>2</v>
      </c>
      <c r="E69" s="442">
        <v>4</v>
      </c>
      <c r="F69" s="231">
        <f>Table_4168284[[#This Row],['# Weeks]]*Table_4168284[[#This Row],[Total hours/week]]</f>
        <v>100</v>
      </c>
      <c r="G69" s="442" t="s">
        <v>1653</v>
      </c>
      <c r="H69" s="442" t="s">
        <v>57</v>
      </c>
      <c r="I69" s="447" t="s">
        <v>328</v>
      </c>
      <c r="J69" s="441" t="s">
        <v>1654</v>
      </c>
      <c r="K69" s="749"/>
      <c r="L69" s="744"/>
      <c r="M69" s="745"/>
      <c r="N69" s="16"/>
      <c r="O69" s="16"/>
      <c r="P69" s="16"/>
      <c r="Q69" s="16"/>
      <c r="W69" s="16"/>
      <c r="X69" s="16"/>
      <c r="Y69" s="16"/>
      <c r="Z69" s="16"/>
      <c r="AA69" s="16"/>
      <c r="AB69" s="16"/>
    </row>
    <row r="70" spans="1:30" ht="15.75" customHeight="1">
      <c r="A70" s="444" t="s">
        <v>1655</v>
      </c>
      <c r="B70" s="444" t="s">
        <v>287</v>
      </c>
      <c r="C70" s="444">
        <v>43</v>
      </c>
      <c r="D70" s="444">
        <v>1</v>
      </c>
      <c r="E70" s="444">
        <v>1</v>
      </c>
      <c r="F70" s="231">
        <f>Table_4168284[[#This Row],['# Weeks]]*Table_4168284[[#This Row],[Total hours/week]]</f>
        <v>43</v>
      </c>
      <c r="G70" s="444" t="s">
        <v>644</v>
      </c>
      <c r="H70" s="444" t="s">
        <v>55</v>
      </c>
      <c r="I70" s="448" t="s">
        <v>328</v>
      </c>
      <c r="J70" s="443"/>
      <c r="K70" s="749"/>
      <c r="L70" s="744"/>
      <c r="M70" s="745"/>
      <c r="N70" s="16"/>
      <c r="O70" s="16"/>
      <c r="P70" s="16"/>
      <c r="Q70" s="16"/>
      <c r="W70" s="16"/>
      <c r="X70" s="16"/>
      <c r="Y70" s="16"/>
      <c r="Z70" s="16"/>
      <c r="AA70" s="16"/>
      <c r="AB70" s="16"/>
    </row>
    <row r="71" spans="1:30" ht="15.75" customHeight="1">
      <c r="A71" s="442" t="s">
        <v>1656</v>
      </c>
      <c r="B71" s="442" t="s">
        <v>290</v>
      </c>
      <c r="C71" s="442">
        <v>18</v>
      </c>
      <c r="D71" s="442">
        <v>1</v>
      </c>
      <c r="E71" s="442">
        <v>4</v>
      </c>
      <c r="F71" s="262">
        <f>Table_4168284[[#This Row],['# Weeks]]*Table_4168284[[#This Row],[Total hours/week]]</f>
        <v>72</v>
      </c>
      <c r="G71" s="442" t="s">
        <v>1653</v>
      </c>
      <c r="H71" s="442" t="s">
        <v>57</v>
      </c>
      <c r="I71" s="447" t="s">
        <v>328</v>
      </c>
      <c r="J71" s="441" t="s">
        <v>1657</v>
      </c>
      <c r="K71" s="749"/>
      <c r="L71" s="744"/>
      <c r="M71" s="745"/>
      <c r="N71" s="16"/>
      <c r="O71" s="16"/>
      <c r="P71" s="16"/>
      <c r="Q71" s="16"/>
      <c r="W71" s="16"/>
      <c r="X71" s="16"/>
      <c r="Y71" s="16"/>
      <c r="Z71" s="16"/>
      <c r="AA71" s="16"/>
      <c r="AB71" s="16"/>
    </row>
    <row r="72" spans="1:30" ht="15.75" customHeight="1">
      <c r="A72" s="444" t="s">
        <v>1658</v>
      </c>
      <c r="B72" s="444" t="s">
        <v>287</v>
      </c>
      <c r="C72" s="444">
        <v>18</v>
      </c>
      <c r="D72" s="444">
        <v>1</v>
      </c>
      <c r="E72" s="444">
        <v>1.5</v>
      </c>
      <c r="F72" s="262">
        <f>Table_4168284[[#This Row],['# Weeks]]*Table_4168284[[#This Row],[Total hours/week]]</f>
        <v>27</v>
      </c>
      <c r="G72" s="449"/>
      <c r="H72" s="444" t="s">
        <v>55</v>
      </c>
      <c r="I72" s="448" t="s">
        <v>328</v>
      </c>
      <c r="J72" s="443" t="s">
        <v>1651</v>
      </c>
      <c r="K72" s="749"/>
      <c r="L72" s="744"/>
      <c r="M72" s="745"/>
      <c r="N72" s="16"/>
      <c r="O72" s="16"/>
      <c r="P72" s="16"/>
      <c r="Q72" s="16"/>
      <c r="W72" s="16"/>
      <c r="X72" s="16"/>
      <c r="Y72" s="16"/>
      <c r="Z72" s="16"/>
      <c r="AA72" s="16"/>
      <c r="AB72" s="16"/>
    </row>
    <row r="73" spans="1:30" ht="15.75" customHeight="1">
      <c r="A73" s="442" t="s">
        <v>1659</v>
      </c>
      <c r="B73" s="442" t="s">
        <v>287</v>
      </c>
      <c r="C73" s="442">
        <v>18</v>
      </c>
      <c r="D73" s="442">
        <v>1</v>
      </c>
      <c r="E73" s="442">
        <v>1.5</v>
      </c>
      <c r="F73" s="262">
        <f>Table_4168284[[#This Row],['# Weeks]]*Table_4168284[[#This Row],[Total hours/week]]</f>
        <v>27</v>
      </c>
      <c r="G73" s="442"/>
      <c r="H73" s="442" t="s">
        <v>55</v>
      </c>
      <c r="I73" s="447" t="s">
        <v>328</v>
      </c>
      <c r="J73" s="441" t="s">
        <v>1651</v>
      </c>
      <c r="K73" s="749"/>
      <c r="L73" s="744"/>
      <c r="M73" s="745"/>
      <c r="N73" s="16"/>
      <c r="O73" s="16"/>
      <c r="P73" s="16"/>
      <c r="Q73" s="16"/>
      <c r="W73" s="16"/>
      <c r="X73" s="16"/>
      <c r="Y73" s="16"/>
      <c r="Z73" s="16"/>
      <c r="AA73" s="16"/>
      <c r="AB73" s="16"/>
    </row>
    <row r="74" spans="1:30" ht="15.75" customHeight="1">
      <c r="A74" s="443" t="s">
        <v>1660</v>
      </c>
      <c r="B74" s="444" t="s">
        <v>287</v>
      </c>
      <c r="C74" s="444">
        <v>18</v>
      </c>
      <c r="D74" s="444">
        <v>1</v>
      </c>
      <c r="E74" s="444">
        <v>2</v>
      </c>
      <c r="F74" s="262">
        <f>Table_4168284[[#This Row],['# Weeks]]*Table_4168284[[#This Row],[Total hours/week]]</f>
        <v>36</v>
      </c>
      <c r="G74" s="444"/>
      <c r="H74" s="444" t="s">
        <v>55</v>
      </c>
      <c r="I74" s="448" t="s">
        <v>328</v>
      </c>
      <c r="J74" s="443" t="s">
        <v>1651</v>
      </c>
      <c r="K74" s="749"/>
      <c r="L74" s="744"/>
      <c r="M74" s="745"/>
      <c r="N74" s="16"/>
      <c r="O74" s="16"/>
      <c r="P74" s="16"/>
      <c r="Q74" s="16"/>
      <c r="W74" s="16"/>
      <c r="X74" s="16"/>
      <c r="Y74" s="16"/>
      <c r="Z74" s="16"/>
      <c r="AA74" s="16"/>
      <c r="AB74" s="16"/>
    </row>
    <row r="75" spans="1:30" ht="15.75" customHeight="1">
      <c r="A75" s="442" t="s">
        <v>1661</v>
      </c>
      <c r="B75" s="442" t="s">
        <v>287</v>
      </c>
      <c r="C75" s="442">
        <v>18</v>
      </c>
      <c r="D75" s="442">
        <v>1</v>
      </c>
      <c r="E75" s="442">
        <v>2</v>
      </c>
      <c r="F75" s="262">
        <f>Table_4168284[[#This Row],['# Weeks]]*Table_4168284[[#This Row],[Total hours/week]]</f>
        <v>36</v>
      </c>
      <c r="G75" s="231"/>
      <c r="H75" s="319" t="s">
        <v>55</v>
      </c>
      <c r="I75" s="331"/>
      <c r="J75" s="231" t="s">
        <v>1651</v>
      </c>
      <c r="K75" s="749"/>
      <c r="L75" s="744"/>
      <c r="M75" s="745"/>
      <c r="N75" s="16"/>
      <c r="O75" s="16"/>
      <c r="P75" s="16"/>
      <c r="Q75" s="16"/>
      <c r="W75" s="16"/>
      <c r="X75" s="16"/>
      <c r="Y75" s="16"/>
      <c r="Z75" s="16"/>
      <c r="AA75" s="16"/>
      <c r="AB75" s="16"/>
    </row>
    <row r="76" spans="1:30" ht="15.75" customHeight="1" thickBot="1">
      <c r="A76" s="442" t="s">
        <v>1662</v>
      </c>
      <c r="B76" s="319" t="s">
        <v>287</v>
      </c>
      <c r="C76" s="245">
        <v>9</v>
      </c>
      <c r="D76" s="232">
        <v>1</v>
      </c>
      <c r="E76" s="261">
        <v>2</v>
      </c>
      <c r="F76" s="262">
        <f>Table_4168284[[#This Row],['# Weeks]]*Table_4168284[[#This Row],[Total hours/week]]</f>
        <v>18</v>
      </c>
      <c r="G76" s="263"/>
      <c r="H76" s="263" t="s">
        <v>55</v>
      </c>
      <c r="I76" s="264"/>
      <c r="J76" s="231" t="s">
        <v>1651</v>
      </c>
      <c r="K76" s="746"/>
      <c r="L76" s="747"/>
      <c r="M76" s="748"/>
      <c r="N76" s="16"/>
      <c r="O76" s="16"/>
      <c r="P76" s="16"/>
      <c r="Q76" s="16"/>
      <c r="W76" s="16"/>
      <c r="X76" s="16"/>
      <c r="Y76" s="16"/>
      <c r="Z76" s="16"/>
      <c r="AA76" s="16"/>
      <c r="AB76" s="16"/>
    </row>
    <row r="77" spans="1:30" ht="15.75" customHeight="1" thickTop="1">
      <c r="A77" s="16"/>
      <c r="B77" s="16"/>
      <c r="C77" s="16"/>
      <c r="D77" s="16"/>
      <c r="E77" s="16"/>
      <c r="F77" s="16"/>
      <c r="G77" s="16"/>
      <c r="H77" s="16"/>
      <c r="I77" s="16"/>
      <c r="J77" s="16"/>
      <c r="K77" s="16"/>
      <c r="L77" s="16"/>
      <c r="M77" s="16"/>
      <c r="N77" s="16"/>
      <c r="O77" s="16"/>
      <c r="P77" s="16"/>
      <c r="Q77" s="16"/>
      <c r="W77" s="16"/>
      <c r="X77" s="16"/>
      <c r="Y77" s="16"/>
      <c r="Z77" s="16"/>
      <c r="AA77" s="16"/>
      <c r="AB77" s="16"/>
      <c r="AC77" s="16"/>
      <c r="AD77" s="16"/>
    </row>
    <row r="78" spans="1:30" ht="15.75" customHeight="1" thickBot="1">
      <c r="A78" s="186" t="s">
        <v>499</v>
      </c>
      <c r="B78" s="231"/>
      <c r="C78" s="231"/>
      <c r="D78" s="231"/>
      <c r="E78" s="231"/>
      <c r="F78" s="231"/>
      <c r="G78" s="231"/>
      <c r="H78" s="231"/>
      <c r="I78" s="231"/>
      <c r="J78" s="231"/>
      <c r="K78" s="123"/>
      <c r="L78" s="123"/>
      <c r="M78" s="16"/>
      <c r="N78" s="16"/>
      <c r="O78" s="16"/>
      <c r="P78" s="16"/>
      <c r="Q78" s="16"/>
      <c r="W78" s="16"/>
      <c r="X78" s="16"/>
      <c r="Y78" s="16"/>
      <c r="Z78" s="16"/>
      <c r="AA78" s="16"/>
      <c r="AB78" s="16"/>
      <c r="AC78" s="16"/>
      <c r="AD78" s="16"/>
    </row>
    <row r="79" spans="1:30" ht="15.75" customHeight="1" thickTop="1" thickBot="1">
      <c r="A79" s="230" t="s">
        <v>476</v>
      </c>
      <c r="B79" s="230" t="s">
        <v>500</v>
      </c>
      <c r="C79" s="230" t="s">
        <v>501</v>
      </c>
      <c r="D79" s="230" t="s">
        <v>502</v>
      </c>
      <c r="E79" s="230" t="s">
        <v>503</v>
      </c>
      <c r="F79" s="230" t="s">
        <v>504</v>
      </c>
      <c r="G79" s="230" t="s">
        <v>505</v>
      </c>
      <c r="H79" s="230" t="s">
        <v>506</v>
      </c>
      <c r="I79" s="230" t="s">
        <v>507</v>
      </c>
      <c r="J79" s="230" t="s">
        <v>508</v>
      </c>
      <c r="K79" s="561" t="s">
        <v>441</v>
      </c>
      <c r="L79" s="561"/>
      <c r="M79" s="561"/>
      <c r="N79" s="561"/>
      <c r="O79" s="570"/>
      <c r="P79" s="726" t="s">
        <v>434</v>
      </c>
      <c r="Q79" s="727"/>
      <c r="R79" s="16"/>
      <c r="S79" s="16"/>
      <c r="V79" s="16"/>
      <c r="W79" s="16"/>
      <c r="X79" s="16"/>
      <c r="Y79" s="16"/>
      <c r="Z79" s="16"/>
      <c r="AA79" s="16"/>
    </row>
    <row r="80" spans="1:30" ht="15.75" customHeight="1" thickTop="1">
      <c r="A80" s="442" t="s">
        <v>1663</v>
      </c>
      <c r="B80" s="231" t="s">
        <v>272</v>
      </c>
      <c r="C80" s="441" t="s">
        <v>515</v>
      </c>
      <c r="D80" s="442">
        <v>1.2</v>
      </c>
      <c r="E80" s="445">
        <v>25</v>
      </c>
      <c r="F80" s="326">
        <f>Skeuvel!$D80*Skeuvel!$E80</f>
        <v>30</v>
      </c>
      <c r="G80" s="445">
        <v>1</v>
      </c>
      <c r="H80" s="332" t="str">
        <f>IF($B80= "","-",IF($B80= "External","Specify location tariff", INDEX(Constants!$3:$3,MATCH($B80,Constants!$2:$2,0))))</f>
        <v>Specify location tariff</v>
      </c>
      <c r="I80" s="333" t="str">
        <f t="shared" ref="I80:I96" si="2">IF($H80="-","-",IF($H80="Specify location tariff","-",$H80*$F80))</f>
        <v>-</v>
      </c>
      <c r="J80" s="387" t="s">
        <v>1664</v>
      </c>
      <c r="K80" s="675" t="s">
        <v>1665</v>
      </c>
      <c r="L80" s="676"/>
      <c r="M80" s="676"/>
      <c r="N80" s="676"/>
      <c r="O80" s="677"/>
      <c r="P80" s="564" t="s">
        <v>511</v>
      </c>
      <c r="Q80" s="565"/>
      <c r="R80" s="16"/>
      <c r="S80" s="16"/>
      <c r="V80" s="16"/>
      <c r="W80" s="16"/>
      <c r="X80" s="16"/>
      <c r="Y80" s="16"/>
      <c r="Z80" s="16"/>
      <c r="AA80" s="16"/>
    </row>
    <row r="81" spans="1:27" ht="15.75" customHeight="1">
      <c r="A81" s="443" t="s">
        <v>1666</v>
      </c>
      <c r="B81" s="231" t="s">
        <v>272</v>
      </c>
      <c r="C81" s="443" t="s">
        <v>515</v>
      </c>
      <c r="D81" s="444">
        <v>1.2</v>
      </c>
      <c r="E81" s="446">
        <v>25</v>
      </c>
      <c r="F81" s="326">
        <f>Skeuvel!$D81*Skeuvel!$E81</f>
        <v>30</v>
      </c>
      <c r="G81" s="446">
        <v>3</v>
      </c>
      <c r="H81" s="332" t="str">
        <f>IF($B81= "","-",IF($B81= "External","Specify location tariff", INDEX(Constants!$3:$3,MATCH($B81,Constants!$2:$2,0))))</f>
        <v>Specify location tariff</v>
      </c>
      <c r="I81" s="333" t="str">
        <f t="shared" si="2"/>
        <v>-</v>
      </c>
      <c r="J81" s="388" t="s">
        <v>1664</v>
      </c>
      <c r="K81" s="678"/>
      <c r="L81" s="679"/>
      <c r="M81" s="679"/>
      <c r="N81" s="679"/>
      <c r="O81" s="680"/>
      <c r="P81" s="566"/>
      <c r="Q81" s="567"/>
      <c r="R81" s="16"/>
      <c r="S81" s="16"/>
      <c r="V81" s="16"/>
      <c r="W81" s="16"/>
      <c r="X81" s="16"/>
      <c r="Y81" s="16"/>
      <c r="Z81" s="16"/>
      <c r="AA81" s="16"/>
    </row>
    <row r="82" spans="1:27" ht="15.75" customHeight="1">
      <c r="A82" s="441" t="s">
        <v>1667</v>
      </c>
      <c r="B82" s="231" t="s">
        <v>272</v>
      </c>
      <c r="C82" s="441" t="s">
        <v>513</v>
      </c>
      <c r="D82" s="442">
        <v>1.2</v>
      </c>
      <c r="E82" s="445">
        <v>25</v>
      </c>
      <c r="F82" s="326">
        <f>Skeuvel!$D82*Skeuvel!$E82</f>
        <v>30</v>
      </c>
      <c r="G82" s="445">
        <v>1</v>
      </c>
      <c r="H82" s="332" t="str">
        <f>IF($B82= "","-",IF($B82= "External","Specify location tariff", INDEX(Constants!$3:$3,MATCH($B82,Constants!$2:$2,0))))</f>
        <v>Specify location tariff</v>
      </c>
      <c r="I82" s="333" t="str">
        <f t="shared" si="2"/>
        <v>-</v>
      </c>
      <c r="J82" s="387" t="s">
        <v>1664</v>
      </c>
      <c r="K82" s="678"/>
      <c r="L82" s="679"/>
      <c r="M82" s="679"/>
      <c r="N82" s="679"/>
      <c r="O82" s="680"/>
      <c r="P82" s="566"/>
      <c r="Q82" s="567"/>
      <c r="R82" s="16"/>
      <c r="S82" s="16"/>
      <c r="V82" s="16"/>
      <c r="W82" s="16"/>
      <c r="X82" s="16"/>
      <c r="Y82" s="16"/>
      <c r="Z82" s="16"/>
      <c r="AA82" s="16"/>
    </row>
    <row r="83" spans="1:27" ht="15.75" customHeight="1">
      <c r="A83" s="444" t="s">
        <v>1668</v>
      </c>
      <c r="B83" s="231" t="s">
        <v>272</v>
      </c>
      <c r="C83" s="443" t="s">
        <v>516</v>
      </c>
      <c r="D83" s="444">
        <v>1.2</v>
      </c>
      <c r="E83" s="446">
        <v>25</v>
      </c>
      <c r="F83" s="326">
        <f>Skeuvel!$D83*Skeuvel!$E83</f>
        <v>30</v>
      </c>
      <c r="G83" s="446">
        <v>1</v>
      </c>
      <c r="H83" s="332" t="str">
        <f>IF($B83= "","-",IF($B83= "External","Specify location tariff", INDEX(Constants!$3:$3,MATCH($B83,Constants!$2:$2,0))))</f>
        <v>Specify location tariff</v>
      </c>
      <c r="I83" s="333" t="str">
        <f t="shared" si="2"/>
        <v>-</v>
      </c>
      <c r="J83" s="388" t="s">
        <v>1664</v>
      </c>
      <c r="K83" s="678"/>
      <c r="L83" s="679"/>
      <c r="M83" s="679"/>
      <c r="N83" s="679"/>
      <c r="O83" s="680"/>
      <c r="P83" s="566"/>
      <c r="Q83" s="567"/>
      <c r="R83" s="16"/>
      <c r="S83" s="16"/>
      <c r="V83" s="16"/>
      <c r="W83" s="16"/>
      <c r="X83" s="16"/>
      <c r="Y83" s="16"/>
      <c r="Z83" s="16"/>
      <c r="AA83" s="16"/>
    </row>
    <row r="84" spans="1:27" ht="15.75" customHeight="1">
      <c r="A84" s="441" t="s">
        <v>1669</v>
      </c>
      <c r="B84" s="231" t="s">
        <v>267</v>
      </c>
      <c r="C84" s="441" t="s">
        <v>513</v>
      </c>
      <c r="D84" s="442">
        <v>1.5</v>
      </c>
      <c r="E84" s="445">
        <v>14</v>
      </c>
      <c r="F84" s="326">
        <f>Skeuvel!$D84*Skeuvel!$E84</f>
        <v>21</v>
      </c>
      <c r="G84" s="445">
        <v>2</v>
      </c>
      <c r="H84" s="332">
        <f>IF($B84= "","-",IF($B84= "External","Specify location tariff", INDEX(Constants!$3:$3,MATCH($B84,Constants!$2:$2,0))))</f>
        <v>45</v>
      </c>
      <c r="I84" s="333">
        <f t="shared" si="2"/>
        <v>945</v>
      </c>
      <c r="J84" s="247"/>
      <c r="K84" s="678"/>
      <c r="L84" s="679"/>
      <c r="M84" s="679"/>
      <c r="N84" s="679"/>
      <c r="O84" s="680"/>
      <c r="P84" s="566"/>
      <c r="Q84" s="567"/>
      <c r="R84" s="16"/>
      <c r="S84" s="16"/>
      <c r="V84" s="16"/>
      <c r="W84" s="16"/>
      <c r="X84" s="16"/>
      <c r="Y84" s="16"/>
      <c r="Z84" s="16"/>
      <c r="AA84" s="16"/>
    </row>
    <row r="85" spans="1:27" ht="15.75" customHeight="1">
      <c r="A85" s="444" t="s">
        <v>1670</v>
      </c>
      <c r="B85" s="231" t="s">
        <v>267</v>
      </c>
      <c r="C85" s="443" t="s">
        <v>513</v>
      </c>
      <c r="D85" s="444">
        <v>1.5</v>
      </c>
      <c r="E85" s="446">
        <v>4</v>
      </c>
      <c r="F85" s="326">
        <f>Skeuvel!$D85*Skeuvel!$E85</f>
        <v>6</v>
      </c>
      <c r="G85" s="446">
        <v>5</v>
      </c>
      <c r="H85" s="332">
        <f>IF($B85= "","-",IF($B85= "External","Specify location tariff", INDEX(Constants!$3:$3,MATCH($B85,Constants!$2:$2,0))))</f>
        <v>45</v>
      </c>
      <c r="I85" s="333">
        <f t="shared" si="2"/>
        <v>270</v>
      </c>
      <c r="J85" s="247"/>
      <c r="K85" s="678"/>
      <c r="L85" s="679"/>
      <c r="M85" s="679"/>
      <c r="N85" s="679"/>
      <c r="O85" s="680"/>
      <c r="P85" s="566"/>
      <c r="Q85" s="567"/>
      <c r="R85" s="16"/>
      <c r="S85" s="16"/>
      <c r="V85" s="16"/>
      <c r="W85" s="16"/>
      <c r="X85" s="16"/>
      <c r="Y85" s="16"/>
      <c r="Z85" s="16"/>
      <c r="AA85" s="16"/>
    </row>
    <row r="86" spans="1:27" ht="15.75" customHeight="1">
      <c r="A86" s="441" t="s">
        <v>1671</v>
      </c>
      <c r="B86" s="231" t="s">
        <v>260</v>
      </c>
      <c r="C86" s="441" t="s">
        <v>513</v>
      </c>
      <c r="D86" s="442">
        <v>1.5</v>
      </c>
      <c r="E86" s="445">
        <v>2</v>
      </c>
      <c r="F86" s="326">
        <f>Skeuvel!$D86*Skeuvel!$E86</f>
        <v>3</v>
      </c>
      <c r="G86" s="445">
        <v>5</v>
      </c>
      <c r="H86" s="332">
        <f>IF($B86= "","-",IF($B86= "External","Specify location tariff", INDEX(Constants!$3:$3,MATCH($B86,Constants!$2:$2,0))))</f>
        <v>75</v>
      </c>
      <c r="I86" s="333">
        <f t="shared" si="2"/>
        <v>225</v>
      </c>
      <c r="J86" s="247"/>
      <c r="K86" s="678"/>
      <c r="L86" s="679"/>
      <c r="M86" s="679"/>
      <c r="N86" s="679"/>
      <c r="O86" s="680"/>
      <c r="P86" s="566"/>
      <c r="Q86" s="567"/>
      <c r="R86" s="16"/>
      <c r="S86" s="16"/>
      <c r="V86" s="16"/>
      <c r="W86" s="16"/>
      <c r="X86" s="16"/>
      <c r="Y86" s="16"/>
      <c r="Z86" s="16"/>
      <c r="AA86" s="16"/>
    </row>
    <row r="87" spans="1:27" ht="15.75" customHeight="1">
      <c r="A87" s="444" t="s">
        <v>1672</v>
      </c>
      <c r="B87" s="231" t="s">
        <v>272</v>
      </c>
      <c r="C87" s="443" t="s">
        <v>516</v>
      </c>
      <c r="D87" s="444">
        <v>1.5</v>
      </c>
      <c r="E87" s="446">
        <v>23</v>
      </c>
      <c r="F87" s="326">
        <f>Skeuvel!$D87*Skeuvel!$E87</f>
        <v>34.5</v>
      </c>
      <c r="G87" s="446">
        <v>1</v>
      </c>
      <c r="H87" s="332" t="str">
        <f>IF($B87= "","-",IF($B87= "External","Specify location tariff", INDEX(Constants!$3:$3,MATCH($B87,Constants!$2:$2,0))))</f>
        <v>Specify location tariff</v>
      </c>
      <c r="I87" s="333" t="str">
        <f t="shared" si="2"/>
        <v>-</v>
      </c>
      <c r="J87" s="247"/>
      <c r="K87" s="678"/>
      <c r="L87" s="679"/>
      <c r="M87" s="679"/>
      <c r="N87" s="679"/>
      <c r="O87" s="680"/>
      <c r="P87" s="566"/>
      <c r="Q87" s="567"/>
      <c r="R87" s="16"/>
      <c r="S87" s="16"/>
      <c r="V87" s="16"/>
      <c r="W87" s="16"/>
      <c r="X87" s="16"/>
      <c r="Y87" s="16"/>
      <c r="Z87" s="16"/>
      <c r="AA87" s="16"/>
    </row>
    <row r="88" spans="1:27" ht="15.75" customHeight="1">
      <c r="A88" s="441" t="s">
        <v>1673</v>
      </c>
      <c r="B88" s="231" t="s">
        <v>272</v>
      </c>
      <c r="C88" s="441" t="s">
        <v>516</v>
      </c>
      <c r="D88" s="442">
        <v>1.5</v>
      </c>
      <c r="E88" s="445">
        <v>23</v>
      </c>
      <c r="F88" s="326">
        <f>Skeuvel!$D88*Skeuvel!$E88</f>
        <v>34.5</v>
      </c>
      <c r="G88" s="445">
        <v>3</v>
      </c>
      <c r="H88" s="332" t="str">
        <f>IF($B88= "","-",IF($B88= "External","Specify location tariff", INDEX(Constants!$3:$3,MATCH($B88,Constants!$2:$2,0))))</f>
        <v>Specify location tariff</v>
      </c>
      <c r="I88" s="333" t="str">
        <f t="shared" si="2"/>
        <v>-</v>
      </c>
      <c r="J88" s="247"/>
      <c r="K88" s="678"/>
      <c r="L88" s="679"/>
      <c r="M88" s="679"/>
      <c r="N88" s="679"/>
      <c r="O88" s="680"/>
      <c r="P88" s="566"/>
      <c r="Q88" s="567"/>
      <c r="R88" s="16"/>
      <c r="S88" s="16"/>
      <c r="V88" s="16"/>
      <c r="W88" s="16"/>
      <c r="X88" s="16"/>
      <c r="Y88" s="16"/>
      <c r="Z88" s="16"/>
      <c r="AA88" s="16"/>
    </row>
    <row r="89" spans="1:27" ht="15.75" customHeight="1">
      <c r="A89" s="443" t="s">
        <v>1674</v>
      </c>
      <c r="B89" s="231" t="s">
        <v>272</v>
      </c>
      <c r="C89" s="443" t="s">
        <v>512</v>
      </c>
      <c r="D89" s="444">
        <v>1</v>
      </c>
      <c r="E89" s="446">
        <v>43</v>
      </c>
      <c r="F89" s="326">
        <f>Skeuvel!$D89*Skeuvel!$E89</f>
        <v>43</v>
      </c>
      <c r="G89" s="446">
        <v>5</v>
      </c>
      <c r="H89" s="332">
        <v>14</v>
      </c>
      <c r="I89" s="333">
        <f t="shared" si="2"/>
        <v>602</v>
      </c>
      <c r="J89" s="247" t="s">
        <v>1675</v>
      </c>
      <c r="K89" s="678"/>
      <c r="L89" s="679"/>
      <c r="M89" s="679"/>
      <c r="N89" s="679"/>
      <c r="O89" s="680"/>
      <c r="P89" s="566"/>
      <c r="Q89" s="567"/>
      <c r="R89" s="16"/>
      <c r="S89" s="16"/>
      <c r="V89" s="16"/>
      <c r="W89" s="16"/>
      <c r="X89" s="16"/>
      <c r="Y89" s="16"/>
      <c r="Z89" s="16"/>
      <c r="AA89" s="16"/>
    </row>
    <row r="90" spans="1:27" ht="15.75" customHeight="1">
      <c r="A90" s="231"/>
      <c r="B90" s="231"/>
      <c r="C90" s="232"/>
      <c r="D90" s="261"/>
      <c r="E90" s="245"/>
      <c r="F90" s="326">
        <f>Skeuvel!$D90*Skeuvel!$E90</f>
        <v>0</v>
      </c>
      <c r="G90" s="245"/>
      <c r="H90" s="332" t="str">
        <f>IF($B90= "","-",IF($B90= "External","Specify location tariff", INDEX(Constants!$3:$3,MATCH($B90,Constants!$2:$2,0))))</f>
        <v>-</v>
      </c>
      <c r="I90" s="333" t="str">
        <f t="shared" si="2"/>
        <v>-</v>
      </c>
      <c r="J90" s="247"/>
      <c r="K90" s="678"/>
      <c r="L90" s="679"/>
      <c r="M90" s="679"/>
      <c r="N90" s="679"/>
      <c r="O90" s="680"/>
      <c r="P90" s="566"/>
      <c r="Q90" s="567"/>
      <c r="R90" s="16"/>
      <c r="S90" s="16"/>
      <c r="V90" s="16"/>
      <c r="W90" s="16"/>
      <c r="X90" s="16"/>
      <c r="Y90" s="16"/>
      <c r="Z90" s="16"/>
      <c r="AA90" s="16"/>
    </row>
    <row r="91" spans="1:27" ht="15.75" customHeight="1">
      <c r="A91" s="231"/>
      <c r="B91" s="231"/>
      <c r="C91" s="232"/>
      <c r="D91" s="261"/>
      <c r="E91" s="245"/>
      <c r="F91" s="326">
        <f>Skeuvel!$D91*Skeuvel!$E91</f>
        <v>0</v>
      </c>
      <c r="G91" s="245"/>
      <c r="H91" s="332" t="str">
        <f>IF($B91= "","-",IF($B91= "External","Specify location tariff", INDEX(Constants!$3:$3,MATCH($B91,Constants!$2:$2,0))))</f>
        <v>-</v>
      </c>
      <c r="I91" s="333" t="str">
        <f t="shared" si="2"/>
        <v>-</v>
      </c>
      <c r="J91" s="247"/>
      <c r="K91" s="678"/>
      <c r="L91" s="679"/>
      <c r="M91" s="679"/>
      <c r="N91" s="679"/>
      <c r="O91" s="680"/>
      <c r="P91" s="566"/>
      <c r="Q91" s="567"/>
      <c r="R91" s="16"/>
      <c r="S91" s="16"/>
      <c r="V91" s="16"/>
      <c r="W91" s="16"/>
      <c r="X91" s="16"/>
      <c r="Y91" s="16"/>
      <c r="Z91" s="16"/>
      <c r="AA91" s="16"/>
    </row>
    <row r="92" spans="1:27" ht="15.75" customHeight="1">
      <c r="A92" s="231"/>
      <c r="B92" s="231"/>
      <c r="C92" s="232"/>
      <c r="D92" s="261"/>
      <c r="E92" s="245"/>
      <c r="F92" s="326">
        <f>Skeuvel!$D92*Skeuvel!$E92</f>
        <v>0</v>
      </c>
      <c r="G92" s="245"/>
      <c r="H92" s="332" t="str">
        <f>IF($B92= "","-",IF($B92= "External","Specify location tariff", INDEX(Constants!$3:$3,MATCH($B92,Constants!$2:$2,0))))</f>
        <v>-</v>
      </c>
      <c r="I92" s="333" t="str">
        <f t="shared" si="2"/>
        <v>-</v>
      </c>
      <c r="J92" s="247"/>
      <c r="K92" s="678"/>
      <c r="L92" s="679"/>
      <c r="M92" s="679"/>
      <c r="N92" s="679"/>
      <c r="O92" s="680"/>
      <c r="P92" s="566"/>
      <c r="Q92" s="567"/>
      <c r="R92" s="16"/>
      <c r="S92" s="16"/>
      <c r="V92" s="16"/>
      <c r="W92" s="16"/>
      <c r="X92" s="16"/>
      <c r="Y92" s="16"/>
      <c r="Z92" s="16"/>
      <c r="AA92" s="16"/>
    </row>
    <row r="93" spans="1:27" ht="15.75" customHeight="1">
      <c r="A93" s="231"/>
      <c r="B93" s="231"/>
      <c r="C93" s="232"/>
      <c r="D93" s="261"/>
      <c r="E93" s="245"/>
      <c r="F93" s="326">
        <f>Skeuvel!$D93*Skeuvel!$E93</f>
        <v>0</v>
      </c>
      <c r="G93" s="245"/>
      <c r="H93" s="332" t="str">
        <f>IF($B93= "","-",IF($B93= "External","Specify location tariff", INDEX(Constants!$3:$3,MATCH($B93,Constants!$2:$2,0))))</f>
        <v>-</v>
      </c>
      <c r="I93" s="333" t="str">
        <f t="shared" si="2"/>
        <v>-</v>
      </c>
      <c r="J93" s="247"/>
      <c r="K93" s="678"/>
      <c r="L93" s="679"/>
      <c r="M93" s="679"/>
      <c r="N93" s="679"/>
      <c r="O93" s="680"/>
      <c r="P93" s="566"/>
      <c r="Q93" s="567"/>
      <c r="R93" s="16"/>
      <c r="S93" s="16"/>
      <c r="V93" s="16"/>
      <c r="W93" s="16"/>
      <c r="X93" s="16"/>
      <c r="Y93" s="16"/>
      <c r="Z93" s="16"/>
      <c r="AA93" s="16"/>
    </row>
    <row r="94" spans="1:27" ht="15.75" customHeight="1">
      <c r="A94" s="231"/>
      <c r="B94" s="231"/>
      <c r="C94" s="232"/>
      <c r="D94" s="261"/>
      <c r="E94" s="245"/>
      <c r="F94" s="326">
        <f>Skeuvel!$D94*Skeuvel!$E94</f>
        <v>0</v>
      </c>
      <c r="G94" s="245"/>
      <c r="H94" s="332" t="str">
        <f>IF($B94= "","-",IF($B94= "External","Specify location tariff", INDEX(Constants!$3:$3,MATCH($B94,Constants!$2:$2,0))))</f>
        <v>-</v>
      </c>
      <c r="I94" s="333" t="str">
        <f t="shared" si="2"/>
        <v>-</v>
      </c>
      <c r="J94" s="247"/>
      <c r="K94" s="678"/>
      <c r="L94" s="679"/>
      <c r="M94" s="679"/>
      <c r="N94" s="679"/>
      <c r="O94" s="680"/>
      <c r="P94" s="566"/>
      <c r="Q94" s="567"/>
      <c r="R94" s="16"/>
      <c r="S94" s="16"/>
      <c r="V94" s="16"/>
      <c r="W94" s="16"/>
      <c r="X94" s="16"/>
      <c r="Y94" s="16"/>
      <c r="Z94" s="16"/>
      <c r="AA94" s="16"/>
    </row>
    <row r="95" spans="1:27" ht="15.75" customHeight="1">
      <c r="A95" s="231"/>
      <c r="B95" s="231"/>
      <c r="C95" s="232"/>
      <c r="D95" s="261"/>
      <c r="E95" s="245"/>
      <c r="F95" s="326">
        <f>Skeuvel!$D95*Skeuvel!$E95</f>
        <v>0</v>
      </c>
      <c r="G95" s="245"/>
      <c r="H95" s="332" t="str">
        <f>IF($B95= "","-",IF($B95= "External","Specify location tariff", INDEX(Constants!$3:$3,MATCH($B95,Constants!$2:$2,0))))</f>
        <v>-</v>
      </c>
      <c r="I95" s="333" t="str">
        <f t="shared" si="2"/>
        <v>-</v>
      </c>
      <c r="J95" s="247"/>
      <c r="K95" s="678"/>
      <c r="L95" s="679"/>
      <c r="M95" s="679"/>
      <c r="N95" s="679"/>
      <c r="O95" s="680"/>
      <c r="P95" s="566"/>
      <c r="Q95" s="567"/>
      <c r="R95" s="16"/>
      <c r="S95" s="16"/>
      <c r="V95" s="16"/>
      <c r="W95" s="16"/>
      <c r="X95" s="16"/>
      <c r="Y95" s="16"/>
      <c r="Z95" s="16"/>
      <c r="AA95" s="16"/>
    </row>
    <row r="96" spans="1:27" ht="15.75" customHeight="1" thickBot="1">
      <c r="A96" s="231"/>
      <c r="B96" s="231"/>
      <c r="C96" s="232"/>
      <c r="D96" s="261"/>
      <c r="E96" s="245"/>
      <c r="F96" s="326">
        <f>Skeuvel!$D96*Skeuvel!$E96</f>
        <v>0</v>
      </c>
      <c r="G96" s="245"/>
      <c r="H96" s="332" t="str">
        <f>IF($B96= "","-",IF($B96= "External","Specify location tariff", INDEX(Constants!$3:$3,MATCH($B96,Constants!$2:$2,0))))</f>
        <v>-</v>
      </c>
      <c r="I96" s="333" t="str">
        <f t="shared" si="2"/>
        <v>-</v>
      </c>
      <c r="J96" s="247"/>
      <c r="K96" s="681"/>
      <c r="L96" s="682"/>
      <c r="M96" s="682"/>
      <c r="N96" s="682"/>
      <c r="O96" s="683"/>
      <c r="P96" s="568"/>
      <c r="Q96" s="569"/>
      <c r="R96" s="16"/>
      <c r="S96" s="16"/>
      <c r="V96" s="16"/>
      <c r="W96" s="16"/>
      <c r="X96" s="16"/>
      <c r="Y96" s="16"/>
      <c r="Z96" s="16"/>
      <c r="AA96" s="16"/>
    </row>
    <row r="97" spans="1:30" ht="15.75" customHeight="1" thickTop="1">
      <c r="A97" s="15"/>
      <c r="B97" s="16"/>
      <c r="C97" s="16"/>
      <c r="D97" s="16"/>
      <c r="E97" s="16"/>
      <c r="F97" s="16"/>
      <c r="G97" s="16"/>
      <c r="H97" s="16"/>
      <c r="I97" s="16"/>
      <c r="J97" s="16"/>
      <c r="K97" s="16"/>
      <c r="L97" s="16"/>
      <c r="M97" s="16"/>
      <c r="N97" s="16"/>
      <c r="O97" s="16"/>
      <c r="P97" s="16"/>
      <c r="Q97" s="16"/>
      <c r="R97" s="16"/>
      <c r="S97" s="16"/>
      <c r="T97" s="16"/>
      <c r="U97" s="16"/>
      <c r="V97" s="16"/>
      <c r="W97" s="16"/>
      <c r="X97" s="16"/>
      <c r="Y97" s="16"/>
      <c r="Z97" s="16"/>
      <c r="AA97" s="16"/>
      <c r="AB97" s="16"/>
      <c r="AC97" s="16"/>
      <c r="AD97" s="16"/>
    </row>
    <row r="98" spans="1:30" ht="15.75" customHeight="1">
      <c r="A98" s="15"/>
      <c r="B98" s="16"/>
      <c r="C98" s="16"/>
      <c r="D98" s="16"/>
      <c r="E98" s="16"/>
      <c r="F98" s="16"/>
      <c r="G98" s="16"/>
      <c r="H98" s="16"/>
      <c r="I98" s="16"/>
      <c r="J98" s="16"/>
      <c r="K98" s="16"/>
      <c r="L98" s="16"/>
      <c r="M98" s="16"/>
      <c r="N98" s="16"/>
      <c r="O98" s="16"/>
      <c r="P98" s="16"/>
      <c r="Q98" s="16"/>
      <c r="R98" s="16"/>
      <c r="S98" s="16"/>
      <c r="T98" s="16"/>
      <c r="U98" s="16"/>
      <c r="V98" s="16"/>
      <c r="W98" s="16"/>
      <c r="X98" s="16"/>
      <c r="Y98" s="16"/>
      <c r="Z98" s="16"/>
      <c r="AA98" s="16"/>
      <c r="AB98" s="16"/>
      <c r="AC98" s="16"/>
      <c r="AD98" s="16"/>
    </row>
    <row r="99" spans="1:30" ht="15.75" customHeight="1" thickBot="1">
      <c r="A99" s="186" t="s">
        <v>519</v>
      </c>
      <c r="B99" s="16"/>
      <c r="C99" s="128"/>
      <c r="D99" s="51"/>
      <c r="E99" s="51"/>
      <c r="F99" s="51"/>
      <c r="G99" s="51"/>
      <c r="H99" s="51"/>
      <c r="I99" s="51"/>
      <c r="J99" s="51"/>
      <c r="K99" s="51"/>
      <c r="L99" s="232"/>
      <c r="M99" s="231"/>
      <c r="N99" s="16"/>
      <c r="O99" s="16"/>
      <c r="P99" s="16"/>
      <c r="Q99" s="16"/>
      <c r="R99" s="16"/>
      <c r="S99" s="16"/>
      <c r="T99" s="16"/>
      <c r="U99" s="16"/>
      <c r="V99" s="16"/>
      <c r="W99" s="16"/>
      <c r="X99" s="16"/>
      <c r="Y99" s="16"/>
      <c r="Z99" s="16"/>
      <c r="AA99" s="16"/>
      <c r="AB99" s="16"/>
      <c r="AC99" s="16"/>
      <c r="AD99" s="16"/>
    </row>
    <row r="100" spans="1:30" ht="15" customHeight="1" thickTop="1" thickBot="1">
      <c r="A100" s="230" t="s">
        <v>438</v>
      </c>
      <c r="B100" s="230" t="s">
        <v>439</v>
      </c>
      <c r="C100" s="230" t="s">
        <v>520</v>
      </c>
      <c r="D100" s="230" t="s">
        <v>521</v>
      </c>
      <c r="E100" s="230" t="s">
        <v>522</v>
      </c>
      <c r="F100" s="230" t="s">
        <v>523</v>
      </c>
      <c r="G100" s="230" t="s">
        <v>508</v>
      </c>
      <c r="H100" s="721" t="s">
        <v>441</v>
      </c>
      <c r="I100" s="728"/>
      <c r="J100" s="729" t="s">
        <v>434</v>
      </c>
      <c r="K100" s="730"/>
      <c r="L100" s="16"/>
      <c r="M100" s="16"/>
      <c r="N100" s="16"/>
      <c r="O100" s="16"/>
      <c r="P100" s="117"/>
      <c r="Q100" s="15"/>
      <c r="R100" s="16"/>
      <c r="S100" s="130"/>
      <c r="T100" s="16"/>
      <c r="U100" s="16"/>
      <c r="V100" s="16"/>
      <c r="W100" s="241"/>
      <c r="X100" s="16"/>
      <c r="Y100" s="16"/>
      <c r="Z100" s="16"/>
      <c r="AA100" s="16"/>
      <c r="AB100" s="16"/>
    </row>
    <row r="101" spans="1:30" ht="14.25" customHeight="1" thickTop="1">
      <c r="A101" s="196" t="s">
        <v>1676</v>
      </c>
      <c r="B101" s="196" t="s">
        <v>687</v>
      </c>
      <c r="C101" s="360" t="s">
        <v>1677</v>
      </c>
      <c r="D101" s="450" t="s">
        <v>1678</v>
      </c>
      <c r="E101" s="364">
        <v>9</v>
      </c>
      <c r="F101" s="451">
        <v>108</v>
      </c>
      <c r="G101" s="247"/>
      <c r="H101" s="653"/>
      <c r="I101" s="750"/>
      <c r="J101" s="628" t="s">
        <v>526</v>
      </c>
      <c r="K101" s="730"/>
      <c r="L101" s="16"/>
      <c r="M101" s="16"/>
      <c r="N101" s="16"/>
      <c r="O101" s="16"/>
      <c r="P101" s="16"/>
      <c r="Q101" s="133"/>
      <c r="R101" s="16"/>
      <c r="S101" s="16"/>
      <c r="T101" s="16"/>
      <c r="U101" s="16"/>
      <c r="V101" s="16"/>
      <c r="W101" s="16"/>
      <c r="X101" s="16"/>
      <c r="Y101" s="16"/>
      <c r="Z101" s="16"/>
      <c r="AA101" s="16"/>
      <c r="AB101" s="16"/>
    </row>
    <row r="102" spans="1:30" ht="15.75" customHeight="1">
      <c r="A102" s="199" t="s">
        <v>1679</v>
      </c>
      <c r="B102" s="199" t="s">
        <v>687</v>
      </c>
      <c r="C102" s="452" t="s">
        <v>1680</v>
      </c>
      <c r="D102" s="453">
        <v>10</v>
      </c>
      <c r="E102" s="346">
        <v>10</v>
      </c>
      <c r="F102" s="454">
        <v>150</v>
      </c>
      <c r="G102" s="247"/>
      <c r="H102" s="744"/>
      <c r="I102" s="751"/>
      <c r="J102" s="702"/>
      <c r="K102" s="732"/>
      <c r="L102" s="16"/>
      <c r="M102" s="16"/>
      <c r="N102" s="16"/>
      <c r="O102" s="16"/>
      <c r="P102" s="16"/>
      <c r="Q102" s="16"/>
      <c r="R102" s="16"/>
      <c r="S102" s="16"/>
      <c r="T102" s="16"/>
      <c r="U102" s="16"/>
      <c r="V102" s="16"/>
      <c r="W102" s="16"/>
      <c r="X102" s="16"/>
      <c r="Y102" s="16"/>
      <c r="Z102" s="16"/>
      <c r="AA102" s="16"/>
      <c r="AB102" s="16"/>
    </row>
    <row r="103" spans="1:30" ht="15.75" customHeight="1">
      <c r="A103" s="196" t="s">
        <v>1681</v>
      </c>
      <c r="B103" s="196" t="s">
        <v>687</v>
      </c>
      <c r="C103" s="360" t="s">
        <v>1682</v>
      </c>
      <c r="D103" s="450" t="s">
        <v>1683</v>
      </c>
      <c r="E103" s="364">
        <v>4</v>
      </c>
      <c r="F103" s="451">
        <v>36</v>
      </c>
      <c r="G103" s="247"/>
      <c r="H103" s="744"/>
      <c r="I103" s="751"/>
      <c r="J103" s="702"/>
      <c r="K103" s="732"/>
      <c r="L103" s="16"/>
      <c r="M103" s="16"/>
      <c r="N103" s="16"/>
      <c r="O103" s="16"/>
      <c r="P103" s="16"/>
      <c r="Q103" s="16"/>
      <c r="R103" s="16"/>
      <c r="S103" s="16"/>
      <c r="T103" s="16"/>
      <c r="U103" s="16"/>
      <c r="V103" s="16"/>
      <c r="W103" s="16"/>
      <c r="X103" s="16"/>
      <c r="Y103" s="16"/>
      <c r="Z103" s="16"/>
      <c r="AA103" s="16"/>
      <c r="AB103" s="16"/>
    </row>
    <row r="104" spans="1:30" ht="15.75" customHeight="1">
      <c r="A104" s="199" t="s">
        <v>1684</v>
      </c>
      <c r="B104" s="199" t="s">
        <v>1685</v>
      </c>
      <c r="C104" s="362" t="s">
        <v>1686</v>
      </c>
      <c r="D104" s="455" t="s">
        <v>1678</v>
      </c>
      <c r="E104" s="343" t="s">
        <v>1687</v>
      </c>
      <c r="F104" s="248"/>
      <c r="G104" s="247"/>
      <c r="H104" s="744"/>
      <c r="I104" s="751"/>
      <c r="J104" s="702"/>
      <c r="K104" s="732"/>
      <c r="L104" s="16"/>
      <c r="M104" s="16"/>
      <c r="N104" s="16"/>
      <c r="O104" s="16"/>
      <c r="P104" s="16"/>
      <c r="Q104" s="16"/>
      <c r="R104" s="16"/>
      <c r="S104" s="16"/>
      <c r="T104" s="16"/>
      <c r="U104" s="16"/>
      <c r="V104" s="16"/>
      <c r="W104" s="16"/>
      <c r="X104" s="16"/>
      <c r="Y104" s="16"/>
      <c r="Z104" s="16"/>
      <c r="AA104" s="16"/>
      <c r="AB104" s="16"/>
    </row>
    <row r="105" spans="1:30" ht="15.75" customHeight="1">
      <c r="A105" s="196" t="s">
        <v>1688</v>
      </c>
      <c r="B105" s="196" t="s">
        <v>687</v>
      </c>
      <c r="C105" s="456" t="s">
        <v>1689</v>
      </c>
      <c r="D105" s="450" t="s">
        <v>1683</v>
      </c>
      <c r="E105" s="364">
        <v>10</v>
      </c>
      <c r="F105" s="451">
        <v>22.5</v>
      </c>
      <c r="G105" s="247"/>
      <c r="H105" s="744"/>
      <c r="I105" s="751"/>
      <c r="J105" s="702"/>
      <c r="K105" s="732"/>
      <c r="L105" s="16"/>
      <c r="M105" s="16"/>
      <c r="N105" s="16"/>
      <c r="O105" s="16"/>
      <c r="P105" s="16"/>
      <c r="Q105" s="16"/>
      <c r="R105" s="16"/>
      <c r="S105" s="16"/>
      <c r="T105" s="16"/>
      <c r="U105" s="16"/>
      <c r="V105" s="16"/>
      <c r="W105" s="16"/>
      <c r="X105" s="16"/>
      <c r="Y105" s="16"/>
      <c r="Z105" s="16"/>
      <c r="AA105" s="16"/>
      <c r="AB105" s="16"/>
    </row>
    <row r="106" spans="1:30" ht="15.75" customHeight="1">
      <c r="A106" s="199" t="s">
        <v>1690</v>
      </c>
      <c r="B106" s="199" t="s">
        <v>687</v>
      </c>
      <c r="C106" s="452" t="s">
        <v>1691</v>
      </c>
      <c r="D106" s="455" t="s">
        <v>1678</v>
      </c>
      <c r="E106" s="346">
        <v>6</v>
      </c>
      <c r="F106" s="454">
        <v>14.34</v>
      </c>
      <c r="G106" s="247"/>
      <c r="H106" s="744"/>
      <c r="I106" s="751"/>
      <c r="J106" s="702"/>
      <c r="K106" s="732"/>
      <c r="L106" s="16"/>
      <c r="M106" s="16"/>
      <c r="N106" s="16"/>
      <c r="O106" s="16"/>
      <c r="P106" s="16"/>
      <c r="Q106" s="16"/>
      <c r="R106" s="16"/>
      <c r="S106" s="16"/>
      <c r="T106" s="16"/>
      <c r="U106" s="16"/>
      <c r="V106" s="16"/>
      <c r="W106" s="16"/>
      <c r="X106" s="16"/>
      <c r="Y106" s="16"/>
      <c r="Z106" s="16"/>
      <c r="AA106" s="16"/>
      <c r="AB106" s="16"/>
    </row>
    <row r="107" spans="1:30" ht="15.75" customHeight="1">
      <c r="A107" s="196" t="s">
        <v>1692</v>
      </c>
      <c r="B107" s="196" t="s">
        <v>687</v>
      </c>
      <c r="C107" s="360" t="s">
        <v>1686</v>
      </c>
      <c r="D107" s="450" t="s">
        <v>1693</v>
      </c>
      <c r="E107" s="366" t="s">
        <v>1694</v>
      </c>
      <c r="F107" s="248"/>
      <c r="G107" s="247"/>
      <c r="H107" s="744"/>
      <c r="I107" s="751"/>
      <c r="J107" s="702"/>
      <c r="K107" s="732"/>
      <c r="L107" s="16"/>
      <c r="M107" s="16"/>
      <c r="N107" s="16"/>
      <c r="O107" s="16"/>
      <c r="P107" s="16"/>
      <c r="Q107" s="16"/>
      <c r="R107" s="16"/>
      <c r="S107" s="16"/>
      <c r="T107" s="16"/>
      <c r="U107" s="16"/>
      <c r="V107" s="16"/>
      <c r="W107" s="16"/>
      <c r="X107" s="16"/>
      <c r="Y107" s="16"/>
      <c r="Z107" s="16"/>
      <c r="AA107" s="16"/>
      <c r="AB107" s="16"/>
    </row>
    <row r="108" spans="1:30" ht="15.75" customHeight="1">
      <c r="A108" s="199" t="s">
        <v>1695</v>
      </c>
      <c r="B108" s="199" t="s">
        <v>699</v>
      </c>
      <c r="C108" s="362" t="s">
        <v>1686</v>
      </c>
      <c r="D108" s="455" t="s">
        <v>1686</v>
      </c>
      <c r="E108" s="346">
        <v>3</v>
      </c>
      <c r="F108" s="454">
        <v>20</v>
      </c>
      <c r="G108" s="247"/>
      <c r="H108" s="744"/>
      <c r="I108" s="751"/>
      <c r="J108" s="702"/>
      <c r="K108" s="732"/>
      <c r="L108" s="16"/>
      <c r="M108" s="16"/>
      <c r="N108" s="16"/>
      <c r="O108" s="16"/>
      <c r="P108" s="16"/>
      <c r="Q108" s="16"/>
      <c r="R108" s="16"/>
      <c r="S108" s="16"/>
      <c r="T108" s="16"/>
      <c r="U108" s="16"/>
      <c r="V108" s="16"/>
      <c r="W108" s="16"/>
      <c r="X108" s="16"/>
      <c r="Y108" s="16"/>
      <c r="Z108" s="16"/>
      <c r="AA108" s="16"/>
      <c r="AB108" s="16"/>
    </row>
    <row r="109" spans="1:30" ht="15.75" customHeight="1">
      <c r="A109" s="231"/>
      <c r="B109" s="244"/>
      <c r="C109" s="246">
        <v>0</v>
      </c>
      <c r="D109" s="247"/>
      <c r="E109" s="245"/>
      <c r="F109" s="246">
        <f>IF(Table_6170286[[#This Row],[Item]]="",0,Table_6170286[[#This Row],[Amount]]*Table_6170286[[#This Row],[Purchase / Running costs]]/Table_6170286[[#This Row],[Depreciation period]])</f>
        <v>0</v>
      </c>
      <c r="G109" s="247"/>
      <c r="H109" s="744"/>
      <c r="I109" s="751"/>
      <c r="J109" s="702"/>
      <c r="K109" s="732"/>
      <c r="L109" s="16"/>
      <c r="M109" s="16"/>
      <c r="N109" s="16"/>
      <c r="O109" s="16"/>
      <c r="P109" s="16"/>
      <c r="Q109" s="16"/>
      <c r="R109" s="16"/>
      <c r="S109" s="16"/>
      <c r="T109" s="16"/>
      <c r="U109" s="16"/>
      <c r="V109" s="16"/>
      <c r="W109" s="16"/>
      <c r="X109" s="16"/>
      <c r="Y109" s="16"/>
      <c r="Z109" s="16"/>
      <c r="AA109" s="16"/>
      <c r="AB109" s="16"/>
    </row>
    <row r="110" spans="1:30" ht="15.75" customHeight="1">
      <c r="A110" s="231"/>
      <c r="B110" s="244"/>
      <c r="C110" s="246">
        <v>0</v>
      </c>
      <c r="D110" s="247"/>
      <c r="E110" s="245"/>
      <c r="F110" s="246">
        <f>IF(Table_6170286[[#This Row],[Item]]="",0,Table_6170286[[#This Row],[Amount]]*Table_6170286[[#This Row],[Purchase / Running costs]]/Table_6170286[[#This Row],[Depreciation period]])</f>
        <v>0</v>
      </c>
      <c r="G110" s="247"/>
      <c r="H110" s="744"/>
      <c r="I110" s="751"/>
      <c r="J110" s="702"/>
      <c r="K110" s="732"/>
      <c r="L110" s="16"/>
      <c r="M110" s="16"/>
      <c r="N110" s="16"/>
      <c r="O110" s="16"/>
      <c r="P110" s="16"/>
      <c r="Q110" s="16"/>
      <c r="R110" s="16"/>
      <c r="S110" s="16"/>
      <c r="T110" s="16"/>
      <c r="U110" s="16"/>
      <c r="V110" s="16"/>
      <c r="W110" s="16"/>
      <c r="X110" s="16"/>
      <c r="Y110" s="16"/>
      <c r="Z110" s="16"/>
      <c r="AA110" s="16"/>
      <c r="AB110" s="16"/>
    </row>
    <row r="111" spans="1:30" ht="15.75" customHeight="1">
      <c r="A111" s="231"/>
      <c r="B111" s="244"/>
      <c r="C111" s="246">
        <v>0</v>
      </c>
      <c r="D111" s="247"/>
      <c r="E111" s="245"/>
      <c r="F111" s="246">
        <f>IF(Table_6170286[[#This Row],[Item]]="",0,Table_6170286[[#This Row],[Amount]]*Table_6170286[[#This Row],[Purchase / Running costs]]/Table_6170286[[#This Row],[Depreciation period]])</f>
        <v>0</v>
      </c>
      <c r="G111" s="247"/>
      <c r="H111" s="744"/>
      <c r="I111" s="751"/>
      <c r="J111" s="702"/>
      <c r="K111" s="732"/>
      <c r="L111" s="16"/>
      <c r="M111" s="16"/>
      <c r="N111" s="16"/>
      <c r="O111" s="16"/>
      <c r="P111" s="16"/>
      <c r="Q111" s="16"/>
      <c r="R111" s="16"/>
      <c r="S111" s="16"/>
      <c r="T111" s="16"/>
      <c r="U111" s="16"/>
      <c r="V111" s="16"/>
      <c r="W111" s="16"/>
      <c r="X111" s="16"/>
      <c r="Y111" s="16"/>
      <c r="Z111" s="16"/>
      <c r="AA111" s="16"/>
      <c r="AB111" s="16"/>
    </row>
    <row r="112" spans="1:30" ht="15.75" customHeight="1">
      <c r="A112" s="231"/>
      <c r="B112" s="244"/>
      <c r="C112" s="246">
        <v>0</v>
      </c>
      <c r="D112" s="247"/>
      <c r="E112" s="245"/>
      <c r="F112" s="246">
        <f>IF(Table_6170286[[#This Row],[Item]]="",0,Table_6170286[[#This Row],[Amount]]*Table_6170286[[#This Row],[Purchase / Running costs]]/Table_6170286[[#This Row],[Depreciation period]])</f>
        <v>0</v>
      </c>
      <c r="G112" s="247"/>
      <c r="H112" s="744"/>
      <c r="I112" s="751"/>
      <c r="J112" s="702"/>
      <c r="K112" s="732"/>
      <c r="L112" s="16"/>
      <c r="M112" s="16"/>
      <c r="N112" s="16"/>
      <c r="O112" s="16"/>
      <c r="P112" s="16"/>
      <c r="Q112" s="16"/>
      <c r="R112" s="16"/>
      <c r="S112" s="16"/>
      <c r="T112" s="16"/>
      <c r="U112" s="16"/>
      <c r="V112" s="16"/>
      <c r="W112" s="16"/>
      <c r="X112" s="16"/>
      <c r="Y112" s="16"/>
      <c r="Z112" s="16"/>
      <c r="AA112" s="16"/>
      <c r="AB112" s="16"/>
    </row>
    <row r="113" spans="1:30" ht="15.75" customHeight="1">
      <c r="A113" s="231"/>
      <c r="B113" s="244"/>
      <c r="C113" s="246">
        <v>0</v>
      </c>
      <c r="D113" s="247"/>
      <c r="E113" s="245"/>
      <c r="F113" s="246">
        <f>IF(Table_6170286[[#This Row],[Item]]="",0,Table_6170286[[#This Row],[Amount]]*Table_6170286[[#This Row],[Purchase / Running costs]]/Table_6170286[[#This Row],[Depreciation period]])</f>
        <v>0</v>
      </c>
      <c r="G113" s="247"/>
      <c r="H113" s="744"/>
      <c r="I113" s="751"/>
      <c r="J113" s="702"/>
      <c r="K113" s="732"/>
      <c r="L113" s="16"/>
      <c r="M113" s="16"/>
      <c r="N113" s="16"/>
      <c r="O113" s="16"/>
      <c r="P113" s="16"/>
      <c r="Q113" s="16"/>
      <c r="R113" s="16"/>
      <c r="S113" s="16"/>
      <c r="T113" s="16"/>
      <c r="U113" s="16"/>
      <c r="V113" s="16"/>
      <c r="W113" s="16"/>
      <c r="X113" s="16"/>
      <c r="Y113" s="16"/>
      <c r="Z113" s="16"/>
      <c r="AA113" s="16"/>
      <c r="AB113" s="16"/>
    </row>
    <row r="114" spans="1:30" ht="15.75" customHeight="1" thickBot="1">
      <c r="A114" s="231"/>
      <c r="B114" s="244"/>
      <c r="C114" s="246">
        <v>0</v>
      </c>
      <c r="D114" s="247"/>
      <c r="E114" s="245"/>
      <c r="F114" s="246">
        <f>IF(Table_6170286[[#This Row],[Item]]="",0,Table_6170286[[#This Row],[Amount]]*Table_6170286[[#This Row],[Purchase / Running costs]]/Table_6170286[[#This Row],[Depreciation period]])</f>
        <v>0</v>
      </c>
      <c r="G114" s="247"/>
      <c r="H114" s="747"/>
      <c r="I114" s="748"/>
      <c r="J114" s="752"/>
      <c r="K114" s="734"/>
      <c r="L114" s="16"/>
      <c r="M114" s="16"/>
      <c r="N114" s="16"/>
      <c r="O114" s="16"/>
      <c r="P114" s="16"/>
      <c r="Q114" s="16"/>
      <c r="R114" s="16"/>
      <c r="S114" s="16"/>
      <c r="T114" s="16"/>
      <c r="U114" s="16"/>
      <c r="V114" s="16"/>
      <c r="W114" s="16"/>
      <c r="X114" s="16"/>
      <c r="Y114" s="16"/>
      <c r="Z114" s="16"/>
      <c r="AA114" s="16"/>
      <c r="AB114" s="16"/>
    </row>
    <row r="115" spans="1:30" ht="15.75" customHeight="1" thickTop="1">
      <c r="A115" s="15"/>
      <c r="B115" s="131"/>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c r="AA115" s="16"/>
      <c r="AB115" s="16"/>
      <c r="AC115" s="16"/>
      <c r="AD115" s="16"/>
    </row>
    <row r="116" spans="1:30" ht="15.75" customHeight="1">
      <c r="A116" s="15"/>
      <c r="B116" s="131"/>
      <c r="C116" s="16"/>
      <c r="D116" s="16"/>
      <c r="E116" s="16"/>
      <c r="F116" s="16"/>
      <c r="G116" s="16"/>
      <c r="I116" s="16"/>
      <c r="J116" s="16"/>
      <c r="K116" s="16"/>
      <c r="L116" s="16"/>
      <c r="M116" s="16"/>
      <c r="N116" s="16"/>
      <c r="O116" s="16"/>
      <c r="P116" s="16"/>
      <c r="Q116" s="16"/>
      <c r="R116" s="16"/>
      <c r="S116" s="16"/>
      <c r="T116" s="16"/>
      <c r="U116" s="16"/>
      <c r="V116" s="16"/>
      <c r="W116" s="16"/>
      <c r="X116" s="16"/>
      <c r="Y116" s="16"/>
      <c r="Z116" s="16"/>
      <c r="AA116" s="16"/>
      <c r="AB116" s="16"/>
      <c r="AC116" s="16"/>
      <c r="AD116" s="16"/>
    </row>
    <row r="117" spans="1:30" ht="15.75" customHeight="1">
      <c r="H117" s="51"/>
      <c r="I117" s="51"/>
      <c r="J117" s="51"/>
      <c r="K117" s="51"/>
      <c r="L117" s="16"/>
      <c r="M117" s="16"/>
      <c r="N117" s="16"/>
      <c r="O117" s="16"/>
      <c r="P117" s="16"/>
      <c r="Q117" s="16"/>
      <c r="R117" s="16"/>
      <c r="S117" s="16"/>
      <c r="T117" s="16"/>
      <c r="U117" s="16"/>
      <c r="V117" s="16"/>
      <c r="W117" s="16"/>
      <c r="X117" s="16"/>
      <c r="Y117" s="16"/>
      <c r="Z117" s="16"/>
      <c r="AA117" s="16"/>
      <c r="AB117" s="16"/>
      <c r="AC117" s="16"/>
      <c r="AD117" s="16"/>
    </row>
    <row r="118" spans="1:30" ht="15.75" customHeight="1">
      <c r="L118" s="16"/>
      <c r="M118" s="16"/>
      <c r="N118" s="16"/>
      <c r="O118" s="16"/>
      <c r="P118" s="16"/>
      <c r="Q118" s="16"/>
      <c r="R118" s="16"/>
      <c r="S118" s="16"/>
      <c r="T118" s="16"/>
      <c r="U118" s="16"/>
      <c r="V118" s="16"/>
      <c r="W118" s="16"/>
      <c r="X118" s="16"/>
      <c r="Y118" s="16"/>
      <c r="Z118" s="16"/>
      <c r="AA118" s="16"/>
      <c r="AB118" s="16"/>
      <c r="AC118" s="16"/>
      <c r="AD118" s="16"/>
    </row>
    <row r="119" spans="1:30" ht="15.75" customHeight="1">
      <c r="L119" s="16"/>
      <c r="M119" s="16"/>
      <c r="N119" s="16"/>
      <c r="O119" s="16"/>
      <c r="P119" s="16"/>
      <c r="Q119" s="16"/>
      <c r="R119" s="16"/>
      <c r="S119" s="16"/>
      <c r="T119" s="16"/>
      <c r="U119" s="16"/>
      <c r="V119" s="16"/>
      <c r="W119" s="16"/>
      <c r="X119" s="16"/>
      <c r="Y119" s="16"/>
      <c r="Z119" s="16"/>
      <c r="AA119" s="16"/>
      <c r="AB119" s="16"/>
      <c r="AC119" s="16"/>
      <c r="AD119" s="16"/>
    </row>
    <row r="120" spans="1:30" ht="15.75" customHeight="1">
      <c r="L120" s="16"/>
      <c r="M120" s="16"/>
      <c r="N120" s="16"/>
      <c r="O120" s="16"/>
      <c r="P120" s="16"/>
      <c r="Q120" s="16"/>
      <c r="R120" s="16"/>
      <c r="S120" s="16"/>
      <c r="T120" s="16"/>
      <c r="U120" s="16"/>
      <c r="V120" s="16"/>
      <c r="W120" s="16"/>
      <c r="X120" s="16"/>
      <c r="Y120" s="16"/>
      <c r="Z120" s="16"/>
      <c r="AA120" s="16"/>
      <c r="AB120" s="16"/>
      <c r="AC120" s="16"/>
      <c r="AD120" s="16"/>
    </row>
    <row r="121" spans="1:30" ht="15.75" customHeight="1">
      <c r="L121" s="16"/>
      <c r="M121" s="16"/>
      <c r="N121" s="16"/>
      <c r="O121" s="16"/>
      <c r="P121" s="16"/>
      <c r="Q121" s="16"/>
      <c r="R121" s="16"/>
      <c r="S121" s="16"/>
      <c r="T121" s="16"/>
      <c r="U121" s="16"/>
      <c r="V121" s="16"/>
      <c r="W121" s="16"/>
      <c r="X121" s="16"/>
      <c r="Y121" s="16"/>
      <c r="Z121" s="16"/>
      <c r="AA121" s="16"/>
      <c r="AB121" s="16"/>
      <c r="AC121" s="16"/>
      <c r="AD121" s="16"/>
    </row>
    <row r="122" spans="1:30" ht="15.75" customHeight="1">
      <c r="L122" s="16"/>
      <c r="M122" s="16"/>
      <c r="N122" s="16"/>
      <c r="O122" s="16"/>
      <c r="P122" s="16"/>
      <c r="Q122" s="16"/>
      <c r="R122" s="16"/>
      <c r="S122" s="16"/>
      <c r="T122" s="16"/>
      <c r="U122" s="16"/>
      <c r="V122" s="16"/>
      <c r="W122" s="16"/>
      <c r="X122" s="16"/>
      <c r="Y122" s="16"/>
      <c r="Z122" s="16"/>
      <c r="AA122" s="16"/>
      <c r="AB122" s="16"/>
      <c r="AC122" s="16"/>
      <c r="AD122" s="16"/>
    </row>
    <row r="123" spans="1:30" ht="15.75" customHeight="1">
      <c r="L123" s="16"/>
      <c r="M123" s="16"/>
      <c r="N123" s="16"/>
      <c r="O123" s="16"/>
      <c r="P123" s="16"/>
      <c r="Q123" s="16"/>
      <c r="R123" s="16"/>
      <c r="S123" s="16"/>
      <c r="T123" s="16"/>
      <c r="U123" s="16"/>
      <c r="V123" s="16"/>
      <c r="W123" s="16"/>
      <c r="X123" s="16"/>
      <c r="Y123" s="16"/>
      <c r="Z123" s="16"/>
      <c r="AA123" s="16"/>
      <c r="AB123" s="16"/>
      <c r="AC123" s="16"/>
      <c r="AD123" s="16"/>
    </row>
    <row r="124" spans="1:30" ht="15.75" customHeight="1">
      <c r="L124" s="16"/>
      <c r="M124" s="16"/>
      <c r="N124" s="16"/>
      <c r="O124" s="16"/>
      <c r="P124" s="735"/>
      <c r="Q124" s="696"/>
      <c r="R124" s="696"/>
      <c r="S124" s="16"/>
      <c r="T124" s="16"/>
      <c r="U124" s="16"/>
      <c r="V124" s="16"/>
      <c r="W124" s="16"/>
      <c r="X124" s="16"/>
      <c r="Y124" s="16"/>
      <c r="Z124" s="16"/>
      <c r="AA124" s="16"/>
      <c r="AB124" s="16"/>
      <c r="AC124" s="16"/>
      <c r="AD124" s="16"/>
    </row>
    <row r="125" spans="1:30" ht="15.75" customHeight="1">
      <c r="L125" s="16"/>
      <c r="M125" s="16"/>
      <c r="N125" s="16"/>
      <c r="O125" s="16"/>
      <c r="P125" s="735"/>
      <c r="Q125" s="696"/>
      <c r="R125" s="696"/>
      <c r="S125" s="16"/>
      <c r="T125" s="16"/>
      <c r="U125" s="16"/>
      <c r="V125" s="16"/>
      <c r="W125" s="16"/>
      <c r="X125" s="16"/>
      <c r="Y125" s="16"/>
      <c r="Z125" s="16"/>
      <c r="AA125" s="16"/>
      <c r="AB125" s="16"/>
      <c r="AC125" s="16"/>
      <c r="AD125" s="16"/>
    </row>
    <row r="126" spans="1:30" ht="15.75" customHeight="1">
      <c r="L126" s="16"/>
      <c r="M126" s="16"/>
      <c r="N126" s="16"/>
      <c r="O126" s="16"/>
      <c r="P126" s="735"/>
      <c r="Q126" s="696"/>
      <c r="R126" s="696"/>
      <c r="S126" s="16"/>
      <c r="T126" s="16"/>
      <c r="U126" s="16"/>
      <c r="V126" s="16"/>
      <c r="W126" s="16"/>
      <c r="X126" s="16"/>
      <c r="Y126" s="16"/>
      <c r="Z126" s="16"/>
      <c r="AA126" s="16"/>
      <c r="AB126" s="16"/>
      <c r="AC126" s="16"/>
      <c r="AD126" s="16"/>
    </row>
    <row r="127" spans="1:30" ht="15.75" customHeight="1">
      <c r="L127" s="16"/>
      <c r="M127" s="16"/>
      <c r="N127" s="16"/>
      <c r="O127" s="16"/>
      <c r="P127" s="735"/>
      <c r="Q127" s="696"/>
      <c r="R127" s="696"/>
      <c r="S127" s="16"/>
      <c r="T127" s="16"/>
      <c r="U127" s="16"/>
      <c r="V127" s="16"/>
      <c r="W127" s="16"/>
      <c r="X127" s="16"/>
      <c r="Y127" s="16"/>
      <c r="Z127" s="16"/>
      <c r="AA127" s="16"/>
      <c r="AB127" s="16"/>
      <c r="AC127" s="16"/>
      <c r="AD127" s="16"/>
    </row>
    <row r="128" spans="1:30" ht="15.75" customHeight="1">
      <c r="L128" s="16"/>
      <c r="M128" s="16"/>
      <c r="N128" s="16"/>
      <c r="O128" s="16"/>
      <c r="P128" s="735"/>
      <c r="Q128" s="696"/>
      <c r="R128" s="696"/>
      <c r="S128" s="16"/>
      <c r="T128" s="16"/>
      <c r="U128" s="16"/>
      <c r="V128" s="16"/>
      <c r="W128" s="16"/>
      <c r="X128" s="16"/>
      <c r="Y128" s="16"/>
      <c r="Z128" s="16"/>
      <c r="AA128" s="16"/>
      <c r="AB128" s="16"/>
      <c r="AC128" s="16"/>
      <c r="AD128" s="16"/>
    </row>
    <row r="129" spans="1:30" ht="15.75" customHeight="1">
      <c r="L129" s="16"/>
      <c r="M129" s="16"/>
      <c r="N129" s="16"/>
      <c r="O129" s="16"/>
      <c r="P129" s="735"/>
      <c r="Q129" s="696"/>
      <c r="R129" s="696"/>
      <c r="S129" s="16"/>
      <c r="T129" s="16"/>
      <c r="U129" s="16"/>
      <c r="V129" s="16"/>
      <c r="W129" s="16"/>
      <c r="X129" s="16"/>
      <c r="Y129" s="16"/>
      <c r="Z129" s="16"/>
      <c r="AA129" s="16"/>
      <c r="AB129" s="16"/>
      <c r="AC129" s="16"/>
      <c r="AD129" s="16"/>
    </row>
    <row r="130" spans="1:30" ht="15.75" customHeight="1">
      <c r="H130" s="248"/>
      <c r="I130" s="248"/>
      <c r="J130" s="228"/>
      <c r="K130" s="228"/>
      <c r="L130" s="16"/>
      <c r="M130" s="16"/>
      <c r="N130" s="16"/>
      <c r="O130" s="16"/>
      <c r="P130" s="735"/>
      <c r="Q130" s="696"/>
      <c r="R130" s="696"/>
      <c r="S130" s="16"/>
      <c r="T130" s="16"/>
      <c r="U130" s="16"/>
      <c r="V130" s="16"/>
      <c r="W130" s="16"/>
      <c r="X130" s="16"/>
      <c r="Y130" s="16"/>
      <c r="Z130" s="16"/>
      <c r="AA130" s="16"/>
      <c r="AB130" s="16"/>
      <c r="AC130" s="16"/>
      <c r="AD130" s="16"/>
    </row>
    <row r="131" spans="1:30" ht="15.75" customHeight="1">
      <c r="A131" s="231"/>
      <c r="B131" s="231"/>
      <c r="C131" s="246"/>
      <c r="D131" s="247"/>
      <c r="E131" s="245"/>
      <c r="F131" s="246"/>
      <c r="G131" s="247"/>
      <c r="H131" s="248"/>
      <c r="I131" s="248"/>
      <c r="J131" s="228"/>
      <c r="K131" s="228"/>
      <c r="L131" s="16"/>
      <c r="M131" s="16"/>
      <c r="N131" s="16"/>
      <c r="O131" s="16"/>
      <c r="P131" s="16"/>
      <c r="Q131" s="16"/>
      <c r="R131" s="16"/>
      <c r="S131" s="16"/>
      <c r="T131" s="16"/>
      <c r="U131" s="16"/>
      <c r="V131" s="16"/>
      <c r="W131" s="16"/>
      <c r="X131" s="16"/>
      <c r="Y131" s="16"/>
      <c r="Z131" s="16"/>
      <c r="AA131" s="16"/>
      <c r="AB131" s="16"/>
      <c r="AC131" s="16"/>
      <c r="AD131" s="16"/>
    </row>
    <row r="132" spans="1:30" ht="15.75" customHeight="1">
      <c r="A132" s="231"/>
      <c r="B132" s="16"/>
      <c r="C132" s="246"/>
      <c r="D132" s="247"/>
      <c r="E132" s="245"/>
      <c r="F132" s="246"/>
      <c r="G132" s="247"/>
      <c r="H132" s="228"/>
      <c r="I132" s="228"/>
      <c r="J132" s="228"/>
      <c r="K132" s="228"/>
      <c r="L132" s="16"/>
      <c r="M132" s="735"/>
      <c r="N132" s="696"/>
      <c r="O132" s="696"/>
      <c r="P132" s="735"/>
      <c r="Q132" s="696"/>
      <c r="R132" s="696"/>
      <c r="S132" s="696"/>
      <c r="T132" s="696"/>
      <c r="U132" s="16"/>
      <c r="V132" s="16"/>
      <c r="W132" s="16"/>
      <c r="X132" s="16"/>
      <c r="Y132" s="16"/>
      <c r="Z132" s="16"/>
      <c r="AA132" s="16"/>
      <c r="AB132" s="16"/>
      <c r="AC132" s="16"/>
      <c r="AD132" s="16"/>
    </row>
    <row r="133" spans="1:30" ht="15.75" customHeight="1">
      <c r="A133" s="16"/>
      <c r="B133" s="16"/>
      <c r="C133" s="16"/>
      <c r="D133" s="16"/>
      <c r="E133" s="16"/>
      <c r="F133" s="16"/>
      <c r="G133" s="16"/>
      <c r="H133" s="16"/>
      <c r="I133" s="16"/>
      <c r="J133" s="16"/>
      <c r="K133" s="16"/>
      <c r="L133" s="16"/>
      <c r="M133" s="735"/>
      <c r="N133" s="696"/>
      <c r="O133" s="696"/>
      <c r="P133" s="735"/>
      <c r="Q133" s="696"/>
      <c r="R133" s="696"/>
      <c r="S133" s="696"/>
      <c r="T133" s="696"/>
      <c r="U133" s="16"/>
      <c r="V133" s="16"/>
      <c r="W133" s="16"/>
      <c r="X133" s="16"/>
      <c r="Y133" s="16"/>
      <c r="Z133" s="16"/>
      <c r="AA133" s="16"/>
      <c r="AB133" s="16"/>
      <c r="AC133" s="16"/>
      <c r="AD133" s="16"/>
    </row>
    <row r="134" spans="1:30" ht="15.75" customHeight="1">
      <c r="A134" s="16"/>
      <c r="B134" s="16"/>
      <c r="C134" s="16"/>
      <c r="D134" s="16"/>
      <c r="E134" s="16"/>
      <c r="F134" s="16"/>
      <c r="G134" s="16"/>
      <c r="H134" s="16"/>
      <c r="I134" s="16"/>
      <c r="J134" s="16"/>
      <c r="K134" s="16"/>
      <c r="L134" s="16"/>
      <c r="M134" s="735"/>
      <c r="N134" s="696"/>
      <c r="O134" s="696"/>
      <c r="P134" s="696"/>
      <c r="Q134" s="696"/>
      <c r="R134" s="696"/>
      <c r="S134" s="696"/>
      <c r="T134" s="696"/>
      <c r="U134" s="16"/>
      <c r="V134" s="16"/>
      <c r="W134" s="16"/>
      <c r="X134" s="16"/>
      <c r="Y134" s="16"/>
      <c r="Z134" s="16"/>
      <c r="AA134" s="16"/>
      <c r="AB134" s="16"/>
      <c r="AC134" s="16"/>
      <c r="AD134" s="16"/>
    </row>
    <row r="135" spans="1:30" ht="15.75" customHeight="1">
      <c r="A135" s="16"/>
      <c r="B135" s="16"/>
      <c r="C135" s="16"/>
      <c r="D135" s="16"/>
      <c r="E135" s="16"/>
      <c r="F135" s="16"/>
      <c r="G135" s="16"/>
      <c r="H135" s="16"/>
      <c r="I135" s="16"/>
      <c r="J135" s="16"/>
      <c r="K135" s="16"/>
      <c r="L135" s="16"/>
      <c r="M135" s="735"/>
      <c r="N135" s="696"/>
      <c r="O135" s="696"/>
      <c r="P135" s="696"/>
      <c r="Q135" s="696"/>
      <c r="R135" s="696"/>
      <c r="S135" s="696"/>
      <c r="T135" s="696"/>
      <c r="U135" s="16"/>
      <c r="V135" s="16"/>
      <c r="W135" s="16"/>
      <c r="X135" s="16"/>
      <c r="Y135" s="16"/>
      <c r="Z135" s="16"/>
      <c r="AA135" s="16"/>
      <c r="AB135" s="16"/>
      <c r="AC135" s="16"/>
      <c r="AD135" s="16"/>
    </row>
    <row r="136" spans="1:30" ht="15.75" customHeight="1">
      <c r="A136" s="16"/>
      <c r="B136" s="16"/>
      <c r="C136" s="16"/>
      <c r="D136" s="16"/>
      <c r="E136" s="16"/>
      <c r="F136" s="16"/>
      <c r="G136" s="16"/>
      <c r="H136" s="16"/>
      <c r="I136" s="16"/>
      <c r="J136" s="16"/>
      <c r="K136" s="16"/>
      <c r="L136" s="16"/>
      <c r="M136" s="735"/>
      <c r="N136" s="696"/>
      <c r="O136" s="696"/>
      <c r="P136" s="696"/>
      <c r="Q136" s="696"/>
      <c r="R136" s="696"/>
      <c r="S136" s="696"/>
      <c r="T136" s="696"/>
      <c r="U136" s="16"/>
      <c r="V136" s="16"/>
      <c r="W136" s="16"/>
      <c r="X136" s="16"/>
      <c r="Y136" s="16"/>
      <c r="Z136" s="16"/>
      <c r="AA136" s="16"/>
      <c r="AB136" s="16"/>
      <c r="AC136" s="16"/>
      <c r="AD136" s="16"/>
    </row>
    <row r="137" spans="1:30" ht="15.75" customHeight="1">
      <c r="A137" s="16"/>
      <c r="B137" s="16"/>
      <c r="C137" s="16"/>
      <c r="D137" s="16"/>
      <c r="E137" s="16"/>
      <c r="F137" s="16"/>
      <c r="G137" s="16"/>
      <c r="H137" s="16"/>
      <c r="I137" s="16"/>
      <c r="J137" s="16"/>
      <c r="K137" s="16"/>
      <c r="L137" s="16"/>
      <c r="M137" s="735"/>
      <c r="N137" s="696"/>
      <c r="O137" s="696"/>
      <c r="P137" s="696"/>
      <c r="Q137" s="696"/>
      <c r="R137" s="696"/>
      <c r="S137" s="696"/>
      <c r="T137" s="696"/>
      <c r="U137" s="16"/>
      <c r="V137" s="16"/>
      <c r="W137" s="16"/>
      <c r="X137" s="16"/>
      <c r="Y137" s="16"/>
      <c r="Z137" s="16"/>
      <c r="AA137" s="16"/>
      <c r="AB137" s="16"/>
      <c r="AC137" s="16"/>
      <c r="AD137" s="16"/>
    </row>
    <row r="138" spans="1:30" ht="15.75" customHeight="1">
      <c r="A138" s="16"/>
      <c r="B138" s="16"/>
      <c r="C138" s="16"/>
      <c r="D138" s="16"/>
      <c r="E138" s="16"/>
      <c r="F138" s="16"/>
      <c r="G138" s="16"/>
      <c r="H138" s="16"/>
      <c r="I138" s="16"/>
      <c r="J138" s="16"/>
      <c r="K138" s="16"/>
      <c r="L138" s="16"/>
      <c r="M138" s="735"/>
      <c r="N138" s="696"/>
      <c r="O138" s="696"/>
      <c r="P138" s="696"/>
      <c r="Q138" s="696"/>
      <c r="R138" s="696"/>
      <c r="S138" s="696"/>
      <c r="T138" s="696"/>
      <c r="U138" s="16"/>
      <c r="V138" s="16"/>
      <c r="W138" s="16"/>
      <c r="X138" s="16"/>
      <c r="Y138" s="16"/>
      <c r="Z138" s="16"/>
      <c r="AA138" s="16"/>
      <c r="AB138" s="16"/>
      <c r="AC138" s="16"/>
      <c r="AD138" s="16"/>
    </row>
    <row r="139" spans="1:30" ht="15.75" customHeight="1">
      <c r="A139" s="16"/>
      <c r="B139" s="16"/>
      <c r="C139" s="16"/>
      <c r="D139" s="16"/>
      <c r="E139" s="16"/>
      <c r="F139" s="16"/>
      <c r="G139" s="16"/>
      <c r="H139" s="16"/>
      <c r="I139" s="16"/>
      <c r="J139" s="16"/>
      <c r="K139" s="16"/>
      <c r="L139" s="16"/>
      <c r="M139" s="735"/>
      <c r="N139" s="696"/>
      <c r="O139" s="696"/>
      <c r="P139" s="696"/>
      <c r="Q139" s="696"/>
      <c r="R139" s="696"/>
      <c r="S139" s="696"/>
      <c r="T139" s="696"/>
      <c r="U139" s="16"/>
      <c r="V139" s="16"/>
      <c r="W139" s="16"/>
      <c r="X139" s="16"/>
      <c r="Y139" s="16"/>
      <c r="Z139" s="16"/>
      <c r="AA139" s="16"/>
      <c r="AB139" s="16"/>
      <c r="AC139" s="16"/>
      <c r="AD139" s="16"/>
    </row>
    <row r="140" spans="1:30" ht="15.75" customHeight="1">
      <c r="A140" s="16"/>
      <c r="B140" s="16"/>
      <c r="C140" s="16"/>
      <c r="D140" s="16"/>
      <c r="E140" s="16"/>
      <c r="F140" s="16"/>
      <c r="G140" s="16"/>
      <c r="H140" s="16"/>
      <c r="I140" s="16"/>
      <c r="J140" s="16"/>
      <c r="K140" s="16"/>
      <c r="L140" s="16"/>
      <c r="M140" s="735"/>
      <c r="N140" s="696"/>
      <c r="O140" s="696"/>
      <c r="P140" s="696"/>
      <c r="Q140" s="696"/>
      <c r="R140" s="696"/>
      <c r="S140" s="696"/>
      <c r="T140" s="696"/>
      <c r="U140" s="16"/>
      <c r="V140" s="16"/>
      <c r="W140" s="16"/>
      <c r="X140" s="16"/>
      <c r="Y140" s="16"/>
      <c r="Z140" s="16"/>
      <c r="AA140" s="16"/>
      <c r="AB140" s="16"/>
      <c r="AC140" s="16"/>
      <c r="AD140" s="16"/>
    </row>
    <row r="141" spans="1:30" ht="15.75" customHeight="1">
      <c r="A141" s="16"/>
      <c r="B141" s="16"/>
      <c r="C141" s="16"/>
      <c r="D141" s="16"/>
      <c r="E141" s="16"/>
      <c r="F141" s="16"/>
      <c r="G141" s="16"/>
      <c r="H141" s="16"/>
      <c r="I141" s="16"/>
      <c r="J141" s="16"/>
      <c r="K141" s="16"/>
      <c r="L141" s="16"/>
      <c r="M141" s="735"/>
      <c r="N141" s="696"/>
      <c r="O141" s="696"/>
      <c r="P141" s="696"/>
      <c r="Q141" s="696"/>
      <c r="R141" s="696"/>
      <c r="S141" s="696"/>
      <c r="T141" s="696"/>
      <c r="U141" s="16"/>
      <c r="V141" s="16"/>
      <c r="W141" s="16"/>
      <c r="X141" s="16"/>
      <c r="Y141" s="16"/>
      <c r="Z141" s="16"/>
      <c r="AA141" s="16"/>
      <c r="AB141" s="16"/>
      <c r="AC141" s="16"/>
      <c r="AD141" s="16"/>
    </row>
    <row r="142" spans="1:30" ht="15.75" customHeight="1">
      <c r="A142" s="16"/>
      <c r="B142" s="16"/>
      <c r="C142" s="16"/>
      <c r="D142" s="16"/>
      <c r="E142" s="16"/>
      <c r="F142" s="16"/>
      <c r="G142" s="16"/>
      <c r="H142" s="16"/>
      <c r="I142" s="16"/>
      <c r="J142" s="16"/>
      <c r="K142" s="16"/>
      <c r="L142" s="16"/>
      <c r="M142" s="735"/>
      <c r="N142" s="696"/>
      <c r="O142" s="696"/>
      <c r="P142" s="696"/>
      <c r="Q142" s="696"/>
      <c r="R142" s="696"/>
      <c r="S142" s="696"/>
      <c r="T142" s="696"/>
      <c r="U142" s="16"/>
      <c r="V142" s="16"/>
      <c r="W142" s="16"/>
      <c r="X142" s="16"/>
      <c r="Y142" s="16"/>
      <c r="Z142" s="16"/>
      <c r="AA142" s="16"/>
      <c r="AB142" s="16"/>
      <c r="AC142" s="16"/>
      <c r="AD142" s="16"/>
    </row>
    <row r="143" spans="1:30" ht="15.75" customHeight="1">
      <c r="A143" s="16"/>
      <c r="B143" s="16"/>
      <c r="C143" s="16"/>
      <c r="D143" s="16"/>
      <c r="E143" s="16"/>
      <c r="F143" s="16"/>
      <c r="G143" s="16"/>
      <c r="H143" s="16"/>
      <c r="I143" s="16"/>
      <c r="J143" s="16"/>
      <c r="K143" s="16"/>
      <c r="L143" s="16"/>
      <c r="M143" s="735"/>
      <c r="N143" s="696"/>
      <c r="O143" s="696"/>
      <c r="P143" s="696"/>
      <c r="Q143" s="696"/>
      <c r="R143" s="696"/>
      <c r="S143" s="696"/>
      <c r="T143" s="696"/>
      <c r="U143" s="16"/>
      <c r="V143" s="16"/>
      <c r="W143" s="16"/>
      <c r="X143" s="16"/>
      <c r="Y143" s="16"/>
      <c r="Z143" s="16"/>
      <c r="AA143" s="16"/>
      <c r="AB143" s="16"/>
      <c r="AC143" s="16"/>
      <c r="AD143" s="16"/>
    </row>
    <row r="144" spans="1:30" ht="15.75" customHeight="1">
      <c r="A144" s="16"/>
      <c r="B144" s="16"/>
      <c r="C144" s="16"/>
      <c r="D144" s="16"/>
      <c r="E144" s="16"/>
      <c r="F144" s="16"/>
      <c r="G144" s="16"/>
      <c r="H144" s="16"/>
      <c r="I144" s="16"/>
      <c r="J144" s="16"/>
      <c r="K144" s="16"/>
      <c r="L144" s="16"/>
      <c r="M144" s="735"/>
      <c r="N144" s="696"/>
      <c r="O144" s="696"/>
      <c r="P144" s="696"/>
      <c r="Q144" s="696"/>
      <c r="R144" s="696"/>
      <c r="S144" s="696"/>
      <c r="T144" s="696"/>
      <c r="U144" s="16"/>
      <c r="V144" s="16"/>
      <c r="W144" s="16"/>
      <c r="X144" s="16"/>
      <c r="Y144" s="16"/>
      <c r="Z144" s="16"/>
      <c r="AA144" s="16"/>
      <c r="AB144" s="16"/>
      <c r="AC144" s="16"/>
      <c r="AD144" s="16"/>
    </row>
    <row r="145" spans="1:30" ht="15.75" customHeight="1">
      <c r="A145" s="16"/>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c r="Z145" s="16"/>
      <c r="AA145" s="16"/>
      <c r="AB145" s="16"/>
      <c r="AC145" s="16"/>
      <c r="AD145" s="16"/>
    </row>
    <row r="146" spans="1:30" ht="15.75" customHeight="1">
      <c r="A146" s="16"/>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c r="AA146" s="16"/>
      <c r="AB146" s="16"/>
      <c r="AC146" s="16"/>
      <c r="AD146" s="16"/>
    </row>
    <row r="147" spans="1:30" ht="15.75" customHeight="1">
      <c r="A147" s="16"/>
      <c r="B147" s="16"/>
      <c r="C147" s="16"/>
      <c r="D147" s="16"/>
      <c r="E147" s="16"/>
      <c r="F147" s="16"/>
      <c r="G147" s="16"/>
      <c r="H147" s="16"/>
      <c r="I147" s="16"/>
      <c r="J147" s="16"/>
      <c r="K147" s="16"/>
      <c r="L147" s="16"/>
      <c r="M147" s="735"/>
      <c r="N147" s="696"/>
      <c r="O147" s="696"/>
      <c r="P147" s="735"/>
      <c r="Q147" s="696"/>
      <c r="R147" s="696"/>
      <c r="S147" s="696"/>
      <c r="T147" s="696"/>
      <c r="U147" s="16"/>
      <c r="V147" s="16"/>
      <c r="W147" s="16"/>
      <c r="X147" s="16"/>
      <c r="Y147" s="16"/>
      <c r="Z147" s="16"/>
      <c r="AA147" s="16"/>
      <c r="AB147" s="16"/>
      <c r="AC147" s="16"/>
      <c r="AD147" s="16"/>
    </row>
    <row r="148" spans="1:30" ht="15.75" customHeight="1">
      <c r="A148" s="16"/>
      <c r="B148" s="16"/>
      <c r="C148" s="16"/>
      <c r="D148" s="16"/>
      <c r="E148" s="16"/>
      <c r="F148" s="16"/>
      <c r="G148" s="16"/>
      <c r="H148" s="16"/>
      <c r="I148" s="16"/>
      <c r="J148" s="16"/>
      <c r="K148" s="16"/>
      <c r="L148" s="16"/>
      <c r="M148" s="735"/>
      <c r="N148" s="696"/>
      <c r="O148" s="696"/>
      <c r="P148" s="735"/>
      <c r="Q148" s="696"/>
      <c r="R148" s="696"/>
      <c r="S148" s="696"/>
      <c r="T148" s="696"/>
      <c r="U148" s="16"/>
      <c r="V148" s="16"/>
      <c r="W148" s="16"/>
      <c r="X148" s="16"/>
      <c r="Y148" s="16"/>
      <c r="Z148" s="16"/>
      <c r="AA148" s="16"/>
      <c r="AB148" s="16"/>
      <c r="AC148" s="16"/>
      <c r="AD148" s="16"/>
    </row>
    <row r="149" spans="1:30" ht="15.75" customHeight="1">
      <c r="A149" s="16"/>
      <c r="B149" s="16"/>
      <c r="C149" s="16"/>
      <c r="D149" s="16"/>
      <c r="E149" s="16"/>
      <c r="F149" s="16"/>
      <c r="G149" s="16"/>
      <c r="H149" s="16"/>
      <c r="I149" s="16"/>
      <c r="J149" s="16"/>
      <c r="K149" s="16"/>
      <c r="L149" s="16"/>
      <c r="M149" s="735"/>
      <c r="N149" s="696"/>
      <c r="O149" s="696"/>
      <c r="P149" s="696"/>
      <c r="Q149" s="696"/>
      <c r="R149" s="696"/>
      <c r="S149" s="696"/>
      <c r="T149" s="696"/>
      <c r="U149" s="16"/>
      <c r="V149" s="16"/>
      <c r="W149" s="16"/>
      <c r="X149" s="16"/>
      <c r="Y149" s="16"/>
      <c r="Z149" s="16"/>
      <c r="AA149" s="16"/>
      <c r="AB149" s="16"/>
      <c r="AC149" s="16"/>
      <c r="AD149" s="16"/>
    </row>
    <row r="150" spans="1:30" ht="15.75" customHeight="1">
      <c r="A150" s="16"/>
      <c r="B150" s="16"/>
      <c r="C150" s="16"/>
      <c r="D150" s="16"/>
      <c r="E150" s="16"/>
      <c r="F150" s="16"/>
      <c r="G150" s="16"/>
      <c r="H150" s="16"/>
      <c r="I150" s="16"/>
      <c r="J150" s="16"/>
      <c r="K150" s="16"/>
      <c r="L150" s="16"/>
      <c r="M150" s="735"/>
      <c r="N150" s="696"/>
      <c r="O150" s="696"/>
      <c r="P150" s="696"/>
      <c r="Q150" s="696"/>
      <c r="R150" s="696"/>
      <c r="S150" s="696"/>
      <c r="T150" s="696"/>
      <c r="U150" s="16"/>
      <c r="V150" s="16"/>
      <c r="W150" s="16"/>
      <c r="X150" s="16"/>
      <c r="Y150" s="16"/>
      <c r="Z150" s="16"/>
      <c r="AA150" s="16"/>
      <c r="AB150" s="16"/>
      <c r="AC150" s="16"/>
      <c r="AD150" s="16"/>
    </row>
    <row r="151" spans="1:30" ht="15.75" customHeight="1">
      <c r="A151" s="16"/>
      <c r="B151" s="16"/>
      <c r="C151" s="16"/>
      <c r="D151" s="16"/>
      <c r="E151" s="16"/>
      <c r="F151" s="16"/>
      <c r="G151" s="16"/>
      <c r="H151" s="16"/>
      <c r="I151" s="16"/>
      <c r="J151" s="16"/>
      <c r="K151" s="16"/>
      <c r="L151" s="16"/>
      <c r="M151" s="735"/>
      <c r="N151" s="696"/>
      <c r="O151" s="696"/>
      <c r="P151" s="696"/>
      <c r="Q151" s="696"/>
      <c r="R151" s="696"/>
      <c r="S151" s="696"/>
      <c r="T151" s="696"/>
      <c r="U151" s="16"/>
      <c r="V151" s="16"/>
      <c r="W151" s="16"/>
      <c r="X151" s="16"/>
      <c r="Y151" s="16"/>
      <c r="Z151" s="16"/>
      <c r="AA151" s="16"/>
      <c r="AB151" s="16"/>
      <c r="AC151" s="16"/>
      <c r="AD151" s="16"/>
    </row>
    <row r="152" spans="1:30" ht="15.75" customHeight="1">
      <c r="A152" s="16"/>
      <c r="B152" s="16"/>
      <c r="C152" s="16"/>
      <c r="D152" s="16"/>
      <c r="E152" s="16"/>
      <c r="F152" s="16"/>
      <c r="G152" s="16"/>
      <c r="H152" s="16"/>
      <c r="I152" s="16"/>
      <c r="J152" s="16"/>
      <c r="K152" s="16"/>
      <c r="L152" s="16"/>
      <c r="M152" s="735"/>
      <c r="N152" s="696"/>
      <c r="O152" s="696"/>
      <c r="P152" s="696"/>
      <c r="Q152" s="696"/>
      <c r="R152" s="696"/>
      <c r="S152" s="696"/>
      <c r="T152" s="696"/>
      <c r="U152" s="16"/>
      <c r="V152" s="16"/>
      <c r="W152" s="16"/>
      <c r="X152" s="16"/>
      <c r="Y152" s="16"/>
      <c r="Z152" s="16"/>
      <c r="AA152" s="16"/>
      <c r="AB152" s="16"/>
      <c r="AC152" s="16"/>
      <c r="AD152" s="16"/>
    </row>
    <row r="153" spans="1:30" ht="15.75" customHeight="1">
      <c r="A153" s="16"/>
      <c r="B153" s="16"/>
      <c r="C153" s="16"/>
      <c r="D153" s="16"/>
      <c r="E153" s="16"/>
      <c r="F153" s="16"/>
      <c r="G153" s="16"/>
      <c r="H153" s="16"/>
      <c r="I153" s="16"/>
      <c r="J153" s="16"/>
      <c r="K153" s="16"/>
      <c r="L153" s="16"/>
      <c r="M153" s="735"/>
      <c r="N153" s="696"/>
      <c r="O153" s="696"/>
      <c r="P153" s="696"/>
      <c r="Q153" s="696"/>
      <c r="R153" s="696"/>
      <c r="S153" s="696"/>
      <c r="T153" s="696"/>
      <c r="U153" s="16"/>
      <c r="V153" s="16"/>
      <c r="W153" s="16"/>
      <c r="X153" s="16"/>
      <c r="Y153" s="16"/>
      <c r="Z153" s="16"/>
      <c r="AA153" s="16"/>
      <c r="AB153" s="16"/>
      <c r="AC153" s="16"/>
      <c r="AD153" s="16"/>
    </row>
    <row r="154" spans="1:30" ht="15.75" customHeight="1">
      <c r="A154" s="16"/>
      <c r="B154" s="16"/>
      <c r="C154" s="16"/>
      <c r="D154" s="16"/>
      <c r="E154" s="16"/>
      <c r="F154" s="16"/>
      <c r="G154" s="16"/>
      <c r="H154" s="16"/>
      <c r="I154" s="16"/>
      <c r="J154" s="16"/>
      <c r="K154" s="16"/>
      <c r="L154" s="16"/>
      <c r="M154" s="735"/>
      <c r="N154" s="696"/>
      <c r="O154" s="696"/>
      <c r="P154" s="696"/>
      <c r="Q154" s="696"/>
      <c r="R154" s="696"/>
      <c r="S154" s="696"/>
      <c r="T154" s="696"/>
      <c r="U154" s="16"/>
      <c r="V154" s="16"/>
      <c r="W154" s="16"/>
      <c r="X154" s="16"/>
      <c r="Y154" s="16"/>
      <c r="Z154" s="16"/>
      <c r="AA154" s="16"/>
      <c r="AB154" s="16"/>
      <c r="AC154" s="16"/>
      <c r="AD154" s="16"/>
    </row>
    <row r="155" spans="1:30" ht="15.75" customHeight="1">
      <c r="A155" s="16"/>
      <c r="B155" s="16"/>
      <c r="C155" s="16"/>
      <c r="D155" s="16"/>
      <c r="E155" s="16"/>
      <c r="F155" s="16"/>
      <c r="G155" s="16"/>
      <c r="H155" s="16"/>
      <c r="I155" s="16"/>
      <c r="J155" s="16"/>
      <c r="K155" s="16"/>
      <c r="L155" s="16"/>
      <c r="M155" s="735"/>
      <c r="N155" s="696"/>
      <c r="O155" s="696"/>
      <c r="P155" s="696"/>
      <c r="Q155" s="696"/>
      <c r="R155" s="696"/>
      <c r="S155" s="696"/>
      <c r="T155" s="696"/>
      <c r="U155" s="16"/>
      <c r="V155" s="16"/>
      <c r="W155" s="16"/>
      <c r="X155" s="16"/>
      <c r="Y155" s="16"/>
      <c r="Z155" s="16"/>
      <c r="AA155" s="16"/>
      <c r="AB155" s="16"/>
      <c r="AC155" s="16"/>
      <c r="AD155" s="16"/>
    </row>
    <row r="156" spans="1:30" ht="15.75" customHeight="1">
      <c r="A156" s="16"/>
      <c r="B156" s="16"/>
      <c r="C156" s="16"/>
      <c r="D156" s="16"/>
      <c r="E156" s="16"/>
      <c r="F156" s="16"/>
      <c r="G156" s="16"/>
      <c r="H156" s="16"/>
      <c r="I156" s="16"/>
      <c r="J156" s="16"/>
      <c r="K156" s="16"/>
      <c r="L156" s="16"/>
      <c r="M156" s="735"/>
      <c r="N156" s="696"/>
      <c r="O156" s="696"/>
      <c r="P156" s="696"/>
      <c r="Q156" s="696"/>
      <c r="R156" s="696"/>
      <c r="S156" s="696"/>
      <c r="T156" s="696"/>
      <c r="U156" s="16"/>
      <c r="V156" s="16"/>
      <c r="W156" s="16"/>
      <c r="X156" s="16"/>
      <c r="Y156" s="16"/>
      <c r="Z156" s="16"/>
      <c r="AA156" s="16"/>
      <c r="AB156" s="16"/>
      <c r="AC156" s="16"/>
      <c r="AD156" s="16"/>
    </row>
    <row r="157" spans="1:30" ht="15.75" customHeight="1">
      <c r="A157" s="16"/>
      <c r="B157" s="16"/>
      <c r="C157" s="16"/>
      <c r="D157" s="16"/>
      <c r="E157" s="16"/>
      <c r="F157" s="16"/>
      <c r="G157" s="16"/>
      <c r="H157" s="16"/>
      <c r="I157" s="16"/>
      <c r="J157" s="16"/>
      <c r="K157" s="16"/>
      <c r="L157" s="16"/>
      <c r="M157" s="735"/>
      <c r="N157" s="696"/>
      <c r="O157" s="696"/>
      <c r="P157" s="696"/>
      <c r="Q157" s="696"/>
      <c r="R157" s="696"/>
      <c r="S157" s="696"/>
      <c r="T157" s="696"/>
      <c r="U157" s="16"/>
      <c r="V157" s="16"/>
      <c r="W157" s="16"/>
      <c r="X157" s="16"/>
      <c r="Y157" s="16"/>
      <c r="Z157" s="16"/>
      <c r="AA157" s="16"/>
      <c r="AB157" s="16"/>
      <c r="AC157" s="16"/>
      <c r="AD157" s="16"/>
    </row>
    <row r="158" spans="1:30" ht="15.75" customHeight="1">
      <c r="A158" s="16"/>
      <c r="B158" s="16"/>
      <c r="C158" s="16"/>
      <c r="D158" s="16"/>
      <c r="E158" s="16"/>
      <c r="F158" s="16"/>
      <c r="G158" s="16"/>
      <c r="H158" s="16"/>
      <c r="I158" s="16"/>
      <c r="J158" s="16"/>
      <c r="K158" s="16"/>
      <c r="L158" s="16"/>
      <c r="M158" s="735"/>
      <c r="N158" s="696"/>
      <c r="O158" s="696"/>
      <c r="P158" s="696"/>
      <c r="Q158" s="696"/>
      <c r="R158" s="696"/>
      <c r="S158" s="696"/>
      <c r="T158" s="696"/>
      <c r="U158" s="16"/>
      <c r="V158" s="16"/>
      <c r="W158" s="16"/>
      <c r="X158" s="16"/>
      <c r="Y158" s="16"/>
      <c r="Z158" s="16"/>
      <c r="AA158" s="16"/>
      <c r="AB158" s="16"/>
      <c r="AC158" s="16"/>
      <c r="AD158" s="16"/>
    </row>
    <row r="159" spans="1:30" ht="15.75" customHeight="1">
      <c r="A159" s="16"/>
      <c r="B159" s="16"/>
      <c r="C159" s="16"/>
      <c r="D159" s="16"/>
      <c r="E159" s="16"/>
      <c r="F159" s="16"/>
      <c r="G159" s="16"/>
      <c r="H159" s="16"/>
      <c r="I159" s="16"/>
      <c r="J159" s="16"/>
      <c r="K159" s="16"/>
      <c r="L159" s="16"/>
      <c r="M159" s="735"/>
      <c r="N159" s="696"/>
      <c r="O159" s="696"/>
      <c r="P159" s="696"/>
      <c r="Q159" s="696"/>
      <c r="R159" s="696"/>
      <c r="S159" s="696"/>
      <c r="T159" s="696"/>
      <c r="U159" s="16"/>
      <c r="V159" s="16"/>
      <c r="W159" s="16"/>
      <c r="X159" s="16"/>
      <c r="Y159" s="16"/>
      <c r="Z159" s="16"/>
      <c r="AA159" s="16"/>
      <c r="AB159" s="16"/>
      <c r="AC159" s="16"/>
      <c r="AD159" s="16"/>
    </row>
    <row r="160" spans="1:30" ht="15.75" customHeight="1">
      <c r="A160" s="16"/>
      <c r="B160" s="16"/>
      <c r="C160" s="16"/>
      <c r="D160" s="16"/>
      <c r="E160" s="16"/>
      <c r="F160" s="16"/>
      <c r="G160" s="16"/>
      <c r="H160" s="16"/>
      <c r="I160" s="16"/>
      <c r="J160" s="16"/>
      <c r="K160" s="16"/>
      <c r="L160" s="16"/>
      <c r="M160" s="735"/>
      <c r="N160" s="696"/>
      <c r="O160" s="696"/>
      <c r="P160" s="696"/>
      <c r="Q160" s="696"/>
      <c r="R160" s="696"/>
      <c r="S160" s="696"/>
      <c r="T160" s="696"/>
      <c r="U160" s="16"/>
      <c r="V160" s="16"/>
      <c r="W160" s="16"/>
      <c r="X160" s="16"/>
      <c r="Y160" s="16"/>
      <c r="Z160" s="16"/>
      <c r="AA160" s="16"/>
      <c r="AB160" s="16"/>
      <c r="AC160" s="16"/>
      <c r="AD160" s="16"/>
    </row>
    <row r="161" spans="1:30" ht="15.75" customHeight="1">
      <c r="A161" s="16"/>
      <c r="B161" s="16"/>
      <c r="C161" s="16"/>
      <c r="D161" s="16"/>
      <c r="E161" s="16"/>
      <c r="F161" s="16"/>
      <c r="G161" s="16"/>
      <c r="H161" s="16"/>
      <c r="I161" s="16"/>
      <c r="J161" s="16"/>
      <c r="K161" s="16"/>
      <c r="L161" s="16"/>
      <c r="M161" s="735"/>
      <c r="N161" s="696"/>
      <c r="O161" s="696"/>
      <c r="P161" s="696"/>
      <c r="Q161" s="696"/>
      <c r="R161" s="696"/>
      <c r="S161" s="696"/>
      <c r="T161" s="696"/>
      <c r="U161" s="16"/>
      <c r="V161" s="16"/>
      <c r="W161" s="16"/>
      <c r="X161" s="16"/>
      <c r="Y161" s="16"/>
      <c r="Z161" s="16"/>
      <c r="AA161" s="16"/>
      <c r="AB161" s="16"/>
      <c r="AC161" s="16"/>
      <c r="AD161" s="16"/>
    </row>
    <row r="162" spans="1:30" ht="15.75" customHeight="1">
      <c r="A162" s="1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c r="Z162" s="16"/>
      <c r="AA162" s="16"/>
      <c r="AB162" s="16"/>
      <c r="AC162" s="16"/>
      <c r="AD162" s="16"/>
    </row>
    <row r="163" spans="1:30" ht="15.75" customHeight="1">
      <c r="A163" s="1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6"/>
      <c r="AA163" s="16"/>
      <c r="AB163" s="16"/>
      <c r="AC163" s="16"/>
      <c r="AD163" s="16"/>
    </row>
    <row r="164" spans="1:30" ht="15.75" customHeight="1">
      <c r="A164" s="16"/>
      <c r="B164" s="735"/>
      <c r="C164" s="696"/>
      <c r="D164" s="16"/>
      <c r="E164" s="16"/>
      <c r="F164" s="16"/>
      <c r="G164" s="16"/>
      <c r="H164" s="16"/>
      <c r="I164" s="16"/>
      <c r="J164" s="16"/>
      <c r="K164" s="16"/>
      <c r="L164" s="16"/>
      <c r="M164" s="735"/>
      <c r="N164" s="696"/>
      <c r="O164" s="696"/>
      <c r="P164" s="735"/>
      <c r="Q164" s="696"/>
      <c r="R164" s="696"/>
      <c r="S164" s="696"/>
      <c r="T164" s="696"/>
      <c r="U164" s="16"/>
      <c r="V164" s="16"/>
      <c r="W164" s="16"/>
      <c r="X164" s="16"/>
      <c r="Y164" s="16"/>
      <c r="Z164" s="16"/>
      <c r="AA164" s="16"/>
      <c r="AB164" s="16"/>
      <c r="AC164" s="16"/>
      <c r="AD164" s="16"/>
    </row>
    <row r="165" spans="1:30" ht="15.75" customHeight="1">
      <c r="A165" s="16"/>
      <c r="B165" s="735"/>
      <c r="C165" s="696"/>
      <c r="D165" s="16"/>
      <c r="E165" s="16"/>
      <c r="F165" s="16"/>
      <c r="G165" s="16"/>
      <c r="H165" s="16"/>
      <c r="I165" s="16"/>
      <c r="J165" s="16"/>
      <c r="K165" s="16"/>
      <c r="L165" s="16"/>
      <c r="M165" s="735"/>
      <c r="N165" s="696"/>
      <c r="O165" s="696"/>
      <c r="P165" s="735"/>
      <c r="Q165" s="696"/>
      <c r="R165" s="696"/>
      <c r="S165" s="696"/>
      <c r="T165" s="696"/>
      <c r="U165" s="16"/>
      <c r="V165" s="16"/>
      <c r="W165" s="16"/>
      <c r="X165" s="16"/>
      <c r="Y165" s="16"/>
      <c r="Z165" s="16"/>
      <c r="AA165" s="16"/>
      <c r="AB165" s="16"/>
      <c r="AC165" s="16"/>
      <c r="AD165" s="16"/>
    </row>
    <row r="166" spans="1:30" ht="15.75" customHeight="1">
      <c r="A166" s="16"/>
      <c r="B166" s="735"/>
      <c r="C166" s="696"/>
      <c r="D166" s="16"/>
      <c r="E166" s="16"/>
      <c r="F166" s="16"/>
      <c r="G166" s="16"/>
      <c r="H166" s="16"/>
      <c r="I166" s="16"/>
      <c r="J166" s="16"/>
      <c r="K166" s="16"/>
      <c r="L166" s="16"/>
      <c r="M166" s="735"/>
      <c r="N166" s="696"/>
      <c r="O166" s="696"/>
      <c r="P166" s="696"/>
      <c r="Q166" s="696"/>
      <c r="R166" s="696"/>
      <c r="S166" s="696"/>
      <c r="T166" s="696"/>
      <c r="U166" s="16"/>
      <c r="V166" s="16"/>
      <c r="W166" s="16"/>
      <c r="X166" s="16"/>
      <c r="Y166" s="16"/>
      <c r="Z166" s="16"/>
      <c r="AA166" s="16"/>
      <c r="AB166" s="16"/>
      <c r="AC166" s="16"/>
      <c r="AD166" s="16"/>
    </row>
    <row r="167" spans="1:30" ht="15.75" customHeight="1">
      <c r="A167" s="16"/>
      <c r="B167" s="735"/>
      <c r="C167" s="696"/>
      <c r="D167" s="16"/>
      <c r="E167" s="16"/>
      <c r="F167" s="16"/>
      <c r="G167" s="16"/>
      <c r="H167" s="16"/>
      <c r="I167" s="16"/>
      <c r="J167" s="16"/>
      <c r="K167" s="16"/>
      <c r="L167" s="16"/>
      <c r="M167" s="735"/>
      <c r="N167" s="696"/>
      <c r="O167" s="696"/>
      <c r="P167" s="696"/>
      <c r="Q167" s="696"/>
      <c r="R167" s="696"/>
      <c r="S167" s="696"/>
      <c r="T167" s="696"/>
      <c r="U167" s="16"/>
      <c r="V167" s="16"/>
      <c r="W167" s="16"/>
      <c r="X167" s="16"/>
      <c r="Y167" s="16"/>
      <c r="Z167" s="16"/>
      <c r="AA167" s="16"/>
      <c r="AB167" s="16"/>
      <c r="AC167" s="16"/>
      <c r="AD167" s="16"/>
    </row>
    <row r="168" spans="1:30" ht="15.75" customHeight="1">
      <c r="A168" s="16"/>
      <c r="B168" s="735"/>
      <c r="C168" s="696"/>
      <c r="D168" s="16"/>
      <c r="E168" s="16"/>
      <c r="F168" s="16"/>
      <c r="G168" s="16"/>
      <c r="H168" s="16"/>
      <c r="I168" s="16"/>
      <c r="J168" s="16"/>
      <c r="K168" s="16"/>
      <c r="L168" s="16"/>
      <c r="M168" s="735"/>
      <c r="N168" s="696"/>
      <c r="O168" s="696"/>
      <c r="P168" s="696"/>
      <c r="Q168" s="696"/>
      <c r="R168" s="696"/>
      <c r="S168" s="696"/>
      <c r="T168" s="696"/>
      <c r="U168" s="16"/>
      <c r="V168" s="16"/>
      <c r="W168" s="16"/>
      <c r="X168" s="16"/>
      <c r="Y168" s="16"/>
      <c r="Z168" s="16"/>
      <c r="AA168" s="16"/>
      <c r="AB168" s="16"/>
      <c r="AC168" s="16"/>
      <c r="AD168" s="16"/>
    </row>
    <row r="169" spans="1:30" ht="15.75" customHeight="1">
      <c r="A169" s="16"/>
      <c r="B169" s="735"/>
      <c r="C169" s="696"/>
      <c r="D169" s="16"/>
      <c r="E169" s="16"/>
      <c r="F169" s="16"/>
      <c r="G169" s="16"/>
      <c r="H169" s="16"/>
      <c r="I169" s="16"/>
      <c r="J169" s="16"/>
      <c r="K169" s="16"/>
      <c r="L169" s="16"/>
      <c r="M169" s="735"/>
      <c r="N169" s="696"/>
      <c r="O169" s="696"/>
      <c r="P169" s="696"/>
      <c r="Q169" s="696"/>
      <c r="R169" s="696"/>
      <c r="S169" s="696"/>
      <c r="T169" s="696"/>
      <c r="U169" s="16"/>
      <c r="V169" s="16"/>
      <c r="W169" s="16"/>
      <c r="X169" s="16"/>
      <c r="Y169" s="16"/>
      <c r="Z169" s="16"/>
      <c r="AA169" s="16"/>
      <c r="AB169" s="16"/>
      <c r="AC169" s="16"/>
      <c r="AD169" s="16"/>
    </row>
    <row r="170" spans="1:30" ht="15.75" customHeight="1">
      <c r="A170" s="16"/>
      <c r="B170" s="735"/>
      <c r="C170" s="696"/>
      <c r="D170" s="16"/>
      <c r="E170" s="16"/>
      <c r="F170" s="16"/>
      <c r="G170" s="16"/>
      <c r="H170" s="16"/>
      <c r="I170" s="16"/>
      <c r="J170" s="16"/>
      <c r="K170" s="16"/>
      <c r="L170" s="16"/>
      <c r="M170" s="735"/>
      <c r="N170" s="696"/>
      <c r="O170" s="696"/>
      <c r="P170" s="696"/>
      <c r="Q170" s="696"/>
      <c r="R170" s="696"/>
      <c r="S170" s="696"/>
      <c r="T170" s="696"/>
      <c r="U170" s="16"/>
      <c r="V170" s="16"/>
      <c r="W170" s="16"/>
      <c r="X170" s="16"/>
      <c r="Y170" s="16"/>
      <c r="Z170" s="16"/>
      <c r="AA170" s="16"/>
      <c r="AB170" s="16"/>
      <c r="AC170" s="16"/>
      <c r="AD170" s="16"/>
    </row>
    <row r="171" spans="1:30" ht="15.75" customHeight="1">
      <c r="A171" s="16"/>
      <c r="B171" s="735"/>
      <c r="C171" s="696"/>
      <c r="D171" s="16"/>
      <c r="E171" s="16"/>
      <c r="F171" s="16"/>
      <c r="G171" s="16"/>
      <c r="H171" s="16"/>
      <c r="I171" s="16"/>
      <c r="J171" s="16"/>
      <c r="K171" s="16"/>
      <c r="L171" s="16"/>
      <c r="M171" s="735"/>
      <c r="N171" s="696"/>
      <c r="O171" s="696"/>
      <c r="P171" s="696"/>
      <c r="Q171" s="696"/>
      <c r="R171" s="696"/>
      <c r="S171" s="696"/>
      <c r="T171" s="696"/>
      <c r="U171" s="16"/>
      <c r="V171" s="16"/>
      <c r="W171" s="16"/>
      <c r="X171" s="16"/>
      <c r="Y171" s="16"/>
      <c r="Z171" s="16"/>
      <c r="AA171" s="16"/>
      <c r="AB171" s="16"/>
      <c r="AC171" s="16"/>
      <c r="AD171" s="16"/>
    </row>
    <row r="172" spans="1:30" ht="15.75" customHeight="1">
      <c r="A172" s="16"/>
      <c r="B172" s="735"/>
      <c r="C172" s="696"/>
      <c r="D172" s="16"/>
      <c r="E172" s="16"/>
      <c r="F172" s="16"/>
      <c r="G172" s="16"/>
      <c r="H172" s="16"/>
      <c r="I172" s="16"/>
      <c r="J172" s="16"/>
      <c r="K172" s="16"/>
      <c r="L172" s="16"/>
      <c r="M172" s="735"/>
      <c r="N172" s="696"/>
      <c r="O172" s="696"/>
      <c r="P172" s="696"/>
      <c r="Q172" s="696"/>
      <c r="R172" s="696"/>
      <c r="S172" s="696"/>
      <c r="T172" s="696"/>
      <c r="U172" s="16"/>
      <c r="V172" s="16"/>
      <c r="W172" s="16"/>
      <c r="X172" s="16"/>
      <c r="Y172" s="16"/>
      <c r="Z172" s="16"/>
      <c r="AA172" s="16"/>
      <c r="AB172" s="16"/>
      <c r="AC172" s="16"/>
      <c r="AD172" s="16"/>
    </row>
    <row r="173" spans="1:30" ht="15.75" customHeight="1">
      <c r="A173" s="16"/>
      <c r="B173" s="735"/>
      <c r="C173" s="696"/>
      <c r="D173" s="16"/>
      <c r="E173" s="16"/>
      <c r="F173" s="16"/>
      <c r="G173" s="16"/>
      <c r="H173" s="16"/>
      <c r="I173" s="16"/>
      <c r="J173" s="16"/>
      <c r="K173" s="16"/>
      <c r="L173" s="16"/>
      <c r="M173" s="735"/>
      <c r="N173" s="696"/>
      <c r="O173" s="696"/>
      <c r="P173" s="696"/>
      <c r="Q173" s="696"/>
      <c r="R173" s="696"/>
      <c r="S173" s="696"/>
      <c r="T173" s="696"/>
      <c r="U173" s="16"/>
      <c r="V173" s="16"/>
      <c r="W173" s="16"/>
      <c r="X173" s="16"/>
      <c r="Y173" s="16"/>
      <c r="Z173" s="16"/>
      <c r="AA173" s="16"/>
      <c r="AB173" s="16"/>
      <c r="AC173" s="16"/>
      <c r="AD173" s="16"/>
    </row>
    <row r="174" spans="1:30" ht="15.75" customHeight="1">
      <c r="A174" s="16"/>
      <c r="B174" s="735"/>
      <c r="C174" s="696"/>
      <c r="D174" s="16"/>
      <c r="E174" s="16"/>
      <c r="F174" s="16"/>
      <c r="G174" s="16"/>
      <c r="H174" s="16"/>
      <c r="I174" s="16"/>
      <c r="J174" s="16"/>
      <c r="K174" s="16"/>
      <c r="L174" s="16"/>
      <c r="M174" s="735"/>
      <c r="N174" s="696"/>
      <c r="O174" s="696"/>
      <c r="P174" s="696"/>
      <c r="Q174" s="696"/>
      <c r="R174" s="696"/>
      <c r="S174" s="696"/>
      <c r="T174" s="696"/>
      <c r="U174" s="16"/>
      <c r="V174" s="16"/>
      <c r="W174" s="16"/>
      <c r="X174" s="16"/>
      <c r="Y174" s="16"/>
      <c r="Z174" s="16"/>
      <c r="AA174" s="16"/>
      <c r="AB174" s="16"/>
      <c r="AC174" s="16"/>
      <c r="AD174" s="16"/>
    </row>
    <row r="175" spans="1:30" ht="15.75" customHeight="1">
      <c r="A175" s="16"/>
      <c r="B175" s="735"/>
      <c r="C175" s="696"/>
      <c r="D175" s="16"/>
      <c r="E175" s="16"/>
      <c r="F175" s="16"/>
      <c r="G175" s="16"/>
      <c r="H175" s="16"/>
      <c r="I175" s="16"/>
      <c r="J175" s="16"/>
      <c r="K175" s="16"/>
      <c r="L175" s="16"/>
      <c r="M175" s="735"/>
      <c r="N175" s="696"/>
      <c r="O175" s="696"/>
      <c r="P175" s="696"/>
      <c r="Q175" s="696"/>
      <c r="R175" s="696"/>
      <c r="S175" s="696"/>
      <c r="T175" s="696"/>
      <c r="U175" s="16"/>
      <c r="V175" s="16"/>
      <c r="W175" s="16"/>
      <c r="X175" s="16"/>
      <c r="Y175" s="16"/>
      <c r="Z175" s="16"/>
      <c r="AA175" s="16"/>
      <c r="AB175" s="16"/>
      <c r="AC175" s="16"/>
      <c r="AD175" s="16"/>
    </row>
    <row r="176" spans="1:30" ht="15.75" customHeight="1">
      <c r="A176" s="16"/>
      <c r="B176" s="735"/>
      <c r="C176" s="696"/>
      <c r="D176" s="16"/>
      <c r="E176" s="16"/>
      <c r="F176" s="16"/>
      <c r="G176" s="16"/>
      <c r="H176" s="16"/>
      <c r="I176" s="16"/>
      <c r="J176" s="16"/>
      <c r="K176" s="16"/>
      <c r="L176" s="16"/>
      <c r="M176" s="735"/>
      <c r="N176" s="696"/>
      <c r="O176" s="696"/>
      <c r="P176" s="696"/>
      <c r="Q176" s="696"/>
      <c r="R176" s="696"/>
      <c r="S176" s="696"/>
      <c r="T176" s="696"/>
      <c r="U176" s="16"/>
      <c r="V176" s="16"/>
      <c r="W176" s="16"/>
      <c r="X176" s="16"/>
      <c r="Y176" s="16"/>
      <c r="Z176" s="16"/>
      <c r="AA176" s="16"/>
      <c r="AB176" s="16"/>
      <c r="AC176" s="16"/>
      <c r="AD176" s="16"/>
    </row>
    <row r="177" spans="1:30" ht="15.75" customHeight="1">
      <c r="A177" s="16"/>
      <c r="B177" s="735"/>
      <c r="C177" s="696"/>
      <c r="D177" s="16"/>
      <c r="E177" s="16"/>
      <c r="F177" s="16"/>
      <c r="G177" s="16"/>
      <c r="H177" s="16"/>
      <c r="I177" s="16"/>
      <c r="J177" s="16"/>
      <c r="K177" s="16"/>
      <c r="L177" s="16"/>
      <c r="M177" s="735"/>
      <c r="N177" s="696"/>
      <c r="O177" s="696"/>
      <c r="P177" s="696"/>
      <c r="Q177" s="696"/>
      <c r="R177" s="696"/>
      <c r="S177" s="696"/>
      <c r="T177" s="696"/>
      <c r="U177" s="16"/>
      <c r="V177" s="16"/>
      <c r="W177" s="16"/>
      <c r="X177" s="16"/>
      <c r="Y177" s="16"/>
      <c r="Z177" s="16"/>
      <c r="AA177" s="16"/>
      <c r="AB177" s="16"/>
      <c r="AC177" s="16"/>
      <c r="AD177" s="16"/>
    </row>
    <row r="178" spans="1:30" ht="15.75" customHeight="1">
      <c r="A178" s="16"/>
      <c r="B178" s="735"/>
      <c r="C178" s="696"/>
      <c r="D178" s="16"/>
      <c r="E178" s="16"/>
      <c r="F178" s="16"/>
      <c r="G178" s="16"/>
      <c r="H178" s="16"/>
      <c r="I178" s="16"/>
      <c r="J178" s="16"/>
      <c r="K178" s="16"/>
      <c r="L178" s="16"/>
      <c r="M178" s="735"/>
      <c r="N178" s="696"/>
      <c r="O178" s="696"/>
      <c r="P178" s="696"/>
      <c r="Q178" s="696"/>
      <c r="R178" s="696"/>
      <c r="S178" s="696"/>
      <c r="T178" s="696"/>
      <c r="U178" s="16"/>
      <c r="V178" s="16"/>
      <c r="W178" s="16"/>
      <c r="X178" s="16"/>
      <c r="Y178" s="16"/>
      <c r="Z178" s="16"/>
      <c r="AA178" s="16"/>
      <c r="AB178" s="16"/>
      <c r="AC178" s="16"/>
      <c r="AD178" s="16"/>
    </row>
    <row r="179" spans="1:30" ht="15.75" customHeight="1">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c r="AD179" s="16"/>
    </row>
    <row r="180" spans="1:30" ht="15.75" customHeight="1">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c r="AD180" s="16"/>
    </row>
    <row r="181" spans="1:30" ht="15.75" customHeight="1">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c r="AD181" s="16"/>
    </row>
    <row r="182" spans="1:30" ht="15.75" customHeight="1">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c r="AD182" s="16"/>
    </row>
    <row r="183" spans="1:30" ht="15.75" customHeight="1">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c r="AD183" s="16"/>
    </row>
    <row r="184" spans="1:30" ht="15.75" customHeight="1">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c r="AD184" s="16"/>
    </row>
    <row r="185" spans="1:30" ht="15.75" customHeight="1">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c r="AD185" s="16"/>
    </row>
    <row r="186" spans="1:30" ht="15.75" customHeight="1">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c r="AD186" s="16"/>
    </row>
    <row r="187" spans="1:30" ht="15.75" customHeight="1">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16"/>
      <c r="AB187" s="16"/>
      <c r="AC187" s="16"/>
      <c r="AD187" s="16"/>
    </row>
    <row r="188" spans="1:30" ht="15.75" customHeight="1">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c r="AD188" s="16"/>
    </row>
    <row r="189" spans="1:30" ht="15.75" customHeight="1">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c r="AD189" s="16"/>
    </row>
    <row r="190" spans="1:30" ht="15.75" customHeight="1">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c r="AD190" s="16"/>
    </row>
    <row r="191" spans="1:30" ht="15.75" customHeight="1">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c r="AD191" s="16"/>
    </row>
    <row r="192" spans="1:30" ht="15.75" customHeight="1">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c r="AD192" s="16"/>
    </row>
    <row r="193" spans="1:30" ht="15.75" customHeight="1">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c r="AA193" s="16"/>
      <c r="AB193" s="16"/>
      <c r="AC193" s="16"/>
      <c r="AD193" s="16"/>
    </row>
    <row r="194" spans="1:30" ht="15.75" customHeight="1">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c r="AA194" s="16"/>
      <c r="AB194" s="16"/>
      <c r="AC194" s="16"/>
      <c r="AD194" s="16"/>
    </row>
    <row r="195" spans="1:30" ht="15.75" customHeight="1">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c r="AA195" s="16"/>
      <c r="AB195" s="16"/>
      <c r="AC195" s="16"/>
      <c r="AD195" s="16"/>
    </row>
    <row r="196" spans="1:30" ht="15.75" customHeight="1">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c r="AA196" s="16"/>
      <c r="AB196" s="16"/>
      <c r="AC196" s="16"/>
      <c r="AD196" s="16"/>
    </row>
    <row r="197" spans="1:30" ht="15.75" customHeight="1">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c r="AD197" s="16"/>
    </row>
    <row r="198" spans="1:30" ht="15.75" customHeight="1">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c r="AD198" s="16"/>
    </row>
    <row r="199" spans="1:30" ht="15.75" customHeight="1">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c r="AA199" s="16"/>
      <c r="AB199" s="16"/>
      <c r="AC199" s="16"/>
      <c r="AD199" s="16"/>
    </row>
    <row r="200" spans="1:30" ht="15.75" customHeight="1">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c r="AA200" s="16"/>
      <c r="AB200" s="16"/>
      <c r="AC200" s="16"/>
      <c r="AD200" s="16"/>
    </row>
    <row r="201" spans="1:30" ht="15.75" customHeight="1">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c r="AD201" s="16"/>
    </row>
    <row r="202" spans="1:30" ht="15.75" customHeight="1">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c r="AD202" s="16"/>
    </row>
    <row r="203" spans="1:30" ht="15.75" customHeight="1">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c r="AA203" s="16"/>
      <c r="AB203" s="16"/>
      <c r="AC203" s="16"/>
      <c r="AD203" s="16"/>
    </row>
    <row r="204" spans="1:30" ht="15.75" customHeight="1">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c r="AA204" s="16"/>
      <c r="AB204" s="16"/>
      <c r="AC204" s="16"/>
      <c r="AD204" s="16"/>
    </row>
    <row r="205" spans="1:30" ht="15.75" customHeight="1">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c r="AD205" s="16"/>
    </row>
    <row r="206" spans="1:30" ht="15.75" customHeight="1">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row>
    <row r="207" spans="1:30" ht="15.75" customHeight="1">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c r="AD207" s="16"/>
    </row>
    <row r="208" spans="1:30" ht="15.75" customHeight="1">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c r="AD208" s="16"/>
    </row>
    <row r="209" spans="1:30" ht="15.75" customHeight="1">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c r="AD209" s="16"/>
    </row>
    <row r="210" spans="1:30" ht="15.75" customHeight="1">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c r="AD210" s="16"/>
    </row>
    <row r="211" spans="1:30" ht="15.75" customHeight="1">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row>
    <row r="212" spans="1:30" ht="15.75" customHeight="1">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c r="AD212" s="16"/>
    </row>
    <row r="213" spans="1:30" ht="15.75" customHeight="1">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c r="AD213" s="16"/>
    </row>
    <row r="214" spans="1:30" ht="15.75" customHeight="1">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row>
    <row r="215" spans="1:30" ht="15.75" customHeight="1">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c r="AD215" s="16"/>
    </row>
    <row r="216" spans="1:30" ht="15.75" customHeight="1">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c r="AD216" s="16"/>
    </row>
    <row r="217" spans="1:30" ht="15.75" customHeight="1">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c r="AD217" s="16"/>
    </row>
    <row r="218" spans="1:30" ht="15.75" customHeight="1">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c r="AD218" s="16"/>
    </row>
    <row r="219" spans="1:30" ht="15.75" customHeight="1">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c r="AD219" s="16"/>
    </row>
    <row r="220" spans="1:30" ht="15.75" customHeight="1">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c r="AD220" s="16"/>
    </row>
    <row r="221" spans="1:30" ht="15.75" customHeight="1">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row>
    <row r="222" spans="1:30" ht="15.75" customHeight="1">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row>
    <row r="223" spans="1:30" ht="15.75" customHeight="1">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c r="AD223" s="16"/>
    </row>
    <row r="224" spans="1:30" ht="15.75" customHeight="1">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c r="AD224" s="16"/>
    </row>
    <row r="225" spans="1:30" ht="15.75" customHeight="1">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16"/>
    </row>
    <row r="226" spans="1:30" ht="15.75" customHeight="1">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row>
    <row r="227" spans="1:30" ht="15.75" customHeight="1">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16"/>
    </row>
    <row r="228" spans="1:30" ht="15.75" customHeight="1">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c r="AD228" s="16"/>
    </row>
    <row r="229" spans="1:30" ht="15.75" customHeight="1">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c r="AD229" s="16"/>
    </row>
    <row r="230" spans="1:30" ht="15.75" customHeight="1">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row>
    <row r="231" spans="1:30" ht="15.75" customHeight="1">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c r="AD231" s="16"/>
    </row>
    <row r="232" spans="1:30" ht="15.75" customHeight="1">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c r="AD232" s="16"/>
    </row>
    <row r="233" spans="1:30" ht="15.75" customHeight="1">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c r="AD233" s="16"/>
    </row>
    <row r="234" spans="1:30" ht="15.75" customHeight="1">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c r="AD234" s="16"/>
    </row>
    <row r="235" spans="1:30" ht="15.75" customHeight="1">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row>
    <row r="236" spans="1:30" ht="15.75" customHeight="1">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c r="AD236" s="16"/>
    </row>
    <row r="237" spans="1:30" ht="15.75" customHeight="1">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c r="AD237" s="16"/>
    </row>
    <row r="238" spans="1:30" ht="15.75" customHeight="1">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c r="AD238" s="16"/>
    </row>
    <row r="239" spans="1:30" ht="15.75" customHeight="1">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c r="AD239" s="16"/>
    </row>
    <row r="240" spans="1:30" ht="15.75" customHeight="1">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c r="AD240" s="16"/>
    </row>
    <row r="241" spans="1:30" ht="15.75" customHeight="1">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c r="AD241" s="16"/>
    </row>
    <row r="242" spans="1:30" ht="15.75" customHeight="1">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c r="AD242" s="16"/>
    </row>
    <row r="243" spans="1:30" ht="15.75" customHeight="1">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c r="AD243" s="16"/>
    </row>
    <row r="244" spans="1:30" ht="15.75" customHeight="1">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16"/>
    </row>
    <row r="245" spans="1:30" ht="15.75" customHeight="1">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c r="AD245" s="16"/>
    </row>
    <row r="246" spans="1:30" ht="15.75" customHeight="1">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row>
    <row r="247" spans="1:30" ht="15.75" customHeight="1">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c r="AD247" s="16"/>
    </row>
    <row r="248" spans="1:30" ht="15.75" customHeight="1">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row>
    <row r="249" spans="1:30" ht="15.75" customHeight="1">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row>
    <row r="250" spans="1:30" ht="15.75" customHeight="1">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c r="AD250" s="16"/>
    </row>
    <row r="251" spans="1:30" ht="15.75" customHeight="1">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row>
    <row r="252" spans="1:30" ht="15.75" customHeight="1">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16"/>
    </row>
    <row r="253" spans="1:30" ht="15.75" customHeight="1">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c r="AD253" s="16"/>
    </row>
    <row r="254" spans="1:30" ht="15.75" customHeight="1">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row>
    <row r="255" spans="1:30" ht="15.75" customHeight="1">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c r="AD255" s="16"/>
    </row>
    <row r="256" spans="1:30" ht="15.75" customHeight="1">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row>
    <row r="257" spans="1:30" ht="15.75" customHeight="1">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c r="AD257" s="16"/>
    </row>
    <row r="258" spans="1:30" ht="15.75" customHeight="1">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c r="AD258" s="16"/>
    </row>
    <row r="259" spans="1:30" ht="15.75" customHeight="1">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row>
    <row r="260" spans="1:30" ht="15.75" customHeight="1">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row>
    <row r="261" spans="1:30" ht="15.75" customHeight="1">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c r="AD261" s="16"/>
    </row>
    <row r="262" spans="1:30" ht="15.75" customHeight="1">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row>
    <row r="263" spans="1:30" ht="15.75" customHeight="1">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row>
    <row r="264" spans="1:30" ht="15.75" customHeight="1">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c r="AD264" s="16"/>
    </row>
    <row r="265" spans="1:30" ht="15.75" customHeight="1">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row>
    <row r="266" spans="1:30" ht="15.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row>
    <row r="267" spans="1:30" ht="15.75" customHeight="1">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row>
    <row r="268" spans="1:30" ht="15.75" customHeight="1">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c r="AD268" s="16"/>
    </row>
    <row r="269" spans="1:30" ht="15.75" customHeight="1">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row>
    <row r="270" spans="1:30" ht="15.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row>
    <row r="271" spans="1:30" ht="15.75" customHeight="1">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c r="AD271" s="16"/>
    </row>
    <row r="272" spans="1:30" ht="15.75" customHeight="1">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c r="AD272" s="16"/>
    </row>
    <row r="273" spans="1:30" ht="15.75" customHeight="1">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c r="AD273" s="16"/>
    </row>
    <row r="274" spans="1:30" ht="15.75" customHeight="1">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c r="AD274" s="16"/>
    </row>
    <row r="275" spans="1:30" ht="15.75" customHeight="1">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c r="AD275" s="16"/>
    </row>
    <row r="276" spans="1:30" ht="15.75" customHeight="1">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row>
    <row r="277" spans="1:30" ht="15.75" customHeight="1">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16"/>
    </row>
    <row r="278" spans="1:30" ht="15.75" customHeight="1">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row>
    <row r="279" spans="1:30" ht="15.75" customHeight="1">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16"/>
    </row>
    <row r="280" spans="1:30" ht="15.75" customHeight="1">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c r="AD280" s="16"/>
    </row>
    <row r="281" spans="1:30" ht="15.75" customHeight="1">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c r="AD281" s="16"/>
    </row>
    <row r="282" spans="1:30" ht="15.75" customHeight="1">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c r="AD282" s="16"/>
    </row>
    <row r="283" spans="1:30" ht="15.75" customHeight="1">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c r="AD283" s="16"/>
    </row>
    <row r="284" spans="1:30" ht="15.75" customHeight="1">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c r="AD284" s="16"/>
    </row>
    <row r="285" spans="1:30" ht="15.75" customHeight="1">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c r="AD285" s="16"/>
    </row>
    <row r="286" spans="1:30" ht="15.75" customHeight="1">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row>
    <row r="287" spans="1:30" ht="15.75" customHeight="1">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row>
    <row r="288" spans="1:30" ht="15.75" customHeight="1">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row>
    <row r="289" spans="1:30" ht="15.75" customHeight="1">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row>
    <row r="290" spans="1:30" ht="15.75" customHeight="1">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row>
    <row r="291" spans="1:30" ht="15.75" customHeight="1">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c r="AD291" s="16"/>
    </row>
    <row r="292" spans="1:30" ht="15.75" customHeight="1">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row>
    <row r="293" spans="1:30" ht="15.75" customHeight="1">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row>
    <row r="294" spans="1:30" ht="15.75" customHeight="1">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row>
    <row r="295" spans="1:30" ht="15.75" customHeight="1">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row>
    <row r="296" spans="1:30" ht="15.75" customHeight="1">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row>
    <row r="297" spans="1:30" ht="15.75" customHeight="1">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row>
    <row r="298" spans="1:30" ht="15.75" customHeight="1">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row>
    <row r="299" spans="1:30" ht="15.75" customHeight="1">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row>
    <row r="300" spans="1:30" ht="15.75" customHeight="1">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row>
    <row r="301" spans="1:30" ht="15.75" customHeight="1">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c r="AD301" s="16"/>
    </row>
    <row r="302" spans="1:30" ht="15.75" customHeight="1">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c r="AD302" s="16"/>
    </row>
    <row r="303" spans="1:30" ht="15.75" customHeight="1">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row>
    <row r="304" spans="1:30" ht="15.75" customHeight="1">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c r="AD304" s="16"/>
    </row>
    <row r="305" spans="1:30" ht="15.75" customHeight="1">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c r="AD305" s="16"/>
    </row>
    <row r="306" spans="1:30" ht="15.75" customHeight="1">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c r="AA306" s="16"/>
      <c r="AB306" s="16"/>
      <c r="AC306" s="16"/>
      <c r="AD306" s="16"/>
    </row>
    <row r="307" spans="1:30" ht="15.75" customHeight="1">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c r="AA307" s="16"/>
      <c r="AB307" s="16"/>
      <c r="AC307" s="16"/>
      <c r="AD307" s="16"/>
    </row>
    <row r="308" spans="1:30" ht="15.75" customHeight="1">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c r="AA308" s="16"/>
      <c r="AB308" s="16"/>
      <c r="AC308" s="16"/>
      <c r="AD308" s="16"/>
    </row>
    <row r="309" spans="1:30" ht="15.75" customHeight="1">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c r="AA309" s="16"/>
      <c r="AB309" s="16"/>
      <c r="AC309" s="16"/>
      <c r="AD309" s="16"/>
    </row>
    <row r="310" spans="1:30" ht="15.75" customHeight="1">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c r="AA310" s="16"/>
      <c r="AB310" s="16"/>
      <c r="AC310" s="16"/>
      <c r="AD310" s="16"/>
    </row>
    <row r="311" spans="1:30" ht="15.75" customHeight="1">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c r="AA311" s="16"/>
      <c r="AB311" s="16"/>
      <c r="AC311" s="16"/>
      <c r="AD311" s="16"/>
    </row>
    <row r="312" spans="1:30" ht="15.75" customHeight="1">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c r="AA312" s="16"/>
      <c r="AB312" s="16"/>
      <c r="AC312" s="16"/>
      <c r="AD312" s="16"/>
    </row>
    <row r="313" spans="1:30" ht="15.75" customHeight="1">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c r="AA313" s="16"/>
      <c r="AB313" s="16"/>
      <c r="AC313" s="16"/>
      <c r="AD313" s="16"/>
    </row>
    <row r="314" spans="1:30" ht="15.75" customHeight="1">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c r="AA314" s="16"/>
      <c r="AB314" s="16"/>
      <c r="AC314" s="16"/>
      <c r="AD314" s="16"/>
    </row>
    <row r="315" spans="1:30" ht="15.75" customHeight="1"/>
    <row r="316" spans="1:30" ht="15.75" customHeight="1"/>
    <row r="317" spans="1:30" ht="15.75" customHeight="1"/>
    <row r="318" spans="1:30" ht="15.75" customHeight="1"/>
    <row r="319" spans="1:30" ht="15.75" customHeight="1"/>
    <row r="320" spans="1:3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sheetData>
  <mergeCells count="99">
    <mergeCell ref="H38:J46"/>
    <mergeCell ref="A29:F29"/>
    <mergeCell ref="A1:C1"/>
    <mergeCell ref="E1:H1"/>
    <mergeCell ref="D7:I7"/>
    <mergeCell ref="D8:I8"/>
    <mergeCell ref="A28:F28"/>
    <mergeCell ref="A30:F30"/>
    <mergeCell ref="A31:F31"/>
    <mergeCell ref="A32:F32"/>
    <mergeCell ref="A34:F34"/>
    <mergeCell ref="H37:J37"/>
    <mergeCell ref="I49:K49"/>
    <mergeCell ref="I50:K54"/>
    <mergeCell ref="K58:M58"/>
    <mergeCell ref="K59:M76"/>
    <mergeCell ref="K79:O79"/>
    <mergeCell ref="K80:O96"/>
    <mergeCell ref="P80:Q96"/>
    <mergeCell ref="H100:I100"/>
    <mergeCell ref="J100:K100"/>
    <mergeCell ref="H101:I114"/>
    <mergeCell ref="J101:K114"/>
    <mergeCell ref="AG29:AH29"/>
    <mergeCell ref="AI29:AJ29"/>
    <mergeCell ref="AG30:AH40"/>
    <mergeCell ref="AI30:AJ40"/>
    <mergeCell ref="P124:R124"/>
    <mergeCell ref="P79:Q79"/>
    <mergeCell ref="P125:R125"/>
    <mergeCell ref="P126:R126"/>
    <mergeCell ref="P127:R127"/>
    <mergeCell ref="P128:R128"/>
    <mergeCell ref="P129:R129"/>
    <mergeCell ref="M144:O144"/>
    <mergeCell ref="P130:R130"/>
    <mergeCell ref="M132:O132"/>
    <mergeCell ref="P132:T132"/>
    <mergeCell ref="M133:O133"/>
    <mergeCell ref="P133:T144"/>
    <mergeCell ref="M134:O134"/>
    <mergeCell ref="M135:O135"/>
    <mergeCell ref="M136:O136"/>
    <mergeCell ref="M137:O137"/>
    <mergeCell ref="M138:O138"/>
    <mergeCell ref="M139:O139"/>
    <mergeCell ref="M140:O140"/>
    <mergeCell ref="M141:O141"/>
    <mergeCell ref="M142:O142"/>
    <mergeCell ref="M143:O143"/>
    <mergeCell ref="M160:O160"/>
    <mergeCell ref="M147:O147"/>
    <mergeCell ref="P147:T147"/>
    <mergeCell ref="M148:O148"/>
    <mergeCell ref="P148:T161"/>
    <mergeCell ref="M149:O149"/>
    <mergeCell ref="M150:O150"/>
    <mergeCell ref="M151:O151"/>
    <mergeCell ref="M152:O152"/>
    <mergeCell ref="M153:O153"/>
    <mergeCell ref="M154:O154"/>
    <mergeCell ref="M155:O155"/>
    <mergeCell ref="M156:O156"/>
    <mergeCell ref="M157:O157"/>
    <mergeCell ref="M158:O158"/>
    <mergeCell ref="M159:O159"/>
    <mergeCell ref="M161:O161"/>
    <mergeCell ref="B164:C164"/>
    <mergeCell ref="M164:O164"/>
    <mergeCell ref="P164:T164"/>
    <mergeCell ref="B165:C165"/>
    <mergeCell ref="M165:O165"/>
    <mergeCell ref="P165:T178"/>
    <mergeCell ref="B166:C166"/>
    <mergeCell ref="M166:O166"/>
    <mergeCell ref="B167:C167"/>
    <mergeCell ref="M173:O173"/>
    <mergeCell ref="M167:O167"/>
    <mergeCell ref="B168:C168"/>
    <mergeCell ref="M168:O168"/>
    <mergeCell ref="B169:C169"/>
    <mergeCell ref="M169:O169"/>
    <mergeCell ref="B178:C178"/>
    <mergeCell ref="M178:O178"/>
    <mergeCell ref="B174:C174"/>
    <mergeCell ref="M174:O174"/>
    <mergeCell ref="B175:C175"/>
    <mergeCell ref="M175:O175"/>
    <mergeCell ref="B176:C176"/>
    <mergeCell ref="M176:O176"/>
    <mergeCell ref="B173:C173"/>
    <mergeCell ref="B170:C170"/>
    <mergeCell ref="M170:O170"/>
    <mergeCell ref="B177:C177"/>
    <mergeCell ref="M177:O177"/>
    <mergeCell ref="B171:C171"/>
    <mergeCell ref="M171:O171"/>
    <mergeCell ref="B172:C172"/>
    <mergeCell ref="M172:O172"/>
  </mergeCells>
  <conditionalFormatting sqref="I59:I75">
    <cfRule type="containsText" dxfId="255" priority="1" operator="containsText" text="5">
      <formula>NOT(ISERROR(SEARCH(("5"),(I59))))</formula>
    </cfRule>
    <cfRule type="containsText" dxfId="254" priority="2" operator="containsText" text="42">
      <formula>NOT(ISERROR(SEARCH(("42"),(I59))))</formula>
    </cfRule>
    <cfRule type="containsText" dxfId="253" priority="3" operator="containsText" text="Please fill in">
      <formula>NOT(ISERROR(SEARCH(("Please fill in"),(I59))))</formula>
    </cfRule>
  </conditionalFormatting>
  <dataValidations count="4">
    <dataValidation type="list" allowBlank="1" showErrorMessage="1" sqref="D54 H75:H76" xr:uid="{D984329F-6E01-6B42-B4A4-331C59F9DF88}">
      <formula1>Skeuvel!TypesOfTrainers</formula1>
    </dataValidation>
    <dataValidation type="list" allowBlank="1" showErrorMessage="1" sqref="B9" xr:uid="{290D6D53-B471-D74A-A9D7-FDFD40695F18}">
      <formula1>"yes,no,partial"</formula1>
    </dataValidation>
    <dataValidation type="list" allowBlank="1" sqref="G50:G54" xr:uid="{BAA7ECF8-1FF4-FF41-B067-5B44EABFD171}">
      <formula1>"yes,no"</formula1>
    </dataValidation>
    <dataValidation type="list" allowBlank="1" showErrorMessage="1" sqref="D50:D53 H59:H74" xr:uid="{72EC57D3-FE5C-B24D-8110-AD45A68A76A2}">
      <formula1>'https://universiteittwente.sharepoint.com/sites/SportsCoordinatorsSUT/Gedeelde documenten/General/(WIP) FAM Sheets - Regulations 2025-28 - Version April 2025.xlsx'!TypesOfTrainers</formula1>
    </dataValidation>
  </dataValidations>
  <pageMargins left="0.7" right="0.7" top="0.75" bottom="0.75" header="0" footer="0"/>
  <pageSetup paperSize="9" orientation="portrait"/>
  <drawing r:id="rId1"/>
  <legacyDrawing r:id="rId2"/>
  <tableParts count="6">
    <tablePart r:id="rId3"/>
    <tablePart r:id="rId4"/>
    <tablePart r:id="rId5"/>
    <tablePart r:id="rId6"/>
    <tablePart r:id="rId7"/>
    <tablePart r:id="rId8"/>
  </tableParts>
  <extLst>
    <ext xmlns:x14="http://schemas.microsoft.com/office/spreadsheetml/2009/9/main" uri="{CCE6A557-97BC-4b89-ADB6-D9C93CAAB3DF}">
      <x14:dataValidations xmlns:xm="http://schemas.microsoft.com/office/excel/2006/main" count="4">
        <x14:dataValidation type="list" allowBlank="1" showInputMessage="1" showErrorMessage="1" xr:uid="{A8F61CBD-B154-2644-B459-FF9EF4EB5833}">
          <x14:formula1>
            <xm:f>Constants!$M$6:$M$7</xm:f>
          </x14:formula1>
          <xm:sqref>B109:B116</xm:sqref>
        </x14:dataValidation>
        <x14:dataValidation type="list" allowBlank="1" showInputMessage="1" showErrorMessage="1" xr:uid="{B53249B5-BDF3-844A-B71E-817FEBAB3C7D}">
          <x14:formula1>
            <xm:f>Constants!$C$55:$C$56</xm:f>
          </x14:formula1>
          <xm:sqref>B12</xm:sqref>
        </x14:dataValidation>
        <x14:dataValidation type="list" allowBlank="1" showErrorMessage="1" xr:uid="{F1A7DB63-5129-CB4F-B885-BA51AE951A6D}">
          <x14:formula1>
            <xm:f>Constants!$H$6:$H$13</xm:f>
          </x14:formula1>
          <xm:sqref>B59:B76</xm:sqref>
        </x14:dataValidation>
        <x14:dataValidation type="list" allowBlank="1" showErrorMessage="1" xr:uid="{BC043FCD-A245-D741-94DD-822F66D615C8}">
          <x14:formula1>
            <xm:f>Constants!$A$2:$AD$2</xm:f>
          </x14:formula1>
          <xm:sqref>B80:B96</xm:sqref>
        </x14:dataValidation>
      </x14:dataValidation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0887C9-B784-F141-A43C-28ACFDB35334}">
  <dimension ref="A1:BG1004"/>
  <sheetViews>
    <sheetView topLeftCell="Y13" workbookViewId="0">
      <selection activeCell="AF30" sqref="AF30"/>
    </sheetView>
  </sheetViews>
  <sheetFormatPr defaultColWidth="12.625" defaultRowHeight="15" customHeight="1"/>
  <cols>
    <col min="1" max="1" width="36.625" customWidth="1"/>
    <col min="2" max="2" width="28.125" customWidth="1"/>
    <col min="3" max="3" width="21" customWidth="1"/>
    <col min="4" max="4" width="17.5" customWidth="1"/>
    <col min="5" max="5" width="16.125" customWidth="1"/>
    <col min="6" max="6" width="21.5" customWidth="1"/>
    <col min="7" max="7" width="22.625" customWidth="1"/>
    <col min="8" max="8" width="18.625" customWidth="1"/>
    <col min="9" max="9" width="19.625" customWidth="1"/>
    <col min="10" max="10" width="18.875" customWidth="1"/>
    <col min="11" max="11" width="21.625" customWidth="1"/>
    <col min="12" max="12" width="17.375" customWidth="1"/>
    <col min="13" max="13" width="15.125" customWidth="1"/>
    <col min="14" max="14" width="15.625" customWidth="1"/>
    <col min="15" max="15" width="28.5" customWidth="1"/>
    <col min="16" max="16" width="13.125" customWidth="1"/>
    <col min="17" max="17" width="21.875" customWidth="1"/>
    <col min="18" max="18" width="27" customWidth="1"/>
    <col min="19" max="19" width="20.5" customWidth="1"/>
    <col min="20" max="22" width="7.625" customWidth="1"/>
    <col min="23" max="23" width="31.875" customWidth="1"/>
    <col min="24" max="24" width="7.625" customWidth="1"/>
    <col min="25" max="25" width="8.375" customWidth="1"/>
    <col min="26" max="26" width="21.625" customWidth="1"/>
    <col min="27" max="27" width="12" customWidth="1"/>
    <col min="28" max="28" width="16.5" customWidth="1"/>
    <col min="29" max="29" width="6" customWidth="1"/>
    <col min="30" max="30" width="13.625" customWidth="1"/>
  </cols>
  <sheetData>
    <row r="1" spans="1:59" ht="171" customHeight="1">
      <c r="A1" s="703"/>
      <c r="B1" s="704"/>
      <c r="C1" s="705"/>
      <c r="D1" s="16"/>
      <c r="E1" s="572" t="s">
        <v>1696</v>
      </c>
      <c r="F1" s="704"/>
      <c r="G1" s="704"/>
      <c r="H1" s="705"/>
      <c r="I1" s="16"/>
      <c r="J1" s="16"/>
      <c r="K1" s="16"/>
      <c r="L1" s="16"/>
      <c r="M1" s="16"/>
      <c r="N1" s="16"/>
      <c r="O1" s="16"/>
      <c r="P1" s="16"/>
      <c r="Q1" s="16"/>
      <c r="R1" s="16"/>
      <c r="S1" s="16"/>
      <c r="T1" s="16"/>
      <c r="U1" s="16"/>
      <c r="V1" s="16"/>
      <c r="W1" s="16"/>
      <c r="X1" s="16"/>
      <c r="Y1" s="16"/>
      <c r="Z1" s="16"/>
      <c r="AA1" s="16"/>
      <c r="AB1" s="16"/>
      <c r="AC1" s="16"/>
      <c r="AD1" s="16"/>
    </row>
    <row r="2" spans="1:59">
      <c r="A2" s="58" t="s">
        <v>404</v>
      </c>
      <c r="B2" s="152" t="s">
        <v>405</v>
      </c>
      <c r="C2" s="59"/>
      <c r="D2" s="16"/>
      <c r="E2" s="60" t="s">
        <v>406</v>
      </c>
      <c r="F2" s="153"/>
      <c r="G2" s="154"/>
      <c r="H2" s="61"/>
      <c r="I2" s="16"/>
      <c r="J2" s="16"/>
      <c r="K2" s="16"/>
      <c r="L2" s="16"/>
      <c r="M2" s="16"/>
      <c r="N2" s="16"/>
      <c r="O2" s="16"/>
      <c r="P2" s="16"/>
      <c r="Q2" s="16"/>
      <c r="R2" s="16"/>
      <c r="S2" s="16"/>
      <c r="T2" s="16"/>
      <c r="U2" s="16"/>
      <c r="V2" s="16"/>
      <c r="W2" s="16"/>
      <c r="X2" s="16"/>
      <c r="Y2" s="16"/>
      <c r="Z2" s="15"/>
      <c r="AA2" s="15"/>
      <c r="AB2" s="15"/>
      <c r="AC2" s="15"/>
      <c r="AD2" s="16"/>
      <c r="AE2" s="16"/>
      <c r="AF2" s="16"/>
      <c r="AG2" s="16"/>
      <c r="AH2" s="16"/>
      <c r="AI2" s="17"/>
      <c r="AJ2" s="17"/>
      <c r="AK2" s="17"/>
      <c r="AL2" s="17"/>
      <c r="AM2" s="17"/>
      <c r="AN2" s="17"/>
      <c r="AO2" s="17"/>
      <c r="AP2" s="17"/>
      <c r="AQ2" s="17"/>
      <c r="AR2" s="18"/>
      <c r="AS2" s="17"/>
      <c r="AT2" s="17"/>
      <c r="AU2" s="16"/>
      <c r="AV2" s="16"/>
      <c r="AW2" s="16"/>
      <c r="AX2" s="16"/>
      <c r="AY2" s="16"/>
      <c r="AZ2" s="16"/>
      <c r="BA2" s="16"/>
    </row>
    <row r="3" spans="1:59">
      <c r="A3" s="62" t="s">
        <v>408</v>
      </c>
      <c r="B3" s="155">
        <v>1</v>
      </c>
      <c r="C3" s="156"/>
      <c r="D3" s="16"/>
      <c r="E3" s="63" t="s">
        <v>409</v>
      </c>
      <c r="F3" s="157"/>
      <c r="G3" s="158"/>
      <c r="H3" s="159"/>
      <c r="I3" s="16"/>
      <c r="J3" s="16"/>
      <c r="K3" s="16"/>
      <c r="L3" s="16"/>
      <c r="M3" s="16"/>
      <c r="N3" s="16"/>
      <c r="O3" s="16"/>
      <c r="P3" s="16"/>
      <c r="Q3" s="16"/>
      <c r="R3" s="16"/>
      <c r="S3" s="16"/>
      <c r="T3" s="16"/>
      <c r="U3" s="16"/>
      <c r="V3" s="16"/>
      <c r="W3" s="16"/>
      <c r="X3" s="16"/>
      <c r="Y3" s="16"/>
      <c r="Z3" s="16"/>
      <c r="AA3" s="16"/>
      <c r="AB3" s="16"/>
      <c r="AC3" s="16"/>
      <c r="AD3" s="16"/>
    </row>
    <row r="4" spans="1:59">
      <c r="A4" s="160" t="s">
        <v>410</v>
      </c>
      <c r="B4" s="161">
        <v>45812</v>
      </c>
      <c r="C4" s="162"/>
      <c r="D4" s="16"/>
      <c r="E4" s="163"/>
      <c r="F4" s="164"/>
      <c r="G4" s="165"/>
      <c r="H4" s="166"/>
      <c r="I4" s="16"/>
      <c r="J4" s="16"/>
      <c r="K4" s="16"/>
      <c r="L4" s="16"/>
      <c r="M4" s="16"/>
      <c r="N4" s="16"/>
      <c r="O4" s="16"/>
      <c r="P4" s="16"/>
      <c r="Q4" s="16"/>
      <c r="R4" s="16"/>
      <c r="S4" s="16"/>
      <c r="T4" s="16"/>
      <c r="U4" s="16"/>
      <c r="V4" s="16"/>
      <c r="W4" s="16"/>
      <c r="X4" s="16"/>
      <c r="Y4" s="16"/>
      <c r="Z4" s="16"/>
      <c r="AA4" s="16"/>
      <c r="AB4" s="16"/>
      <c r="AC4" s="16"/>
      <c r="AD4" s="16"/>
    </row>
    <row r="5" spans="1:59">
      <c r="A5" s="167" t="s">
        <v>411</v>
      </c>
      <c r="B5" s="168"/>
      <c r="C5" s="167"/>
      <c r="D5" s="16"/>
      <c r="E5" s="169" t="s">
        <v>412</v>
      </c>
      <c r="F5" s="169"/>
      <c r="G5" s="158"/>
      <c r="H5" s="169"/>
      <c r="I5" s="16"/>
      <c r="J5" s="16"/>
      <c r="K5" s="16"/>
      <c r="L5" s="16"/>
      <c r="M5" s="16"/>
      <c r="N5" s="16"/>
      <c r="O5" s="16"/>
      <c r="P5" s="16"/>
      <c r="Q5" s="16"/>
      <c r="R5" s="16"/>
      <c r="S5" s="16"/>
      <c r="T5" s="16"/>
      <c r="U5" s="16"/>
      <c r="V5" s="16"/>
      <c r="W5" s="16"/>
      <c r="X5" s="16"/>
      <c r="Y5" s="16"/>
      <c r="Z5" s="16"/>
      <c r="AA5" s="16"/>
      <c r="AB5" s="16"/>
      <c r="AC5" s="16"/>
      <c r="AD5" s="16"/>
    </row>
    <row r="6" spans="1:59">
      <c r="A6" s="15"/>
      <c r="B6" s="64"/>
      <c r="C6" s="16"/>
      <c r="D6" s="16"/>
      <c r="E6" s="16"/>
      <c r="F6" s="16"/>
      <c r="G6" s="16"/>
      <c r="H6" s="16"/>
      <c r="I6" s="16"/>
      <c r="J6" s="64"/>
      <c r="K6" s="16"/>
      <c r="L6" s="16"/>
      <c r="M6" s="16"/>
      <c r="N6" s="16"/>
      <c r="O6" s="16"/>
      <c r="P6" s="16"/>
      <c r="Q6" s="16"/>
      <c r="R6" s="16"/>
      <c r="S6" s="16"/>
      <c r="T6" s="16"/>
      <c r="U6" s="16"/>
      <c r="V6" s="16"/>
      <c r="W6" s="16"/>
      <c r="X6" s="16"/>
      <c r="Y6" s="16"/>
      <c r="Z6" s="16"/>
      <c r="AA6" s="16"/>
      <c r="AB6" s="16"/>
      <c r="AC6" s="16"/>
      <c r="AD6" s="16"/>
    </row>
    <row r="7" spans="1:59">
      <c r="A7" s="170" t="s">
        <v>413</v>
      </c>
      <c r="B7" s="59">
        <v>46</v>
      </c>
      <c r="C7" s="16"/>
      <c r="D7" s="573" t="s">
        <v>414</v>
      </c>
      <c r="E7" s="701"/>
      <c r="F7" s="701"/>
      <c r="G7" s="701"/>
      <c r="H7" s="701"/>
      <c r="I7" s="701"/>
      <c r="J7" s="16"/>
      <c r="K7" s="16"/>
      <c r="L7" s="16"/>
      <c r="M7" s="16"/>
      <c r="N7" s="16"/>
      <c r="O7" s="16"/>
      <c r="P7" s="16"/>
      <c r="Q7" s="16"/>
      <c r="R7" s="16"/>
      <c r="S7" s="16"/>
      <c r="T7" s="16"/>
      <c r="U7" s="16"/>
      <c r="V7" s="16"/>
      <c r="W7" s="16"/>
      <c r="X7" s="16"/>
      <c r="Y7" s="16"/>
      <c r="Z7" s="16"/>
      <c r="AA7" s="16"/>
      <c r="AB7" s="16"/>
      <c r="AC7" s="16"/>
      <c r="AD7" s="16"/>
    </row>
    <row r="8" spans="1:59" ht="14.25" customHeight="1">
      <c r="A8" s="171" t="s">
        <v>415</v>
      </c>
      <c r="B8" s="172">
        <f ca="1">M21-M17</f>
        <v>10458.854235927356</v>
      </c>
      <c r="C8" s="16" t="s">
        <v>416</v>
      </c>
      <c r="D8" s="574" t="s">
        <v>417</v>
      </c>
      <c r="E8" s="704"/>
      <c r="F8" s="704"/>
      <c r="G8" s="704"/>
      <c r="H8" s="704"/>
      <c r="I8" s="704"/>
      <c r="J8" s="16"/>
      <c r="K8" s="16"/>
      <c r="L8" s="16"/>
      <c r="M8" s="16"/>
      <c r="N8" s="16"/>
      <c r="O8" s="16"/>
      <c r="P8" s="16"/>
      <c r="Q8" s="16"/>
      <c r="R8" s="16"/>
      <c r="S8" s="16"/>
      <c r="T8" s="16"/>
      <c r="U8" s="16"/>
      <c r="V8" s="16"/>
      <c r="W8" s="16"/>
      <c r="X8" s="16"/>
      <c r="Y8" s="16"/>
      <c r="Z8" s="16"/>
      <c r="AA8" s="16"/>
      <c r="AB8" s="16"/>
      <c r="AC8" s="16"/>
    </row>
    <row r="9" spans="1:59">
      <c r="A9" s="65" t="s">
        <v>418</v>
      </c>
      <c r="B9" s="173" t="s">
        <v>419</v>
      </c>
      <c r="C9" s="16"/>
      <c r="D9" s="16"/>
      <c r="E9" s="17"/>
      <c r="F9" s="17"/>
      <c r="G9" s="17"/>
      <c r="H9" s="17"/>
      <c r="I9" s="17"/>
      <c r="J9" s="17"/>
      <c r="K9" s="17"/>
      <c r="L9" s="17"/>
      <c r="M9" s="17"/>
      <c r="N9" s="17"/>
      <c r="O9" s="17"/>
      <c r="P9" s="17"/>
      <c r="Q9" s="16"/>
      <c r="R9" s="17"/>
      <c r="S9" s="17"/>
      <c r="T9" s="17"/>
      <c r="U9" s="17"/>
      <c r="V9" s="17"/>
      <c r="W9" s="17"/>
      <c r="X9" s="17"/>
      <c r="Y9" s="17"/>
      <c r="Z9" s="17"/>
      <c r="AA9" s="17"/>
      <c r="AB9" s="17"/>
      <c r="AC9" s="17"/>
      <c r="AD9" s="18" t="s">
        <v>242</v>
      </c>
    </row>
    <row r="10" spans="1:59">
      <c r="A10" s="174" t="s">
        <v>420</v>
      </c>
      <c r="B10" s="66">
        <f>COUNTA(A39:A43)</f>
        <v>3</v>
      </c>
      <c r="C10" s="16"/>
      <c r="D10" s="16"/>
      <c r="E10" s="17"/>
      <c r="F10" s="17"/>
      <c r="G10" s="17"/>
      <c r="H10" s="17"/>
      <c r="I10" s="17"/>
      <c r="J10" s="17"/>
      <c r="K10" s="17"/>
      <c r="L10" s="17"/>
      <c r="M10" s="17"/>
      <c r="N10" s="17"/>
      <c r="O10" s="17"/>
      <c r="P10" s="17"/>
      <c r="Q10" s="16"/>
      <c r="R10" s="17"/>
      <c r="S10" s="17"/>
      <c r="T10" s="17"/>
      <c r="U10" s="17"/>
      <c r="V10" s="17"/>
      <c r="W10" s="17"/>
      <c r="X10" s="17"/>
      <c r="Y10" s="17"/>
      <c r="Z10" s="17"/>
      <c r="AA10" s="17"/>
      <c r="AB10" s="17"/>
      <c r="AC10" s="17"/>
      <c r="AD10" s="18"/>
    </row>
    <row r="11" spans="1:59">
      <c r="A11" s="171" t="s">
        <v>421</v>
      </c>
      <c r="B11" s="238">
        <f>SUM(B39:B43)</f>
        <v>50</v>
      </c>
      <c r="C11" s="16"/>
      <c r="D11" s="16"/>
      <c r="E11" s="17"/>
      <c r="F11" s="17"/>
      <c r="G11" s="17"/>
      <c r="H11" s="17"/>
      <c r="I11" s="17"/>
      <c r="J11" s="17"/>
      <c r="K11" s="17"/>
      <c r="L11" s="17"/>
      <c r="M11" s="17"/>
      <c r="N11" s="17"/>
      <c r="O11" s="17"/>
      <c r="P11" s="17"/>
      <c r="Q11" s="16"/>
      <c r="R11" s="17"/>
      <c r="S11" s="17"/>
      <c r="T11" s="17"/>
      <c r="U11" s="17"/>
      <c r="V11" s="17"/>
      <c r="W11" s="17"/>
      <c r="X11" s="17"/>
      <c r="Y11" s="17"/>
      <c r="Z11" s="17"/>
      <c r="AA11" s="17"/>
      <c r="AB11" s="17"/>
      <c r="AC11" s="17"/>
      <c r="AD11" s="18"/>
    </row>
    <row r="12" spans="1:59">
      <c r="A12" s="239" t="s">
        <v>422</v>
      </c>
      <c r="B12" s="240" t="s">
        <v>319</v>
      </c>
      <c r="C12" s="16"/>
      <c r="D12" s="16"/>
      <c r="E12" s="17"/>
      <c r="F12" s="17"/>
      <c r="G12" s="17"/>
      <c r="H12" s="17"/>
      <c r="I12" s="17"/>
      <c r="J12" s="17"/>
      <c r="K12" s="17"/>
      <c r="L12" s="17"/>
      <c r="M12" s="17"/>
      <c r="N12" s="17"/>
      <c r="O12" s="17"/>
      <c r="P12" s="17"/>
      <c r="Q12" s="16"/>
      <c r="R12" s="17"/>
      <c r="S12" s="17"/>
      <c r="T12" s="17"/>
      <c r="U12" s="17"/>
      <c r="V12" s="17"/>
      <c r="W12" s="17"/>
      <c r="X12" s="17"/>
      <c r="Y12" s="17"/>
      <c r="Z12" s="17"/>
      <c r="AA12" s="17"/>
      <c r="AB12" s="17"/>
      <c r="AC12" s="17"/>
      <c r="AD12" s="18"/>
    </row>
    <row r="13" spans="1:59">
      <c r="A13" s="16"/>
      <c r="B13" s="16"/>
      <c r="C13" s="16"/>
      <c r="D13" s="16"/>
      <c r="E13" s="17"/>
      <c r="F13" s="17"/>
      <c r="G13" s="17"/>
      <c r="H13" s="17"/>
      <c r="I13" s="17"/>
      <c r="J13" s="17"/>
      <c r="K13" s="17"/>
      <c r="L13" s="17"/>
      <c r="M13" s="17"/>
      <c r="N13" s="17"/>
      <c r="O13" s="17"/>
      <c r="P13" s="17"/>
      <c r="Q13" s="16"/>
      <c r="R13" s="17"/>
      <c r="S13" s="17"/>
      <c r="T13" s="17"/>
      <c r="U13" s="17"/>
      <c r="V13" s="17"/>
      <c r="W13" s="17"/>
      <c r="X13" s="17"/>
      <c r="Y13" s="17"/>
      <c r="Z13" s="17"/>
      <c r="AA13" s="17"/>
      <c r="AB13" s="17"/>
      <c r="AC13" s="17"/>
      <c r="AD13" s="17" t="str" cm="1">
        <f t="array" ref="AD13:BF14">Constants!A2:AC3</f>
        <v>SC1</v>
      </c>
      <c r="AE13" s="17" t="str">
        <v>SC1 - Half</v>
      </c>
      <c r="AF13" s="17" t="str">
        <v>SC2</v>
      </c>
      <c r="AG13" s="17" t="str">
        <v>SC2 - Half</v>
      </c>
      <c r="AH13" s="17" t="str">
        <v>SC3</v>
      </c>
      <c r="AI13" s="17" t="str">
        <v>SC4</v>
      </c>
      <c r="AJ13" s="17" t="str">
        <v>SC5</v>
      </c>
      <c r="AK13" s="17" t="str">
        <v>SC6</v>
      </c>
      <c r="AL13" s="17" t="str">
        <v>Dojo</v>
      </c>
      <c r="AM13" s="17" t="str">
        <v>Boulder Wall</v>
      </c>
      <c r="AN13" s="17" t="str">
        <v>Climbing Wall</v>
      </c>
      <c r="AO13" s="17" t="str">
        <v>Artificial Hockey field</v>
      </c>
      <c r="AP13" s="17" t="str">
        <v>Artificial Hockey field - Half</v>
      </c>
      <c r="AQ13" s="17" t="str">
        <v>Artificial Soccer field</v>
      </c>
      <c r="AR13" s="17" t="str">
        <v>Artificial Soccer field - Half</v>
      </c>
      <c r="AS13" s="17" t="str">
        <v>Basketball</v>
      </c>
      <c r="AT13" s="17" t="str">
        <v>Bastille field</v>
      </c>
      <c r="AU13" s="17" t="str">
        <v>Beach fields</v>
      </c>
      <c r="AV13" s="17" t="str">
        <v>Shooting range</v>
      </c>
      <c r="AW13" s="17" t="str">
        <v>Multi/Lacrosse field</v>
      </c>
      <c r="AX13" s="17" t="str">
        <v>Multi/Lacrosse field - Half</v>
      </c>
      <c r="AY13" s="17" t="str">
        <v>Bootcamp field</v>
      </c>
      <c r="AZ13" s="17" t="str">
        <v>Multi/Baseball field</v>
      </c>
      <c r="BA13" s="17" t="str">
        <v>Tennis court</v>
      </c>
      <c r="BB13" s="17" t="str">
        <v>Utrack</v>
      </c>
      <c r="BC13" s="22" t="str">
        <v>Verreveld</v>
      </c>
      <c r="BD13" s="22" t="str">
        <v>Wsc</v>
      </c>
      <c r="BE13" s="22" t="str">
        <v>Indoor pool</v>
      </c>
      <c r="BF13" s="22" t="str">
        <v>Outdoor pool</v>
      </c>
      <c r="BG13" s="22"/>
    </row>
    <row r="14" spans="1:59" ht="15.95" thickBot="1">
      <c r="A14" s="175" t="s">
        <v>423</v>
      </c>
      <c r="B14" s="16"/>
      <c r="C14" s="16"/>
      <c r="D14" s="16"/>
      <c r="E14" s="16"/>
      <c r="F14" s="16"/>
      <c r="G14" s="175" t="s">
        <v>424</v>
      </c>
      <c r="I14" s="17"/>
      <c r="J14" s="17"/>
      <c r="K14" s="176" t="s">
        <v>425</v>
      </c>
      <c r="L14" s="17"/>
      <c r="M14" s="176" t="s">
        <v>426</v>
      </c>
      <c r="N14" s="17"/>
      <c r="O14" s="17"/>
      <c r="P14" s="17"/>
      <c r="Q14" s="17"/>
      <c r="R14" s="17"/>
      <c r="S14" s="16"/>
      <c r="T14" s="17"/>
      <c r="U14" s="17"/>
      <c r="V14" s="17"/>
      <c r="W14" s="17"/>
      <c r="X14" s="17"/>
      <c r="Y14" s="17"/>
      <c r="Z14" s="17"/>
      <c r="AA14" s="17"/>
      <c r="AB14" s="17"/>
      <c r="AC14" s="17"/>
      <c r="AD14" s="19">
        <v>67.5</v>
      </c>
      <c r="AE14" s="19">
        <v>35</v>
      </c>
      <c r="AF14" s="19">
        <v>67.5</v>
      </c>
      <c r="AG14" s="19">
        <v>35</v>
      </c>
      <c r="AH14" s="19">
        <v>40</v>
      </c>
      <c r="AI14" s="19">
        <v>40</v>
      </c>
      <c r="AJ14" s="19">
        <v>35</v>
      </c>
      <c r="AK14" s="19">
        <v>35</v>
      </c>
      <c r="AL14" s="19">
        <v>40</v>
      </c>
      <c r="AM14" s="19">
        <v>27.5</v>
      </c>
      <c r="AN14" s="19">
        <v>45</v>
      </c>
      <c r="AO14" s="19">
        <v>75</v>
      </c>
      <c r="AP14" s="19">
        <v>40</v>
      </c>
      <c r="AQ14" s="19">
        <v>75</v>
      </c>
      <c r="AR14" s="19">
        <v>40</v>
      </c>
      <c r="AS14" s="19">
        <v>30</v>
      </c>
      <c r="AT14" s="19">
        <v>50</v>
      </c>
      <c r="AU14" s="19">
        <v>75</v>
      </c>
      <c r="AV14" s="19">
        <v>40</v>
      </c>
      <c r="AW14" s="19">
        <v>75</v>
      </c>
      <c r="AX14" s="19">
        <v>40</v>
      </c>
      <c r="AY14" s="19">
        <v>50</v>
      </c>
      <c r="AZ14" s="19">
        <v>65</v>
      </c>
      <c r="BA14" s="19">
        <v>35</v>
      </c>
      <c r="BB14" s="19">
        <v>45</v>
      </c>
      <c r="BC14" s="19">
        <v>50</v>
      </c>
      <c r="BD14" s="19">
        <v>0</v>
      </c>
      <c r="BE14" s="19">
        <v>65</v>
      </c>
      <c r="BF14" s="20">
        <v>70</v>
      </c>
      <c r="BG14" s="20"/>
    </row>
    <row r="15" spans="1:59" ht="15.95" thickTop="1">
      <c r="A15" s="67"/>
      <c r="B15" s="68" t="str">
        <f>Constants!H6</f>
        <v>Performance training</v>
      </c>
      <c r="C15" s="68" t="str">
        <f>Constants!H7</f>
        <v>Performance coaching</v>
      </c>
      <c r="D15" s="68" t="str">
        <f>Constants!H8</f>
        <v>Dangerous</v>
      </c>
      <c r="E15" s="69" t="str">
        <f>Constants!H9</f>
        <v>Recreational</v>
      </c>
      <c r="F15" s="69" t="s">
        <v>290</v>
      </c>
      <c r="G15" s="70"/>
      <c r="H15" s="71" t="s">
        <v>427</v>
      </c>
      <c r="I15" s="72" t="s">
        <v>272</v>
      </c>
      <c r="J15" s="70" t="s">
        <v>5</v>
      </c>
      <c r="K15" s="72" t="s">
        <v>428</v>
      </c>
      <c r="L15" s="70" t="s">
        <v>429</v>
      </c>
      <c r="M15" s="73" cm="1">
        <f t="array" ref="M15">(SUM(IF($D$47:$D$51="PT",($F$47:$F$51)/1.5+IF($G$47:$G$51="yes",1)))+SUM(IF($D$47:$D$51="Extern",($F$47:$F$51)/1.5+IF($G$47:$G$51="yes",1)))+SUM(IF($D$47:$D$51="PT-ZZP",($F$47:$F$51)/1.5+IF($G$47:$G$51="yes",1))))*Constants!B10</f>
        <v>0</v>
      </c>
      <c r="N15" s="17"/>
      <c r="O15" s="17"/>
      <c r="P15" s="17"/>
      <c r="Q15" s="17"/>
      <c r="R15" s="16"/>
      <c r="S15" s="17"/>
      <c r="T15" s="17"/>
      <c r="U15" s="17"/>
      <c r="V15" s="17"/>
      <c r="W15" s="17"/>
      <c r="X15" s="17"/>
      <c r="Y15" s="17"/>
      <c r="Z15" s="17"/>
      <c r="AA15" s="17"/>
      <c r="AB15" s="17"/>
      <c r="AC15" s="17"/>
      <c r="AD15" s="16">
        <f t="shared" ref="AD15:BF15" si="0">SUMIF($B$72:$B$89,AD13,$F$72:$F$89)</f>
        <v>0</v>
      </c>
      <c r="AE15" s="16">
        <f t="shared" si="0"/>
        <v>0</v>
      </c>
      <c r="AF15" s="16">
        <f t="shared" si="0"/>
        <v>0</v>
      </c>
      <c r="AG15" s="16">
        <f t="shared" si="0"/>
        <v>0</v>
      </c>
      <c r="AH15" s="16">
        <f t="shared" si="0"/>
        <v>0</v>
      </c>
      <c r="AI15" s="16">
        <f t="shared" si="0"/>
        <v>0</v>
      </c>
      <c r="AJ15" s="16">
        <f t="shared" si="0"/>
        <v>0</v>
      </c>
      <c r="AK15" s="16">
        <f t="shared" si="0"/>
        <v>0</v>
      </c>
      <c r="AL15" s="16">
        <f t="shared" si="0"/>
        <v>0</v>
      </c>
      <c r="AM15" s="16">
        <f t="shared" si="0"/>
        <v>0</v>
      </c>
      <c r="AN15" s="16">
        <f t="shared" si="0"/>
        <v>0</v>
      </c>
      <c r="AO15" s="16">
        <f t="shared" si="0"/>
        <v>0</v>
      </c>
      <c r="AP15" s="16">
        <f t="shared" si="0"/>
        <v>0</v>
      </c>
      <c r="AQ15" s="16">
        <f t="shared" si="0"/>
        <v>0</v>
      </c>
      <c r="AR15" s="16">
        <f t="shared" si="0"/>
        <v>0</v>
      </c>
      <c r="AS15" s="16">
        <f t="shared" si="0"/>
        <v>0</v>
      </c>
      <c r="AT15" s="16">
        <f t="shared" si="0"/>
        <v>0</v>
      </c>
      <c r="AU15" s="16">
        <f t="shared" si="0"/>
        <v>0</v>
      </c>
      <c r="AV15" s="16">
        <f t="shared" si="0"/>
        <v>0</v>
      </c>
      <c r="AW15" s="16">
        <f t="shared" si="0"/>
        <v>0</v>
      </c>
      <c r="AX15" s="16">
        <f t="shared" si="0"/>
        <v>0</v>
      </c>
      <c r="AY15" s="16">
        <f t="shared" si="0"/>
        <v>0</v>
      </c>
      <c r="AZ15" s="16">
        <f t="shared" si="0"/>
        <v>0</v>
      </c>
      <c r="BA15" s="16">
        <f t="shared" si="0"/>
        <v>0</v>
      </c>
      <c r="BB15" s="16">
        <f t="shared" si="0"/>
        <v>0</v>
      </c>
      <c r="BC15" s="16">
        <f t="shared" si="0"/>
        <v>0</v>
      </c>
      <c r="BD15" s="16">
        <f t="shared" si="0"/>
        <v>0</v>
      </c>
      <c r="BE15" s="16">
        <f t="shared" si="0"/>
        <v>0</v>
      </c>
      <c r="BF15" s="16">
        <f t="shared" si="0"/>
        <v>0</v>
      </c>
    </row>
    <row r="16" spans="1:59">
      <c r="A16" s="74" t="str">
        <f>Constants!E6</f>
        <v>PT</v>
      </c>
      <c r="B16" s="16">
        <f>SUMIFS('Slapping Studs'!$F$56:$F$68,'Slapping Studs'!$B$56:$B$68, B$15,'Slapping Studs'!$H$56:$H$68,$A16)*(1+Constants!$B$7)</f>
        <v>0</v>
      </c>
      <c r="C16" s="16">
        <f>SUMIFS('Slapping Studs'!$F$56:$F$68,'Slapping Studs'!$B$56:$B$68, C$15,'Slapping Studs'!$H$56:$H$68,$A16)</f>
        <v>0</v>
      </c>
      <c r="D16" s="16">
        <f>SUMIFS('Slapping Studs'!$F$56:$F$68,'Slapping Studs'!$B$56:$B$68, D$15,'Slapping Studs'!$H$56:$H$68,$A16)*(1+Constants!$B$7)</f>
        <v>0</v>
      </c>
      <c r="E16" s="16">
        <f>SUMIFS('Slapping Studs'!$F$56:$F$68,'Slapping Studs'!$B$56:$B$68, E$15,'Slapping Studs'!$H$56:$H$68,$A16)*(1+Constants!$B$7)</f>
        <v>0</v>
      </c>
      <c r="F16" s="16">
        <f>SUMIFS('Slapping Studs'!$F$56:$F$68,'Slapping Studs'!$B$56:$B$68, F$15,'Slapping Studs'!$H$56:$H$68,$A16)*(1+Constants!$B$7)</f>
        <v>0</v>
      </c>
      <c r="G16" s="74" t="s">
        <v>430</v>
      </c>
      <c r="H16" s="16">
        <f>SUMIF('Slapping Studs'!$B$72:$B$90,"&lt;&gt;External",'Slapping Studs'!$F$72:$F$90)</f>
        <v>0</v>
      </c>
      <c r="I16" s="75">
        <f>SUMIF('Slapping Studs'!$B$72:$B$90,"External",'Slapping Studs'!$F$72:$F$90)</f>
        <v>102</v>
      </c>
      <c r="J16" s="234">
        <f>SUM($F$93:$F$106)</f>
        <v>755.73</v>
      </c>
      <c r="K16" s="76">
        <f>IF(OR(ISBLANK(B7),ISBLANK(B9)), "ERROR",MAX(MIN(J16,B7*Constants!B15)-Constants!B14*B7,0)*IF(B9="yes",Constants!B16,IF(B9="no",Constants!B17,0)))</f>
        <v>236.58400000000003</v>
      </c>
      <c r="L16" s="77" t="s">
        <v>360</v>
      </c>
      <c r="M16" s="76">
        <f>E16*Constants!B6+E17*Constants!B8+E22+E21</f>
        <v>0</v>
      </c>
      <c r="N16" s="17"/>
      <c r="O16" s="17"/>
      <c r="P16" s="17"/>
      <c r="Q16" s="17"/>
      <c r="R16" s="16"/>
      <c r="S16" s="17"/>
      <c r="T16" s="17"/>
      <c r="U16" s="17"/>
      <c r="V16" s="17"/>
      <c r="W16" s="17"/>
      <c r="X16" s="17"/>
      <c r="Y16" s="17"/>
      <c r="Z16" s="17"/>
      <c r="AA16" s="17"/>
      <c r="AB16" s="17"/>
      <c r="AC16" s="17"/>
      <c r="AD16" s="19">
        <f t="shared" ref="AD16:BF16" si="1">AD14*AD15</f>
        <v>0</v>
      </c>
      <c r="AE16" s="19">
        <f t="shared" si="1"/>
        <v>0</v>
      </c>
      <c r="AF16" s="19">
        <f t="shared" si="1"/>
        <v>0</v>
      </c>
      <c r="AG16" s="19">
        <f t="shared" si="1"/>
        <v>0</v>
      </c>
      <c r="AH16" s="19">
        <f t="shared" si="1"/>
        <v>0</v>
      </c>
      <c r="AI16" s="19">
        <f t="shared" si="1"/>
        <v>0</v>
      </c>
      <c r="AJ16" s="19">
        <f t="shared" si="1"/>
        <v>0</v>
      </c>
      <c r="AK16" s="19">
        <f t="shared" si="1"/>
        <v>0</v>
      </c>
      <c r="AL16" s="19">
        <f t="shared" si="1"/>
        <v>0</v>
      </c>
      <c r="AM16" s="19">
        <f t="shared" si="1"/>
        <v>0</v>
      </c>
      <c r="AN16" s="19">
        <f t="shared" si="1"/>
        <v>0</v>
      </c>
      <c r="AO16" s="19">
        <f t="shared" si="1"/>
        <v>0</v>
      </c>
      <c r="AP16" s="19">
        <f t="shared" si="1"/>
        <v>0</v>
      </c>
      <c r="AQ16" s="19">
        <f t="shared" si="1"/>
        <v>0</v>
      </c>
      <c r="AR16" s="19">
        <f t="shared" si="1"/>
        <v>0</v>
      </c>
      <c r="AS16" s="19">
        <f t="shared" si="1"/>
        <v>0</v>
      </c>
      <c r="AT16" s="19">
        <f t="shared" si="1"/>
        <v>0</v>
      </c>
      <c r="AU16" s="19">
        <f t="shared" si="1"/>
        <v>0</v>
      </c>
      <c r="AV16" s="19">
        <f t="shared" si="1"/>
        <v>0</v>
      </c>
      <c r="AW16" s="19">
        <f t="shared" si="1"/>
        <v>0</v>
      </c>
      <c r="AX16" s="19">
        <f t="shared" si="1"/>
        <v>0</v>
      </c>
      <c r="AY16" s="19">
        <f t="shared" si="1"/>
        <v>0</v>
      </c>
      <c r="AZ16" s="19">
        <f t="shared" si="1"/>
        <v>0</v>
      </c>
      <c r="BA16" s="19">
        <f t="shared" si="1"/>
        <v>0</v>
      </c>
      <c r="BB16" s="19">
        <f t="shared" si="1"/>
        <v>0</v>
      </c>
      <c r="BC16" s="19">
        <f t="shared" si="1"/>
        <v>0</v>
      </c>
      <c r="BD16" s="19">
        <f t="shared" si="1"/>
        <v>0</v>
      </c>
      <c r="BE16" s="19">
        <f t="shared" si="1"/>
        <v>0</v>
      </c>
      <c r="BF16" s="19">
        <f t="shared" si="1"/>
        <v>0</v>
      </c>
    </row>
    <row r="17" spans="1:36">
      <c r="A17" s="74" t="str">
        <f>Constants!E7</f>
        <v>PT-V</v>
      </c>
      <c r="B17" s="16">
        <f>SUMIFS('Slapping Studs'!$F$56:$F$68,'Slapping Studs'!$B$56:$B$68, B$15,'Slapping Studs'!$H$56:$H$68,$A17)*(1+Constants!$B$9)</f>
        <v>109.19999999999999</v>
      </c>
      <c r="C17" s="16">
        <f>SUMIFS('Slapping Studs'!$F$56:$F$68,'Slapping Studs'!$B$56:$B$68, C$15,'Slapping Studs'!$H$56:$H$68,$A17)</f>
        <v>0</v>
      </c>
      <c r="D17" s="16">
        <f>SUMIFS('Slapping Studs'!$F$56:$F$68,'Slapping Studs'!$B$56:$B$68, D$15,'Slapping Studs'!$H$56:$H$68,$A17)*(1+Constants!$B$9)</f>
        <v>0</v>
      </c>
      <c r="E17" s="16">
        <f>SUMIFS('Slapping Studs'!$F$56:$F$68,'Slapping Studs'!$B$56:$B$68, E$15,'Slapping Studs'!$H$56:$H$68,$A17)*(1+Constants!$B$9)</f>
        <v>0</v>
      </c>
      <c r="F17" s="16">
        <f>SUMIFS('Slapping Studs'!$F$56:$F$68,'Slapping Studs'!$B$56:$B$68, F$15,'Slapping Studs'!$H$56:$H$68,$A17)</f>
        <v>0</v>
      </c>
      <c r="G17" s="74" t="s">
        <v>38</v>
      </c>
      <c r="H17" s="78">
        <f>SUM(AD16:BZ16)</f>
        <v>0</v>
      </c>
      <c r="I17" s="76" cm="1">
        <f t="array" ref="I17">SUM(IF($B$72:$B$88="External",$F$72:$F$88*$H$72:$H$88,0))</f>
        <v>18462</v>
      </c>
      <c r="J17" s="79"/>
      <c r="K17" s="80"/>
      <c r="L17" s="77" t="s">
        <v>63</v>
      </c>
      <c r="M17" s="76">
        <f>J16-K16</f>
        <v>519.14599999999996</v>
      </c>
      <c r="N17" s="17"/>
      <c r="O17" s="17"/>
      <c r="P17" s="17"/>
      <c r="Q17" s="17"/>
      <c r="R17" s="16"/>
      <c r="S17" s="17"/>
      <c r="T17" s="17"/>
      <c r="U17" s="17"/>
      <c r="V17" s="17"/>
      <c r="W17" s="17"/>
      <c r="X17" s="17"/>
      <c r="Y17" s="17"/>
      <c r="Z17" s="17"/>
      <c r="AA17" s="17"/>
      <c r="AB17" s="17"/>
      <c r="AC17" s="17"/>
      <c r="AD17" s="17"/>
      <c r="AE17" s="17"/>
    </row>
    <row r="18" spans="1:36">
      <c r="A18" s="74" t="str">
        <f>Constants!E8</f>
        <v>PT-ZZP</v>
      </c>
      <c r="B18" s="16">
        <f>SUMIFS('Slapping Studs'!$F$56:$F$68,'Slapping Studs'!$B$56:$B$68, B$15,'Slapping Studs'!$H$56:$H$68,$A18)*(1+Constants!$B$7)</f>
        <v>0</v>
      </c>
      <c r="C18" s="16">
        <f>SUMIFS('Slapping Studs'!$F$56:$F$68,'Slapping Studs'!$B$56:$B$68, C$15,'Slapping Studs'!$H$56:$H$68,$A18)</f>
        <v>0</v>
      </c>
      <c r="D18" s="16">
        <f>SUMIFS('Slapping Studs'!$F$56:$F$68,'Slapping Studs'!$B$56:$B$68, D$15,'Slapping Studs'!$H$56:$H$68,$A18)*(1+Constants!$B$7)</f>
        <v>0</v>
      </c>
      <c r="E18" s="16">
        <f>SUMIFS('Slapping Studs'!$F$56:$F$68,'Slapping Studs'!$B$56:$B$68, E$15,'Slapping Studs'!$H$56:$H$68,$A18)*(1+Constants!$B$7)</f>
        <v>0</v>
      </c>
      <c r="F18" s="16">
        <f>SUMIFS('Slapping Studs'!$F$56:$F$68,'Slapping Studs'!$B$56:$B$68, F$15,'Slapping Studs'!$H$56:$H$68,$A18)*(1+Constants!$B$7)</f>
        <v>0</v>
      </c>
      <c r="G18" s="74"/>
      <c r="H18" s="78"/>
      <c r="I18" s="76"/>
      <c r="J18" s="79"/>
      <c r="K18" s="80"/>
      <c r="L18" s="77" t="s">
        <v>60</v>
      </c>
      <c r="M18" s="76">
        <f>IF(I17-Constants!I17*$B$7&gt;0,$I$17-Constants!I17*$B$7,"-")</f>
        <v>7882</v>
      </c>
      <c r="N18" s="17"/>
      <c r="O18" s="17"/>
      <c r="P18" s="17"/>
      <c r="Q18" s="17"/>
      <c r="R18" s="16"/>
      <c r="S18" s="17"/>
      <c r="T18" s="17"/>
      <c r="U18" s="17"/>
      <c r="V18" s="17"/>
      <c r="W18" s="17"/>
      <c r="X18" s="17"/>
      <c r="Y18" s="17"/>
      <c r="Z18" s="17"/>
      <c r="AA18" s="17"/>
      <c r="AB18" s="17"/>
      <c r="AC18" s="17"/>
      <c r="AD18" s="17"/>
      <c r="AE18" s="17"/>
    </row>
    <row r="19" spans="1:36">
      <c r="A19" s="74" t="str">
        <f>Constants!E9</f>
        <v>RT</v>
      </c>
      <c r="B19" s="16">
        <f>SUMIFS('Slapping Studs'!$F$56:$F$68,'Slapping Studs'!$B$56:$B$68, B$15,'Slapping Studs'!$H$56:$H$68,$A19)</f>
        <v>39</v>
      </c>
      <c r="C19" s="16">
        <f>SUMIFS('Slapping Studs'!$F$56:$F$68,'Slapping Studs'!$B$56:$B$68, C$15,'Slapping Studs'!$H$56:$H$68,$A19)</f>
        <v>0</v>
      </c>
      <c r="D19" s="16">
        <f>SUMIFS('Slapping Studs'!$F$56:$F$68,'Slapping Studs'!$B$56:$B$68, D$15,'Slapping Studs'!$H$56:$H$68,$A19)</f>
        <v>0</v>
      </c>
      <c r="E19" s="16">
        <f>SUMIFS('Slapping Studs'!$F$56:$F$68,'Slapping Studs'!$B$56:$B$68, E$15,'Slapping Studs'!$H$56:$H$68,$A19)</f>
        <v>156</v>
      </c>
      <c r="F19" s="16">
        <f>SUMIFS('Slapping Studs'!$F$56:$F$68,'Slapping Studs'!$B$56:$B$68, F$15,'Slapping Studs'!$H$56:$H$68,$A19)</f>
        <v>0</v>
      </c>
      <c r="G19" s="74" t="s">
        <v>396</v>
      </c>
      <c r="H19" s="78"/>
      <c r="I19" s="76">
        <f>IF(B7*Constants!I17&lt;I17,B7*Constants!I17,I17)</f>
        <v>10580</v>
      </c>
      <c r="J19" s="79"/>
      <c r="K19" s="80"/>
      <c r="L19" s="77" t="s">
        <v>431</v>
      </c>
      <c r="M19" s="255">
        <f ca="1">Constants!C31*B7+Data!L29</f>
        <v>2576.8542359273556</v>
      </c>
      <c r="N19" s="17"/>
      <c r="O19" s="17"/>
      <c r="P19" s="17"/>
      <c r="Q19" s="17"/>
      <c r="R19" s="16"/>
      <c r="S19" s="17"/>
      <c r="T19" s="17"/>
      <c r="U19" s="17"/>
      <c r="V19" s="17"/>
      <c r="W19" s="17"/>
      <c r="X19" s="17"/>
      <c r="Y19" s="17"/>
      <c r="Z19" s="17"/>
      <c r="AA19" s="17"/>
      <c r="AB19" s="17"/>
      <c r="AC19" s="17"/>
      <c r="AD19" s="17"/>
      <c r="AE19" s="17"/>
    </row>
    <row r="20" spans="1:36">
      <c r="A20" s="74" t="str">
        <f>Constants!E10</f>
        <v>Extern</v>
      </c>
      <c r="B20" s="16">
        <f>SUMIFS('Slapping Studs'!$F$56:$F$68,'Slapping Studs'!$B$56:$B$68, B$15,'Slapping Studs'!$H$56:$H$68,$A20)</f>
        <v>0</v>
      </c>
      <c r="C20" s="16">
        <f>SUMIFS('Slapping Studs'!$F$56:$F$68,'Slapping Studs'!$B$56:$B$68, C$15,'Slapping Studs'!$H$56:$H$68,$A20)</f>
        <v>0</v>
      </c>
      <c r="D20" s="16">
        <f>SUMIFS('Slapping Studs'!$F$56:$F$68,'Slapping Studs'!$B$56:$B$68, D$15,'Slapping Studs'!$H$56:$H$68,$A20)</f>
        <v>0</v>
      </c>
      <c r="E20" s="16">
        <f>SUMIFS('Slapping Studs'!$F$56:$F$68,'Slapping Studs'!$B$56:$B$68, E$15,'Slapping Studs'!$H$56:$H$68,$A20)</f>
        <v>0</v>
      </c>
      <c r="F20" s="16">
        <f>SUMIFS('Slapping Studs'!$F$56:$F$68,'Slapping Studs'!$B$56:$B$68, F$15,'Slapping Studs'!$H$56:$H$68,$A20)</f>
        <v>0</v>
      </c>
      <c r="G20" s="81"/>
      <c r="H20" s="16"/>
      <c r="I20" s="75"/>
      <c r="J20" s="79"/>
      <c r="K20" s="82"/>
      <c r="L20" s="83"/>
      <c r="M20" s="84"/>
      <c r="N20" s="17"/>
      <c r="O20" s="17"/>
      <c r="P20" s="17"/>
      <c r="Q20" s="17"/>
      <c r="R20" s="16"/>
      <c r="S20" s="17"/>
      <c r="T20" s="17"/>
      <c r="U20" s="17"/>
      <c r="V20" s="17"/>
      <c r="W20" s="17"/>
      <c r="X20" s="17"/>
      <c r="Y20" s="17"/>
      <c r="Z20" s="17"/>
      <c r="AA20" s="17"/>
      <c r="AB20" s="17"/>
      <c r="AC20" s="17"/>
      <c r="AD20" s="17"/>
      <c r="AE20" s="17"/>
    </row>
    <row r="21" spans="1:36">
      <c r="A21" s="74" t="str">
        <f>CONCATENATE(A18," Costs")</f>
        <v>PT-ZZP Costs</v>
      </c>
      <c r="B21" s="78">
        <f t="array" ref="B21">SUM(IF('Slapping Studs'!$B$56:$B$68=B$15,IF('Slapping Studs'!$H$56:$H$68="PT-ZZP",'Slapping Studs'!$F$56:$F$68*'Slapping Studs'!$I$56:$I$68*(1+Constants!$B$7),0),0))</f>
        <v>0</v>
      </c>
      <c r="C21" s="78">
        <f t="array" ref="C21">SUM(IF('Slapping Studs'!$B$56:$B$68=C$15,IF('Slapping Studs'!$H$56:$H$68="PT-ZZP",'Slapping Studs'!$F$56:$F$68*'Slapping Studs'!$I$56:$I$68,0),0))</f>
        <v>0</v>
      </c>
      <c r="D21" s="78">
        <f t="array" ref="D21">SUM(IF('Slapping Studs'!$B$56:$B$68=D$15,IF('Slapping Studs'!$H$56:$H$68="PT-ZZP",'Slapping Studs'!$F$56:$F$68*'Slapping Studs'!$I$56:$I$68*(1+Constants!$B$7),0),0))</f>
        <v>0</v>
      </c>
      <c r="E21" s="78">
        <f t="array" ref="E21">SUM(IF('Slapping Studs'!$B$56:$B$68=E$15,IF('Slapping Studs'!$H$56:$H$68="PT-ZZP",'Slapping Studs'!$F$56:$F$68*'Slapping Studs'!$I$56:$I$68*(1+Constants!$B$7),0),0))</f>
        <v>0</v>
      </c>
      <c r="F21" s="78">
        <f t="array" ref="F21">SUM(IF('Slapping Studs'!$B$56:$B$68=F$15,IF('Slapping Studs'!$H$56:$H$68="PT-ZZP",'Slapping Studs'!$F$56:$F$68*'Slapping Studs'!$I$56:$I$68*(1+Constants!$B$7),0),0))</f>
        <v>0</v>
      </c>
      <c r="G21" s="81"/>
      <c r="H21" s="16"/>
      <c r="I21" s="75"/>
      <c r="J21" s="79"/>
      <c r="K21" s="82"/>
      <c r="L21" s="77" t="s">
        <v>5</v>
      </c>
      <c r="M21" s="76">
        <f ca="1">SUM(M15:M20)</f>
        <v>10978.000235927357</v>
      </c>
      <c r="N21" s="17"/>
      <c r="O21" s="17"/>
      <c r="P21" s="17"/>
      <c r="Q21" s="17"/>
      <c r="R21" s="16"/>
      <c r="S21" s="17"/>
      <c r="T21" s="17"/>
      <c r="U21" s="17"/>
      <c r="V21" s="17"/>
      <c r="W21" s="17"/>
      <c r="X21" s="17"/>
      <c r="Y21" s="17"/>
      <c r="Z21" s="17"/>
      <c r="AA21" s="17"/>
      <c r="AB21" s="17"/>
      <c r="AC21" s="17"/>
      <c r="AD21" s="17"/>
      <c r="AE21" s="17"/>
    </row>
    <row r="22" spans="1:36" ht="15.75" customHeight="1" thickBot="1">
      <c r="A22" s="74" t="str">
        <f>CONCATENATE(A20," Costs")</f>
        <v>Extern Costs</v>
      </c>
      <c r="B22" s="78">
        <f t="array" ref="B22">SUM(IF('Slapping Studs'!$B$56:$B$68=B$15,IF('Slapping Studs'!$H$56:$H$68="Extern",'Slapping Studs'!$F$56:$F$68*'Slapping Studs'!$I$56:$I$68,0),0))</f>
        <v>0</v>
      </c>
      <c r="C22" s="78">
        <f t="array" ref="C22">SUM(IF('Slapping Studs'!$B$56:$B$68=C$15,IF('Slapping Studs'!$H$56:$H$68="Extern",'Slapping Studs'!$F$56:$F$68*'Slapping Studs'!$I$56:$I$68,0),0))</f>
        <v>0</v>
      </c>
      <c r="D22" s="78">
        <f t="array" ref="D22">SUM(IF('Slapping Studs'!$B$56:$B$68=D$15,IF('Slapping Studs'!$H$56:$H$68="Extern",'Slapping Studs'!$F$56:$F$68*'Slapping Studs'!$I$56:$I$68,0),0))</f>
        <v>0</v>
      </c>
      <c r="E22" s="78">
        <f t="array" ref="E22">SUM(IF('Slapping Studs'!$B$56:$B$68=E$15,IF('Slapping Studs'!$H$56:$H$68="Extern",'Slapping Studs'!$F$56:$F$68*'Slapping Studs'!$I$56:$I$68,0),0))</f>
        <v>0</v>
      </c>
      <c r="F22" s="76">
        <f t="array" ref="F22">SUM(IF('Slapping Studs'!$B$56:$B$68=F$15,IF('Slapping Studs'!$H$56:$H$68="Extern",'Slapping Studs'!$F$56:$F$68*'Slapping Studs'!$I$56:$I$68,0),0))</f>
        <v>0</v>
      </c>
      <c r="G22" s="85"/>
      <c r="H22" s="177"/>
      <c r="I22" s="86"/>
      <c r="J22" s="87"/>
      <c r="K22" s="88"/>
      <c r="L22" s="87"/>
      <c r="M22" s="88"/>
      <c r="N22" s="17"/>
      <c r="O22" s="17"/>
      <c r="P22" s="17"/>
      <c r="Q22" s="17"/>
      <c r="R22" s="16"/>
      <c r="S22" s="17"/>
      <c r="T22" s="17"/>
      <c r="U22" s="17"/>
      <c r="V22" s="17"/>
      <c r="W22" s="17"/>
      <c r="X22" s="17"/>
      <c r="Y22" s="17"/>
      <c r="Z22" s="17"/>
      <c r="AA22" s="17"/>
      <c r="AB22" s="17"/>
      <c r="AC22" s="17"/>
      <c r="AD22" s="17"/>
      <c r="AE22" s="17"/>
    </row>
    <row r="23" spans="1:36" ht="15" customHeight="1" thickTop="1">
      <c r="A23" s="74" t="s">
        <v>432</v>
      </c>
      <c r="B23" s="78"/>
      <c r="C23" s="78"/>
      <c r="D23" s="78"/>
      <c r="E23" s="78"/>
      <c r="F23" s="76">
        <f t="array" ref="F23">SUMIFS('Slapping Studs'!$F$56:$F$68,'Slapping Studs'!$B$56:$B$68,"Mentorship",'Slapping Studs'!$H$56:$H$68,"PT-V")*Constants!B8+SUMIFS('Slapping Studs'!$F$56:$F$68,'Slapping Studs'!$B$56:$B$68,"Mentorship",'Slapping Studs'!$H$56:$H$68,"PT")*Constants!B6+SUMPRODUCT(IF('Slapping Studs'!$B$56:$B$68="Mentorship",IF('Slapping Studs'!$H$56:$H$68="PT-ZZP",'Slapping Studs'!$F$56:$F$68*'Slapping Studs'!$I$56:$I$68,0)))</f>
        <v>0</v>
      </c>
    </row>
    <row r="24" spans="1:36" ht="15" customHeight="1" thickBot="1">
      <c r="A24" s="89" t="s">
        <v>433</v>
      </c>
      <c r="B24" s="178"/>
      <c r="C24" s="178"/>
      <c r="D24" s="178"/>
      <c r="E24" s="178">
        <f>SUMIF('Slapping Studs'!$B$56:$B$68,"External Trainer Course",'Slapping Studs'!$I$56:$I$68)</f>
        <v>0</v>
      </c>
      <c r="F24" s="90"/>
    </row>
    <row r="25" spans="1:36" ht="15" customHeight="1">
      <c r="A25" s="230"/>
      <c r="B25" s="537"/>
      <c r="C25" s="537"/>
      <c r="D25" s="537"/>
      <c r="E25" s="537"/>
      <c r="F25" s="537"/>
    </row>
    <row r="26" spans="1:36" ht="15.75" customHeight="1" thickTop="1">
      <c r="A26" s="16"/>
      <c r="B26" s="16"/>
      <c r="C26" s="16"/>
      <c r="D26" s="16"/>
      <c r="E26" s="17"/>
      <c r="F26" s="17"/>
      <c r="G26" s="17"/>
      <c r="H26" s="17"/>
      <c r="I26" s="17"/>
      <c r="J26" s="17"/>
      <c r="K26" s="17"/>
      <c r="L26" s="17"/>
      <c r="M26" s="17"/>
      <c r="N26" s="17"/>
      <c r="O26" s="17"/>
      <c r="P26" s="17"/>
      <c r="Q26" s="16"/>
      <c r="R26" s="17"/>
      <c r="S26" s="17"/>
      <c r="T26" s="17"/>
      <c r="U26" s="17"/>
      <c r="V26" s="17"/>
      <c r="W26" s="17"/>
      <c r="X26" s="17"/>
      <c r="Y26" s="17"/>
      <c r="Z26" s="17"/>
      <c r="AA26" s="17"/>
      <c r="AB26" s="17"/>
      <c r="AC26" s="17"/>
      <c r="AD26" s="17"/>
    </row>
    <row r="27" spans="1:36" ht="15.75" customHeight="1">
      <c r="A27" s="16"/>
      <c r="B27" s="16"/>
      <c r="C27" s="16"/>
      <c r="D27" s="16"/>
      <c r="E27" s="17"/>
      <c r="F27" s="17"/>
      <c r="G27" s="17"/>
      <c r="H27" s="17"/>
      <c r="I27" s="17"/>
      <c r="J27" s="17"/>
      <c r="K27" s="17"/>
      <c r="L27" s="17"/>
      <c r="M27" s="17"/>
      <c r="N27" s="17"/>
      <c r="O27" s="17"/>
      <c r="P27" s="17"/>
      <c r="Q27" s="16"/>
      <c r="R27" s="17"/>
      <c r="S27" s="17"/>
      <c r="T27" s="17"/>
      <c r="U27" s="17"/>
      <c r="V27" s="17"/>
      <c r="W27" s="17"/>
      <c r="X27" s="17"/>
      <c r="Y27" s="17"/>
      <c r="Z27" s="17"/>
      <c r="AA27" s="17"/>
      <c r="AB27" s="17"/>
      <c r="AC27" s="17"/>
      <c r="AD27" s="17"/>
    </row>
    <row r="28" spans="1:36" ht="15.75" customHeight="1">
      <c r="A28" s="91" t="s">
        <v>434</v>
      </c>
      <c r="B28" s="17"/>
      <c r="C28" s="17"/>
      <c r="D28" s="17"/>
      <c r="E28" s="17"/>
      <c r="F28" s="17"/>
      <c r="G28" s="92"/>
      <c r="H28" s="19"/>
      <c r="I28" s="17"/>
      <c r="J28" s="17"/>
      <c r="K28" s="17"/>
      <c r="L28" s="17"/>
      <c r="M28" s="17"/>
      <c r="N28" s="17"/>
      <c r="O28" s="17"/>
      <c r="P28" s="17"/>
      <c r="Q28" s="16"/>
      <c r="R28" s="17"/>
      <c r="S28" s="17"/>
      <c r="T28" s="17"/>
      <c r="U28" s="17"/>
      <c r="V28" s="17"/>
      <c r="W28" s="17"/>
      <c r="X28" s="17"/>
      <c r="Y28" s="17"/>
      <c r="Z28" s="17"/>
      <c r="AA28" s="17"/>
      <c r="AB28" s="17"/>
      <c r="AC28" s="17"/>
      <c r="AD28" s="242" t="s">
        <v>436</v>
      </c>
      <c r="AE28" s="16"/>
      <c r="AF28" s="128"/>
      <c r="AG28" s="51"/>
      <c r="AH28" s="51"/>
      <c r="AI28" s="51"/>
      <c r="AJ28" s="51"/>
    </row>
    <row r="29" spans="1:36" ht="15.75" customHeight="1">
      <c r="A29" s="706" t="s">
        <v>435</v>
      </c>
      <c r="B29" s="707"/>
      <c r="C29" s="707"/>
      <c r="D29" s="707"/>
      <c r="E29" s="707"/>
      <c r="F29" s="708"/>
      <c r="G29" s="15"/>
      <c r="H29" s="17"/>
      <c r="I29" s="17"/>
      <c r="J29" s="17"/>
      <c r="K29" s="17"/>
      <c r="L29" s="17"/>
      <c r="M29" s="17"/>
      <c r="N29" s="17"/>
      <c r="O29" s="17"/>
      <c r="P29" s="17"/>
      <c r="Q29" s="16"/>
      <c r="R29" s="17"/>
      <c r="S29" s="17"/>
      <c r="T29" s="17"/>
      <c r="U29" s="17"/>
      <c r="V29" s="17"/>
      <c r="W29" s="17"/>
      <c r="X29" s="17"/>
      <c r="Y29" s="17"/>
      <c r="Z29" s="17"/>
      <c r="AA29" s="17"/>
      <c r="AB29" s="17"/>
      <c r="AC29" s="17"/>
      <c r="AD29" s="243" t="s">
        <v>438</v>
      </c>
      <c r="AE29" s="243" t="s">
        <v>439</v>
      </c>
      <c r="AF29" s="243" t="s">
        <v>440</v>
      </c>
      <c r="AG29" s="541" t="s">
        <v>441</v>
      </c>
      <c r="AH29" s="542"/>
      <c r="AI29" s="541" t="s">
        <v>434</v>
      </c>
      <c r="AJ29" s="542"/>
    </row>
    <row r="30" spans="1:36" ht="15.75" customHeight="1">
      <c r="A30" s="709" t="s">
        <v>437</v>
      </c>
      <c r="B30" s="696"/>
      <c r="C30" s="696"/>
      <c r="D30" s="696"/>
      <c r="E30" s="696"/>
      <c r="F30" s="710"/>
      <c r="G30" s="17"/>
      <c r="H30" s="17"/>
      <c r="I30" s="17"/>
      <c r="J30" s="17"/>
      <c r="K30" s="17"/>
      <c r="L30" s="17"/>
      <c r="M30" s="17"/>
      <c r="N30" s="17"/>
      <c r="O30" s="17"/>
      <c r="P30" s="17"/>
      <c r="Q30" s="16"/>
      <c r="R30" s="17"/>
      <c r="S30" s="17"/>
      <c r="T30" s="17"/>
      <c r="U30" s="17"/>
      <c r="V30" s="17"/>
      <c r="W30" s="17"/>
      <c r="X30" s="17"/>
      <c r="Y30" s="17"/>
      <c r="Z30" s="17"/>
      <c r="AA30" s="17"/>
      <c r="AB30" s="17"/>
      <c r="AC30" s="17"/>
      <c r="AD30" s="244" t="str">
        <f>IF($B$12="individual",Constants!F55,Constants!L55)</f>
        <v>member count</v>
      </c>
      <c r="AE30" s="244">
        <f>B7</f>
        <v>46</v>
      </c>
      <c r="AF30" s="269">
        <f>IF(AE30&gt;=301,5,IF(AE30&gt;=176,4,IF(AE30&gt;=101,3,IF(AE30&gt;=51,2,1))))</f>
        <v>1</v>
      </c>
      <c r="AG30" s="540"/>
      <c r="AH30" s="540"/>
      <c r="AI30" s="540" t="s">
        <v>443</v>
      </c>
      <c r="AJ30" s="540"/>
    </row>
    <row r="31" spans="1:36" ht="15.75" customHeight="1">
      <c r="A31" s="709" t="s">
        <v>442</v>
      </c>
      <c r="B31" s="696"/>
      <c r="C31" s="696"/>
      <c r="D31" s="696"/>
      <c r="E31" s="696"/>
      <c r="F31" s="710"/>
      <c r="G31" s="17"/>
      <c r="H31" s="17"/>
      <c r="I31" s="17"/>
      <c r="J31" s="17"/>
      <c r="K31" s="17"/>
      <c r="L31" s="17"/>
      <c r="M31" s="17"/>
      <c r="N31" s="17"/>
      <c r="O31" s="17"/>
      <c r="P31" s="17"/>
      <c r="Q31" s="16"/>
      <c r="R31" s="17"/>
      <c r="S31" s="17"/>
      <c r="T31" s="17"/>
      <c r="U31" s="17"/>
      <c r="V31" s="17"/>
      <c r="W31" s="17"/>
      <c r="X31" s="17"/>
      <c r="Y31" s="17"/>
      <c r="Z31" s="17"/>
      <c r="AA31" s="17"/>
      <c r="AB31" s="17"/>
      <c r="AC31" s="17"/>
      <c r="AD31" s="244" t="str">
        <f>IF($B$12="individual",Constants!F56,Constants!L56)</f>
        <v>number of trainings per week</v>
      </c>
      <c r="AE31" s="244" cm="1">
        <f t="array" ref="AE31">SUMPRODUCT(C56:C68*D56:D68)/42</f>
        <v>4.333333333333333</v>
      </c>
      <c r="AF31" s="270">
        <f>IF(AE31&gt;=4,3,IF(AE31&gt;=3,2,IF(AE31&gt;=2,1,0)))</f>
        <v>3</v>
      </c>
      <c r="AG31" s="540"/>
      <c r="AH31" s="540"/>
      <c r="AI31" s="540"/>
      <c r="AJ31" s="540"/>
    </row>
    <row r="32" spans="1:36" ht="15" customHeight="1">
      <c r="A32" s="709" t="s">
        <v>444</v>
      </c>
      <c r="B32" s="696"/>
      <c r="C32" s="696"/>
      <c r="D32" s="696"/>
      <c r="E32" s="696"/>
      <c r="F32" s="710"/>
      <c r="G32" s="17"/>
      <c r="H32" s="17"/>
      <c r="I32" s="17"/>
      <c r="J32" s="17"/>
      <c r="K32" s="17"/>
      <c r="L32" s="17"/>
      <c r="M32" s="17"/>
      <c r="N32" s="17"/>
      <c r="O32" s="17"/>
      <c r="P32" s="17"/>
      <c r="Q32" s="16"/>
      <c r="R32" s="17"/>
      <c r="S32" s="17"/>
      <c r="T32" s="17"/>
      <c r="U32" s="17"/>
      <c r="V32" s="17"/>
      <c r="W32" s="17"/>
      <c r="X32" s="17"/>
      <c r="Y32" s="17"/>
      <c r="Z32" s="17"/>
      <c r="AA32" s="17"/>
      <c r="AB32" s="17"/>
      <c r="AC32" s="17"/>
      <c r="AD32" s="244" t="str">
        <f>IF($B$12="individual",Constants!F57,Constants!L57)</f>
        <v>number of trainings weeks per year</v>
      </c>
      <c r="AE32" s="252">
        <f>MAX(C56:C68)</f>
        <v>26</v>
      </c>
      <c r="AF32" s="250">
        <f>IF(AE32&gt;=40,3,IF(AE32&gt;=35,2,1))</f>
        <v>1</v>
      </c>
      <c r="AG32" s="540"/>
      <c r="AH32" s="540"/>
      <c r="AI32" s="540"/>
      <c r="AJ32" s="540"/>
    </row>
    <row r="33" spans="1:58" ht="15.75" customHeight="1">
      <c r="A33" s="709" t="s">
        <v>445</v>
      </c>
      <c r="B33" s="696"/>
      <c r="C33" s="696"/>
      <c r="D33" s="696"/>
      <c r="E33" s="696"/>
      <c r="F33" s="710"/>
      <c r="G33" s="17"/>
      <c r="H33" s="16"/>
      <c r="I33" s="16"/>
      <c r="J33" s="16"/>
      <c r="K33" s="17"/>
      <c r="L33" s="17"/>
      <c r="M33" s="17"/>
      <c r="N33" s="17"/>
      <c r="O33" s="17"/>
      <c r="P33" s="17"/>
      <c r="Q33" s="16"/>
      <c r="R33" s="17"/>
      <c r="S33" s="17"/>
      <c r="T33" s="17"/>
      <c r="U33" s="17"/>
      <c r="V33" s="17"/>
      <c r="W33" s="17"/>
      <c r="X33" s="17"/>
      <c r="Y33" s="17"/>
      <c r="Z33" s="17"/>
      <c r="AA33" s="17"/>
      <c r="AB33" s="17"/>
      <c r="AC33" s="17"/>
      <c r="AD33" s="244" t="str">
        <f>IF($B$12="individual",Constants!F58,Constants!L58)</f>
        <v>number of training hours by RT / PT-V</v>
      </c>
      <c r="AE33" s="251">
        <f>(SUMIF(H56:H68,"RT",F56:F68)+SUMIF(H56:H68,"PT-V",F56:F68))/SUM(F56:F68)</f>
        <v>1</v>
      </c>
      <c r="AF33" s="270">
        <f>IF(AE33&gt;0.9,3,IF(AE33&gt;0.6,2,IF(AE33&gt;0.3,1,0)))</f>
        <v>3</v>
      </c>
      <c r="AG33" s="540"/>
      <c r="AH33" s="540"/>
      <c r="AI33" s="540"/>
      <c r="AJ33" s="540"/>
    </row>
    <row r="34" spans="1:58" ht="15.75" customHeight="1">
      <c r="A34" s="93" t="s">
        <v>446</v>
      </c>
      <c r="F34" s="94"/>
      <c r="G34" s="17"/>
      <c r="H34" s="16"/>
      <c r="I34" s="16"/>
      <c r="J34" s="16"/>
      <c r="K34" s="17"/>
      <c r="L34" s="17"/>
      <c r="M34" s="17"/>
      <c r="N34" s="17"/>
      <c r="O34" s="17"/>
      <c r="P34" s="17"/>
      <c r="Q34" s="16"/>
      <c r="R34" s="17"/>
      <c r="S34" s="17"/>
      <c r="T34" s="17"/>
      <c r="U34" s="17"/>
      <c r="V34" s="17"/>
      <c r="W34" s="17"/>
      <c r="X34" s="17"/>
      <c r="Y34" s="17"/>
      <c r="Z34" s="17"/>
      <c r="AA34" s="17"/>
      <c r="AB34" s="17"/>
      <c r="AC34" s="17"/>
      <c r="AD34" s="244" t="str">
        <f>IF($B$12="individual",Constants!F59,Constants!L59)</f>
        <v>number of training groups / teams</v>
      </c>
      <c r="AE34" s="244">
        <f>B10</f>
        <v>3</v>
      </c>
      <c r="AF34" s="271">
        <f>IF(AE34&gt;9,3,IF(AE34&gt;4,2,IF(AE34&gt;2,1,0)))</f>
        <v>1</v>
      </c>
      <c r="AG34" s="540"/>
      <c r="AH34" s="540"/>
      <c r="AI34" s="540"/>
      <c r="AJ34" s="540"/>
    </row>
    <row r="35" spans="1:58" ht="15.75" customHeight="1">
      <c r="A35" s="713" t="s">
        <v>447</v>
      </c>
      <c r="B35" s="714"/>
      <c r="C35" s="714"/>
      <c r="D35" s="714"/>
      <c r="E35" s="714"/>
      <c r="F35" s="715"/>
      <c r="G35" s="17"/>
      <c r="H35" s="16"/>
      <c r="I35" s="16"/>
      <c r="J35" s="16"/>
      <c r="K35" s="17"/>
      <c r="L35" s="17"/>
      <c r="M35" s="17"/>
      <c r="N35" s="17"/>
      <c r="O35" s="17"/>
      <c r="P35" s="17"/>
      <c r="Q35" s="16"/>
      <c r="R35" s="17"/>
      <c r="S35" s="17"/>
      <c r="T35" s="17"/>
      <c r="U35" s="17"/>
      <c r="V35" s="17"/>
      <c r="W35" s="17"/>
      <c r="X35" s="17"/>
      <c r="Y35" s="17"/>
      <c r="Z35" s="17"/>
      <c r="AA35" s="17"/>
      <c r="AB35" s="17"/>
      <c r="AC35" s="17"/>
      <c r="AD35" s="244" t="str">
        <f>IF($B$12="individual",Constants!F60,Constants!L60)</f>
        <v>number of competitions organised</v>
      </c>
      <c r="AE35" s="249"/>
      <c r="AF35" s="271">
        <f>IF(AE35&gt;=4,5,IF(AE35&gt;=2,3,IF(AE35&gt;=1,1,0)))</f>
        <v>0</v>
      </c>
      <c r="AG35" s="540"/>
      <c r="AH35" s="540"/>
      <c r="AI35" s="540"/>
      <c r="AJ35" s="540"/>
    </row>
    <row r="36" spans="1:58" ht="15.75" customHeight="1">
      <c r="A36" s="16"/>
      <c r="G36" s="17"/>
      <c r="H36" s="16"/>
      <c r="I36" s="16"/>
      <c r="J36" s="16"/>
      <c r="K36" s="17"/>
      <c r="L36" s="17"/>
      <c r="M36" s="17"/>
      <c r="N36" s="17"/>
      <c r="O36" s="17"/>
      <c r="P36" s="17"/>
      <c r="Q36" s="16"/>
      <c r="R36" s="17"/>
      <c r="S36" s="17"/>
      <c r="T36" s="17"/>
      <c r="U36" s="17"/>
      <c r="V36" s="17"/>
      <c r="W36" s="17"/>
      <c r="X36" s="17"/>
      <c r="Y36" s="17"/>
      <c r="Z36" s="17"/>
      <c r="AA36" s="17"/>
      <c r="AB36" s="17"/>
      <c r="AC36" s="17"/>
      <c r="AD36" s="244" t="str">
        <f>IF($B$12="individual",Constants!F61,Constants!L61)</f>
        <v>number of social activities</v>
      </c>
      <c r="AE36" s="249"/>
      <c r="AF36" s="271">
        <f>IF(AE36&gt;=20,2,IF(AE36&gt;=10,1,0))</f>
        <v>0</v>
      </c>
      <c r="AG36" s="540"/>
      <c r="AH36" s="540"/>
      <c r="AI36" s="540"/>
      <c r="AJ36" s="540"/>
    </row>
    <row r="37" spans="1:58" ht="15.75" customHeight="1">
      <c r="A37" s="179" t="s">
        <v>448</v>
      </c>
      <c r="B37" s="16"/>
      <c r="C37" s="16"/>
      <c r="D37" s="16"/>
      <c r="E37" s="16"/>
      <c r="F37" s="16"/>
      <c r="G37" s="16"/>
      <c r="H37" s="16"/>
      <c r="I37" s="16"/>
      <c r="J37" s="16"/>
      <c r="K37" s="16"/>
      <c r="L37" s="16"/>
      <c r="M37" s="16"/>
      <c r="N37" s="16"/>
      <c r="O37" s="16"/>
      <c r="P37" s="16"/>
      <c r="Q37" s="16"/>
      <c r="R37" s="16"/>
      <c r="S37" s="16"/>
      <c r="T37" s="16"/>
      <c r="U37" s="16"/>
      <c r="V37" s="16"/>
      <c r="W37" s="16"/>
      <c r="X37" s="16"/>
      <c r="Y37" s="16"/>
      <c r="Z37" s="16"/>
      <c r="AA37" s="16"/>
      <c r="AB37" s="18"/>
      <c r="AC37" s="16"/>
      <c r="AD37" s="244" t="str">
        <f>IF($B$12="individual",Constants!F62,Constants!L62)</f>
        <v>number of bar days</v>
      </c>
      <c r="AE37" s="249"/>
      <c r="AF37" s="271">
        <f>IF(AE37&gt;=15,2,IF(AE37&gt;=8,1,0))</f>
        <v>0</v>
      </c>
      <c r="AG37" s="540"/>
      <c r="AH37" s="540"/>
      <c r="AI37" s="540"/>
      <c r="AJ37" s="540"/>
    </row>
    <row r="38" spans="1:58" ht="15" customHeight="1">
      <c r="A38" s="258" t="s">
        <v>449</v>
      </c>
      <c r="B38" s="259" t="s">
        <v>450</v>
      </c>
      <c r="C38" s="258" t="s">
        <v>451</v>
      </c>
      <c r="D38" s="258" t="s">
        <v>452</v>
      </c>
      <c r="E38" s="258" t="s">
        <v>453</v>
      </c>
      <c r="F38" s="258" t="s">
        <v>454</v>
      </c>
      <c r="G38" s="259" t="s">
        <v>455</v>
      </c>
      <c r="H38" s="561" t="s">
        <v>456</v>
      </c>
      <c r="I38" s="716"/>
      <c r="J38" s="717"/>
      <c r="K38" s="98"/>
      <c r="L38" s="98"/>
      <c r="M38" s="98"/>
      <c r="N38" s="98"/>
      <c r="O38" s="98"/>
      <c r="P38" s="98"/>
      <c r="Q38" s="98"/>
      <c r="R38" s="98"/>
      <c r="S38" s="98"/>
      <c r="T38" s="98"/>
      <c r="U38" s="96"/>
      <c r="V38" s="96"/>
      <c r="W38" s="96"/>
      <c r="X38" s="96"/>
      <c r="Y38" s="99"/>
      <c r="Z38" s="96"/>
      <c r="AA38" s="96"/>
      <c r="AB38" s="100"/>
      <c r="AC38" s="100"/>
      <c r="AD38" s="244" t="str">
        <f>IF($B$12="individual",Constants!F63,Constants!L63)</f>
        <v>own bar / extra location</v>
      </c>
      <c r="AE38" s="249"/>
      <c r="AF38" s="271">
        <f>IF(AE38&gt;=15,2,IF(AE38&gt;=8,1,0))</f>
        <v>0</v>
      </c>
      <c r="AG38" s="540"/>
      <c r="AH38" s="540"/>
      <c r="AI38" s="540"/>
      <c r="AJ38" s="540"/>
      <c r="AK38" s="100"/>
      <c r="AL38" s="100"/>
      <c r="AM38" s="100"/>
      <c r="AN38" s="100"/>
      <c r="AO38" s="100"/>
      <c r="AP38" s="100"/>
      <c r="AQ38" s="100"/>
      <c r="AR38" s="100"/>
      <c r="AS38" s="100"/>
      <c r="AT38" s="100"/>
      <c r="AU38" s="100"/>
      <c r="AV38" s="100"/>
      <c r="AW38" s="100"/>
      <c r="AX38" s="100"/>
      <c r="AY38" s="100"/>
      <c r="AZ38" s="100"/>
      <c r="BA38" s="100"/>
      <c r="BB38" s="100"/>
      <c r="BC38" s="100"/>
      <c r="BD38" s="100"/>
      <c r="BE38" s="100"/>
      <c r="BF38" s="100"/>
    </row>
    <row r="39" spans="1:58" ht="14.25" customHeight="1">
      <c r="A39" s="312">
        <v>1</v>
      </c>
      <c r="B39" s="323">
        <v>15</v>
      </c>
      <c r="C39" s="312">
        <v>2</v>
      </c>
      <c r="D39" s="312">
        <v>26</v>
      </c>
      <c r="E39" s="312" t="s">
        <v>57</v>
      </c>
      <c r="F39" s="327" t="s">
        <v>1697</v>
      </c>
      <c r="G39" s="325"/>
      <c r="H39" s="618"/>
      <c r="I39" s="741"/>
      <c r="J39" s="742"/>
      <c r="K39" s="16"/>
      <c r="L39" s="16"/>
      <c r="M39" s="16"/>
      <c r="N39" s="16"/>
      <c r="O39" s="16"/>
      <c r="P39" s="16"/>
      <c r="Q39" s="16"/>
      <c r="R39" s="16"/>
      <c r="S39" s="16"/>
      <c r="T39" s="16"/>
      <c r="U39" s="16"/>
      <c r="V39" s="16"/>
      <c r="W39" s="16"/>
      <c r="X39" s="16"/>
      <c r="Y39" s="17"/>
      <c r="Z39" s="16"/>
      <c r="AA39" s="16"/>
      <c r="AD39" s="244" t="str">
        <f>IF($B$12="individual",Constants!F65,Constants!L64)</f>
        <v>number of facilities used</v>
      </c>
      <c r="AE39" s="249"/>
      <c r="AF39" s="273">
        <f>IF(B12="individual", IF(AE39&gt;10, 5, IF(AE39&gt;6, 3, IF(AE39&gt;2, 1, 0))), IF(AE39&gt;3, 3, IF(AE39&gt;1, 2, 1)))</f>
        <v>1</v>
      </c>
      <c r="AG39" s="540"/>
      <c r="AH39" s="540"/>
      <c r="AI39" s="540"/>
      <c r="AJ39" s="540"/>
    </row>
    <row r="40" spans="1:58" ht="14.25" customHeight="1">
      <c r="A40" s="312">
        <v>2</v>
      </c>
      <c r="B40" s="323">
        <v>15</v>
      </c>
      <c r="C40" s="312">
        <v>2</v>
      </c>
      <c r="D40" s="312">
        <v>26</v>
      </c>
      <c r="E40" s="328" t="s">
        <v>55</v>
      </c>
      <c r="F40" s="327" t="s">
        <v>1084</v>
      </c>
      <c r="G40" s="325"/>
      <c r="H40" s="743"/>
      <c r="I40" s="744"/>
      <c r="J40" s="745"/>
      <c r="K40" s="16"/>
      <c r="L40" s="16"/>
      <c r="M40" s="16"/>
      <c r="N40" s="16"/>
      <c r="O40" s="16"/>
      <c r="P40" s="16"/>
      <c r="Q40" s="16"/>
      <c r="R40" s="16"/>
      <c r="S40" s="16"/>
      <c r="T40" s="16"/>
      <c r="U40" s="16"/>
      <c r="V40" s="16"/>
      <c r="W40" s="16"/>
      <c r="X40" s="16"/>
      <c r="Y40" s="17"/>
      <c r="Z40" s="16"/>
      <c r="AA40" s="16"/>
      <c r="AD40" s="231" t="str">
        <f>IF($B$12="individual",Constants!F64,Constants!L65)</f>
        <v>ratio of competing teams / training teams</v>
      </c>
      <c r="AE40" s="231">
        <f>IF(AD40="n/a","",COUNTA(A47:A51)/COUNTA(A39:A43))</f>
        <v>0.66666666666666663</v>
      </c>
      <c r="AF40" s="272">
        <f>IF(B12="group", IF(AE40&gt;0.15, 5, IF(AE40&gt;0.1, 3, IF(AE40&gt;0.05, 1, 0))), " ")</f>
        <v>5</v>
      </c>
      <c r="AG40" s="540"/>
      <c r="AH40" s="540"/>
      <c r="AI40" s="540"/>
      <c r="AJ40" s="540"/>
    </row>
    <row r="41" spans="1:58" ht="15.75" customHeight="1">
      <c r="A41" s="323">
        <v>3</v>
      </c>
      <c r="B41" s="323">
        <v>20</v>
      </c>
      <c r="C41" s="323">
        <v>2</v>
      </c>
      <c r="D41" s="323">
        <v>26</v>
      </c>
      <c r="E41" s="328" t="s">
        <v>55</v>
      </c>
      <c r="F41" s="327" t="s">
        <v>1698</v>
      </c>
      <c r="G41" s="323" t="s">
        <v>1699</v>
      </c>
      <c r="H41" s="743"/>
      <c r="I41" s="744"/>
      <c r="J41" s="745"/>
      <c r="K41" s="16"/>
      <c r="L41" s="16"/>
      <c r="M41" s="16"/>
      <c r="N41" s="16"/>
      <c r="O41" s="16"/>
      <c r="P41" s="16"/>
      <c r="Q41" s="16"/>
      <c r="R41" s="16"/>
      <c r="S41" s="16"/>
      <c r="T41" s="16"/>
      <c r="U41" s="16"/>
      <c r="V41" s="16"/>
      <c r="W41" s="16"/>
      <c r="X41" s="16"/>
      <c r="Y41" s="16"/>
      <c r="Z41" s="16"/>
      <c r="AA41" s="16"/>
      <c r="AD41" s="16"/>
      <c r="AE41" s="275" t="s">
        <v>461</v>
      </c>
      <c r="AF41" s="277">
        <f>SUM(AF30:AF40)</f>
        <v>15</v>
      </c>
      <c r="AG41" s="247"/>
      <c r="AH41" s="245"/>
      <c r="AI41" s="246"/>
      <c r="AJ41" s="247"/>
    </row>
    <row r="42" spans="1:58" ht="15.75" customHeight="1">
      <c r="A42" s="231"/>
      <c r="B42" s="232"/>
      <c r="C42" s="231"/>
      <c r="D42" s="232"/>
      <c r="E42" s="245"/>
      <c r="F42" s="261"/>
      <c r="G42" s="231"/>
      <c r="H42" s="743"/>
      <c r="I42" s="744"/>
      <c r="J42" s="745"/>
      <c r="K42" s="16"/>
      <c r="L42" s="16"/>
      <c r="M42" s="16"/>
      <c r="N42" s="16"/>
      <c r="O42" s="16"/>
      <c r="P42" s="16"/>
      <c r="Q42" s="16"/>
      <c r="R42" s="16"/>
      <c r="S42" s="16"/>
      <c r="T42" s="16"/>
      <c r="U42" s="16"/>
      <c r="V42" s="16"/>
      <c r="W42" s="16"/>
      <c r="X42" s="16"/>
      <c r="Y42" s="16"/>
      <c r="Z42" s="16"/>
      <c r="AA42" s="16"/>
    </row>
    <row r="43" spans="1:58" ht="15.75" customHeight="1">
      <c r="A43" s="231"/>
      <c r="B43" s="326"/>
      <c r="C43" s="245"/>
      <c r="D43" s="232"/>
      <c r="E43" s="261"/>
      <c r="F43" s="261"/>
      <c r="G43" s="231"/>
      <c r="H43" s="746"/>
      <c r="I43" s="747"/>
      <c r="J43" s="748"/>
      <c r="K43" s="16"/>
      <c r="L43" s="16"/>
      <c r="M43" s="16"/>
      <c r="N43" s="16"/>
      <c r="O43" s="16"/>
      <c r="P43" s="16"/>
      <c r="Q43" s="16"/>
      <c r="R43" s="16"/>
      <c r="S43" s="16"/>
      <c r="T43" s="16"/>
      <c r="U43" s="16"/>
      <c r="V43" s="16"/>
      <c r="W43" s="16"/>
      <c r="X43" s="16"/>
      <c r="Y43" s="16"/>
      <c r="Z43" s="16"/>
      <c r="AA43" s="16"/>
    </row>
    <row r="44" spans="1:58" ht="15.75" customHeight="1" thickTop="1">
      <c r="A44" s="18"/>
      <c r="B44" s="18"/>
      <c r="C44" s="18"/>
      <c r="D44" s="18"/>
      <c r="E44" s="18"/>
      <c r="F44" s="18"/>
      <c r="G44" s="17"/>
      <c r="H44" s="17"/>
      <c r="I44" s="17"/>
      <c r="J44" s="17"/>
      <c r="K44" s="17"/>
      <c r="L44" s="17"/>
      <c r="M44" s="17"/>
      <c r="N44" s="17"/>
      <c r="O44" s="17"/>
      <c r="P44" s="17"/>
      <c r="Q44" s="16"/>
      <c r="R44" s="17"/>
      <c r="S44" s="17"/>
      <c r="T44" s="17"/>
      <c r="U44" s="17"/>
      <c r="V44" s="17"/>
      <c r="W44" s="17"/>
      <c r="X44" s="17"/>
      <c r="Y44" s="17"/>
      <c r="Z44" s="17"/>
      <c r="AA44" s="17"/>
      <c r="AB44" s="17"/>
      <c r="AC44" s="17"/>
      <c r="AD44" s="17"/>
    </row>
    <row r="45" spans="1:58" ht="15.75" customHeight="1" thickBot="1">
      <c r="A45" s="179" t="s">
        <v>462</v>
      </c>
      <c r="B45" s="169"/>
      <c r="C45" s="16"/>
      <c r="D45" s="16"/>
      <c r="E45" s="16"/>
      <c r="F45" s="16"/>
      <c r="G45" s="16"/>
      <c r="H45" s="16"/>
      <c r="I45" s="16"/>
      <c r="J45" s="16"/>
      <c r="K45" s="16"/>
      <c r="L45" s="16"/>
      <c r="M45" s="16"/>
      <c r="N45" s="16"/>
      <c r="O45" s="16"/>
      <c r="P45" s="16"/>
      <c r="Q45" s="16"/>
      <c r="R45" s="16"/>
      <c r="S45" s="16"/>
      <c r="T45" s="16"/>
      <c r="U45" s="16"/>
      <c r="V45" s="16"/>
      <c r="W45" s="16"/>
      <c r="X45" s="16"/>
      <c r="Y45" s="16"/>
      <c r="Z45" s="16"/>
      <c r="AA45" s="16"/>
      <c r="AB45" s="18"/>
      <c r="AC45" s="16"/>
      <c r="AD45" s="16"/>
    </row>
    <row r="46" spans="1:58" ht="15" customHeight="1" thickTop="1" thickBot="1">
      <c r="A46" s="258" t="s">
        <v>449</v>
      </c>
      <c r="B46" s="259" t="s">
        <v>450</v>
      </c>
      <c r="C46" s="258" t="s">
        <v>463</v>
      </c>
      <c r="D46" s="258" t="s">
        <v>464</v>
      </c>
      <c r="E46" s="258" t="s">
        <v>465</v>
      </c>
      <c r="F46" s="258" t="s">
        <v>466</v>
      </c>
      <c r="G46" s="258" t="s">
        <v>467</v>
      </c>
      <c r="H46" s="259" t="s">
        <v>455</v>
      </c>
      <c r="I46" s="561" t="s">
        <v>456</v>
      </c>
      <c r="J46" s="716"/>
      <c r="K46" s="717"/>
      <c r="L46" s="98"/>
      <c r="M46" s="98"/>
      <c r="N46" s="98"/>
      <c r="O46" s="98"/>
      <c r="P46" s="98"/>
      <c r="Q46" s="98"/>
      <c r="R46" s="98"/>
      <c r="S46" s="98"/>
      <c r="T46" s="98"/>
      <c r="U46" s="98"/>
      <c r="V46" s="96"/>
      <c r="W46" s="96"/>
      <c r="X46" s="96"/>
      <c r="Y46" s="96"/>
      <c r="Z46" s="99"/>
      <c r="AA46" s="96"/>
      <c r="AB46" s="96"/>
      <c r="AC46" s="100"/>
      <c r="AD46" s="100"/>
      <c r="AE46" s="100"/>
      <c r="AF46" s="100"/>
      <c r="AG46" s="100"/>
      <c r="AH46" s="100"/>
      <c r="AI46" s="100"/>
      <c r="AJ46" s="100"/>
      <c r="AK46" s="100"/>
      <c r="AL46" s="100"/>
      <c r="AM46" s="100"/>
      <c r="AN46" s="100"/>
      <c r="AO46" s="100"/>
      <c r="AP46" s="100"/>
      <c r="AQ46" s="100"/>
      <c r="AR46" s="100"/>
      <c r="AS46" s="100"/>
      <c r="AT46" s="100"/>
      <c r="AU46" s="100"/>
      <c r="AV46" s="100"/>
      <c r="AW46" s="100"/>
      <c r="AX46" s="100"/>
      <c r="AY46" s="100"/>
      <c r="AZ46" s="100"/>
      <c r="BA46" s="100"/>
      <c r="BB46" s="100"/>
      <c r="BC46" s="100"/>
      <c r="BD46" s="100"/>
      <c r="BE46" s="100"/>
      <c r="BF46" s="100"/>
    </row>
    <row r="47" spans="1:58" ht="14.25" customHeight="1" thickTop="1">
      <c r="A47" s="312">
        <v>1</v>
      </c>
      <c r="B47" s="323">
        <v>16</v>
      </c>
      <c r="C47" s="312"/>
      <c r="D47" s="312" t="s">
        <v>55</v>
      </c>
      <c r="E47" s="327">
        <v>1</v>
      </c>
      <c r="F47" s="327">
        <v>1.5</v>
      </c>
      <c r="G47" s="323" t="s">
        <v>471</v>
      </c>
      <c r="H47" s="323"/>
      <c r="I47" s="618"/>
      <c r="J47" s="741"/>
      <c r="K47" s="742"/>
      <c r="L47" s="16"/>
      <c r="M47" s="16"/>
      <c r="N47" s="16"/>
      <c r="O47" s="16"/>
      <c r="P47" s="16"/>
      <c r="Q47" s="16"/>
      <c r="R47" s="16"/>
      <c r="S47" s="16"/>
      <c r="T47" s="16"/>
      <c r="U47" s="16"/>
      <c r="V47" s="16"/>
      <c r="W47" s="16"/>
      <c r="X47" s="16"/>
      <c r="Y47" s="16"/>
      <c r="Z47" s="17"/>
      <c r="AA47" s="16"/>
      <c r="AB47" s="16"/>
    </row>
    <row r="48" spans="1:58" ht="14.25" customHeight="1">
      <c r="A48" s="312">
        <v>1</v>
      </c>
      <c r="B48" s="323">
        <v>16</v>
      </c>
      <c r="C48" s="312" t="s">
        <v>1700</v>
      </c>
      <c r="D48" s="312" t="s">
        <v>281</v>
      </c>
      <c r="E48" s="328">
        <v>2</v>
      </c>
      <c r="F48" s="327">
        <v>3</v>
      </c>
      <c r="G48" s="323" t="s">
        <v>471</v>
      </c>
      <c r="H48" s="323"/>
      <c r="I48" s="743"/>
      <c r="J48" s="744"/>
      <c r="K48" s="745"/>
      <c r="L48" s="16"/>
      <c r="M48" s="16"/>
      <c r="N48" s="16"/>
      <c r="O48" s="16"/>
      <c r="P48" s="16"/>
      <c r="Q48" s="16"/>
      <c r="R48" s="16"/>
      <c r="S48" s="16"/>
      <c r="T48" s="16"/>
      <c r="U48" s="16"/>
      <c r="V48" s="16"/>
      <c r="W48" s="16"/>
      <c r="X48" s="16"/>
      <c r="Y48" s="16"/>
      <c r="Z48" s="17"/>
      <c r="AA48" s="16"/>
      <c r="AB48" s="16"/>
    </row>
    <row r="49" spans="1:30" ht="15.75" customHeight="1">
      <c r="A49" s="323"/>
      <c r="B49" s="323"/>
      <c r="C49" s="323"/>
      <c r="D49" s="312"/>
      <c r="E49" s="328"/>
      <c r="F49" s="327"/>
      <c r="G49" s="329"/>
      <c r="H49" s="323"/>
      <c r="I49" s="743"/>
      <c r="J49" s="744"/>
      <c r="K49" s="745"/>
      <c r="L49" s="16"/>
      <c r="M49" s="16"/>
      <c r="N49" s="16"/>
      <c r="O49" s="16"/>
      <c r="P49" s="16"/>
      <c r="Q49" s="16"/>
      <c r="R49" s="16"/>
      <c r="S49" s="16"/>
      <c r="T49" s="16"/>
      <c r="U49" s="16"/>
      <c r="V49" s="16"/>
      <c r="W49" s="16"/>
      <c r="X49" s="16"/>
      <c r="Y49" s="16"/>
      <c r="Z49" s="16"/>
      <c r="AA49" s="16"/>
      <c r="AB49" s="16"/>
    </row>
    <row r="50" spans="1:30" ht="15.75" customHeight="1">
      <c r="A50" s="231"/>
      <c r="B50" s="232"/>
      <c r="C50" s="231"/>
      <c r="D50" s="269"/>
      <c r="E50" s="245"/>
      <c r="F50" s="261"/>
      <c r="G50" s="263"/>
      <c r="H50" s="231"/>
      <c r="I50" s="743"/>
      <c r="J50" s="744"/>
      <c r="K50" s="745"/>
      <c r="L50" s="16"/>
      <c r="M50" s="16"/>
      <c r="N50" s="16"/>
      <c r="O50" s="16"/>
      <c r="P50" s="16"/>
      <c r="Q50" s="16"/>
      <c r="R50" s="16"/>
      <c r="S50" s="16"/>
      <c r="T50" s="16"/>
      <c r="U50" s="16"/>
      <c r="V50" s="16"/>
      <c r="W50" s="16"/>
      <c r="X50" s="16"/>
      <c r="Y50" s="16"/>
      <c r="Z50" s="16"/>
      <c r="AA50" s="16"/>
      <c r="AB50" s="16"/>
    </row>
    <row r="51" spans="1:30" ht="15.75" customHeight="1" thickBot="1">
      <c r="A51" s="231"/>
      <c r="B51" s="326"/>
      <c r="C51" s="245"/>
      <c r="D51" s="245"/>
      <c r="E51" s="261"/>
      <c r="F51" s="261"/>
      <c r="G51" s="263"/>
      <c r="H51" s="231"/>
      <c r="I51" s="746"/>
      <c r="J51" s="747"/>
      <c r="K51" s="748"/>
      <c r="L51" s="16"/>
      <c r="M51" s="16"/>
      <c r="N51" s="16"/>
      <c r="O51" s="16"/>
      <c r="P51" s="16"/>
      <c r="Q51" s="16"/>
      <c r="R51" s="16"/>
      <c r="S51" s="16"/>
      <c r="T51" s="16"/>
      <c r="U51" s="16"/>
      <c r="V51" s="16"/>
      <c r="W51" s="16"/>
      <c r="X51" s="16"/>
      <c r="Y51" s="16"/>
      <c r="Z51" s="16"/>
      <c r="AA51" s="16"/>
      <c r="AB51" s="16"/>
    </row>
    <row r="52" spans="1:30" ht="15.75" customHeight="1" thickTop="1">
      <c r="A52" s="15"/>
      <c r="B52" s="16"/>
      <c r="C52" s="16"/>
      <c r="D52" s="16"/>
      <c r="E52" s="16"/>
      <c r="F52" s="16"/>
      <c r="G52" s="16"/>
      <c r="H52" s="16"/>
      <c r="I52" s="16"/>
      <c r="J52" s="16"/>
      <c r="K52" s="16"/>
      <c r="L52" s="16"/>
      <c r="M52" s="16"/>
      <c r="N52" s="16"/>
      <c r="O52" s="16"/>
      <c r="P52" s="16"/>
      <c r="Q52" s="16"/>
      <c r="R52" s="16"/>
      <c r="S52" s="16"/>
      <c r="T52" s="16"/>
      <c r="U52" s="16"/>
      <c r="V52" s="16"/>
      <c r="W52" s="16"/>
      <c r="X52" s="16"/>
      <c r="Y52" s="16"/>
      <c r="Z52" s="16"/>
      <c r="AA52" s="16"/>
      <c r="AB52" s="16"/>
      <c r="AC52" s="16"/>
      <c r="AD52" s="16"/>
    </row>
    <row r="53" spans="1:30" ht="15.75" customHeight="1">
      <c r="A53" s="15"/>
      <c r="B53" s="16"/>
      <c r="C53" s="16"/>
      <c r="D53" s="16"/>
      <c r="E53" s="16"/>
      <c r="F53" s="16"/>
      <c r="G53" s="16"/>
      <c r="H53" s="16"/>
      <c r="I53" s="16"/>
      <c r="J53" s="16"/>
      <c r="K53" s="16"/>
      <c r="L53" s="16"/>
      <c r="M53" s="16"/>
      <c r="N53" s="16"/>
      <c r="O53" s="16"/>
      <c r="P53" s="16"/>
      <c r="Q53" s="16"/>
      <c r="W53" s="16"/>
      <c r="X53" s="16"/>
      <c r="Y53" s="16"/>
      <c r="Z53" s="16"/>
      <c r="AA53" s="16"/>
      <c r="AB53" s="16"/>
      <c r="AC53" s="16"/>
      <c r="AD53" s="16"/>
    </row>
    <row r="54" spans="1:30" ht="15.75" customHeight="1" thickBot="1">
      <c r="A54" s="113" t="s">
        <v>475</v>
      </c>
      <c r="B54" s="180"/>
      <c r="C54" s="180"/>
      <c r="D54" s="180"/>
      <c r="E54" s="180"/>
      <c r="F54" s="180"/>
      <c r="G54" s="180"/>
      <c r="H54" s="180"/>
      <c r="I54" s="180"/>
      <c r="J54" s="16"/>
      <c r="K54" s="16"/>
      <c r="L54" s="16"/>
      <c r="M54" s="16"/>
      <c r="N54" s="16"/>
      <c r="O54" s="16"/>
      <c r="P54" s="16"/>
      <c r="Q54" s="16"/>
      <c r="W54" s="16"/>
      <c r="X54" s="16"/>
      <c r="Y54" s="16"/>
      <c r="Z54" s="16"/>
      <c r="AA54" s="16"/>
      <c r="AB54" s="16"/>
      <c r="AC54" s="16"/>
      <c r="AD54" s="16"/>
    </row>
    <row r="55" spans="1:30" ht="15.75" customHeight="1" thickTop="1" thickBot="1">
      <c r="A55" s="114" t="s">
        <v>476</v>
      </c>
      <c r="B55" s="15" t="s">
        <v>477</v>
      </c>
      <c r="C55" s="15" t="s">
        <v>478</v>
      </c>
      <c r="D55" s="15" t="s">
        <v>479</v>
      </c>
      <c r="E55" s="15" t="s">
        <v>480</v>
      </c>
      <c r="F55" s="15" t="s">
        <v>481</v>
      </c>
      <c r="G55" s="15" t="s">
        <v>482</v>
      </c>
      <c r="H55" s="15" t="s">
        <v>453</v>
      </c>
      <c r="I55" s="15" t="s">
        <v>483</v>
      </c>
      <c r="J55" s="15" t="s">
        <v>484</v>
      </c>
      <c r="K55" s="721" t="s">
        <v>485</v>
      </c>
      <c r="L55" s="716"/>
      <c r="M55" s="722"/>
      <c r="N55" s="15"/>
      <c r="O55" s="16"/>
      <c r="P55" s="16"/>
      <c r="Q55" s="16"/>
      <c r="W55" s="16"/>
      <c r="X55" s="16"/>
      <c r="Y55" s="16"/>
      <c r="Z55" s="16"/>
      <c r="AA55" s="16"/>
      <c r="AB55" s="16"/>
    </row>
    <row r="56" spans="1:30" ht="15" customHeight="1" thickTop="1">
      <c r="A56" s="138">
        <v>1</v>
      </c>
      <c r="B56" s="108" t="s">
        <v>278</v>
      </c>
      <c r="C56" s="108">
        <v>26</v>
      </c>
      <c r="D56" s="108">
        <v>1</v>
      </c>
      <c r="E56" s="108">
        <v>1.5</v>
      </c>
      <c r="F56" s="108">
        <f>Table_4168308[[#This Row],['# Weeks]]*Table_4168308[[#This Row],[Total hours/week]]</f>
        <v>39</v>
      </c>
      <c r="G56" s="137"/>
      <c r="H56" s="108" t="s">
        <v>55</v>
      </c>
      <c r="I56" s="132" t="str">
        <f t="shared" ref="I56:I68" si="2">IF(H56 = "PT-V","n/a",IF(H56 = "PT","n/a",IF(H56 = "RT","n/a",IF(OR(H56 = "Extern",H56 = "PT-ZZP"), "Please fill in", 0))))</f>
        <v>n/a</v>
      </c>
      <c r="J56" s="16"/>
      <c r="K56" s="564"/>
      <c r="L56" s="741"/>
      <c r="M56" s="742"/>
      <c r="N56" s="16"/>
      <c r="O56" s="16"/>
      <c r="P56" s="16"/>
      <c r="Q56" s="16"/>
      <c r="W56" s="16"/>
      <c r="X56" s="16"/>
      <c r="Y56" s="16"/>
      <c r="Z56" s="16"/>
      <c r="AA56" s="16"/>
      <c r="AB56" s="16"/>
    </row>
    <row r="57" spans="1:30" ht="15.75" customHeight="1">
      <c r="A57" s="109">
        <v>1</v>
      </c>
      <c r="B57" s="108" t="s">
        <v>278</v>
      </c>
      <c r="C57" s="108">
        <v>26</v>
      </c>
      <c r="D57" s="108">
        <v>2</v>
      </c>
      <c r="E57" s="108">
        <v>3</v>
      </c>
      <c r="F57" s="108">
        <f>Table_4168308[[#This Row],['# Weeks]]*Table_4168308[[#This Row],[Total hours/week]]</f>
        <v>78</v>
      </c>
      <c r="G57" s="137" t="s">
        <v>1700</v>
      </c>
      <c r="H57" s="108" t="s">
        <v>281</v>
      </c>
      <c r="I57" s="132" t="str">
        <f t="shared" si="2"/>
        <v>n/a</v>
      </c>
      <c r="J57" s="16"/>
      <c r="K57" s="749"/>
      <c r="L57" s="744"/>
      <c r="M57" s="745"/>
      <c r="N57" s="16"/>
      <c r="O57" s="16"/>
      <c r="P57" s="16"/>
      <c r="Q57" s="16"/>
      <c r="W57" s="16"/>
      <c r="X57" s="16"/>
      <c r="Y57" s="16"/>
      <c r="Z57" s="16"/>
      <c r="AA57" s="16"/>
      <c r="AB57" s="16"/>
    </row>
    <row r="58" spans="1:30" ht="14.25" customHeight="1">
      <c r="A58" s="138">
        <v>2</v>
      </c>
      <c r="B58" s="108" t="s">
        <v>287</v>
      </c>
      <c r="C58" s="108">
        <v>26</v>
      </c>
      <c r="D58" s="108">
        <v>2</v>
      </c>
      <c r="E58" s="108">
        <v>3</v>
      </c>
      <c r="F58" s="108">
        <f>Table_4168308[[#This Row],['# Weeks]]*Table_4168308[[#This Row],[Total hours/week]]</f>
        <v>78</v>
      </c>
      <c r="G58" s="108"/>
      <c r="H58" s="108" t="s">
        <v>55</v>
      </c>
      <c r="I58" s="132" t="str">
        <f t="shared" si="2"/>
        <v>n/a</v>
      </c>
      <c r="J58" s="16"/>
      <c r="K58" s="749"/>
      <c r="L58" s="744"/>
      <c r="M58" s="745"/>
      <c r="N58" s="16"/>
      <c r="O58" s="16"/>
      <c r="P58" s="16"/>
      <c r="Q58" s="16"/>
      <c r="W58" s="16"/>
      <c r="X58" s="16"/>
      <c r="Y58" s="16"/>
      <c r="Z58" s="16"/>
      <c r="AA58" s="16"/>
      <c r="AB58" s="16"/>
    </row>
    <row r="59" spans="1:30" ht="15.75" customHeight="1">
      <c r="A59" s="138">
        <v>3</v>
      </c>
      <c r="B59" s="108" t="s">
        <v>287</v>
      </c>
      <c r="C59" s="108">
        <v>26</v>
      </c>
      <c r="D59" s="108">
        <v>2</v>
      </c>
      <c r="E59" s="108">
        <v>3</v>
      </c>
      <c r="F59" s="108">
        <f>Table_4168308[[#This Row],['# Weeks]]*Table_4168308[[#This Row],[Total hours/week]]</f>
        <v>78</v>
      </c>
      <c r="G59" s="108"/>
      <c r="H59" s="108" t="s">
        <v>55</v>
      </c>
      <c r="I59" s="132" t="str">
        <f t="shared" si="2"/>
        <v>n/a</v>
      </c>
      <c r="J59" s="16"/>
      <c r="K59" s="749"/>
      <c r="L59" s="744"/>
      <c r="M59" s="745"/>
      <c r="N59" s="16"/>
      <c r="O59" s="16"/>
      <c r="P59" s="16"/>
      <c r="Q59" s="16"/>
      <c r="W59" s="16"/>
      <c r="X59" s="16"/>
      <c r="Y59" s="16"/>
      <c r="Z59" s="16"/>
      <c r="AA59" s="16"/>
      <c r="AB59" s="16"/>
    </row>
    <row r="60" spans="1:30" ht="15.75" customHeight="1">
      <c r="A60" s="116"/>
      <c r="B60" s="117"/>
      <c r="C60" s="16"/>
      <c r="D60" s="16"/>
      <c r="E60" s="16"/>
      <c r="F60" s="117">
        <f>Table_4168308[[#This Row],['# Weeks]]*Table_4168308[[#This Row],[Total hours/week]]</f>
        <v>0</v>
      </c>
      <c r="G60" s="16"/>
      <c r="H60" s="117"/>
      <c r="I60" s="119">
        <f t="shared" si="2"/>
        <v>0</v>
      </c>
      <c r="J60" s="16"/>
      <c r="K60" s="749"/>
      <c r="L60" s="744"/>
      <c r="M60" s="745"/>
      <c r="N60" s="16"/>
      <c r="O60" s="16"/>
      <c r="P60" s="16"/>
      <c r="Q60" s="16"/>
      <c r="W60" s="16"/>
      <c r="X60" s="16"/>
      <c r="Y60" s="16"/>
      <c r="Z60" s="16"/>
      <c r="AA60" s="16"/>
      <c r="AB60" s="16"/>
    </row>
    <row r="61" spans="1:30" ht="15.75" customHeight="1">
      <c r="A61" s="116"/>
      <c r="B61" s="117"/>
      <c r="C61" s="16"/>
      <c r="D61" s="16"/>
      <c r="E61" s="16"/>
      <c r="F61" s="117">
        <f>Table_4168308[[#This Row],['# Weeks]]*Table_4168308[[#This Row],[Total hours/week]]</f>
        <v>0</v>
      </c>
      <c r="G61" s="117"/>
      <c r="H61" s="117"/>
      <c r="I61" s="119">
        <f t="shared" si="2"/>
        <v>0</v>
      </c>
      <c r="J61" s="16"/>
      <c r="K61" s="749"/>
      <c r="L61" s="744"/>
      <c r="M61" s="745"/>
      <c r="N61" s="16"/>
      <c r="O61" s="16"/>
      <c r="P61" s="16"/>
      <c r="Q61" s="16"/>
      <c r="W61" s="16"/>
      <c r="X61" s="16"/>
      <c r="Y61" s="16"/>
      <c r="Z61" s="16"/>
      <c r="AA61" s="16"/>
      <c r="AB61" s="16"/>
    </row>
    <row r="62" spans="1:30" ht="15.75" customHeight="1">
      <c r="A62" s="116"/>
      <c r="B62" s="117"/>
      <c r="C62" s="16"/>
      <c r="D62" s="16"/>
      <c r="E62" s="16"/>
      <c r="F62" s="117">
        <f>Table_4168308[[#This Row],['# Weeks]]*Table_4168308[[#This Row],[Total hours/week]]</f>
        <v>0</v>
      </c>
      <c r="G62" s="117"/>
      <c r="H62" s="117"/>
      <c r="I62" s="119">
        <f t="shared" si="2"/>
        <v>0</v>
      </c>
      <c r="J62" s="16"/>
      <c r="K62" s="749"/>
      <c r="L62" s="744"/>
      <c r="M62" s="745"/>
      <c r="N62" s="16"/>
      <c r="O62" s="16"/>
      <c r="P62" s="16"/>
      <c r="Q62" s="16"/>
      <c r="W62" s="16"/>
      <c r="X62" s="16"/>
      <c r="Y62" s="16"/>
      <c r="Z62" s="16"/>
      <c r="AA62" s="16"/>
      <c r="AB62" s="16"/>
    </row>
    <row r="63" spans="1:30" ht="15.75" customHeight="1">
      <c r="A63" s="116"/>
      <c r="B63" s="117"/>
      <c r="C63" s="106"/>
      <c r="D63" s="106"/>
      <c r="E63" s="106"/>
      <c r="F63" s="120">
        <f>Table_4168308[[#This Row],['# Weeks]]*Table_4168308[[#This Row],[Total hours/week]]</f>
        <v>0</v>
      </c>
      <c r="G63" s="117"/>
      <c r="H63" s="117"/>
      <c r="I63" s="119">
        <f t="shared" si="2"/>
        <v>0</v>
      </c>
      <c r="J63" s="16"/>
      <c r="K63" s="749"/>
      <c r="L63" s="744"/>
      <c r="M63" s="745"/>
      <c r="N63" s="16"/>
      <c r="O63" s="16"/>
      <c r="P63" s="16"/>
      <c r="Q63" s="16"/>
      <c r="W63" s="16"/>
      <c r="X63" s="16"/>
      <c r="Y63" s="16"/>
      <c r="Z63" s="16"/>
      <c r="AA63" s="16"/>
      <c r="AB63" s="16"/>
    </row>
    <row r="64" spans="1:30" ht="15.75" customHeight="1">
      <c r="A64" s="116"/>
      <c r="B64" s="117"/>
      <c r="C64" s="106"/>
      <c r="D64" s="106"/>
      <c r="E64" s="106"/>
      <c r="F64" s="120">
        <f>Table_4168308[[#This Row],['# Weeks]]*Table_4168308[[#This Row],[Total hours/week]]</f>
        <v>0</v>
      </c>
      <c r="G64" s="117"/>
      <c r="H64" s="117"/>
      <c r="I64" s="119">
        <f t="shared" si="2"/>
        <v>0</v>
      </c>
      <c r="J64" s="16"/>
      <c r="K64" s="749"/>
      <c r="L64" s="744"/>
      <c r="M64" s="745"/>
      <c r="N64" s="16"/>
      <c r="O64" s="16"/>
      <c r="P64" s="16"/>
      <c r="Q64" s="16"/>
      <c r="W64" s="16"/>
      <c r="X64" s="16"/>
      <c r="Y64" s="16"/>
      <c r="Z64" s="16"/>
      <c r="AA64" s="16"/>
      <c r="AB64" s="16"/>
    </row>
    <row r="65" spans="1:30" ht="15.75" customHeight="1">
      <c r="A65" s="16"/>
      <c r="B65" s="117"/>
      <c r="C65" s="51"/>
      <c r="D65" s="51"/>
      <c r="E65" s="106"/>
      <c r="F65" s="120">
        <f>Table_4168308[[#This Row],['# Weeks]]*Table_4168308[[#This Row],[Total hours/week]]</f>
        <v>0</v>
      </c>
      <c r="G65" s="16"/>
      <c r="H65" s="117"/>
      <c r="I65" s="119">
        <f t="shared" si="2"/>
        <v>0</v>
      </c>
      <c r="J65" s="16"/>
      <c r="K65" s="749"/>
      <c r="L65" s="744"/>
      <c r="M65" s="745"/>
      <c r="N65" s="16"/>
      <c r="O65" s="16"/>
      <c r="P65" s="16"/>
      <c r="Q65" s="16"/>
      <c r="W65" s="16"/>
      <c r="X65" s="16"/>
      <c r="Y65" s="16"/>
      <c r="Z65" s="16"/>
      <c r="AA65" s="16"/>
      <c r="AB65" s="16"/>
    </row>
    <row r="66" spans="1:30" ht="15.75" customHeight="1">
      <c r="A66" s="16"/>
      <c r="B66" s="117"/>
      <c r="C66" s="51"/>
      <c r="D66" s="51"/>
      <c r="E66" s="106"/>
      <c r="F66" s="120">
        <f>Table_4168308[[#This Row],['# Weeks]]*Table_4168308[[#This Row],[Total hours/week]]</f>
        <v>0</v>
      </c>
      <c r="G66" s="16"/>
      <c r="H66" s="117"/>
      <c r="I66" s="119">
        <f t="shared" si="2"/>
        <v>0</v>
      </c>
      <c r="J66" s="16"/>
      <c r="K66" s="749"/>
      <c r="L66" s="744"/>
      <c r="M66" s="745"/>
      <c r="N66" s="16"/>
      <c r="O66" s="16"/>
      <c r="P66" s="16"/>
      <c r="Q66" s="16"/>
      <c r="W66" s="16"/>
      <c r="X66" s="16"/>
      <c r="Y66" s="16"/>
      <c r="Z66" s="16"/>
      <c r="AA66" s="16"/>
      <c r="AB66" s="16"/>
    </row>
    <row r="67" spans="1:30" ht="15.75" customHeight="1">
      <c r="A67" s="16"/>
      <c r="B67" s="117"/>
      <c r="C67" s="51"/>
      <c r="D67" s="51"/>
      <c r="E67" s="106"/>
      <c r="F67" s="120">
        <f>Table_4168308[[#This Row],['# Weeks]]*Table_4168308[[#This Row],[Total hours/week]]</f>
        <v>0</v>
      </c>
      <c r="G67" s="16"/>
      <c r="H67" s="117"/>
      <c r="I67" s="119">
        <f t="shared" si="2"/>
        <v>0</v>
      </c>
      <c r="J67" s="16"/>
      <c r="K67" s="749"/>
      <c r="L67" s="744"/>
      <c r="M67" s="745"/>
      <c r="N67" s="16"/>
      <c r="O67" s="16"/>
      <c r="P67" s="16"/>
      <c r="Q67" s="16"/>
      <c r="W67" s="16"/>
      <c r="X67" s="16"/>
      <c r="Y67" s="16"/>
      <c r="Z67" s="16"/>
      <c r="AA67" s="16"/>
      <c r="AB67" s="16"/>
    </row>
    <row r="68" spans="1:30" ht="15.75" customHeight="1" thickBot="1">
      <c r="A68" s="121"/>
      <c r="B68" s="117"/>
      <c r="C68" s="182"/>
      <c r="D68" s="183"/>
      <c r="E68" s="184"/>
      <c r="F68" s="185">
        <f>Table_4168308[[#This Row],['# Weeks]]*Table_4168308[[#This Row],[Total hours/week]]</f>
        <v>0</v>
      </c>
      <c r="G68" s="112"/>
      <c r="H68" s="112"/>
      <c r="I68" s="122">
        <f t="shared" si="2"/>
        <v>0</v>
      </c>
      <c r="J68" s="180"/>
      <c r="K68" s="746"/>
      <c r="L68" s="747"/>
      <c r="M68" s="748"/>
      <c r="N68" s="16"/>
      <c r="O68" s="16"/>
      <c r="P68" s="16"/>
      <c r="Q68" s="16"/>
      <c r="W68" s="16"/>
      <c r="X68" s="16"/>
      <c r="Y68" s="16"/>
      <c r="Z68" s="16"/>
      <c r="AA68" s="16"/>
      <c r="AB68" s="16"/>
    </row>
    <row r="69" spans="1:30" ht="15.75" customHeight="1" thickTop="1">
      <c r="A69" s="16"/>
      <c r="B69" s="16"/>
      <c r="C69" s="16"/>
      <c r="D69" s="16"/>
      <c r="E69" s="16"/>
      <c r="F69" s="16"/>
      <c r="G69" s="16"/>
      <c r="H69" s="16"/>
      <c r="I69" s="16"/>
      <c r="J69" s="16"/>
      <c r="K69" s="16"/>
      <c r="L69" s="16"/>
      <c r="M69" s="16"/>
      <c r="N69" s="16"/>
      <c r="O69" s="16"/>
      <c r="P69" s="16"/>
      <c r="Q69" s="16"/>
      <c r="W69" s="16"/>
      <c r="X69" s="16"/>
      <c r="Y69" s="16"/>
      <c r="Z69" s="16"/>
      <c r="AA69" s="16"/>
      <c r="AB69" s="16"/>
      <c r="AC69" s="16"/>
      <c r="AD69" s="16"/>
    </row>
    <row r="70" spans="1:30" ht="15.75" customHeight="1" thickBot="1">
      <c r="A70" s="186" t="s">
        <v>499</v>
      </c>
      <c r="B70" s="231"/>
      <c r="C70" s="231"/>
      <c r="D70" s="231"/>
      <c r="E70" s="231"/>
      <c r="F70" s="231"/>
      <c r="G70" s="231"/>
      <c r="H70" s="231"/>
      <c r="I70" s="231"/>
      <c r="J70" s="231"/>
      <c r="K70" s="123"/>
      <c r="L70" s="123"/>
      <c r="M70" s="16"/>
      <c r="N70" s="16"/>
      <c r="O70" s="16"/>
      <c r="P70" s="16"/>
      <c r="Q70" s="16"/>
      <c r="W70" s="16"/>
      <c r="X70" s="16"/>
      <c r="Y70" s="16"/>
      <c r="Z70" s="16"/>
      <c r="AA70" s="16"/>
      <c r="AB70" s="16"/>
      <c r="AC70" s="16"/>
      <c r="AD70" s="16"/>
    </row>
    <row r="71" spans="1:30" ht="15.75" customHeight="1" thickTop="1" thickBot="1">
      <c r="A71" s="230" t="s">
        <v>476</v>
      </c>
      <c r="B71" s="230" t="s">
        <v>500</v>
      </c>
      <c r="C71" s="230" t="s">
        <v>501</v>
      </c>
      <c r="D71" s="230" t="s">
        <v>502</v>
      </c>
      <c r="E71" s="230" t="s">
        <v>503</v>
      </c>
      <c r="F71" s="230" t="s">
        <v>504</v>
      </c>
      <c r="G71" s="230" t="s">
        <v>505</v>
      </c>
      <c r="H71" s="230" t="s">
        <v>506</v>
      </c>
      <c r="I71" s="230" t="s">
        <v>507</v>
      </c>
      <c r="J71" s="230" t="s">
        <v>508</v>
      </c>
      <c r="K71" s="561" t="s">
        <v>441</v>
      </c>
      <c r="L71" s="561"/>
      <c r="M71" s="561"/>
      <c r="N71" s="561"/>
      <c r="O71" s="570"/>
      <c r="P71" s="726" t="s">
        <v>434</v>
      </c>
      <c r="Q71" s="727"/>
      <c r="R71" s="16"/>
      <c r="S71" s="16"/>
      <c r="V71" s="16"/>
      <c r="W71" s="16"/>
      <c r="X71" s="16"/>
      <c r="Y71" s="16"/>
      <c r="Z71" s="16"/>
      <c r="AA71" s="16"/>
    </row>
    <row r="72" spans="1:30" ht="15.75" customHeight="1" thickTop="1">
      <c r="A72" s="327" t="s">
        <v>1701</v>
      </c>
      <c r="B72" s="323" t="s">
        <v>272</v>
      </c>
      <c r="C72" s="323" t="s">
        <v>1702</v>
      </c>
      <c r="D72" s="323">
        <v>3</v>
      </c>
      <c r="E72" s="328">
        <v>26</v>
      </c>
      <c r="F72" s="326">
        <f>'Slapping Studs'!$D72*'Slapping Studs'!$E72</f>
        <v>78</v>
      </c>
      <c r="G72" s="328" t="s">
        <v>1703</v>
      </c>
      <c r="H72" s="332">
        <v>181</v>
      </c>
      <c r="I72" s="333">
        <f t="shared" ref="I72:I88" si="3">IF($H72="-","-",IF($H72="Specify location tariff","-",$H72*$F72))</f>
        <v>14118</v>
      </c>
      <c r="J72" s="332" t="s">
        <v>1704</v>
      </c>
      <c r="K72" s="562"/>
      <c r="L72" s="562"/>
      <c r="M72" s="562"/>
      <c r="N72" s="562"/>
      <c r="O72" s="562"/>
      <c r="P72" s="564" t="s">
        <v>511</v>
      </c>
      <c r="Q72" s="565"/>
      <c r="R72" s="16"/>
      <c r="S72" s="16"/>
      <c r="V72" s="16"/>
      <c r="W72" s="16"/>
      <c r="X72" s="16"/>
      <c r="Y72" s="16"/>
      <c r="Z72" s="16"/>
      <c r="AA72" s="16"/>
    </row>
    <row r="73" spans="1:30" ht="15.75" customHeight="1">
      <c r="A73" s="323" t="s">
        <v>1705</v>
      </c>
      <c r="B73" s="323" t="s">
        <v>272</v>
      </c>
      <c r="C73" s="323" t="s">
        <v>1706</v>
      </c>
      <c r="D73" s="323">
        <v>2</v>
      </c>
      <c r="E73" s="328">
        <v>12</v>
      </c>
      <c r="F73" s="326">
        <f>'Slapping Studs'!$D73*'Slapping Studs'!$E73</f>
        <v>24</v>
      </c>
      <c r="G73" s="328">
        <v>0</v>
      </c>
      <c r="H73" s="332">
        <v>181</v>
      </c>
      <c r="I73" s="333">
        <f t="shared" si="3"/>
        <v>4344</v>
      </c>
      <c r="J73" s="332" t="s">
        <v>1707</v>
      </c>
      <c r="K73" s="562"/>
      <c r="L73" s="562"/>
      <c r="M73" s="562"/>
      <c r="N73" s="562"/>
      <c r="O73" s="562"/>
      <c r="P73" s="566"/>
      <c r="Q73" s="567"/>
      <c r="R73" s="16"/>
      <c r="S73" s="16"/>
      <c r="V73" s="16"/>
      <c r="W73" s="16"/>
      <c r="X73" s="16"/>
      <c r="Y73" s="16"/>
      <c r="Z73" s="16"/>
      <c r="AA73" s="16"/>
    </row>
    <row r="74" spans="1:30" ht="15.75" customHeight="1">
      <c r="A74" s="231"/>
      <c r="B74" s="231"/>
      <c r="C74" s="232"/>
      <c r="D74" s="261"/>
      <c r="E74" s="245"/>
      <c r="F74" s="326">
        <f>'Slapping Studs'!$D74*'Slapping Studs'!$E74</f>
        <v>0</v>
      </c>
      <c r="G74" s="245"/>
      <c r="H74" s="332" t="str">
        <f>IF($B74= "","-",IF($B74= "External","Specify location tariff", INDEX(Constants!$3:$3,MATCH($B74,Constants!$2:$2,0))))</f>
        <v>-</v>
      </c>
      <c r="I74" s="333" t="str">
        <f t="shared" si="3"/>
        <v>-</v>
      </c>
      <c r="J74" s="247"/>
      <c r="K74" s="562"/>
      <c r="L74" s="562"/>
      <c r="M74" s="562"/>
      <c r="N74" s="562"/>
      <c r="O74" s="562"/>
      <c r="P74" s="566"/>
      <c r="Q74" s="567"/>
      <c r="R74" s="16"/>
      <c r="S74" s="16"/>
      <c r="V74" s="16"/>
      <c r="W74" s="16"/>
      <c r="X74" s="16"/>
      <c r="Y74" s="16"/>
      <c r="Z74" s="16"/>
      <c r="AA74" s="16"/>
    </row>
    <row r="75" spans="1:30" ht="15.75" customHeight="1">
      <c r="A75" s="231"/>
      <c r="B75" s="231"/>
      <c r="C75" s="232"/>
      <c r="D75" s="261"/>
      <c r="E75" s="245"/>
      <c r="F75" s="326">
        <f>'Slapping Studs'!$D75*'Slapping Studs'!$E75</f>
        <v>0</v>
      </c>
      <c r="G75" s="245"/>
      <c r="H75" s="332" t="str">
        <f>IF($B75= "","-",IF($B75= "External","Specify location tariff", INDEX(Constants!$3:$3,MATCH($B75,Constants!$2:$2,0))))</f>
        <v>-</v>
      </c>
      <c r="I75" s="333" t="str">
        <f t="shared" si="3"/>
        <v>-</v>
      </c>
      <c r="J75" s="247"/>
      <c r="K75" s="562"/>
      <c r="L75" s="562"/>
      <c r="M75" s="562"/>
      <c r="N75" s="562"/>
      <c r="O75" s="562"/>
      <c r="P75" s="566"/>
      <c r="Q75" s="567"/>
      <c r="R75" s="16"/>
      <c r="S75" s="16"/>
      <c r="V75" s="16"/>
      <c r="W75" s="16"/>
      <c r="X75" s="16"/>
      <c r="Y75" s="16"/>
      <c r="Z75" s="16"/>
      <c r="AA75" s="16"/>
    </row>
    <row r="76" spans="1:30" ht="15.75" customHeight="1">
      <c r="A76" s="231"/>
      <c r="B76" s="231"/>
      <c r="C76" s="232"/>
      <c r="D76" s="261"/>
      <c r="E76" s="245"/>
      <c r="F76" s="326">
        <f>'Slapping Studs'!$D76*'Slapping Studs'!$E76</f>
        <v>0</v>
      </c>
      <c r="G76" s="245"/>
      <c r="H76" s="332" t="str">
        <f>IF($B76= "","-",IF($B76= "External","Specify location tariff", INDEX(Constants!$3:$3,MATCH($B76,Constants!$2:$2,0))))</f>
        <v>-</v>
      </c>
      <c r="I76" s="333" t="str">
        <f t="shared" si="3"/>
        <v>-</v>
      </c>
      <c r="J76" s="247"/>
      <c r="K76" s="562"/>
      <c r="L76" s="562"/>
      <c r="M76" s="562"/>
      <c r="N76" s="562"/>
      <c r="O76" s="562"/>
      <c r="P76" s="566"/>
      <c r="Q76" s="567"/>
      <c r="R76" s="16"/>
      <c r="S76" s="16"/>
      <c r="V76" s="16"/>
      <c r="W76" s="16"/>
      <c r="X76" s="16"/>
      <c r="Y76" s="16"/>
      <c r="Z76" s="16"/>
      <c r="AA76" s="16"/>
    </row>
    <row r="77" spans="1:30" ht="15.75" customHeight="1">
      <c r="A77" s="231"/>
      <c r="B77" s="231"/>
      <c r="C77" s="232"/>
      <c r="D77" s="261"/>
      <c r="E77" s="245"/>
      <c r="F77" s="326">
        <f>'Slapping Studs'!$D77*'Slapping Studs'!$E77</f>
        <v>0</v>
      </c>
      <c r="G77" s="245"/>
      <c r="H77" s="332" t="str">
        <f>IF($B77= "","-",IF($B77= "External","Specify location tariff", INDEX(Constants!$3:$3,MATCH($B77,Constants!$2:$2,0))))</f>
        <v>-</v>
      </c>
      <c r="I77" s="333" t="str">
        <f t="shared" si="3"/>
        <v>-</v>
      </c>
      <c r="J77" s="247"/>
      <c r="K77" s="562"/>
      <c r="L77" s="562"/>
      <c r="M77" s="562"/>
      <c r="N77" s="562"/>
      <c r="O77" s="562"/>
      <c r="P77" s="566"/>
      <c r="Q77" s="567"/>
      <c r="R77" s="16"/>
      <c r="S77" s="16"/>
      <c r="V77" s="16"/>
      <c r="W77" s="16"/>
      <c r="X77" s="16"/>
      <c r="Y77" s="16"/>
      <c r="Z77" s="16"/>
      <c r="AA77" s="16"/>
    </row>
    <row r="78" spans="1:30" ht="15.75" customHeight="1">
      <c r="A78" s="231"/>
      <c r="B78" s="231"/>
      <c r="C78" s="232"/>
      <c r="D78" s="261"/>
      <c r="E78" s="245"/>
      <c r="F78" s="326">
        <f>'Slapping Studs'!$D78*'Slapping Studs'!$E78</f>
        <v>0</v>
      </c>
      <c r="G78" s="245"/>
      <c r="H78" s="332" t="str">
        <f>IF($B78= "","-",IF($B78= "External","Specify location tariff", INDEX(Constants!$3:$3,MATCH($B78,Constants!$2:$2,0))))</f>
        <v>-</v>
      </c>
      <c r="I78" s="333" t="str">
        <f t="shared" si="3"/>
        <v>-</v>
      </c>
      <c r="J78" s="247"/>
      <c r="K78" s="562"/>
      <c r="L78" s="562"/>
      <c r="M78" s="562"/>
      <c r="N78" s="562"/>
      <c r="O78" s="562"/>
      <c r="P78" s="566"/>
      <c r="Q78" s="567"/>
      <c r="R78" s="16"/>
      <c r="S78" s="16"/>
      <c r="V78" s="16"/>
      <c r="W78" s="16"/>
      <c r="X78" s="16"/>
      <c r="Y78" s="16"/>
      <c r="Z78" s="16"/>
      <c r="AA78" s="16"/>
    </row>
    <row r="79" spans="1:30" ht="15.75" customHeight="1">
      <c r="A79" s="231"/>
      <c r="B79" s="231"/>
      <c r="C79" s="232"/>
      <c r="D79" s="261"/>
      <c r="E79" s="245"/>
      <c r="F79" s="326">
        <f>'Slapping Studs'!$D79*'Slapping Studs'!$E79</f>
        <v>0</v>
      </c>
      <c r="G79" s="245"/>
      <c r="H79" s="332" t="str">
        <f>IF($B79= "","-",IF($B79= "External","Specify location tariff", INDEX(Constants!$3:$3,MATCH($B79,Constants!$2:$2,0))))</f>
        <v>-</v>
      </c>
      <c r="I79" s="333" t="str">
        <f t="shared" si="3"/>
        <v>-</v>
      </c>
      <c r="J79" s="247"/>
      <c r="K79" s="562"/>
      <c r="L79" s="562"/>
      <c r="M79" s="562"/>
      <c r="N79" s="562"/>
      <c r="O79" s="562"/>
      <c r="P79" s="566"/>
      <c r="Q79" s="567"/>
      <c r="R79" s="16"/>
      <c r="S79" s="16"/>
      <c r="V79" s="16"/>
      <c r="W79" s="16"/>
      <c r="X79" s="16"/>
      <c r="Y79" s="16"/>
      <c r="Z79" s="16"/>
      <c r="AA79" s="16"/>
    </row>
    <row r="80" spans="1:30" ht="15.75" customHeight="1">
      <c r="A80" s="231"/>
      <c r="B80" s="231"/>
      <c r="C80" s="232"/>
      <c r="D80" s="261"/>
      <c r="E80" s="245"/>
      <c r="F80" s="326">
        <f>'Slapping Studs'!$D80*'Slapping Studs'!$E80</f>
        <v>0</v>
      </c>
      <c r="G80" s="245"/>
      <c r="H80" s="332" t="str">
        <f>IF($B80= "","-",IF($B80= "External","Specify location tariff", INDEX(Constants!$3:$3,MATCH($B80,Constants!$2:$2,0))))</f>
        <v>-</v>
      </c>
      <c r="I80" s="333" t="str">
        <f t="shared" si="3"/>
        <v>-</v>
      </c>
      <c r="J80" s="247"/>
      <c r="K80" s="562"/>
      <c r="L80" s="562"/>
      <c r="M80" s="562"/>
      <c r="N80" s="562"/>
      <c r="O80" s="562"/>
      <c r="P80" s="566"/>
      <c r="Q80" s="567"/>
      <c r="R80" s="16"/>
      <c r="S80" s="16"/>
      <c r="V80" s="16"/>
      <c r="W80" s="16"/>
      <c r="X80" s="16"/>
      <c r="Y80" s="16"/>
      <c r="Z80" s="16"/>
      <c r="AA80" s="16"/>
    </row>
    <row r="81" spans="1:30" ht="15.75" customHeight="1">
      <c r="A81" s="231"/>
      <c r="B81" s="231"/>
      <c r="C81" s="232"/>
      <c r="D81" s="261"/>
      <c r="E81" s="245"/>
      <c r="F81" s="326">
        <f>'Slapping Studs'!$D81*'Slapping Studs'!$E81</f>
        <v>0</v>
      </c>
      <c r="G81" s="245"/>
      <c r="H81" s="332" t="str">
        <f>IF($B81= "","-",IF($B81= "External","Specify location tariff", INDEX(Constants!$3:$3,MATCH($B81,Constants!$2:$2,0))))</f>
        <v>-</v>
      </c>
      <c r="I81" s="333" t="str">
        <f t="shared" si="3"/>
        <v>-</v>
      </c>
      <c r="J81" s="247"/>
      <c r="K81" s="562"/>
      <c r="L81" s="562"/>
      <c r="M81" s="562"/>
      <c r="N81" s="562"/>
      <c r="O81" s="562"/>
      <c r="P81" s="566"/>
      <c r="Q81" s="567"/>
      <c r="R81" s="16"/>
      <c r="S81" s="16"/>
      <c r="V81" s="16"/>
      <c r="W81" s="16"/>
      <c r="X81" s="16"/>
      <c r="Y81" s="16"/>
      <c r="Z81" s="16"/>
      <c r="AA81" s="16"/>
    </row>
    <row r="82" spans="1:30" ht="15.75" customHeight="1">
      <c r="A82" s="231"/>
      <c r="B82" s="231"/>
      <c r="C82" s="232"/>
      <c r="D82" s="261"/>
      <c r="E82" s="245"/>
      <c r="F82" s="326">
        <f>'Slapping Studs'!$D82*'Slapping Studs'!$E82</f>
        <v>0</v>
      </c>
      <c r="G82" s="245"/>
      <c r="H82" s="332" t="str">
        <f>IF($B82= "","-",IF($B82= "External","Specify location tariff", INDEX(Constants!$3:$3,MATCH($B82,Constants!$2:$2,0))))</f>
        <v>-</v>
      </c>
      <c r="I82" s="333" t="str">
        <f t="shared" si="3"/>
        <v>-</v>
      </c>
      <c r="J82" s="247"/>
      <c r="K82" s="562"/>
      <c r="L82" s="562"/>
      <c r="M82" s="562"/>
      <c r="N82" s="562"/>
      <c r="O82" s="562"/>
      <c r="P82" s="566"/>
      <c r="Q82" s="567"/>
      <c r="R82" s="16"/>
      <c r="S82" s="16"/>
      <c r="V82" s="16"/>
      <c r="W82" s="16"/>
      <c r="X82" s="16"/>
      <c r="Y82" s="16"/>
      <c r="Z82" s="16"/>
      <c r="AA82" s="16"/>
    </row>
    <row r="83" spans="1:30" ht="15.75" customHeight="1">
      <c r="A83" s="231"/>
      <c r="B83" s="231"/>
      <c r="C83" s="232"/>
      <c r="D83" s="261"/>
      <c r="E83" s="245"/>
      <c r="F83" s="326">
        <f>'Slapping Studs'!$D83*'Slapping Studs'!$E83</f>
        <v>0</v>
      </c>
      <c r="G83" s="245"/>
      <c r="H83" s="332" t="str">
        <f>IF($B83= "","-",IF($B83= "External","Specify location tariff", INDEX(Constants!$3:$3,MATCH($B83,Constants!$2:$2,0))))</f>
        <v>-</v>
      </c>
      <c r="I83" s="333" t="str">
        <f t="shared" si="3"/>
        <v>-</v>
      </c>
      <c r="J83" s="247"/>
      <c r="K83" s="562"/>
      <c r="L83" s="562"/>
      <c r="M83" s="562"/>
      <c r="N83" s="562"/>
      <c r="O83" s="562"/>
      <c r="P83" s="566"/>
      <c r="Q83" s="567"/>
      <c r="R83" s="16"/>
      <c r="S83" s="16"/>
      <c r="V83" s="16"/>
      <c r="W83" s="16"/>
      <c r="X83" s="16"/>
      <c r="Y83" s="16"/>
      <c r="Z83" s="16"/>
      <c r="AA83" s="16"/>
    </row>
    <row r="84" spans="1:30" ht="15.75" customHeight="1">
      <c r="A84" s="231"/>
      <c r="B84" s="231"/>
      <c r="C84" s="232"/>
      <c r="D84" s="261"/>
      <c r="E84" s="245"/>
      <c r="F84" s="326">
        <f>'Slapping Studs'!$D84*'Slapping Studs'!$E84</f>
        <v>0</v>
      </c>
      <c r="G84" s="245"/>
      <c r="H84" s="332" t="str">
        <f>IF($B84= "","-",IF($B84= "External","Specify location tariff", INDEX(Constants!$3:$3,MATCH($B84,Constants!$2:$2,0))))</f>
        <v>-</v>
      </c>
      <c r="I84" s="333" t="str">
        <f t="shared" si="3"/>
        <v>-</v>
      </c>
      <c r="J84" s="247"/>
      <c r="K84" s="562"/>
      <c r="L84" s="562"/>
      <c r="M84" s="562"/>
      <c r="N84" s="562"/>
      <c r="O84" s="562"/>
      <c r="P84" s="566"/>
      <c r="Q84" s="567"/>
      <c r="R84" s="16"/>
      <c r="S84" s="16"/>
      <c r="V84" s="16"/>
      <c r="W84" s="16"/>
      <c r="X84" s="16"/>
      <c r="Y84" s="16"/>
      <c r="Z84" s="16"/>
      <c r="AA84" s="16"/>
    </row>
    <row r="85" spans="1:30" ht="15.75" customHeight="1">
      <c r="A85" s="231"/>
      <c r="B85" s="231"/>
      <c r="C85" s="232"/>
      <c r="D85" s="261"/>
      <c r="E85" s="245"/>
      <c r="F85" s="326">
        <f>'Slapping Studs'!$D85*'Slapping Studs'!$E85</f>
        <v>0</v>
      </c>
      <c r="G85" s="245"/>
      <c r="H85" s="332" t="str">
        <f>IF($B85= "","-",IF($B85= "External","Specify location tariff", INDEX(Constants!$3:$3,MATCH($B85,Constants!$2:$2,0))))</f>
        <v>-</v>
      </c>
      <c r="I85" s="333" t="str">
        <f t="shared" si="3"/>
        <v>-</v>
      </c>
      <c r="J85" s="247"/>
      <c r="K85" s="562"/>
      <c r="L85" s="562"/>
      <c r="M85" s="562"/>
      <c r="N85" s="562"/>
      <c r="O85" s="562"/>
      <c r="P85" s="566"/>
      <c r="Q85" s="567"/>
      <c r="R85" s="16"/>
      <c r="S85" s="16"/>
      <c r="V85" s="16"/>
      <c r="W85" s="16"/>
      <c r="X85" s="16"/>
      <c r="Y85" s="16"/>
      <c r="Z85" s="16"/>
      <c r="AA85" s="16"/>
    </row>
    <row r="86" spans="1:30" ht="15.75" customHeight="1">
      <c r="A86" s="231"/>
      <c r="B86" s="231"/>
      <c r="C86" s="232"/>
      <c r="D86" s="261"/>
      <c r="E86" s="245"/>
      <c r="F86" s="326">
        <f>'Slapping Studs'!$D86*'Slapping Studs'!$E86</f>
        <v>0</v>
      </c>
      <c r="G86" s="245"/>
      <c r="H86" s="332" t="str">
        <f>IF($B86= "","-",IF($B86= "External","Specify location tariff", INDEX(Constants!$3:$3,MATCH($B86,Constants!$2:$2,0))))</f>
        <v>-</v>
      </c>
      <c r="I86" s="333" t="str">
        <f t="shared" si="3"/>
        <v>-</v>
      </c>
      <c r="J86" s="247"/>
      <c r="K86" s="562"/>
      <c r="L86" s="562"/>
      <c r="M86" s="562"/>
      <c r="N86" s="562"/>
      <c r="O86" s="562"/>
      <c r="P86" s="566"/>
      <c r="Q86" s="567"/>
      <c r="R86" s="16"/>
      <c r="S86" s="16"/>
      <c r="V86" s="16"/>
      <c r="W86" s="16"/>
      <c r="X86" s="16"/>
      <c r="Y86" s="16"/>
      <c r="Z86" s="16"/>
      <c r="AA86" s="16"/>
    </row>
    <row r="87" spans="1:30" ht="15.75" customHeight="1">
      <c r="A87" s="231"/>
      <c r="B87" s="231"/>
      <c r="C87" s="232"/>
      <c r="D87" s="261"/>
      <c r="E87" s="245"/>
      <c r="F87" s="326">
        <f>'Slapping Studs'!$D87*'Slapping Studs'!$E87</f>
        <v>0</v>
      </c>
      <c r="G87" s="245"/>
      <c r="H87" s="332" t="str">
        <f>IF($B87= "","-",IF($B87= "External","Specify location tariff", INDEX(Constants!$3:$3,MATCH($B87,Constants!$2:$2,0))))</f>
        <v>-</v>
      </c>
      <c r="I87" s="333" t="str">
        <f t="shared" si="3"/>
        <v>-</v>
      </c>
      <c r="J87" s="247"/>
      <c r="K87" s="562"/>
      <c r="L87" s="562"/>
      <c r="M87" s="562"/>
      <c r="N87" s="562"/>
      <c r="O87" s="562"/>
      <c r="P87" s="566"/>
      <c r="Q87" s="567"/>
      <c r="R87" s="16"/>
      <c r="S87" s="16"/>
      <c r="V87" s="16"/>
      <c r="W87" s="16"/>
      <c r="X87" s="16"/>
      <c r="Y87" s="16"/>
      <c r="Z87" s="16"/>
      <c r="AA87" s="16"/>
    </row>
    <row r="88" spans="1:30" ht="15.75" customHeight="1" thickBot="1">
      <c r="A88" s="231"/>
      <c r="B88" s="231"/>
      <c r="C88" s="232"/>
      <c r="D88" s="261"/>
      <c r="E88" s="245"/>
      <c r="F88" s="326">
        <f>'Slapping Studs'!$D88*'Slapping Studs'!$E88</f>
        <v>0</v>
      </c>
      <c r="G88" s="245"/>
      <c r="H88" s="332" t="str">
        <f>IF($B88= "","-",IF($B88= "External","Specify location tariff", INDEX(Constants!$3:$3,MATCH($B88,Constants!$2:$2,0))))</f>
        <v>-</v>
      </c>
      <c r="I88" s="333" t="str">
        <f t="shared" si="3"/>
        <v>-</v>
      </c>
      <c r="J88" s="247"/>
      <c r="K88" s="563"/>
      <c r="L88" s="563"/>
      <c r="M88" s="563"/>
      <c r="N88" s="563"/>
      <c r="O88" s="563"/>
      <c r="P88" s="568"/>
      <c r="Q88" s="569"/>
      <c r="R88" s="16"/>
      <c r="S88" s="16"/>
      <c r="V88" s="16"/>
      <c r="W88" s="16"/>
      <c r="X88" s="16"/>
      <c r="Y88" s="16"/>
      <c r="Z88" s="16"/>
      <c r="AA88" s="16"/>
    </row>
    <row r="89" spans="1:30" ht="15.75" customHeight="1" thickTop="1">
      <c r="A89" s="15"/>
      <c r="B89" s="16"/>
      <c r="C89" s="16"/>
      <c r="D89" s="16"/>
      <c r="E89" s="16"/>
      <c r="F89" s="16"/>
      <c r="G89" s="16"/>
      <c r="H89" s="16"/>
      <c r="I89" s="16"/>
      <c r="J89" s="16"/>
      <c r="K89" s="16"/>
      <c r="L89" s="16"/>
      <c r="M89" s="16"/>
      <c r="N89" s="16"/>
      <c r="O89" s="16"/>
      <c r="P89" s="16"/>
      <c r="Q89" s="16"/>
      <c r="R89" s="16"/>
      <c r="S89" s="16"/>
      <c r="T89" s="16"/>
      <c r="U89" s="16"/>
      <c r="V89" s="16"/>
      <c r="W89" s="16"/>
      <c r="X89" s="16"/>
      <c r="Y89" s="16"/>
      <c r="Z89" s="16"/>
      <c r="AA89" s="16"/>
      <c r="AB89" s="16"/>
      <c r="AC89" s="16"/>
      <c r="AD89" s="16"/>
    </row>
    <row r="90" spans="1:30" ht="15.75" customHeight="1">
      <c r="A90" s="15"/>
      <c r="B90" s="16"/>
      <c r="C90" s="16"/>
      <c r="D90" s="16"/>
      <c r="E90" s="16"/>
      <c r="F90" s="16"/>
      <c r="G90" s="16"/>
      <c r="H90" s="16"/>
      <c r="I90" s="16"/>
      <c r="J90" s="16"/>
      <c r="K90" s="16"/>
      <c r="L90" s="16"/>
      <c r="M90" s="16"/>
      <c r="N90" s="16"/>
      <c r="O90" s="16"/>
      <c r="P90" s="16"/>
      <c r="Q90" s="16"/>
      <c r="R90" s="16"/>
      <c r="S90" s="16"/>
      <c r="T90" s="16"/>
      <c r="U90" s="16"/>
      <c r="V90" s="16"/>
      <c r="W90" s="16"/>
      <c r="X90" s="16"/>
      <c r="Y90" s="16"/>
      <c r="Z90" s="16"/>
      <c r="AA90" s="16"/>
      <c r="AB90" s="16"/>
      <c r="AC90" s="16"/>
      <c r="AD90" s="16"/>
    </row>
    <row r="91" spans="1:30" ht="15.75" customHeight="1" thickBot="1">
      <c r="A91" s="186" t="s">
        <v>519</v>
      </c>
      <c r="B91" s="16"/>
      <c r="C91" s="128"/>
      <c r="D91" s="51"/>
      <c r="E91" s="51"/>
      <c r="F91" s="51"/>
      <c r="G91" s="51"/>
      <c r="H91" s="51"/>
      <c r="I91" s="51"/>
      <c r="J91" s="51"/>
      <c r="K91" s="51"/>
      <c r="L91" s="232"/>
      <c r="M91" s="231"/>
      <c r="N91" s="16"/>
      <c r="O91" s="16"/>
      <c r="P91" s="16"/>
      <c r="Q91" s="16"/>
      <c r="R91" s="16"/>
      <c r="S91" s="16"/>
      <c r="T91" s="16"/>
      <c r="U91" s="16"/>
      <c r="V91" s="16"/>
      <c r="W91" s="16"/>
      <c r="X91" s="16"/>
      <c r="Y91" s="16"/>
      <c r="Z91" s="16"/>
      <c r="AA91" s="16"/>
      <c r="AB91" s="16"/>
      <c r="AC91" s="16"/>
      <c r="AD91" s="16"/>
    </row>
    <row r="92" spans="1:30" ht="15" customHeight="1" thickTop="1" thickBot="1">
      <c r="A92" s="230" t="s">
        <v>438</v>
      </c>
      <c r="B92" s="230" t="s">
        <v>439</v>
      </c>
      <c r="C92" s="230" t="s">
        <v>520</v>
      </c>
      <c r="D92" s="230" t="s">
        <v>521</v>
      </c>
      <c r="E92" s="230" t="s">
        <v>522</v>
      </c>
      <c r="F92" s="230" t="s">
        <v>523</v>
      </c>
      <c r="G92" s="230" t="s">
        <v>508</v>
      </c>
      <c r="H92" s="721" t="s">
        <v>441</v>
      </c>
      <c r="I92" s="728"/>
      <c r="J92" s="729" t="s">
        <v>434</v>
      </c>
      <c r="K92" s="730"/>
      <c r="L92" s="16"/>
      <c r="M92" s="16"/>
      <c r="N92" s="16"/>
      <c r="O92" s="16"/>
      <c r="P92" s="117"/>
      <c r="Q92" s="15"/>
      <c r="R92" s="16"/>
      <c r="S92" s="130"/>
      <c r="T92" s="16"/>
      <c r="U92" s="16"/>
      <c r="V92" s="16"/>
      <c r="W92" s="241"/>
      <c r="X92" s="16"/>
      <c r="Y92" s="16"/>
      <c r="Z92" s="16"/>
      <c r="AA92" s="16"/>
      <c r="AB92" s="16"/>
    </row>
    <row r="93" spans="1:30" ht="14.25" customHeight="1" thickTop="1">
      <c r="A93" s="244" t="s">
        <v>1708</v>
      </c>
      <c r="B93" s="244" t="s">
        <v>687</v>
      </c>
      <c r="C93" s="331" t="s">
        <v>1709</v>
      </c>
      <c r="D93" s="404" t="s">
        <v>1710</v>
      </c>
      <c r="E93" s="338">
        <v>1</v>
      </c>
      <c r="F93" s="372">
        <v>390</v>
      </c>
      <c r="G93" s="247"/>
      <c r="H93" s="653" t="s">
        <v>1711</v>
      </c>
      <c r="I93" s="750"/>
      <c r="J93" s="628" t="s">
        <v>526</v>
      </c>
      <c r="K93" s="730"/>
      <c r="L93" s="16"/>
      <c r="M93" s="16"/>
      <c r="N93" s="16"/>
      <c r="O93" s="16"/>
      <c r="P93" s="16"/>
      <c r="Q93" s="133"/>
      <c r="R93" s="16"/>
      <c r="S93" s="16"/>
      <c r="T93" s="16"/>
      <c r="U93" s="16"/>
      <c r="V93" s="16"/>
      <c r="W93" s="16"/>
      <c r="X93" s="16"/>
      <c r="Y93" s="16"/>
      <c r="Z93" s="16"/>
      <c r="AA93" s="16"/>
      <c r="AB93" s="16"/>
    </row>
    <row r="94" spans="1:30" ht="15.75" customHeight="1">
      <c r="A94" s="244" t="s">
        <v>1712</v>
      </c>
      <c r="B94" s="244" t="s">
        <v>687</v>
      </c>
      <c r="C94" s="331" t="s">
        <v>1713</v>
      </c>
      <c r="D94" s="408" t="s">
        <v>1710</v>
      </c>
      <c r="E94" s="338">
        <v>1</v>
      </c>
      <c r="F94" s="372">
        <v>249.75</v>
      </c>
      <c r="G94" s="247"/>
      <c r="H94" s="744"/>
      <c r="I94" s="751"/>
      <c r="J94" s="702"/>
      <c r="K94" s="732"/>
      <c r="L94" s="16"/>
      <c r="M94" s="16"/>
      <c r="N94" s="16"/>
      <c r="O94" s="16"/>
      <c r="P94" s="16"/>
      <c r="Q94" s="16"/>
      <c r="R94" s="16"/>
      <c r="S94" s="16"/>
      <c r="T94" s="16"/>
      <c r="U94" s="16"/>
      <c r="V94" s="16"/>
      <c r="W94" s="16"/>
      <c r="X94" s="16"/>
      <c r="Y94" s="16"/>
      <c r="Z94" s="16"/>
      <c r="AA94" s="16"/>
      <c r="AB94" s="16"/>
    </row>
    <row r="95" spans="1:30" ht="15.75" customHeight="1">
      <c r="A95" s="244" t="s">
        <v>1714</v>
      </c>
      <c r="B95" s="244" t="s">
        <v>687</v>
      </c>
      <c r="C95" s="331" t="s">
        <v>1715</v>
      </c>
      <c r="D95" s="408" t="s">
        <v>1678</v>
      </c>
      <c r="E95" s="338">
        <v>2</v>
      </c>
      <c r="F95" s="372">
        <v>115.98</v>
      </c>
      <c r="G95" s="247"/>
      <c r="H95" s="744"/>
      <c r="I95" s="751"/>
      <c r="J95" s="702"/>
      <c r="K95" s="732"/>
      <c r="L95" s="16"/>
      <c r="M95" s="16"/>
      <c r="N95" s="16"/>
      <c r="O95" s="16"/>
      <c r="P95" s="16"/>
      <c r="Q95" s="16"/>
      <c r="R95" s="16"/>
      <c r="S95" s="16"/>
      <c r="T95" s="16"/>
      <c r="U95" s="16"/>
      <c r="V95" s="16"/>
      <c r="W95" s="16"/>
      <c r="X95" s="16"/>
      <c r="Y95" s="16"/>
      <c r="Z95" s="16"/>
      <c r="AA95" s="16"/>
      <c r="AB95" s="16"/>
    </row>
    <row r="96" spans="1:30" ht="15.75" customHeight="1">
      <c r="A96" s="231"/>
      <c r="B96" s="248"/>
      <c r="C96" s="246">
        <v>0</v>
      </c>
      <c r="D96" s="247"/>
      <c r="E96" s="245"/>
      <c r="F96" s="246">
        <f>IF(Table_6170310[[#This Row],[Item]]="",0,Table_6170310[[#This Row],[Amount]]*Table_6170310[[#This Row],[Purchase / Running costs]]/Table_6170310[[#This Row],[Depreciation period]])</f>
        <v>0</v>
      </c>
      <c r="G96" s="247"/>
      <c r="H96" s="744"/>
      <c r="I96" s="751"/>
      <c r="J96" s="702"/>
      <c r="K96" s="732"/>
      <c r="L96" s="16"/>
      <c r="M96" s="16"/>
      <c r="N96" s="16"/>
      <c r="O96" s="16"/>
      <c r="P96" s="16"/>
      <c r="Q96" s="16"/>
      <c r="R96" s="16"/>
      <c r="S96" s="16"/>
      <c r="T96" s="16"/>
      <c r="U96" s="16"/>
      <c r="V96" s="16"/>
      <c r="W96" s="16"/>
      <c r="X96" s="16"/>
      <c r="Y96" s="16"/>
      <c r="Z96" s="16"/>
      <c r="AA96" s="16"/>
      <c r="AB96" s="16"/>
    </row>
    <row r="97" spans="1:30" ht="15.75" customHeight="1">
      <c r="A97" s="231"/>
      <c r="B97" s="248"/>
      <c r="C97" s="246">
        <v>0</v>
      </c>
      <c r="D97" s="247"/>
      <c r="E97" s="245"/>
      <c r="F97" s="246">
        <f>IF(Table_6170310[[#This Row],[Item]]="",0,Table_6170310[[#This Row],[Amount]]*Table_6170310[[#This Row],[Purchase / Running costs]]/Table_6170310[[#This Row],[Depreciation period]])</f>
        <v>0</v>
      </c>
      <c r="G97" s="247"/>
      <c r="H97" s="744"/>
      <c r="I97" s="751"/>
      <c r="J97" s="702"/>
      <c r="K97" s="732"/>
      <c r="L97" s="16"/>
      <c r="M97" s="16"/>
      <c r="N97" s="16"/>
      <c r="O97" s="16"/>
      <c r="P97" s="16"/>
      <c r="Q97" s="16"/>
      <c r="R97" s="16"/>
      <c r="S97" s="16"/>
      <c r="T97" s="16"/>
      <c r="U97" s="16"/>
      <c r="V97" s="16"/>
      <c r="W97" s="16"/>
      <c r="X97" s="16"/>
      <c r="Y97" s="16"/>
      <c r="Z97" s="16"/>
      <c r="AA97" s="16"/>
      <c r="AB97" s="16"/>
    </row>
    <row r="98" spans="1:30" ht="15.75" customHeight="1">
      <c r="A98" s="231"/>
      <c r="B98" s="248"/>
      <c r="C98" s="246">
        <v>0</v>
      </c>
      <c r="D98" s="247"/>
      <c r="E98" s="245"/>
      <c r="F98" s="246">
        <f>IF(Table_6170310[[#This Row],[Item]]="",0,Table_6170310[[#This Row],[Amount]]*Table_6170310[[#This Row],[Purchase / Running costs]]/Table_6170310[[#This Row],[Depreciation period]])</f>
        <v>0</v>
      </c>
      <c r="G98" s="247"/>
      <c r="H98" s="744"/>
      <c r="I98" s="751"/>
      <c r="J98" s="702"/>
      <c r="K98" s="732"/>
      <c r="L98" s="16"/>
      <c r="M98" s="16"/>
      <c r="N98" s="16"/>
      <c r="O98" s="16"/>
      <c r="P98" s="16"/>
      <c r="Q98" s="16"/>
      <c r="R98" s="16"/>
      <c r="S98" s="16"/>
      <c r="T98" s="16"/>
      <c r="U98" s="16"/>
      <c r="V98" s="16"/>
      <c r="W98" s="16"/>
      <c r="X98" s="16"/>
      <c r="Y98" s="16"/>
      <c r="Z98" s="16"/>
      <c r="AA98" s="16"/>
      <c r="AB98" s="16"/>
    </row>
    <row r="99" spans="1:30" ht="15.75" customHeight="1">
      <c r="A99" s="231"/>
      <c r="B99" s="244"/>
      <c r="C99" s="246">
        <v>0</v>
      </c>
      <c r="D99" s="247"/>
      <c r="E99" s="245"/>
      <c r="F99" s="246">
        <f>IF(Table_6170310[[#This Row],[Item]]="",0,Table_6170310[[#This Row],[Amount]]*Table_6170310[[#This Row],[Purchase / Running costs]]/Table_6170310[[#This Row],[Depreciation period]])</f>
        <v>0</v>
      </c>
      <c r="G99" s="247"/>
      <c r="H99" s="744"/>
      <c r="I99" s="751"/>
      <c r="J99" s="702"/>
      <c r="K99" s="732"/>
      <c r="L99" s="16"/>
      <c r="M99" s="16"/>
      <c r="N99" s="16"/>
      <c r="O99" s="16"/>
      <c r="P99" s="16"/>
      <c r="Q99" s="16"/>
      <c r="R99" s="16"/>
      <c r="S99" s="16"/>
      <c r="T99" s="16"/>
      <c r="U99" s="16"/>
      <c r="V99" s="16"/>
      <c r="W99" s="16"/>
      <c r="X99" s="16"/>
      <c r="Y99" s="16"/>
      <c r="Z99" s="16"/>
      <c r="AA99" s="16"/>
      <c r="AB99" s="16"/>
    </row>
    <row r="100" spans="1:30" ht="15.75" customHeight="1">
      <c r="A100" s="231"/>
      <c r="B100" s="244"/>
      <c r="C100" s="246">
        <v>0</v>
      </c>
      <c r="D100" s="247"/>
      <c r="E100" s="245"/>
      <c r="F100" s="246">
        <f>IF(Table_6170310[[#This Row],[Item]]="",0,Table_6170310[[#This Row],[Amount]]*Table_6170310[[#This Row],[Purchase / Running costs]]/Table_6170310[[#This Row],[Depreciation period]])</f>
        <v>0</v>
      </c>
      <c r="G100" s="247"/>
      <c r="H100" s="744"/>
      <c r="I100" s="751"/>
      <c r="J100" s="702"/>
      <c r="K100" s="732"/>
      <c r="L100" s="16"/>
      <c r="M100" s="16"/>
      <c r="N100" s="16"/>
      <c r="O100" s="16"/>
      <c r="P100" s="16"/>
      <c r="Q100" s="16"/>
      <c r="R100" s="16"/>
      <c r="S100" s="16"/>
      <c r="T100" s="16"/>
      <c r="U100" s="16"/>
      <c r="V100" s="16"/>
      <c r="W100" s="16"/>
      <c r="X100" s="16"/>
      <c r="Y100" s="16"/>
      <c r="Z100" s="16"/>
      <c r="AA100" s="16"/>
      <c r="AB100" s="16"/>
    </row>
    <row r="101" spans="1:30" ht="15.75" customHeight="1">
      <c r="A101" s="231"/>
      <c r="B101" s="244"/>
      <c r="C101" s="246">
        <v>0</v>
      </c>
      <c r="D101" s="247"/>
      <c r="E101" s="245"/>
      <c r="F101" s="246">
        <f>IF(Table_6170310[[#This Row],[Item]]="",0,Table_6170310[[#This Row],[Amount]]*Table_6170310[[#This Row],[Purchase / Running costs]]/Table_6170310[[#This Row],[Depreciation period]])</f>
        <v>0</v>
      </c>
      <c r="G101" s="247"/>
      <c r="H101" s="744"/>
      <c r="I101" s="751"/>
      <c r="J101" s="702"/>
      <c r="K101" s="732"/>
      <c r="L101" s="16"/>
      <c r="M101" s="16"/>
      <c r="N101" s="16"/>
      <c r="O101" s="16"/>
      <c r="P101" s="16"/>
      <c r="Q101" s="16"/>
      <c r="R101" s="16"/>
      <c r="S101" s="16"/>
      <c r="T101" s="16"/>
      <c r="U101" s="16"/>
      <c r="V101" s="16"/>
      <c r="W101" s="16"/>
      <c r="X101" s="16"/>
      <c r="Y101" s="16"/>
      <c r="Z101" s="16"/>
      <c r="AA101" s="16"/>
      <c r="AB101" s="16"/>
    </row>
    <row r="102" spans="1:30" ht="15.75" customHeight="1">
      <c r="A102" s="231"/>
      <c r="B102" s="244"/>
      <c r="C102" s="246">
        <v>0</v>
      </c>
      <c r="D102" s="247"/>
      <c r="E102" s="245"/>
      <c r="F102" s="246">
        <f>IF(Table_6170310[[#This Row],[Item]]="",0,Table_6170310[[#This Row],[Amount]]*Table_6170310[[#This Row],[Purchase / Running costs]]/Table_6170310[[#This Row],[Depreciation period]])</f>
        <v>0</v>
      </c>
      <c r="G102" s="247"/>
      <c r="H102" s="744"/>
      <c r="I102" s="751"/>
      <c r="J102" s="702"/>
      <c r="K102" s="732"/>
      <c r="L102" s="16"/>
      <c r="M102" s="16"/>
      <c r="N102" s="16"/>
      <c r="O102" s="16"/>
      <c r="P102" s="16"/>
      <c r="Q102" s="16"/>
      <c r="R102" s="16"/>
      <c r="S102" s="16"/>
      <c r="T102" s="16"/>
      <c r="U102" s="16"/>
      <c r="V102" s="16"/>
      <c r="W102" s="16"/>
      <c r="X102" s="16"/>
      <c r="Y102" s="16"/>
      <c r="Z102" s="16"/>
      <c r="AA102" s="16"/>
      <c r="AB102" s="16"/>
    </row>
    <row r="103" spans="1:30" ht="15.75" customHeight="1">
      <c r="A103" s="231"/>
      <c r="B103" s="244"/>
      <c r="C103" s="246">
        <v>0</v>
      </c>
      <c r="D103" s="247"/>
      <c r="E103" s="245"/>
      <c r="F103" s="246">
        <f>IF(Table_6170310[[#This Row],[Item]]="",0,Table_6170310[[#This Row],[Amount]]*Table_6170310[[#This Row],[Purchase / Running costs]]/Table_6170310[[#This Row],[Depreciation period]])</f>
        <v>0</v>
      </c>
      <c r="G103" s="247"/>
      <c r="H103" s="744"/>
      <c r="I103" s="751"/>
      <c r="J103" s="702"/>
      <c r="K103" s="732"/>
      <c r="L103" s="16"/>
      <c r="M103" s="16"/>
      <c r="N103" s="16"/>
      <c r="O103" s="16"/>
      <c r="P103" s="16"/>
      <c r="Q103" s="16"/>
      <c r="R103" s="16"/>
      <c r="S103" s="16"/>
      <c r="T103" s="16"/>
      <c r="U103" s="16"/>
      <c r="V103" s="16"/>
      <c r="W103" s="16"/>
      <c r="X103" s="16"/>
      <c r="Y103" s="16"/>
      <c r="Z103" s="16"/>
      <c r="AA103" s="16"/>
      <c r="AB103" s="16"/>
    </row>
    <row r="104" spans="1:30" ht="15.75" customHeight="1">
      <c r="A104" s="231"/>
      <c r="B104" s="244"/>
      <c r="C104" s="246">
        <v>0</v>
      </c>
      <c r="D104" s="247"/>
      <c r="E104" s="245"/>
      <c r="F104" s="246">
        <f>IF(Table_6170310[[#This Row],[Item]]="",0,Table_6170310[[#This Row],[Amount]]*Table_6170310[[#This Row],[Purchase / Running costs]]/Table_6170310[[#This Row],[Depreciation period]])</f>
        <v>0</v>
      </c>
      <c r="G104" s="247"/>
      <c r="H104" s="744"/>
      <c r="I104" s="751"/>
      <c r="J104" s="702"/>
      <c r="K104" s="732"/>
      <c r="L104" s="16"/>
      <c r="M104" s="16"/>
      <c r="N104" s="16"/>
      <c r="O104" s="16"/>
      <c r="P104" s="16"/>
      <c r="Q104" s="16"/>
      <c r="R104" s="16"/>
      <c r="S104" s="16"/>
      <c r="T104" s="16"/>
      <c r="U104" s="16"/>
      <c r="V104" s="16"/>
      <c r="W104" s="16"/>
      <c r="X104" s="16"/>
      <c r="Y104" s="16"/>
      <c r="Z104" s="16"/>
      <c r="AA104" s="16"/>
      <c r="AB104" s="16"/>
    </row>
    <row r="105" spans="1:30" ht="15.75" customHeight="1">
      <c r="A105" s="231"/>
      <c r="B105" s="244"/>
      <c r="C105" s="246">
        <v>0</v>
      </c>
      <c r="D105" s="247"/>
      <c r="E105" s="245"/>
      <c r="F105" s="246">
        <f>IF(Table_6170310[[#This Row],[Item]]="",0,Table_6170310[[#This Row],[Amount]]*Table_6170310[[#This Row],[Purchase / Running costs]]/Table_6170310[[#This Row],[Depreciation period]])</f>
        <v>0</v>
      </c>
      <c r="G105" s="247"/>
      <c r="H105" s="744"/>
      <c r="I105" s="751"/>
      <c r="J105" s="702"/>
      <c r="K105" s="732"/>
      <c r="L105" s="16"/>
      <c r="M105" s="16"/>
      <c r="N105" s="16"/>
      <c r="O105" s="16"/>
      <c r="P105" s="16"/>
      <c r="Q105" s="16"/>
      <c r="R105" s="16"/>
      <c r="S105" s="16"/>
      <c r="T105" s="16"/>
      <c r="U105" s="16"/>
      <c r="V105" s="16"/>
      <c r="W105" s="16"/>
      <c r="X105" s="16"/>
      <c r="Y105" s="16"/>
      <c r="Z105" s="16"/>
      <c r="AA105" s="16"/>
      <c r="AB105" s="16"/>
    </row>
    <row r="106" spans="1:30" ht="15.75" customHeight="1" thickBot="1">
      <c r="A106" s="231"/>
      <c r="B106" s="244"/>
      <c r="C106" s="246">
        <v>0</v>
      </c>
      <c r="D106" s="247"/>
      <c r="E106" s="245"/>
      <c r="F106" s="246">
        <f>IF(Table_6170310[[#This Row],[Item]]="",0,Table_6170310[[#This Row],[Amount]]*Table_6170310[[#This Row],[Purchase / Running costs]]/Table_6170310[[#This Row],[Depreciation period]])</f>
        <v>0</v>
      </c>
      <c r="G106" s="247"/>
      <c r="H106" s="747"/>
      <c r="I106" s="748"/>
      <c r="J106" s="752"/>
      <c r="K106" s="734"/>
      <c r="L106" s="16"/>
      <c r="M106" s="16"/>
      <c r="N106" s="16"/>
      <c r="O106" s="16"/>
      <c r="P106" s="16"/>
      <c r="Q106" s="16"/>
      <c r="R106" s="16"/>
      <c r="S106" s="16"/>
      <c r="T106" s="16"/>
      <c r="U106" s="16"/>
      <c r="V106" s="16"/>
      <c r="W106" s="16"/>
      <c r="X106" s="16"/>
      <c r="Y106" s="16"/>
      <c r="Z106" s="16"/>
      <c r="AA106" s="16"/>
      <c r="AB106" s="16"/>
    </row>
    <row r="107" spans="1:30" ht="15.75" customHeight="1" thickTop="1">
      <c r="A107" s="15"/>
      <c r="B107" s="131"/>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16"/>
      <c r="AB107" s="16"/>
      <c r="AC107" s="16"/>
      <c r="AD107" s="16"/>
    </row>
    <row r="108" spans="1:30" ht="15.75" customHeight="1">
      <c r="A108" s="15"/>
      <c r="B108" s="131"/>
      <c r="C108" s="16"/>
      <c r="D108" s="16"/>
      <c r="E108" s="16"/>
      <c r="F108" s="16"/>
      <c r="G108" s="16"/>
      <c r="I108" s="16"/>
      <c r="J108" s="16"/>
      <c r="K108" s="16"/>
      <c r="L108" s="16"/>
      <c r="M108" s="16"/>
      <c r="N108" s="16"/>
      <c r="O108" s="16"/>
      <c r="P108" s="16"/>
      <c r="Q108" s="16"/>
      <c r="R108" s="16"/>
      <c r="S108" s="16"/>
      <c r="T108" s="16"/>
      <c r="U108" s="16"/>
      <c r="V108" s="16"/>
      <c r="W108" s="16"/>
      <c r="X108" s="16"/>
      <c r="Y108" s="16"/>
      <c r="Z108" s="16"/>
      <c r="AA108" s="16"/>
      <c r="AB108" s="16"/>
      <c r="AC108" s="16"/>
      <c r="AD108" s="16"/>
    </row>
    <row r="109" spans="1:30" ht="15.75" customHeight="1">
      <c r="H109" s="51"/>
      <c r="I109" s="51"/>
      <c r="J109" s="51"/>
      <c r="K109" s="51"/>
      <c r="L109" s="16"/>
      <c r="M109" s="16"/>
      <c r="N109" s="16"/>
      <c r="O109" s="16"/>
      <c r="P109" s="16"/>
      <c r="Q109" s="16"/>
      <c r="R109" s="16"/>
      <c r="S109" s="16"/>
      <c r="T109" s="16"/>
      <c r="U109" s="16"/>
      <c r="V109" s="16"/>
      <c r="W109" s="16"/>
      <c r="X109" s="16"/>
      <c r="Y109" s="16"/>
      <c r="Z109" s="16"/>
      <c r="AA109" s="16"/>
      <c r="AB109" s="16"/>
      <c r="AC109" s="16"/>
      <c r="AD109" s="16"/>
    </row>
    <row r="110" spans="1:30" ht="15.75" customHeight="1">
      <c r="L110" s="16"/>
      <c r="M110" s="16"/>
      <c r="N110" s="16"/>
      <c r="O110" s="16"/>
      <c r="P110" s="16"/>
      <c r="Q110" s="16"/>
      <c r="R110" s="16"/>
      <c r="S110" s="16"/>
      <c r="T110" s="16"/>
      <c r="U110" s="16"/>
      <c r="V110" s="16"/>
      <c r="W110" s="16"/>
      <c r="X110" s="16"/>
      <c r="Y110" s="16"/>
      <c r="Z110" s="16"/>
      <c r="AA110" s="16"/>
      <c r="AB110" s="16"/>
      <c r="AC110" s="16"/>
      <c r="AD110" s="16"/>
    </row>
    <row r="111" spans="1:30" ht="15.75" customHeight="1">
      <c r="L111" s="16"/>
      <c r="M111" s="16"/>
      <c r="N111" s="16"/>
      <c r="O111" s="16"/>
      <c r="P111" s="16"/>
      <c r="Q111" s="16"/>
      <c r="R111" s="16"/>
      <c r="S111" s="16"/>
      <c r="T111" s="16"/>
      <c r="U111" s="16"/>
      <c r="V111" s="16"/>
      <c r="W111" s="16"/>
      <c r="X111" s="16"/>
      <c r="Y111" s="16"/>
      <c r="Z111" s="16"/>
      <c r="AA111" s="16"/>
      <c r="AB111" s="16"/>
      <c r="AC111" s="16"/>
      <c r="AD111" s="16"/>
    </row>
    <row r="112" spans="1:30" ht="15.75" customHeight="1">
      <c r="L112" s="16"/>
      <c r="M112" s="16"/>
      <c r="N112" s="16"/>
      <c r="O112" s="16"/>
      <c r="P112" s="16"/>
      <c r="Q112" s="16"/>
      <c r="R112" s="16"/>
      <c r="S112" s="16"/>
      <c r="T112" s="16"/>
      <c r="U112" s="16"/>
      <c r="V112" s="16"/>
      <c r="W112" s="16"/>
      <c r="X112" s="16"/>
      <c r="Y112" s="16"/>
      <c r="Z112" s="16"/>
      <c r="AA112" s="16"/>
      <c r="AB112" s="16"/>
      <c r="AC112" s="16"/>
      <c r="AD112" s="16"/>
    </row>
    <row r="113" spans="1:30" ht="15.75" customHeight="1">
      <c r="L113" s="16"/>
      <c r="M113" s="16"/>
      <c r="N113" s="16"/>
      <c r="O113" s="16"/>
      <c r="P113" s="16"/>
      <c r="Q113" s="16"/>
      <c r="R113" s="16"/>
      <c r="S113" s="16"/>
      <c r="T113" s="16"/>
      <c r="U113" s="16"/>
      <c r="V113" s="16"/>
      <c r="W113" s="16"/>
      <c r="X113" s="16"/>
      <c r="Y113" s="16"/>
      <c r="Z113" s="16"/>
      <c r="AA113" s="16"/>
      <c r="AB113" s="16"/>
      <c r="AC113" s="16"/>
      <c r="AD113" s="16"/>
    </row>
    <row r="114" spans="1:30" ht="15.75" customHeight="1">
      <c r="L114" s="16"/>
      <c r="M114" s="16"/>
      <c r="N114" s="16"/>
      <c r="O114" s="16"/>
      <c r="P114" s="16"/>
      <c r="Q114" s="16"/>
      <c r="R114" s="16"/>
      <c r="S114" s="16"/>
      <c r="T114" s="16"/>
      <c r="U114" s="16"/>
      <c r="V114" s="16"/>
      <c r="W114" s="16"/>
      <c r="X114" s="16"/>
      <c r="Y114" s="16"/>
      <c r="Z114" s="16"/>
      <c r="AA114" s="16"/>
      <c r="AB114" s="16"/>
      <c r="AC114" s="16"/>
      <c r="AD114" s="16"/>
    </row>
    <row r="115" spans="1:30" ht="15.75" customHeight="1">
      <c r="L115" s="16"/>
      <c r="M115" s="16"/>
      <c r="N115" s="16"/>
      <c r="O115" s="16"/>
      <c r="P115" s="16"/>
      <c r="Q115" s="16"/>
      <c r="R115" s="16"/>
      <c r="S115" s="16"/>
      <c r="T115" s="16"/>
      <c r="U115" s="16"/>
      <c r="V115" s="16"/>
      <c r="W115" s="16"/>
      <c r="X115" s="16"/>
      <c r="Y115" s="16"/>
      <c r="Z115" s="16"/>
      <c r="AA115" s="16"/>
      <c r="AB115" s="16"/>
      <c r="AC115" s="16"/>
      <c r="AD115" s="16"/>
    </row>
    <row r="116" spans="1:30" ht="15.75" customHeight="1">
      <c r="L116" s="16"/>
      <c r="M116" s="16"/>
      <c r="N116" s="16"/>
      <c r="O116" s="16"/>
      <c r="P116" s="735"/>
      <c r="Q116" s="696"/>
      <c r="R116" s="696"/>
      <c r="S116" s="16"/>
      <c r="T116" s="16"/>
      <c r="U116" s="16"/>
      <c r="V116" s="16"/>
      <c r="W116" s="16"/>
      <c r="X116" s="16"/>
      <c r="Y116" s="16"/>
      <c r="Z116" s="16"/>
      <c r="AA116" s="16"/>
      <c r="AB116" s="16"/>
      <c r="AC116" s="16"/>
      <c r="AD116" s="16"/>
    </row>
    <row r="117" spans="1:30" ht="15.75" customHeight="1">
      <c r="L117" s="16"/>
      <c r="M117" s="16"/>
      <c r="N117" s="16"/>
      <c r="O117" s="16"/>
      <c r="P117" s="735"/>
      <c r="Q117" s="696"/>
      <c r="R117" s="696"/>
      <c r="S117" s="16"/>
      <c r="T117" s="16"/>
      <c r="U117" s="16"/>
      <c r="V117" s="16"/>
      <c r="W117" s="16"/>
      <c r="X117" s="16"/>
      <c r="Y117" s="16"/>
      <c r="Z117" s="16"/>
      <c r="AA117" s="16"/>
      <c r="AB117" s="16"/>
      <c r="AC117" s="16"/>
      <c r="AD117" s="16"/>
    </row>
    <row r="118" spans="1:30" ht="15.75" customHeight="1">
      <c r="L118" s="16"/>
      <c r="M118" s="16"/>
      <c r="N118" s="16"/>
      <c r="O118" s="16"/>
      <c r="P118" s="735"/>
      <c r="Q118" s="696"/>
      <c r="R118" s="696"/>
      <c r="S118" s="16"/>
      <c r="T118" s="16"/>
      <c r="U118" s="16"/>
      <c r="V118" s="16"/>
      <c r="W118" s="16"/>
      <c r="X118" s="16"/>
      <c r="Y118" s="16"/>
      <c r="Z118" s="16"/>
      <c r="AA118" s="16"/>
      <c r="AB118" s="16"/>
      <c r="AC118" s="16"/>
      <c r="AD118" s="16"/>
    </row>
    <row r="119" spans="1:30" ht="15.75" customHeight="1">
      <c r="L119" s="16"/>
      <c r="M119" s="16"/>
      <c r="N119" s="16"/>
      <c r="O119" s="16"/>
      <c r="P119" s="735"/>
      <c r="Q119" s="696"/>
      <c r="R119" s="696"/>
      <c r="S119" s="16"/>
      <c r="T119" s="16"/>
      <c r="U119" s="16"/>
      <c r="V119" s="16"/>
      <c r="W119" s="16"/>
      <c r="X119" s="16"/>
      <c r="Y119" s="16"/>
      <c r="Z119" s="16"/>
      <c r="AA119" s="16"/>
      <c r="AB119" s="16"/>
      <c r="AC119" s="16"/>
      <c r="AD119" s="16"/>
    </row>
    <row r="120" spans="1:30" ht="15.75" customHeight="1">
      <c r="L120" s="16"/>
      <c r="M120" s="16"/>
      <c r="N120" s="16"/>
      <c r="O120" s="16"/>
      <c r="P120" s="735"/>
      <c r="Q120" s="696"/>
      <c r="R120" s="696"/>
      <c r="S120" s="16"/>
      <c r="T120" s="16"/>
      <c r="U120" s="16"/>
      <c r="V120" s="16"/>
      <c r="W120" s="16"/>
      <c r="X120" s="16"/>
      <c r="Y120" s="16"/>
      <c r="Z120" s="16"/>
      <c r="AA120" s="16"/>
      <c r="AB120" s="16"/>
      <c r="AC120" s="16"/>
      <c r="AD120" s="16"/>
    </row>
    <row r="121" spans="1:30" ht="15.75" customHeight="1">
      <c r="L121" s="16"/>
      <c r="M121" s="16"/>
      <c r="N121" s="16"/>
      <c r="O121" s="16"/>
      <c r="P121" s="735"/>
      <c r="Q121" s="696"/>
      <c r="R121" s="696"/>
      <c r="S121" s="16"/>
      <c r="T121" s="16"/>
      <c r="U121" s="16"/>
      <c r="V121" s="16"/>
      <c r="W121" s="16"/>
      <c r="X121" s="16"/>
      <c r="Y121" s="16"/>
      <c r="Z121" s="16"/>
      <c r="AA121" s="16"/>
      <c r="AB121" s="16"/>
      <c r="AC121" s="16"/>
      <c r="AD121" s="16"/>
    </row>
    <row r="122" spans="1:30" ht="15.75" customHeight="1">
      <c r="H122" s="248"/>
      <c r="I122" s="248"/>
      <c r="J122" s="228"/>
      <c r="K122" s="228"/>
      <c r="L122" s="16"/>
      <c r="M122" s="16"/>
      <c r="N122" s="16"/>
      <c r="O122" s="16"/>
      <c r="P122" s="735"/>
      <c r="Q122" s="696"/>
      <c r="R122" s="696"/>
      <c r="S122" s="16"/>
      <c r="T122" s="16"/>
      <c r="U122" s="16"/>
      <c r="V122" s="16"/>
      <c r="W122" s="16"/>
      <c r="X122" s="16"/>
      <c r="Y122" s="16"/>
      <c r="Z122" s="16"/>
      <c r="AA122" s="16"/>
      <c r="AB122" s="16"/>
      <c r="AC122" s="16"/>
      <c r="AD122" s="16"/>
    </row>
    <row r="123" spans="1:30" ht="15.75" customHeight="1">
      <c r="A123" s="231"/>
      <c r="B123" s="231"/>
      <c r="C123" s="246"/>
      <c r="D123" s="247"/>
      <c r="E123" s="245"/>
      <c r="F123" s="246"/>
      <c r="G123" s="247"/>
      <c r="H123" s="248"/>
      <c r="I123" s="248"/>
      <c r="J123" s="228"/>
      <c r="K123" s="228"/>
      <c r="L123" s="16"/>
      <c r="M123" s="16"/>
      <c r="N123" s="16"/>
      <c r="O123" s="16"/>
      <c r="P123" s="16"/>
      <c r="Q123" s="16"/>
      <c r="R123" s="16"/>
      <c r="S123" s="16"/>
      <c r="T123" s="16"/>
      <c r="U123" s="16"/>
      <c r="V123" s="16"/>
      <c r="W123" s="16"/>
      <c r="X123" s="16"/>
      <c r="Y123" s="16"/>
      <c r="Z123" s="16"/>
      <c r="AA123" s="16"/>
      <c r="AB123" s="16"/>
      <c r="AC123" s="16"/>
      <c r="AD123" s="16"/>
    </row>
    <row r="124" spans="1:30" ht="15.75" customHeight="1">
      <c r="A124" s="231"/>
      <c r="B124" s="16"/>
      <c r="C124" s="246"/>
      <c r="D124" s="247"/>
      <c r="E124" s="245"/>
      <c r="F124" s="246"/>
      <c r="G124" s="247"/>
      <c r="H124" s="228"/>
      <c r="I124" s="228"/>
      <c r="J124" s="228"/>
      <c r="K124" s="228"/>
      <c r="L124" s="16"/>
      <c r="M124" s="735"/>
      <c r="N124" s="696"/>
      <c r="O124" s="696"/>
      <c r="P124" s="735"/>
      <c r="Q124" s="696"/>
      <c r="R124" s="696"/>
      <c r="S124" s="696"/>
      <c r="T124" s="696"/>
      <c r="U124" s="16"/>
      <c r="V124" s="16"/>
      <c r="W124" s="16"/>
      <c r="X124" s="16"/>
      <c r="Y124" s="16"/>
      <c r="Z124" s="16"/>
      <c r="AA124" s="16"/>
      <c r="AB124" s="16"/>
      <c r="AC124" s="16"/>
      <c r="AD124" s="16"/>
    </row>
    <row r="125" spans="1:30" ht="15.75" customHeight="1">
      <c r="A125" s="16"/>
      <c r="B125" s="16"/>
      <c r="C125" s="16"/>
      <c r="D125" s="16"/>
      <c r="E125" s="16"/>
      <c r="F125" s="16"/>
      <c r="G125" s="16"/>
      <c r="H125" s="16"/>
      <c r="I125" s="16"/>
      <c r="J125" s="16"/>
      <c r="K125" s="16"/>
      <c r="L125" s="16"/>
      <c r="M125" s="735"/>
      <c r="N125" s="696"/>
      <c r="O125" s="696"/>
      <c r="P125" s="735"/>
      <c r="Q125" s="696"/>
      <c r="R125" s="696"/>
      <c r="S125" s="696"/>
      <c r="T125" s="696"/>
      <c r="U125" s="16"/>
      <c r="V125" s="16"/>
      <c r="W125" s="16"/>
      <c r="X125" s="16"/>
      <c r="Y125" s="16"/>
      <c r="Z125" s="16"/>
      <c r="AA125" s="16"/>
      <c r="AB125" s="16"/>
      <c r="AC125" s="16"/>
      <c r="AD125" s="16"/>
    </row>
    <row r="126" spans="1:30" ht="15.75" customHeight="1">
      <c r="A126" s="16"/>
      <c r="B126" s="16"/>
      <c r="C126" s="16"/>
      <c r="D126" s="16"/>
      <c r="E126" s="16"/>
      <c r="F126" s="16"/>
      <c r="G126" s="16"/>
      <c r="H126" s="16"/>
      <c r="I126" s="16"/>
      <c r="J126" s="16"/>
      <c r="K126" s="16"/>
      <c r="L126" s="16"/>
      <c r="M126" s="735"/>
      <c r="N126" s="696"/>
      <c r="O126" s="696"/>
      <c r="P126" s="696"/>
      <c r="Q126" s="696"/>
      <c r="R126" s="696"/>
      <c r="S126" s="696"/>
      <c r="T126" s="696"/>
      <c r="U126" s="16"/>
      <c r="V126" s="16"/>
      <c r="W126" s="16"/>
      <c r="X126" s="16"/>
      <c r="Y126" s="16"/>
      <c r="Z126" s="16"/>
      <c r="AA126" s="16"/>
      <c r="AB126" s="16"/>
      <c r="AC126" s="16"/>
      <c r="AD126" s="16"/>
    </row>
    <row r="127" spans="1:30" ht="15.75" customHeight="1">
      <c r="A127" s="16"/>
      <c r="B127" s="16"/>
      <c r="C127" s="16"/>
      <c r="D127" s="16"/>
      <c r="E127" s="16"/>
      <c r="F127" s="16"/>
      <c r="G127" s="16"/>
      <c r="H127" s="16"/>
      <c r="I127" s="16"/>
      <c r="J127" s="16"/>
      <c r="K127" s="16"/>
      <c r="L127" s="16"/>
      <c r="M127" s="735"/>
      <c r="N127" s="696"/>
      <c r="O127" s="696"/>
      <c r="P127" s="696"/>
      <c r="Q127" s="696"/>
      <c r="R127" s="696"/>
      <c r="S127" s="696"/>
      <c r="T127" s="696"/>
      <c r="U127" s="16"/>
      <c r="V127" s="16"/>
      <c r="W127" s="16"/>
      <c r="X127" s="16"/>
      <c r="Y127" s="16"/>
      <c r="Z127" s="16"/>
      <c r="AA127" s="16"/>
      <c r="AB127" s="16"/>
      <c r="AC127" s="16"/>
      <c r="AD127" s="16"/>
    </row>
    <row r="128" spans="1:30" ht="15.75" customHeight="1">
      <c r="A128" s="16"/>
      <c r="B128" s="16"/>
      <c r="C128" s="16"/>
      <c r="D128" s="16"/>
      <c r="E128" s="16"/>
      <c r="F128" s="16"/>
      <c r="G128" s="16"/>
      <c r="H128" s="16"/>
      <c r="I128" s="16"/>
      <c r="J128" s="16"/>
      <c r="K128" s="16"/>
      <c r="L128" s="16"/>
      <c r="M128" s="735"/>
      <c r="N128" s="696"/>
      <c r="O128" s="696"/>
      <c r="P128" s="696"/>
      <c r="Q128" s="696"/>
      <c r="R128" s="696"/>
      <c r="S128" s="696"/>
      <c r="T128" s="696"/>
      <c r="U128" s="16"/>
      <c r="V128" s="16"/>
      <c r="W128" s="16"/>
      <c r="X128" s="16"/>
      <c r="Y128" s="16"/>
      <c r="Z128" s="16"/>
      <c r="AA128" s="16"/>
      <c r="AB128" s="16"/>
      <c r="AC128" s="16"/>
      <c r="AD128" s="16"/>
    </row>
    <row r="129" spans="1:30" ht="15.75" customHeight="1">
      <c r="A129" s="16"/>
      <c r="B129" s="16"/>
      <c r="C129" s="16"/>
      <c r="D129" s="16"/>
      <c r="E129" s="16"/>
      <c r="F129" s="16"/>
      <c r="G129" s="16"/>
      <c r="H129" s="16"/>
      <c r="I129" s="16"/>
      <c r="J129" s="16"/>
      <c r="K129" s="16"/>
      <c r="L129" s="16"/>
      <c r="M129" s="735"/>
      <c r="N129" s="696"/>
      <c r="O129" s="696"/>
      <c r="P129" s="696"/>
      <c r="Q129" s="696"/>
      <c r="R129" s="696"/>
      <c r="S129" s="696"/>
      <c r="T129" s="696"/>
      <c r="U129" s="16"/>
      <c r="V129" s="16"/>
      <c r="W129" s="16"/>
      <c r="X129" s="16"/>
      <c r="Y129" s="16"/>
      <c r="Z129" s="16"/>
      <c r="AA129" s="16"/>
      <c r="AB129" s="16"/>
      <c r="AC129" s="16"/>
      <c r="AD129" s="16"/>
    </row>
    <row r="130" spans="1:30" ht="15.75" customHeight="1">
      <c r="A130" s="16"/>
      <c r="B130" s="16"/>
      <c r="C130" s="16"/>
      <c r="D130" s="16"/>
      <c r="E130" s="16"/>
      <c r="F130" s="16"/>
      <c r="G130" s="16"/>
      <c r="H130" s="16"/>
      <c r="I130" s="16"/>
      <c r="J130" s="16"/>
      <c r="K130" s="16"/>
      <c r="L130" s="16"/>
      <c r="M130" s="735"/>
      <c r="N130" s="696"/>
      <c r="O130" s="696"/>
      <c r="P130" s="696"/>
      <c r="Q130" s="696"/>
      <c r="R130" s="696"/>
      <c r="S130" s="696"/>
      <c r="T130" s="696"/>
      <c r="U130" s="16"/>
      <c r="V130" s="16"/>
      <c r="W130" s="16"/>
      <c r="X130" s="16"/>
      <c r="Y130" s="16"/>
      <c r="Z130" s="16"/>
      <c r="AA130" s="16"/>
      <c r="AB130" s="16"/>
      <c r="AC130" s="16"/>
      <c r="AD130" s="16"/>
    </row>
    <row r="131" spans="1:30" ht="15.75" customHeight="1">
      <c r="A131" s="16"/>
      <c r="B131" s="16"/>
      <c r="C131" s="16"/>
      <c r="D131" s="16"/>
      <c r="E131" s="16"/>
      <c r="F131" s="16"/>
      <c r="G131" s="16"/>
      <c r="H131" s="16"/>
      <c r="I131" s="16"/>
      <c r="J131" s="16"/>
      <c r="K131" s="16"/>
      <c r="L131" s="16"/>
      <c r="M131" s="735"/>
      <c r="N131" s="696"/>
      <c r="O131" s="696"/>
      <c r="P131" s="696"/>
      <c r="Q131" s="696"/>
      <c r="R131" s="696"/>
      <c r="S131" s="696"/>
      <c r="T131" s="696"/>
      <c r="U131" s="16"/>
      <c r="V131" s="16"/>
      <c r="W131" s="16"/>
      <c r="X131" s="16"/>
      <c r="Y131" s="16"/>
      <c r="Z131" s="16"/>
      <c r="AA131" s="16"/>
      <c r="AB131" s="16"/>
      <c r="AC131" s="16"/>
      <c r="AD131" s="16"/>
    </row>
    <row r="132" spans="1:30" ht="15.75" customHeight="1">
      <c r="A132" s="16"/>
      <c r="B132" s="16"/>
      <c r="C132" s="16"/>
      <c r="D132" s="16"/>
      <c r="E132" s="16"/>
      <c r="F132" s="16"/>
      <c r="G132" s="16"/>
      <c r="H132" s="16"/>
      <c r="I132" s="16"/>
      <c r="J132" s="16"/>
      <c r="K132" s="16"/>
      <c r="L132" s="16"/>
      <c r="M132" s="735"/>
      <c r="N132" s="696"/>
      <c r="O132" s="696"/>
      <c r="P132" s="696"/>
      <c r="Q132" s="696"/>
      <c r="R132" s="696"/>
      <c r="S132" s="696"/>
      <c r="T132" s="696"/>
      <c r="U132" s="16"/>
      <c r="V132" s="16"/>
      <c r="W132" s="16"/>
      <c r="X132" s="16"/>
      <c r="Y132" s="16"/>
      <c r="Z132" s="16"/>
      <c r="AA132" s="16"/>
      <c r="AB132" s="16"/>
      <c r="AC132" s="16"/>
      <c r="AD132" s="16"/>
    </row>
    <row r="133" spans="1:30" ht="15.75" customHeight="1">
      <c r="A133" s="16"/>
      <c r="B133" s="16"/>
      <c r="C133" s="16"/>
      <c r="D133" s="16"/>
      <c r="E133" s="16"/>
      <c r="F133" s="16"/>
      <c r="G133" s="16"/>
      <c r="H133" s="16"/>
      <c r="I133" s="16"/>
      <c r="J133" s="16"/>
      <c r="K133" s="16"/>
      <c r="L133" s="16"/>
      <c r="M133" s="735"/>
      <c r="N133" s="696"/>
      <c r="O133" s="696"/>
      <c r="P133" s="696"/>
      <c r="Q133" s="696"/>
      <c r="R133" s="696"/>
      <c r="S133" s="696"/>
      <c r="T133" s="696"/>
      <c r="U133" s="16"/>
      <c r="V133" s="16"/>
      <c r="W133" s="16"/>
      <c r="X133" s="16"/>
      <c r="Y133" s="16"/>
      <c r="Z133" s="16"/>
      <c r="AA133" s="16"/>
      <c r="AB133" s="16"/>
      <c r="AC133" s="16"/>
      <c r="AD133" s="16"/>
    </row>
    <row r="134" spans="1:30" ht="15.75" customHeight="1">
      <c r="A134" s="16"/>
      <c r="B134" s="16"/>
      <c r="C134" s="16"/>
      <c r="D134" s="16"/>
      <c r="E134" s="16"/>
      <c r="F134" s="16"/>
      <c r="G134" s="16"/>
      <c r="H134" s="16"/>
      <c r="I134" s="16"/>
      <c r="J134" s="16"/>
      <c r="K134" s="16"/>
      <c r="L134" s="16"/>
      <c r="M134" s="735"/>
      <c r="N134" s="696"/>
      <c r="O134" s="696"/>
      <c r="P134" s="696"/>
      <c r="Q134" s="696"/>
      <c r="R134" s="696"/>
      <c r="S134" s="696"/>
      <c r="T134" s="696"/>
      <c r="U134" s="16"/>
      <c r="V134" s="16"/>
      <c r="W134" s="16"/>
      <c r="X134" s="16"/>
      <c r="Y134" s="16"/>
      <c r="Z134" s="16"/>
      <c r="AA134" s="16"/>
      <c r="AB134" s="16"/>
      <c r="AC134" s="16"/>
      <c r="AD134" s="16"/>
    </row>
    <row r="135" spans="1:30" ht="15.75" customHeight="1">
      <c r="A135" s="16"/>
      <c r="B135" s="16"/>
      <c r="C135" s="16"/>
      <c r="D135" s="16"/>
      <c r="E135" s="16"/>
      <c r="F135" s="16"/>
      <c r="G135" s="16"/>
      <c r="H135" s="16"/>
      <c r="I135" s="16"/>
      <c r="J135" s="16"/>
      <c r="K135" s="16"/>
      <c r="L135" s="16"/>
      <c r="M135" s="735"/>
      <c r="N135" s="696"/>
      <c r="O135" s="696"/>
      <c r="P135" s="696"/>
      <c r="Q135" s="696"/>
      <c r="R135" s="696"/>
      <c r="S135" s="696"/>
      <c r="T135" s="696"/>
      <c r="U135" s="16"/>
      <c r="V135" s="16"/>
      <c r="W135" s="16"/>
      <c r="X135" s="16"/>
      <c r="Y135" s="16"/>
      <c r="Z135" s="16"/>
      <c r="AA135" s="16"/>
      <c r="AB135" s="16"/>
      <c r="AC135" s="16"/>
      <c r="AD135" s="16"/>
    </row>
    <row r="136" spans="1:30" ht="15.75" customHeight="1">
      <c r="A136" s="16"/>
      <c r="B136" s="16"/>
      <c r="C136" s="16"/>
      <c r="D136" s="16"/>
      <c r="E136" s="16"/>
      <c r="F136" s="16"/>
      <c r="G136" s="16"/>
      <c r="H136" s="16"/>
      <c r="I136" s="16"/>
      <c r="J136" s="16"/>
      <c r="K136" s="16"/>
      <c r="L136" s="16"/>
      <c r="M136" s="735"/>
      <c r="N136" s="696"/>
      <c r="O136" s="696"/>
      <c r="P136" s="696"/>
      <c r="Q136" s="696"/>
      <c r="R136" s="696"/>
      <c r="S136" s="696"/>
      <c r="T136" s="696"/>
      <c r="U136" s="16"/>
      <c r="V136" s="16"/>
      <c r="W136" s="16"/>
      <c r="X136" s="16"/>
      <c r="Y136" s="16"/>
      <c r="Z136" s="16"/>
      <c r="AA136" s="16"/>
      <c r="AB136" s="16"/>
      <c r="AC136" s="16"/>
      <c r="AD136" s="16"/>
    </row>
    <row r="137" spans="1:30" ht="15.75" customHeight="1">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c r="AA137" s="16"/>
      <c r="AB137" s="16"/>
      <c r="AC137" s="16"/>
      <c r="AD137" s="16"/>
    </row>
    <row r="138" spans="1:30" ht="15.75" customHeight="1">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c r="AA138" s="16"/>
      <c r="AB138" s="16"/>
      <c r="AC138" s="16"/>
      <c r="AD138" s="16"/>
    </row>
    <row r="139" spans="1:30" ht="15.75" customHeight="1">
      <c r="A139" s="16"/>
      <c r="B139" s="16"/>
      <c r="C139" s="16"/>
      <c r="D139" s="16"/>
      <c r="E139" s="16"/>
      <c r="F139" s="16"/>
      <c r="G139" s="16"/>
      <c r="H139" s="16"/>
      <c r="I139" s="16"/>
      <c r="J139" s="16"/>
      <c r="K139" s="16"/>
      <c r="L139" s="16"/>
      <c r="M139" s="735"/>
      <c r="N139" s="696"/>
      <c r="O139" s="696"/>
      <c r="P139" s="735"/>
      <c r="Q139" s="696"/>
      <c r="R139" s="696"/>
      <c r="S139" s="696"/>
      <c r="T139" s="696"/>
      <c r="U139" s="16"/>
      <c r="V139" s="16"/>
      <c r="W139" s="16"/>
      <c r="X139" s="16"/>
      <c r="Y139" s="16"/>
      <c r="Z139" s="16"/>
      <c r="AA139" s="16"/>
      <c r="AB139" s="16"/>
      <c r="AC139" s="16"/>
      <c r="AD139" s="16"/>
    </row>
    <row r="140" spans="1:30" ht="15.75" customHeight="1">
      <c r="A140" s="16"/>
      <c r="B140" s="16"/>
      <c r="C140" s="16"/>
      <c r="D140" s="16"/>
      <c r="E140" s="16"/>
      <c r="F140" s="16"/>
      <c r="G140" s="16"/>
      <c r="H140" s="16"/>
      <c r="I140" s="16"/>
      <c r="J140" s="16"/>
      <c r="K140" s="16"/>
      <c r="L140" s="16"/>
      <c r="M140" s="735"/>
      <c r="N140" s="696"/>
      <c r="O140" s="696"/>
      <c r="P140" s="735"/>
      <c r="Q140" s="696"/>
      <c r="R140" s="696"/>
      <c r="S140" s="696"/>
      <c r="T140" s="696"/>
      <c r="U140" s="16"/>
      <c r="V140" s="16"/>
      <c r="W140" s="16"/>
      <c r="X140" s="16"/>
      <c r="Y140" s="16"/>
      <c r="Z140" s="16"/>
      <c r="AA140" s="16"/>
      <c r="AB140" s="16"/>
      <c r="AC140" s="16"/>
      <c r="AD140" s="16"/>
    </row>
    <row r="141" spans="1:30" ht="15.75" customHeight="1">
      <c r="A141" s="16"/>
      <c r="B141" s="16"/>
      <c r="C141" s="16"/>
      <c r="D141" s="16"/>
      <c r="E141" s="16"/>
      <c r="F141" s="16"/>
      <c r="G141" s="16"/>
      <c r="H141" s="16"/>
      <c r="I141" s="16"/>
      <c r="J141" s="16"/>
      <c r="K141" s="16"/>
      <c r="L141" s="16"/>
      <c r="M141" s="735"/>
      <c r="N141" s="696"/>
      <c r="O141" s="696"/>
      <c r="P141" s="696"/>
      <c r="Q141" s="696"/>
      <c r="R141" s="696"/>
      <c r="S141" s="696"/>
      <c r="T141" s="696"/>
      <c r="U141" s="16"/>
      <c r="V141" s="16"/>
      <c r="W141" s="16"/>
      <c r="X141" s="16"/>
      <c r="Y141" s="16"/>
      <c r="Z141" s="16"/>
      <c r="AA141" s="16"/>
      <c r="AB141" s="16"/>
      <c r="AC141" s="16"/>
      <c r="AD141" s="16"/>
    </row>
    <row r="142" spans="1:30" ht="15.75" customHeight="1">
      <c r="A142" s="16"/>
      <c r="B142" s="16"/>
      <c r="C142" s="16"/>
      <c r="D142" s="16"/>
      <c r="E142" s="16"/>
      <c r="F142" s="16"/>
      <c r="G142" s="16"/>
      <c r="H142" s="16"/>
      <c r="I142" s="16"/>
      <c r="J142" s="16"/>
      <c r="K142" s="16"/>
      <c r="L142" s="16"/>
      <c r="M142" s="735"/>
      <c r="N142" s="696"/>
      <c r="O142" s="696"/>
      <c r="P142" s="696"/>
      <c r="Q142" s="696"/>
      <c r="R142" s="696"/>
      <c r="S142" s="696"/>
      <c r="T142" s="696"/>
      <c r="U142" s="16"/>
      <c r="V142" s="16"/>
      <c r="W142" s="16"/>
      <c r="X142" s="16"/>
      <c r="Y142" s="16"/>
      <c r="Z142" s="16"/>
      <c r="AA142" s="16"/>
      <c r="AB142" s="16"/>
      <c r="AC142" s="16"/>
      <c r="AD142" s="16"/>
    </row>
    <row r="143" spans="1:30" ht="15.75" customHeight="1">
      <c r="A143" s="16"/>
      <c r="B143" s="16"/>
      <c r="C143" s="16"/>
      <c r="D143" s="16"/>
      <c r="E143" s="16"/>
      <c r="F143" s="16"/>
      <c r="G143" s="16"/>
      <c r="H143" s="16"/>
      <c r="I143" s="16"/>
      <c r="J143" s="16"/>
      <c r="K143" s="16"/>
      <c r="L143" s="16"/>
      <c r="M143" s="735"/>
      <c r="N143" s="696"/>
      <c r="O143" s="696"/>
      <c r="P143" s="696"/>
      <c r="Q143" s="696"/>
      <c r="R143" s="696"/>
      <c r="S143" s="696"/>
      <c r="T143" s="696"/>
      <c r="U143" s="16"/>
      <c r="V143" s="16"/>
      <c r="W143" s="16"/>
      <c r="X143" s="16"/>
      <c r="Y143" s="16"/>
      <c r="Z143" s="16"/>
      <c r="AA143" s="16"/>
      <c r="AB143" s="16"/>
      <c r="AC143" s="16"/>
      <c r="AD143" s="16"/>
    </row>
    <row r="144" spans="1:30" ht="15.75" customHeight="1">
      <c r="A144" s="16"/>
      <c r="B144" s="16"/>
      <c r="C144" s="16"/>
      <c r="D144" s="16"/>
      <c r="E144" s="16"/>
      <c r="F144" s="16"/>
      <c r="G144" s="16"/>
      <c r="H144" s="16"/>
      <c r="I144" s="16"/>
      <c r="J144" s="16"/>
      <c r="K144" s="16"/>
      <c r="L144" s="16"/>
      <c r="M144" s="735"/>
      <c r="N144" s="696"/>
      <c r="O144" s="696"/>
      <c r="P144" s="696"/>
      <c r="Q144" s="696"/>
      <c r="R144" s="696"/>
      <c r="S144" s="696"/>
      <c r="T144" s="696"/>
      <c r="U144" s="16"/>
      <c r="V144" s="16"/>
      <c r="W144" s="16"/>
      <c r="X144" s="16"/>
      <c r="Y144" s="16"/>
      <c r="Z144" s="16"/>
      <c r="AA144" s="16"/>
      <c r="AB144" s="16"/>
      <c r="AC144" s="16"/>
      <c r="AD144" s="16"/>
    </row>
    <row r="145" spans="1:30" ht="15.75" customHeight="1">
      <c r="A145" s="16"/>
      <c r="B145" s="16"/>
      <c r="C145" s="16"/>
      <c r="D145" s="16"/>
      <c r="E145" s="16"/>
      <c r="F145" s="16"/>
      <c r="G145" s="16"/>
      <c r="H145" s="16"/>
      <c r="I145" s="16"/>
      <c r="J145" s="16"/>
      <c r="K145" s="16"/>
      <c r="L145" s="16"/>
      <c r="M145" s="735"/>
      <c r="N145" s="696"/>
      <c r="O145" s="696"/>
      <c r="P145" s="696"/>
      <c r="Q145" s="696"/>
      <c r="R145" s="696"/>
      <c r="S145" s="696"/>
      <c r="T145" s="696"/>
      <c r="U145" s="16"/>
      <c r="V145" s="16"/>
      <c r="W145" s="16"/>
      <c r="X145" s="16"/>
      <c r="Y145" s="16"/>
      <c r="Z145" s="16"/>
      <c r="AA145" s="16"/>
      <c r="AB145" s="16"/>
      <c r="AC145" s="16"/>
      <c r="AD145" s="16"/>
    </row>
    <row r="146" spans="1:30" ht="15.75" customHeight="1">
      <c r="A146" s="16"/>
      <c r="B146" s="16"/>
      <c r="C146" s="16"/>
      <c r="D146" s="16"/>
      <c r="E146" s="16"/>
      <c r="F146" s="16"/>
      <c r="G146" s="16"/>
      <c r="H146" s="16"/>
      <c r="I146" s="16"/>
      <c r="J146" s="16"/>
      <c r="K146" s="16"/>
      <c r="L146" s="16"/>
      <c r="M146" s="735"/>
      <c r="N146" s="696"/>
      <c r="O146" s="696"/>
      <c r="P146" s="696"/>
      <c r="Q146" s="696"/>
      <c r="R146" s="696"/>
      <c r="S146" s="696"/>
      <c r="T146" s="696"/>
      <c r="U146" s="16"/>
      <c r="V146" s="16"/>
      <c r="W146" s="16"/>
      <c r="X146" s="16"/>
      <c r="Y146" s="16"/>
      <c r="Z146" s="16"/>
      <c r="AA146" s="16"/>
      <c r="AB146" s="16"/>
      <c r="AC146" s="16"/>
      <c r="AD146" s="16"/>
    </row>
    <row r="147" spans="1:30" ht="15.75" customHeight="1">
      <c r="A147" s="16"/>
      <c r="B147" s="16"/>
      <c r="C147" s="16"/>
      <c r="D147" s="16"/>
      <c r="E147" s="16"/>
      <c r="F147" s="16"/>
      <c r="G147" s="16"/>
      <c r="H147" s="16"/>
      <c r="I147" s="16"/>
      <c r="J147" s="16"/>
      <c r="K147" s="16"/>
      <c r="L147" s="16"/>
      <c r="M147" s="735"/>
      <c r="N147" s="696"/>
      <c r="O147" s="696"/>
      <c r="P147" s="696"/>
      <c r="Q147" s="696"/>
      <c r="R147" s="696"/>
      <c r="S147" s="696"/>
      <c r="T147" s="696"/>
      <c r="U147" s="16"/>
      <c r="V147" s="16"/>
      <c r="W147" s="16"/>
      <c r="X147" s="16"/>
      <c r="Y147" s="16"/>
      <c r="Z147" s="16"/>
      <c r="AA147" s="16"/>
      <c r="AB147" s="16"/>
      <c r="AC147" s="16"/>
      <c r="AD147" s="16"/>
    </row>
    <row r="148" spans="1:30" ht="15.75" customHeight="1">
      <c r="A148" s="16"/>
      <c r="B148" s="16"/>
      <c r="C148" s="16"/>
      <c r="D148" s="16"/>
      <c r="E148" s="16"/>
      <c r="F148" s="16"/>
      <c r="G148" s="16"/>
      <c r="H148" s="16"/>
      <c r="I148" s="16"/>
      <c r="J148" s="16"/>
      <c r="K148" s="16"/>
      <c r="L148" s="16"/>
      <c r="M148" s="735"/>
      <c r="N148" s="696"/>
      <c r="O148" s="696"/>
      <c r="P148" s="696"/>
      <c r="Q148" s="696"/>
      <c r="R148" s="696"/>
      <c r="S148" s="696"/>
      <c r="T148" s="696"/>
      <c r="U148" s="16"/>
      <c r="V148" s="16"/>
      <c r="W148" s="16"/>
      <c r="X148" s="16"/>
      <c r="Y148" s="16"/>
      <c r="Z148" s="16"/>
      <c r="AA148" s="16"/>
      <c r="AB148" s="16"/>
      <c r="AC148" s="16"/>
      <c r="AD148" s="16"/>
    </row>
    <row r="149" spans="1:30" ht="15.75" customHeight="1">
      <c r="A149" s="16"/>
      <c r="B149" s="16"/>
      <c r="C149" s="16"/>
      <c r="D149" s="16"/>
      <c r="E149" s="16"/>
      <c r="F149" s="16"/>
      <c r="G149" s="16"/>
      <c r="H149" s="16"/>
      <c r="I149" s="16"/>
      <c r="J149" s="16"/>
      <c r="K149" s="16"/>
      <c r="L149" s="16"/>
      <c r="M149" s="735"/>
      <c r="N149" s="696"/>
      <c r="O149" s="696"/>
      <c r="P149" s="696"/>
      <c r="Q149" s="696"/>
      <c r="R149" s="696"/>
      <c r="S149" s="696"/>
      <c r="T149" s="696"/>
      <c r="U149" s="16"/>
      <c r="V149" s="16"/>
      <c r="W149" s="16"/>
      <c r="X149" s="16"/>
      <c r="Y149" s="16"/>
      <c r="Z149" s="16"/>
      <c r="AA149" s="16"/>
      <c r="AB149" s="16"/>
      <c r="AC149" s="16"/>
      <c r="AD149" s="16"/>
    </row>
    <row r="150" spans="1:30" ht="15.75" customHeight="1">
      <c r="A150" s="16"/>
      <c r="B150" s="16"/>
      <c r="C150" s="16"/>
      <c r="D150" s="16"/>
      <c r="E150" s="16"/>
      <c r="F150" s="16"/>
      <c r="G150" s="16"/>
      <c r="H150" s="16"/>
      <c r="I150" s="16"/>
      <c r="J150" s="16"/>
      <c r="K150" s="16"/>
      <c r="L150" s="16"/>
      <c r="M150" s="735"/>
      <c r="N150" s="696"/>
      <c r="O150" s="696"/>
      <c r="P150" s="696"/>
      <c r="Q150" s="696"/>
      <c r="R150" s="696"/>
      <c r="S150" s="696"/>
      <c r="T150" s="696"/>
      <c r="U150" s="16"/>
      <c r="V150" s="16"/>
      <c r="W150" s="16"/>
      <c r="X150" s="16"/>
      <c r="Y150" s="16"/>
      <c r="Z150" s="16"/>
      <c r="AA150" s="16"/>
      <c r="AB150" s="16"/>
      <c r="AC150" s="16"/>
      <c r="AD150" s="16"/>
    </row>
    <row r="151" spans="1:30" ht="15.75" customHeight="1">
      <c r="A151" s="16"/>
      <c r="B151" s="16"/>
      <c r="C151" s="16"/>
      <c r="D151" s="16"/>
      <c r="E151" s="16"/>
      <c r="F151" s="16"/>
      <c r="G151" s="16"/>
      <c r="H151" s="16"/>
      <c r="I151" s="16"/>
      <c r="J151" s="16"/>
      <c r="K151" s="16"/>
      <c r="L151" s="16"/>
      <c r="M151" s="735"/>
      <c r="N151" s="696"/>
      <c r="O151" s="696"/>
      <c r="P151" s="696"/>
      <c r="Q151" s="696"/>
      <c r="R151" s="696"/>
      <c r="S151" s="696"/>
      <c r="T151" s="696"/>
      <c r="U151" s="16"/>
      <c r="V151" s="16"/>
      <c r="W151" s="16"/>
      <c r="X151" s="16"/>
      <c r="Y151" s="16"/>
      <c r="Z151" s="16"/>
      <c r="AA151" s="16"/>
      <c r="AB151" s="16"/>
      <c r="AC151" s="16"/>
      <c r="AD151" s="16"/>
    </row>
    <row r="152" spans="1:30" ht="15.75" customHeight="1">
      <c r="A152" s="16"/>
      <c r="B152" s="16"/>
      <c r="C152" s="16"/>
      <c r="D152" s="16"/>
      <c r="E152" s="16"/>
      <c r="F152" s="16"/>
      <c r="G152" s="16"/>
      <c r="H152" s="16"/>
      <c r="I152" s="16"/>
      <c r="J152" s="16"/>
      <c r="K152" s="16"/>
      <c r="L152" s="16"/>
      <c r="M152" s="735"/>
      <c r="N152" s="696"/>
      <c r="O152" s="696"/>
      <c r="P152" s="696"/>
      <c r="Q152" s="696"/>
      <c r="R152" s="696"/>
      <c r="S152" s="696"/>
      <c r="T152" s="696"/>
      <c r="U152" s="16"/>
      <c r="V152" s="16"/>
      <c r="W152" s="16"/>
      <c r="X152" s="16"/>
      <c r="Y152" s="16"/>
      <c r="Z152" s="16"/>
      <c r="AA152" s="16"/>
      <c r="AB152" s="16"/>
      <c r="AC152" s="16"/>
      <c r="AD152" s="16"/>
    </row>
    <row r="153" spans="1:30" ht="15.75" customHeight="1">
      <c r="A153" s="16"/>
      <c r="B153" s="16"/>
      <c r="C153" s="16"/>
      <c r="D153" s="16"/>
      <c r="E153" s="16"/>
      <c r="F153" s="16"/>
      <c r="G153" s="16"/>
      <c r="H153" s="16"/>
      <c r="I153" s="16"/>
      <c r="J153" s="16"/>
      <c r="K153" s="16"/>
      <c r="L153" s="16"/>
      <c r="M153" s="735"/>
      <c r="N153" s="696"/>
      <c r="O153" s="696"/>
      <c r="P153" s="696"/>
      <c r="Q153" s="696"/>
      <c r="R153" s="696"/>
      <c r="S153" s="696"/>
      <c r="T153" s="696"/>
      <c r="U153" s="16"/>
      <c r="V153" s="16"/>
      <c r="W153" s="16"/>
      <c r="X153" s="16"/>
      <c r="Y153" s="16"/>
      <c r="Z153" s="16"/>
      <c r="AA153" s="16"/>
      <c r="AB153" s="16"/>
      <c r="AC153" s="16"/>
      <c r="AD153" s="16"/>
    </row>
    <row r="154" spans="1:30" ht="15.75" customHeight="1">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c r="AA154" s="16"/>
      <c r="AB154" s="16"/>
      <c r="AC154" s="16"/>
      <c r="AD154" s="16"/>
    </row>
    <row r="155" spans="1:30" ht="15.75" customHeight="1">
      <c r="A155" s="1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c r="AA155" s="16"/>
      <c r="AB155" s="16"/>
      <c r="AC155" s="16"/>
      <c r="AD155" s="16"/>
    </row>
    <row r="156" spans="1:30" ht="15.75" customHeight="1">
      <c r="A156" s="16"/>
      <c r="B156" s="735"/>
      <c r="C156" s="696"/>
      <c r="D156" s="16"/>
      <c r="E156" s="16"/>
      <c r="F156" s="16"/>
      <c r="G156" s="16"/>
      <c r="H156" s="16"/>
      <c r="I156" s="16"/>
      <c r="J156" s="16"/>
      <c r="K156" s="16"/>
      <c r="L156" s="16"/>
      <c r="M156" s="735"/>
      <c r="N156" s="696"/>
      <c r="O156" s="696"/>
      <c r="P156" s="735"/>
      <c r="Q156" s="696"/>
      <c r="R156" s="696"/>
      <c r="S156" s="696"/>
      <c r="T156" s="696"/>
      <c r="U156" s="16"/>
      <c r="V156" s="16"/>
      <c r="W156" s="16"/>
      <c r="X156" s="16"/>
      <c r="Y156" s="16"/>
      <c r="Z156" s="16"/>
      <c r="AA156" s="16"/>
      <c r="AB156" s="16"/>
      <c r="AC156" s="16"/>
      <c r="AD156" s="16"/>
    </row>
    <row r="157" spans="1:30" ht="15.75" customHeight="1">
      <c r="A157" s="16"/>
      <c r="B157" s="735"/>
      <c r="C157" s="696"/>
      <c r="D157" s="16"/>
      <c r="E157" s="16"/>
      <c r="F157" s="16"/>
      <c r="G157" s="16"/>
      <c r="H157" s="16"/>
      <c r="I157" s="16"/>
      <c r="J157" s="16"/>
      <c r="K157" s="16"/>
      <c r="L157" s="16"/>
      <c r="M157" s="735"/>
      <c r="N157" s="696"/>
      <c r="O157" s="696"/>
      <c r="P157" s="735"/>
      <c r="Q157" s="696"/>
      <c r="R157" s="696"/>
      <c r="S157" s="696"/>
      <c r="T157" s="696"/>
      <c r="U157" s="16"/>
      <c r="V157" s="16"/>
      <c r="W157" s="16"/>
      <c r="X157" s="16"/>
      <c r="Y157" s="16"/>
      <c r="Z157" s="16"/>
      <c r="AA157" s="16"/>
      <c r="AB157" s="16"/>
      <c r="AC157" s="16"/>
      <c r="AD157" s="16"/>
    </row>
    <row r="158" spans="1:30" ht="15.75" customHeight="1">
      <c r="A158" s="16"/>
      <c r="B158" s="735"/>
      <c r="C158" s="696"/>
      <c r="D158" s="16"/>
      <c r="E158" s="16"/>
      <c r="F158" s="16"/>
      <c r="G158" s="16"/>
      <c r="H158" s="16"/>
      <c r="I158" s="16"/>
      <c r="J158" s="16"/>
      <c r="K158" s="16"/>
      <c r="L158" s="16"/>
      <c r="M158" s="735"/>
      <c r="N158" s="696"/>
      <c r="O158" s="696"/>
      <c r="P158" s="696"/>
      <c r="Q158" s="696"/>
      <c r="R158" s="696"/>
      <c r="S158" s="696"/>
      <c r="T158" s="696"/>
      <c r="U158" s="16"/>
      <c r="V158" s="16"/>
      <c r="W158" s="16"/>
      <c r="X158" s="16"/>
      <c r="Y158" s="16"/>
      <c r="Z158" s="16"/>
      <c r="AA158" s="16"/>
      <c r="AB158" s="16"/>
      <c r="AC158" s="16"/>
      <c r="AD158" s="16"/>
    </row>
    <row r="159" spans="1:30" ht="15.75" customHeight="1">
      <c r="A159" s="16"/>
      <c r="B159" s="735"/>
      <c r="C159" s="696"/>
      <c r="D159" s="16"/>
      <c r="E159" s="16"/>
      <c r="F159" s="16"/>
      <c r="G159" s="16"/>
      <c r="H159" s="16"/>
      <c r="I159" s="16"/>
      <c r="J159" s="16"/>
      <c r="K159" s="16"/>
      <c r="L159" s="16"/>
      <c r="M159" s="735"/>
      <c r="N159" s="696"/>
      <c r="O159" s="696"/>
      <c r="P159" s="696"/>
      <c r="Q159" s="696"/>
      <c r="R159" s="696"/>
      <c r="S159" s="696"/>
      <c r="T159" s="696"/>
      <c r="U159" s="16"/>
      <c r="V159" s="16"/>
      <c r="W159" s="16"/>
      <c r="X159" s="16"/>
      <c r="Y159" s="16"/>
      <c r="Z159" s="16"/>
      <c r="AA159" s="16"/>
      <c r="AB159" s="16"/>
      <c r="AC159" s="16"/>
      <c r="AD159" s="16"/>
    </row>
    <row r="160" spans="1:30" ht="15.75" customHeight="1">
      <c r="A160" s="16"/>
      <c r="B160" s="735"/>
      <c r="C160" s="696"/>
      <c r="D160" s="16"/>
      <c r="E160" s="16"/>
      <c r="F160" s="16"/>
      <c r="G160" s="16"/>
      <c r="H160" s="16"/>
      <c r="I160" s="16"/>
      <c r="J160" s="16"/>
      <c r="K160" s="16"/>
      <c r="L160" s="16"/>
      <c r="M160" s="735"/>
      <c r="N160" s="696"/>
      <c r="O160" s="696"/>
      <c r="P160" s="696"/>
      <c r="Q160" s="696"/>
      <c r="R160" s="696"/>
      <c r="S160" s="696"/>
      <c r="T160" s="696"/>
      <c r="U160" s="16"/>
      <c r="V160" s="16"/>
      <c r="W160" s="16"/>
      <c r="X160" s="16"/>
      <c r="Y160" s="16"/>
      <c r="Z160" s="16"/>
      <c r="AA160" s="16"/>
      <c r="AB160" s="16"/>
      <c r="AC160" s="16"/>
      <c r="AD160" s="16"/>
    </row>
    <row r="161" spans="1:30" ht="15.75" customHeight="1">
      <c r="A161" s="16"/>
      <c r="B161" s="735"/>
      <c r="C161" s="696"/>
      <c r="D161" s="16"/>
      <c r="E161" s="16"/>
      <c r="F161" s="16"/>
      <c r="G161" s="16"/>
      <c r="H161" s="16"/>
      <c r="I161" s="16"/>
      <c r="J161" s="16"/>
      <c r="K161" s="16"/>
      <c r="L161" s="16"/>
      <c r="M161" s="735"/>
      <c r="N161" s="696"/>
      <c r="O161" s="696"/>
      <c r="P161" s="696"/>
      <c r="Q161" s="696"/>
      <c r="R161" s="696"/>
      <c r="S161" s="696"/>
      <c r="T161" s="696"/>
      <c r="U161" s="16"/>
      <c r="V161" s="16"/>
      <c r="W161" s="16"/>
      <c r="X161" s="16"/>
      <c r="Y161" s="16"/>
      <c r="Z161" s="16"/>
      <c r="AA161" s="16"/>
      <c r="AB161" s="16"/>
      <c r="AC161" s="16"/>
      <c r="AD161" s="16"/>
    </row>
    <row r="162" spans="1:30" ht="15.75" customHeight="1">
      <c r="A162" s="16"/>
      <c r="B162" s="735"/>
      <c r="C162" s="696"/>
      <c r="D162" s="16"/>
      <c r="E162" s="16"/>
      <c r="F162" s="16"/>
      <c r="G162" s="16"/>
      <c r="H162" s="16"/>
      <c r="I162" s="16"/>
      <c r="J162" s="16"/>
      <c r="K162" s="16"/>
      <c r="L162" s="16"/>
      <c r="M162" s="735"/>
      <c r="N162" s="696"/>
      <c r="O162" s="696"/>
      <c r="P162" s="696"/>
      <c r="Q162" s="696"/>
      <c r="R162" s="696"/>
      <c r="S162" s="696"/>
      <c r="T162" s="696"/>
      <c r="U162" s="16"/>
      <c r="V162" s="16"/>
      <c r="W162" s="16"/>
      <c r="X162" s="16"/>
      <c r="Y162" s="16"/>
      <c r="Z162" s="16"/>
      <c r="AA162" s="16"/>
      <c r="AB162" s="16"/>
      <c r="AC162" s="16"/>
      <c r="AD162" s="16"/>
    </row>
    <row r="163" spans="1:30" ht="15.75" customHeight="1">
      <c r="A163" s="16"/>
      <c r="B163" s="735"/>
      <c r="C163" s="696"/>
      <c r="D163" s="16"/>
      <c r="E163" s="16"/>
      <c r="F163" s="16"/>
      <c r="G163" s="16"/>
      <c r="H163" s="16"/>
      <c r="I163" s="16"/>
      <c r="J163" s="16"/>
      <c r="K163" s="16"/>
      <c r="L163" s="16"/>
      <c r="M163" s="735"/>
      <c r="N163" s="696"/>
      <c r="O163" s="696"/>
      <c r="P163" s="696"/>
      <c r="Q163" s="696"/>
      <c r="R163" s="696"/>
      <c r="S163" s="696"/>
      <c r="T163" s="696"/>
      <c r="U163" s="16"/>
      <c r="V163" s="16"/>
      <c r="W163" s="16"/>
      <c r="X163" s="16"/>
      <c r="Y163" s="16"/>
      <c r="Z163" s="16"/>
      <c r="AA163" s="16"/>
      <c r="AB163" s="16"/>
      <c r="AC163" s="16"/>
      <c r="AD163" s="16"/>
    </row>
    <row r="164" spans="1:30" ht="15.75" customHeight="1">
      <c r="A164" s="16"/>
      <c r="B164" s="735"/>
      <c r="C164" s="696"/>
      <c r="D164" s="16"/>
      <c r="E164" s="16"/>
      <c r="F164" s="16"/>
      <c r="G164" s="16"/>
      <c r="H164" s="16"/>
      <c r="I164" s="16"/>
      <c r="J164" s="16"/>
      <c r="K164" s="16"/>
      <c r="L164" s="16"/>
      <c r="M164" s="735"/>
      <c r="N164" s="696"/>
      <c r="O164" s="696"/>
      <c r="P164" s="696"/>
      <c r="Q164" s="696"/>
      <c r="R164" s="696"/>
      <c r="S164" s="696"/>
      <c r="T164" s="696"/>
      <c r="U164" s="16"/>
      <c r="V164" s="16"/>
      <c r="W164" s="16"/>
      <c r="X164" s="16"/>
      <c r="Y164" s="16"/>
      <c r="Z164" s="16"/>
      <c r="AA164" s="16"/>
      <c r="AB164" s="16"/>
      <c r="AC164" s="16"/>
      <c r="AD164" s="16"/>
    </row>
    <row r="165" spans="1:30" ht="15.75" customHeight="1">
      <c r="A165" s="16"/>
      <c r="B165" s="735"/>
      <c r="C165" s="696"/>
      <c r="D165" s="16"/>
      <c r="E165" s="16"/>
      <c r="F165" s="16"/>
      <c r="G165" s="16"/>
      <c r="H165" s="16"/>
      <c r="I165" s="16"/>
      <c r="J165" s="16"/>
      <c r="K165" s="16"/>
      <c r="L165" s="16"/>
      <c r="M165" s="735"/>
      <c r="N165" s="696"/>
      <c r="O165" s="696"/>
      <c r="P165" s="696"/>
      <c r="Q165" s="696"/>
      <c r="R165" s="696"/>
      <c r="S165" s="696"/>
      <c r="T165" s="696"/>
      <c r="U165" s="16"/>
      <c r="V165" s="16"/>
      <c r="W165" s="16"/>
      <c r="X165" s="16"/>
      <c r="Y165" s="16"/>
      <c r="Z165" s="16"/>
      <c r="AA165" s="16"/>
      <c r="AB165" s="16"/>
      <c r="AC165" s="16"/>
      <c r="AD165" s="16"/>
    </row>
    <row r="166" spans="1:30" ht="15.75" customHeight="1">
      <c r="A166" s="16"/>
      <c r="B166" s="735"/>
      <c r="C166" s="696"/>
      <c r="D166" s="16"/>
      <c r="E166" s="16"/>
      <c r="F166" s="16"/>
      <c r="G166" s="16"/>
      <c r="H166" s="16"/>
      <c r="I166" s="16"/>
      <c r="J166" s="16"/>
      <c r="K166" s="16"/>
      <c r="L166" s="16"/>
      <c r="M166" s="735"/>
      <c r="N166" s="696"/>
      <c r="O166" s="696"/>
      <c r="P166" s="696"/>
      <c r="Q166" s="696"/>
      <c r="R166" s="696"/>
      <c r="S166" s="696"/>
      <c r="T166" s="696"/>
      <c r="U166" s="16"/>
      <c r="V166" s="16"/>
      <c r="W166" s="16"/>
      <c r="X166" s="16"/>
      <c r="Y166" s="16"/>
      <c r="Z166" s="16"/>
      <c r="AA166" s="16"/>
      <c r="AB166" s="16"/>
      <c r="AC166" s="16"/>
      <c r="AD166" s="16"/>
    </row>
    <row r="167" spans="1:30" ht="15.75" customHeight="1">
      <c r="A167" s="16"/>
      <c r="B167" s="735"/>
      <c r="C167" s="696"/>
      <c r="D167" s="16"/>
      <c r="E167" s="16"/>
      <c r="F167" s="16"/>
      <c r="G167" s="16"/>
      <c r="H167" s="16"/>
      <c r="I167" s="16"/>
      <c r="J167" s="16"/>
      <c r="K167" s="16"/>
      <c r="L167" s="16"/>
      <c r="M167" s="735"/>
      <c r="N167" s="696"/>
      <c r="O167" s="696"/>
      <c r="P167" s="696"/>
      <c r="Q167" s="696"/>
      <c r="R167" s="696"/>
      <c r="S167" s="696"/>
      <c r="T167" s="696"/>
      <c r="U167" s="16"/>
      <c r="V167" s="16"/>
      <c r="W167" s="16"/>
      <c r="X167" s="16"/>
      <c r="Y167" s="16"/>
      <c r="Z167" s="16"/>
      <c r="AA167" s="16"/>
      <c r="AB167" s="16"/>
      <c r="AC167" s="16"/>
      <c r="AD167" s="16"/>
    </row>
    <row r="168" spans="1:30" ht="15.75" customHeight="1">
      <c r="A168" s="16"/>
      <c r="B168" s="735"/>
      <c r="C168" s="696"/>
      <c r="D168" s="16"/>
      <c r="E168" s="16"/>
      <c r="F168" s="16"/>
      <c r="G168" s="16"/>
      <c r="H168" s="16"/>
      <c r="I168" s="16"/>
      <c r="J168" s="16"/>
      <c r="K168" s="16"/>
      <c r="L168" s="16"/>
      <c r="M168" s="735"/>
      <c r="N168" s="696"/>
      <c r="O168" s="696"/>
      <c r="P168" s="696"/>
      <c r="Q168" s="696"/>
      <c r="R168" s="696"/>
      <c r="S168" s="696"/>
      <c r="T168" s="696"/>
      <c r="U168" s="16"/>
      <c r="V168" s="16"/>
      <c r="W168" s="16"/>
      <c r="X168" s="16"/>
      <c r="Y168" s="16"/>
      <c r="Z168" s="16"/>
      <c r="AA168" s="16"/>
      <c r="AB168" s="16"/>
      <c r="AC168" s="16"/>
      <c r="AD168" s="16"/>
    </row>
    <row r="169" spans="1:30" ht="15.75" customHeight="1">
      <c r="A169" s="16"/>
      <c r="B169" s="735"/>
      <c r="C169" s="696"/>
      <c r="D169" s="16"/>
      <c r="E169" s="16"/>
      <c r="F169" s="16"/>
      <c r="G169" s="16"/>
      <c r="H169" s="16"/>
      <c r="I169" s="16"/>
      <c r="J169" s="16"/>
      <c r="K169" s="16"/>
      <c r="L169" s="16"/>
      <c r="M169" s="735"/>
      <c r="N169" s="696"/>
      <c r="O169" s="696"/>
      <c r="P169" s="696"/>
      <c r="Q169" s="696"/>
      <c r="R169" s="696"/>
      <c r="S169" s="696"/>
      <c r="T169" s="696"/>
      <c r="U169" s="16"/>
      <c r="V169" s="16"/>
      <c r="W169" s="16"/>
      <c r="X169" s="16"/>
      <c r="Y169" s="16"/>
      <c r="Z169" s="16"/>
      <c r="AA169" s="16"/>
      <c r="AB169" s="16"/>
      <c r="AC169" s="16"/>
      <c r="AD169" s="16"/>
    </row>
    <row r="170" spans="1:30" ht="15.75" customHeight="1">
      <c r="A170" s="16"/>
      <c r="B170" s="735"/>
      <c r="C170" s="696"/>
      <c r="D170" s="16"/>
      <c r="E170" s="16"/>
      <c r="F170" s="16"/>
      <c r="G170" s="16"/>
      <c r="H170" s="16"/>
      <c r="I170" s="16"/>
      <c r="J170" s="16"/>
      <c r="K170" s="16"/>
      <c r="L170" s="16"/>
      <c r="M170" s="735"/>
      <c r="N170" s="696"/>
      <c r="O170" s="696"/>
      <c r="P170" s="696"/>
      <c r="Q170" s="696"/>
      <c r="R170" s="696"/>
      <c r="S170" s="696"/>
      <c r="T170" s="696"/>
      <c r="U170" s="16"/>
      <c r="V170" s="16"/>
      <c r="W170" s="16"/>
      <c r="X170" s="16"/>
      <c r="Y170" s="16"/>
      <c r="Z170" s="16"/>
      <c r="AA170" s="16"/>
      <c r="AB170" s="16"/>
      <c r="AC170" s="16"/>
      <c r="AD170" s="16"/>
    </row>
    <row r="171" spans="1:30" ht="15.75" customHeight="1">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c r="AA171" s="16"/>
      <c r="AB171" s="16"/>
      <c r="AC171" s="16"/>
      <c r="AD171" s="16"/>
    </row>
    <row r="172" spans="1:30" ht="15.75" customHeight="1">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row>
    <row r="173" spans="1:30" ht="15.75" customHeight="1">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c r="AC173" s="16"/>
      <c r="AD173" s="16"/>
    </row>
    <row r="174" spans="1:30" ht="15.75" customHeight="1">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c r="AC174" s="16"/>
      <c r="AD174" s="16"/>
    </row>
    <row r="175" spans="1:30" ht="15.75" customHeight="1">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c r="AA175" s="16"/>
      <c r="AB175" s="16"/>
      <c r="AC175" s="16"/>
      <c r="AD175" s="16"/>
    </row>
    <row r="176" spans="1:30" ht="15.75" customHeight="1">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c r="AD176" s="16"/>
    </row>
    <row r="177" spans="1:30" ht="15.75" customHeight="1">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c r="AD177" s="16"/>
    </row>
    <row r="178" spans="1:30" ht="15.75" customHeight="1">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c r="AA178" s="16"/>
      <c r="AB178" s="16"/>
      <c r="AC178" s="16"/>
      <c r="AD178" s="16"/>
    </row>
    <row r="179" spans="1:30" ht="15.75" customHeight="1">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c r="AD179" s="16"/>
    </row>
    <row r="180" spans="1:30" ht="15.75" customHeight="1">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c r="AD180" s="16"/>
    </row>
    <row r="181" spans="1:30" ht="15.75" customHeight="1">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c r="AD181" s="16"/>
    </row>
    <row r="182" spans="1:30" ht="15.75" customHeight="1">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c r="AD182" s="16"/>
    </row>
    <row r="183" spans="1:30" ht="15.75" customHeight="1">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c r="AD183" s="16"/>
    </row>
    <row r="184" spans="1:30" ht="15.75" customHeight="1">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c r="AD184" s="16"/>
    </row>
    <row r="185" spans="1:30" ht="15.75" customHeight="1">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c r="AD185" s="16"/>
    </row>
    <row r="186" spans="1:30" ht="15.75" customHeight="1">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c r="AD186" s="16"/>
    </row>
    <row r="187" spans="1:30" ht="15.75" customHeight="1">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16"/>
      <c r="AB187" s="16"/>
      <c r="AC187" s="16"/>
      <c r="AD187" s="16"/>
    </row>
    <row r="188" spans="1:30" ht="15.75" customHeight="1">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c r="AD188" s="16"/>
    </row>
    <row r="189" spans="1:30" ht="15.75" customHeight="1">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c r="AD189" s="16"/>
    </row>
    <row r="190" spans="1:30" ht="15.75" customHeight="1">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c r="AD190" s="16"/>
    </row>
    <row r="191" spans="1:30" ht="15.75" customHeight="1">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c r="AD191" s="16"/>
    </row>
    <row r="192" spans="1:30" ht="15.75" customHeight="1">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c r="AD192" s="16"/>
    </row>
    <row r="193" spans="1:30" ht="15.75" customHeight="1">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c r="AA193" s="16"/>
      <c r="AB193" s="16"/>
      <c r="AC193" s="16"/>
      <c r="AD193" s="16"/>
    </row>
    <row r="194" spans="1:30" ht="15.75" customHeight="1">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c r="AA194" s="16"/>
      <c r="AB194" s="16"/>
      <c r="AC194" s="16"/>
      <c r="AD194" s="16"/>
    </row>
    <row r="195" spans="1:30" ht="15.75" customHeight="1">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c r="AA195" s="16"/>
      <c r="AB195" s="16"/>
      <c r="AC195" s="16"/>
      <c r="AD195" s="16"/>
    </row>
    <row r="196" spans="1:30" ht="15.75" customHeight="1">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c r="AA196" s="16"/>
      <c r="AB196" s="16"/>
      <c r="AC196" s="16"/>
      <c r="AD196" s="16"/>
    </row>
    <row r="197" spans="1:30" ht="15.75" customHeight="1">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c r="AD197" s="16"/>
    </row>
    <row r="198" spans="1:30" ht="15.75" customHeight="1">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c r="AD198" s="16"/>
    </row>
    <row r="199" spans="1:30" ht="15.75" customHeight="1">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c r="AA199" s="16"/>
      <c r="AB199" s="16"/>
      <c r="AC199" s="16"/>
      <c r="AD199" s="16"/>
    </row>
    <row r="200" spans="1:30" ht="15.75" customHeight="1">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c r="AA200" s="16"/>
      <c r="AB200" s="16"/>
      <c r="AC200" s="16"/>
      <c r="AD200" s="16"/>
    </row>
    <row r="201" spans="1:30" ht="15.75" customHeight="1">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c r="AD201" s="16"/>
    </row>
    <row r="202" spans="1:30" ht="15.75" customHeight="1">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c r="AD202" s="16"/>
    </row>
    <row r="203" spans="1:30" ht="15.75" customHeight="1">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c r="AA203" s="16"/>
      <c r="AB203" s="16"/>
      <c r="AC203" s="16"/>
      <c r="AD203" s="16"/>
    </row>
    <row r="204" spans="1:30" ht="15.75" customHeight="1">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c r="AA204" s="16"/>
      <c r="AB204" s="16"/>
      <c r="AC204" s="16"/>
      <c r="AD204" s="16"/>
    </row>
    <row r="205" spans="1:30" ht="15.75" customHeight="1">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c r="AD205" s="16"/>
    </row>
    <row r="206" spans="1:30" ht="15.75" customHeight="1">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row>
    <row r="207" spans="1:30" ht="15.75" customHeight="1">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c r="AD207" s="16"/>
    </row>
    <row r="208" spans="1:30" ht="15.75" customHeight="1">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c r="AD208" s="16"/>
    </row>
    <row r="209" spans="1:30" ht="15.75" customHeight="1">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c r="AD209" s="16"/>
    </row>
    <row r="210" spans="1:30" ht="15.75" customHeight="1">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c r="AD210" s="16"/>
    </row>
    <row r="211" spans="1:30" ht="15.75" customHeight="1">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row>
    <row r="212" spans="1:30" ht="15.75" customHeight="1">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c r="AD212" s="16"/>
    </row>
    <row r="213" spans="1:30" ht="15.75" customHeight="1">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c r="AD213" s="16"/>
    </row>
    <row r="214" spans="1:30" ht="15.75" customHeight="1">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row>
    <row r="215" spans="1:30" ht="15.75" customHeight="1">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c r="AD215" s="16"/>
    </row>
    <row r="216" spans="1:30" ht="15.75" customHeight="1">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c r="AD216" s="16"/>
    </row>
    <row r="217" spans="1:30" ht="15.75" customHeight="1">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c r="AD217" s="16"/>
    </row>
    <row r="218" spans="1:30" ht="15.75" customHeight="1">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c r="AD218" s="16"/>
    </row>
    <row r="219" spans="1:30" ht="15.75" customHeight="1">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c r="AD219" s="16"/>
    </row>
    <row r="220" spans="1:30" ht="15.75" customHeight="1">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c r="AD220" s="16"/>
    </row>
    <row r="221" spans="1:30" ht="15.75" customHeight="1">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row>
    <row r="222" spans="1:30" ht="15.75" customHeight="1">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row>
    <row r="223" spans="1:30" ht="15.75" customHeight="1">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c r="AD223" s="16"/>
    </row>
    <row r="224" spans="1:30" ht="15.75" customHeight="1">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c r="AD224" s="16"/>
    </row>
    <row r="225" spans="1:30" ht="15.75" customHeight="1">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16"/>
    </row>
    <row r="226" spans="1:30" ht="15.75" customHeight="1">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row>
    <row r="227" spans="1:30" ht="15.75" customHeight="1">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16"/>
    </row>
    <row r="228" spans="1:30" ht="15.75" customHeight="1">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c r="AD228" s="16"/>
    </row>
    <row r="229" spans="1:30" ht="15.75" customHeight="1">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c r="AD229" s="16"/>
    </row>
    <row r="230" spans="1:30" ht="15.75" customHeight="1">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row>
    <row r="231" spans="1:30" ht="15.75" customHeight="1">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c r="AD231" s="16"/>
    </row>
    <row r="232" spans="1:30" ht="15.75" customHeight="1">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c r="AD232" s="16"/>
    </row>
    <row r="233" spans="1:30" ht="15.75" customHeight="1">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c r="AD233" s="16"/>
    </row>
    <row r="234" spans="1:30" ht="15.75" customHeight="1">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c r="AD234" s="16"/>
    </row>
    <row r="235" spans="1:30" ht="15.75" customHeight="1">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row>
    <row r="236" spans="1:30" ht="15.75" customHeight="1">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c r="AD236" s="16"/>
    </row>
    <row r="237" spans="1:30" ht="15.75" customHeight="1">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c r="AD237" s="16"/>
    </row>
    <row r="238" spans="1:30" ht="15.75" customHeight="1">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c r="AD238" s="16"/>
    </row>
    <row r="239" spans="1:30" ht="15.75" customHeight="1">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c r="AD239" s="16"/>
    </row>
    <row r="240" spans="1:30" ht="15.75" customHeight="1">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c r="AD240" s="16"/>
    </row>
    <row r="241" spans="1:30" ht="15.75" customHeight="1">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c r="AD241" s="16"/>
    </row>
    <row r="242" spans="1:30" ht="15.75" customHeight="1">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c r="AD242" s="16"/>
    </row>
    <row r="243" spans="1:30" ht="15.75" customHeight="1">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c r="AD243" s="16"/>
    </row>
    <row r="244" spans="1:30" ht="15.75" customHeight="1">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16"/>
    </row>
    <row r="245" spans="1:30" ht="15.75" customHeight="1">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c r="AD245" s="16"/>
    </row>
    <row r="246" spans="1:30" ht="15.75" customHeight="1">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row>
    <row r="247" spans="1:30" ht="15.75" customHeight="1">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c r="AD247" s="16"/>
    </row>
    <row r="248" spans="1:30" ht="15.75" customHeight="1">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row>
    <row r="249" spans="1:30" ht="15.75" customHeight="1">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row>
    <row r="250" spans="1:30" ht="15.75" customHeight="1">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c r="AD250" s="16"/>
    </row>
    <row r="251" spans="1:30" ht="15.75" customHeight="1">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row>
    <row r="252" spans="1:30" ht="15.75" customHeight="1">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16"/>
    </row>
    <row r="253" spans="1:30" ht="15.75" customHeight="1">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c r="AD253" s="16"/>
    </row>
    <row r="254" spans="1:30" ht="15.75" customHeight="1">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row>
    <row r="255" spans="1:30" ht="15.75" customHeight="1">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c r="AD255" s="16"/>
    </row>
    <row r="256" spans="1:30" ht="15.75" customHeight="1">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row>
    <row r="257" spans="1:30" ht="15.75" customHeight="1">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c r="AD257" s="16"/>
    </row>
    <row r="258" spans="1:30" ht="15.75" customHeight="1">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c r="AD258" s="16"/>
    </row>
    <row r="259" spans="1:30" ht="15.75" customHeight="1">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row>
    <row r="260" spans="1:30" ht="15.75" customHeight="1">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row>
    <row r="261" spans="1:30" ht="15.75" customHeight="1">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c r="AD261" s="16"/>
    </row>
    <row r="262" spans="1:30" ht="15.75" customHeight="1">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row>
    <row r="263" spans="1:30" ht="15.75" customHeight="1">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row>
    <row r="264" spans="1:30" ht="15.75" customHeight="1">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c r="AD264" s="16"/>
    </row>
    <row r="265" spans="1:30" ht="15.75" customHeight="1">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row>
    <row r="266" spans="1:30" ht="15.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row>
    <row r="267" spans="1:30" ht="15.75" customHeight="1">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row>
    <row r="268" spans="1:30" ht="15.75" customHeight="1">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c r="AD268" s="16"/>
    </row>
    <row r="269" spans="1:30" ht="15.75" customHeight="1">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row>
    <row r="270" spans="1:30" ht="15.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row>
    <row r="271" spans="1:30" ht="15.75" customHeight="1">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c r="AD271" s="16"/>
    </row>
    <row r="272" spans="1:30" ht="15.75" customHeight="1">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c r="AD272" s="16"/>
    </row>
    <row r="273" spans="1:30" ht="15.75" customHeight="1">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c r="AD273" s="16"/>
    </row>
    <row r="274" spans="1:30" ht="15.75" customHeight="1">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c r="AD274" s="16"/>
    </row>
    <row r="275" spans="1:30" ht="15.75" customHeight="1">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c r="AD275" s="16"/>
    </row>
    <row r="276" spans="1:30" ht="15.75" customHeight="1">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row>
    <row r="277" spans="1:30" ht="15.75" customHeight="1">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16"/>
    </row>
    <row r="278" spans="1:30" ht="15.75" customHeight="1">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row>
    <row r="279" spans="1:30" ht="15.75" customHeight="1">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16"/>
    </row>
    <row r="280" spans="1:30" ht="15.75" customHeight="1">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c r="AD280" s="16"/>
    </row>
    <row r="281" spans="1:30" ht="15.75" customHeight="1">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c r="AD281" s="16"/>
    </row>
    <row r="282" spans="1:30" ht="15.75" customHeight="1">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c r="AD282" s="16"/>
    </row>
    <row r="283" spans="1:30" ht="15.75" customHeight="1">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c r="AD283" s="16"/>
    </row>
    <row r="284" spans="1:30" ht="15.75" customHeight="1">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c r="AD284" s="16"/>
    </row>
    <row r="285" spans="1:30" ht="15.75" customHeight="1">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c r="AD285" s="16"/>
    </row>
    <row r="286" spans="1:30" ht="15.75" customHeight="1">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row>
    <row r="287" spans="1:30" ht="15.75" customHeight="1">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row>
    <row r="288" spans="1:30" ht="15.75" customHeight="1">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row>
    <row r="289" spans="1:30" ht="15.75" customHeight="1">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row>
    <row r="290" spans="1:30" ht="15.75" customHeight="1">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row>
    <row r="291" spans="1:30" ht="15.75" customHeight="1">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c r="AD291" s="16"/>
    </row>
    <row r="292" spans="1:30" ht="15.75" customHeight="1">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row>
    <row r="293" spans="1:30" ht="15.75" customHeight="1">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row>
    <row r="294" spans="1:30" ht="15.75" customHeight="1">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row>
    <row r="295" spans="1:30" ht="15.75" customHeight="1">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row>
    <row r="296" spans="1:30" ht="15.75" customHeight="1">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row>
    <row r="297" spans="1:30" ht="15.75" customHeight="1">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row>
    <row r="298" spans="1:30" ht="15.75" customHeight="1">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row>
    <row r="299" spans="1:30" ht="15.75" customHeight="1">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row>
    <row r="300" spans="1:30" ht="15.75" customHeight="1">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row>
    <row r="301" spans="1:30" ht="15.75" customHeight="1">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c r="AD301" s="16"/>
    </row>
    <row r="302" spans="1:30" ht="15.75" customHeight="1">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c r="AD302" s="16"/>
    </row>
    <row r="303" spans="1:30" ht="15.75" customHeight="1">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row>
    <row r="304" spans="1:30" ht="15.75" customHeight="1">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c r="AD304" s="16"/>
    </row>
    <row r="305" spans="1:30" ht="15.75" customHeight="1">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c r="AD305" s="16"/>
    </row>
    <row r="306" spans="1:30" ht="15.75" customHeight="1">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c r="AA306" s="16"/>
      <c r="AB306" s="16"/>
      <c r="AC306" s="16"/>
      <c r="AD306" s="16"/>
    </row>
    <row r="307" spans="1:30" ht="15.75" customHeight="1"/>
    <row r="308" spans="1:30" ht="15.75" customHeight="1"/>
    <row r="309" spans="1:30" ht="15.75" customHeight="1"/>
    <row r="310" spans="1:30" ht="15.75" customHeight="1"/>
    <row r="311" spans="1:30" ht="15.75" customHeight="1"/>
    <row r="312" spans="1:30" ht="15.75" customHeight="1"/>
    <row r="313" spans="1:30" ht="15.75" customHeight="1"/>
    <row r="314" spans="1:30" ht="15.75" customHeight="1"/>
    <row r="315" spans="1:30" ht="15.75" customHeight="1"/>
    <row r="316" spans="1:30" ht="15.75" customHeight="1"/>
    <row r="317" spans="1:30" ht="15.75" customHeight="1"/>
    <row r="318" spans="1:30" ht="15.75" customHeight="1"/>
    <row r="319" spans="1:30" ht="15.75" customHeight="1"/>
    <row r="320" spans="1:3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sheetData>
  <mergeCells count="95">
    <mergeCell ref="A31:F31"/>
    <mergeCell ref="A32:F32"/>
    <mergeCell ref="A33:F33"/>
    <mergeCell ref="A35:F35"/>
    <mergeCell ref="A30:F30"/>
    <mergeCell ref="A1:C1"/>
    <mergeCell ref="E1:H1"/>
    <mergeCell ref="D7:I7"/>
    <mergeCell ref="D8:I8"/>
    <mergeCell ref="A29:F29"/>
    <mergeCell ref="H93:I106"/>
    <mergeCell ref="J93:K106"/>
    <mergeCell ref="H38:J38"/>
    <mergeCell ref="K72:O88"/>
    <mergeCell ref="P72:Q88"/>
    <mergeCell ref="H92:I92"/>
    <mergeCell ref="J92:K92"/>
    <mergeCell ref="K71:O71"/>
    <mergeCell ref="H39:J43"/>
    <mergeCell ref="I46:K46"/>
    <mergeCell ref="I47:K51"/>
    <mergeCell ref="K55:M55"/>
    <mergeCell ref="K56:M68"/>
    <mergeCell ref="P116:R116"/>
    <mergeCell ref="P71:Q71"/>
    <mergeCell ref="P117:R117"/>
    <mergeCell ref="P118:R118"/>
    <mergeCell ref="P119:R119"/>
    <mergeCell ref="P120:R120"/>
    <mergeCell ref="P121:R121"/>
    <mergeCell ref="M136:O136"/>
    <mergeCell ref="P122:R122"/>
    <mergeCell ref="M124:O124"/>
    <mergeCell ref="P124:T124"/>
    <mergeCell ref="M125:O125"/>
    <mergeCell ref="P125:T136"/>
    <mergeCell ref="M126:O126"/>
    <mergeCell ref="M127:O127"/>
    <mergeCell ref="M128:O128"/>
    <mergeCell ref="M129:O129"/>
    <mergeCell ref="M130:O130"/>
    <mergeCell ref="M131:O131"/>
    <mergeCell ref="M132:O132"/>
    <mergeCell ref="M133:O133"/>
    <mergeCell ref="M134:O134"/>
    <mergeCell ref="M135:O135"/>
    <mergeCell ref="M152:O152"/>
    <mergeCell ref="M139:O139"/>
    <mergeCell ref="P139:T139"/>
    <mergeCell ref="M140:O140"/>
    <mergeCell ref="P140:T153"/>
    <mergeCell ref="M141:O141"/>
    <mergeCell ref="M142:O142"/>
    <mergeCell ref="M143:O143"/>
    <mergeCell ref="M144:O144"/>
    <mergeCell ref="M145:O145"/>
    <mergeCell ref="M146:O146"/>
    <mergeCell ref="M147:O147"/>
    <mergeCell ref="M148:O148"/>
    <mergeCell ref="M149:O149"/>
    <mergeCell ref="M150:O150"/>
    <mergeCell ref="M151:O151"/>
    <mergeCell ref="P156:T156"/>
    <mergeCell ref="B157:C157"/>
    <mergeCell ref="M157:O157"/>
    <mergeCell ref="P157:T170"/>
    <mergeCell ref="B158:C158"/>
    <mergeCell ref="M158:O158"/>
    <mergeCell ref="B159:C159"/>
    <mergeCell ref="B162:C162"/>
    <mergeCell ref="M162:O162"/>
    <mergeCell ref="B161:C161"/>
    <mergeCell ref="M161:O161"/>
    <mergeCell ref="B163:C163"/>
    <mergeCell ref="M163:O163"/>
    <mergeCell ref="B164:C164"/>
    <mergeCell ref="M164:O164"/>
    <mergeCell ref="B165:C165"/>
    <mergeCell ref="M153:O153"/>
    <mergeCell ref="B156:C156"/>
    <mergeCell ref="M156:O156"/>
    <mergeCell ref="M159:O159"/>
    <mergeCell ref="B160:C160"/>
    <mergeCell ref="M160:O160"/>
    <mergeCell ref="M165:O165"/>
    <mergeCell ref="B169:C169"/>
    <mergeCell ref="M169:O169"/>
    <mergeCell ref="B170:C170"/>
    <mergeCell ref="M170:O170"/>
    <mergeCell ref="B166:C166"/>
    <mergeCell ref="M166:O166"/>
    <mergeCell ref="B167:C167"/>
    <mergeCell ref="M167:O167"/>
    <mergeCell ref="B168:C168"/>
    <mergeCell ref="M168:O168"/>
  </mergeCells>
  <conditionalFormatting sqref="I56:I67">
    <cfRule type="containsText" dxfId="236" priority="1" operator="containsText" text="5">
      <formula>NOT(ISERROR(SEARCH(("5"),(I56))))</formula>
    </cfRule>
    <cfRule type="containsText" dxfId="235" priority="2" operator="containsText" text="42">
      <formula>NOT(ISERROR(SEARCH(("42"),(I56))))</formula>
    </cfRule>
    <cfRule type="containsText" dxfId="234" priority="3" operator="containsText" text="Please fill in">
      <formula>NOT(ISERROR(SEARCH(("Please fill in"),(I56))))</formula>
    </cfRule>
  </conditionalFormatting>
  <dataValidations count="5">
    <dataValidation type="list" allowBlank="1" showErrorMessage="1" sqref="D49:D51 H60:H68" xr:uid="{D3748132-0CB2-234E-BCB9-E8B3E3F7363B}">
      <formula1>'Slapping Studs'!TypesOfTrainers</formula1>
    </dataValidation>
    <dataValidation type="list" allowBlank="1" showErrorMessage="1" sqref="B9" xr:uid="{C3D45E11-5EBC-A244-BCF4-5AB2468ADE68}">
      <formula1>"yes,no,partial"</formula1>
    </dataValidation>
    <dataValidation type="list" allowBlank="1" sqref="G47:G51" xr:uid="{7578BF4F-5F4F-1841-98E2-212E47D079D0}">
      <formula1>"yes,no"</formula1>
    </dataValidation>
    <dataValidation type="list" allowBlank="1" showErrorMessage="1" sqref="D47:D48 H56:H59" xr:uid="{D760C256-27EF-C048-8BC3-BED0C128CF53}">
      <formula1>'https://universiteittwente.sharepoint.com/sites/SportsCoordinatorsSUT/Gedeelde documenten/General/(WIP) FAM Sheets - Regulations 2025-28 - Version April 2025.xlsx'!TypesOfTrainers</formula1>
    </dataValidation>
    <dataValidation type="list" allowBlank="1" showErrorMessage="1" sqref="B72:B73" xr:uid="{9753F77D-E4CA-EC4A-9EA0-44E175B7C509}">
      <formula1>'https://universiteittwente.sharepoint.com/sites/SportsCoordinatorsSUT/Gedeelde documenten/General/(WIP) FAM Sheets - Regulations 2025-28 - Version April 2025.xlsx'!LocationNames</formula1>
    </dataValidation>
  </dataValidations>
  <pageMargins left="0.7" right="0.7" top="0.75" bottom="0.75" header="0" footer="0"/>
  <pageSetup paperSize="9" orientation="portrait"/>
  <drawing r:id="rId1"/>
  <legacyDrawing r:id="rId2"/>
  <tableParts count="6">
    <tablePart r:id="rId3"/>
    <tablePart r:id="rId4"/>
    <tablePart r:id="rId5"/>
    <tablePart r:id="rId6"/>
    <tablePart r:id="rId7"/>
    <tablePart r:id="rId8"/>
  </tableParts>
  <extLst>
    <ext xmlns:x14="http://schemas.microsoft.com/office/spreadsheetml/2009/9/main" uri="{CCE6A557-97BC-4b89-ADB6-D9C93CAAB3DF}">
      <x14:dataValidations xmlns:xm="http://schemas.microsoft.com/office/excel/2006/main" count="4">
        <x14:dataValidation type="list" allowBlank="1" showInputMessage="1" showErrorMessage="1" xr:uid="{08978F32-52EF-1842-B9E4-D971966CAFF1}">
          <x14:formula1>
            <xm:f>Constants!$M$6:$M$7</xm:f>
          </x14:formula1>
          <xm:sqref>B96:B108</xm:sqref>
        </x14:dataValidation>
        <x14:dataValidation type="list" allowBlank="1" showInputMessage="1" showErrorMessage="1" xr:uid="{302C4B7C-9272-9440-8145-D1E6AE3CA42A}">
          <x14:formula1>
            <xm:f>Constants!$C$55:$C$56</xm:f>
          </x14:formula1>
          <xm:sqref>B12</xm:sqref>
        </x14:dataValidation>
        <x14:dataValidation type="list" allowBlank="1" showErrorMessage="1" xr:uid="{5CB00441-30AC-0B49-B8F7-8C8156511E1F}">
          <x14:formula1>
            <xm:f>Constants!$H$6:$H$13</xm:f>
          </x14:formula1>
          <xm:sqref>B56:B68</xm:sqref>
        </x14:dataValidation>
        <x14:dataValidation type="list" allowBlank="1" showErrorMessage="1" xr:uid="{41B3BB70-54DC-8941-8EC6-B465122F3F33}">
          <x14:formula1>
            <xm:f>Constants!$A$2:$AD$2</xm:f>
          </x14:formula1>
          <xm:sqref>B74:B88</xm:sqref>
        </x14:dataValidation>
      </x14:dataValidation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B82D74-F265-4DC3-8F22-0FE84E98F025}">
  <dimension ref="A1:BG1003"/>
  <sheetViews>
    <sheetView topLeftCell="Y5" workbookViewId="0">
      <selection activeCell="AF30" sqref="AF30"/>
    </sheetView>
  </sheetViews>
  <sheetFormatPr defaultColWidth="12.625" defaultRowHeight="15" customHeight="1"/>
  <cols>
    <col min="1" max="1" width="36.625" customWidth="1"/>
    <col min="2" max="2" width="28.125" customWidth="1"/>
    <col min="3" max="3" width="21" customWidth="1"/>
    <col min="4" max="4" width="17.5" customWidth="1"/>
    <col min="5" max="5" width="16.125" customWidth="1"/>
    <col min="6" max="6" width="21.5" customWidth="1"/>
    <col min="7" max="7" width="22.625" customWidth="1"/>
    <col min="8" max="8" width="18.625" customWidth="1"/>
    <col min="9" max="9" width="19.625" customWidth="1"/>
    <col min="10" max="10" width="18.875" customWidth="1"/>
    <col min="11" max="11" width="21.625" customWidth="1"/>
    <col min="12" max="12" width="17.375" customWidth="1"/>
    <col min="13" max="13" width="15.125" customWidth="1"/>
    <col min="14" max="14" width="15.625" customWidth="1"/>
    <col min="15" max="15" width="28.5" customWidth="1"/>
    <col min="16" max="16" width="13.125" customWidth="1"/>
    <col min="17" max="17" width="21.875" customWidth="1"/>
    <col min="18" max="18" width="27" customWidth="1"/>
    <col min="19" max="19" width="20.5" customWidth="1"/>
    <col min="20" max="22" width="7.625" customWidth="1"/>
    <col min="23" max="23" width="31.875" customWidth="1"/>
    <col min="24" max="24" width="7.625" customWidth="1"/>
    <col min="25" max="25" width="8.375" customWidth="1"/>
    <col min="26" max="26" width="21.625" customWidth="1"/>
    <col min="27" max="27" width="12" customWidth="1"/>
    <col min="28" max="28" width="16.5" customWidth="1"/>
    <col min="29" max="29" width="6" customWidth="1"/>
    <col min="30" max="30" width="13.625" customWidth="1"/>
  </cols>
  <sheetData>
    <row r="1" spans="1:59" ht="171" customHeight="1">
      <c r="A1" s="703"/>
      <c r="B1" s="704"/>
      <c r="C1" s="705"/>
      <c r="D1" s="16"/>
      <c r="E1" s="572" t="s">
        <v>356</v>
      </c>
      <c r="F1" s="704"/>
      <c r="G1" s="704"/>
      <c r="H1" s="705"/>
      <c r="I1" s="16"/>
      <c r="J1" s="16"/>
      <c r="K1" s="16"/>
      <c r="L1" s="16"/>
      <c r="M1" s="16"/>
      <c r="N1" s="16"/>
      <c r="O1" s="16"/>
      <c r="P1" s="16"/>
      <c r="Q1" s="16"/>
      <c r="R1" s="16"/>
      <c r="S1" s="16"/>
      <c r="T1" s="16"/>
      <c r="U1" s="16"/>
      <c r="V1" s="16"/>
      <c r="W1" s="16"/>
      <c r="X1" s="16"/>
      <c r="Y1" s="16"/>
      <c r="Z1" s="16"/>
      <c r="AA1" s="16"/>
      <c r="AB1" s="16"/>
      <c r="AC1" s="16"/>
      <c r="AD1" s="16"/>
    </row>
    <row r="2" spans="1:59">
      <c r="A2" s="58" t="s">
        <v>404</v>
      </c>
      <c r="B2" s="152" t="s">
        <v>532</v>
      </c>
      <c r="C2" s="59"/>
      <c r="D2" s="16"/>
      <c r="E2" s="60" t="s">
        <v>406</v>
      </c>
      <c r="F2" s="153"/>
      <c r="G2" s="154"/>
      <c r="H2" s="61"/>
      <c r="I2" s="16"/>
      <c r="J2" s="16"/>
      <c r="K2" s="16"/>
      <c r="L2" s="16"/>
      <c r="M2" s="16"/>
      <c r="N2" s="16"/>
      <c r="O2" s="16"/>
      <c r="P2" s="16"/>
      <c r="Q2" s="16"/>
      <c r="R2" s="16"/>
      <c r="S2" s="16"/>
      <c r="T2" s="16"/>
      <c r="U2" s="16"/>
      <c r="V2" s="16"/>
      <c r="W2" s="16"/>
      <c r="X2" s="16"/>
      <c r="Y2" s="16"/>
      <c r="Z2" s="15"/>
      <c r="AA2" s="15"/>
      <c r="AB2" s="15"/>
      <c r="AC2" s="15"/>
      <c r="AD2" s="16"/>
      <c r="AE2" s="16"/>
      <c r="AF2" s="16"/>
      <c r="AG2" s="16"/>
      <c r="AH2" s="16"/>
      <c r="AI2" s="17"/>
      <c r="AJ2" s="17"/>
      <c r="AK2" s="17"/>
      <c r="AL2" s="17"/>
      <c r="AM2" s="17"/>
      <c r="AN2" s="17"/>
      <c r="AO2" s="17"/>
      <c r="AP2" s="17"/>
      <c r="AQ2" s="17"/>
      <c r="AR2" s="18"/>
      <c r="AS2" s="17"/>
      <c r="AT2" s="17"/>
      <c r="AU2" s="16"/>
      <c r="AV2" s="16"/>
      <c r="AW2" s="16"/>
      <c r="AX2" s="16"/>
      <c r="AY2" s="16"/>
      <c r="AZ2" s="16"/>
      <c r="BA2" s="16"/>
    </row>
    <row r="3" spans="1:59">
      <c r="A3" s="62" t="s">
        <v>408</v>
      </c>
      <c r="B3" s="155">
        <v>3</v>
      </c>
      <c r="C3" s="156"/>
      <c r="D3" s="16"/>
      <c r="E3" s="63" t="s">
        <v>409</v>
      </c>
      <c r="F3" s="157"/>
      <c r="G3" s="158"/>
      <c r="H3" s="159"/>
      <c r="I3" s="16"/>
      <c r="J3" s="16"/>
      <c r="K3" s="16"/>
      <c r="L3" s="16"/>
      <c r="M3" s="16"/>
      <c r="N3" s="16"/>
      <c r="O3" s="16"/>
      <c r="P3" s="16"/>
      <c r="Q3" s="16"/>
      <c r="R3" s="16"/>
      <c r="S3" s="16"/>
      <c r="T3" s="16"/>
      <c r="U3" s="16"/>
      <c r="V3" s="16"/>
      <c r="W3" s="16"/>
      <c r="X3" s="16"/>
      <c r="Y3" s="16"/>
      <c r="Z3" s="16"/>
      <c r="AA3" s="16"/>
      <c r="AB3" s="16"/>
      <c r="AC3" s="16"/>
      <c r="AD3" s="16"/>
    </row>
    <row r="4" spans="1:59">
      <c r="A4" s="160" t="s">
        <v>410</v>
      </c>
      <c r="B4" s="161">
        <v>45812</v>
      </c>
      <c r="C4" s="162"/>
      <c r="D4" s="16"/>
      <c r="E4" s="163"/>
      <c r="F4" s="164"/>
      <c r="G4" s="165"/>
      <c r="H4" s="166"/>
      <c r="I4" s="16"/>
      <c r="J4" s="16"/>
      <c r="K4" s="16"/>
      <c r="L4" s="16"/>
      <c r="M4" s="16"/>
      <c r="N4" s="16"/>
      <c r="O4" s="16"/>
      <c r="P4" s="16"/>
      <c r="Q4" s="16"/>
      <c r="R4" s="16"/>
      <c r="S4" s="16"/>
      <c r="T4" s="16"/>
      <c r="U4" s="16"/>
      <c r="V4" s="16"/>
      <c r="W4" s="16"/>
      <c r="X4" s="16"/>
      <c r="Y4" s="16"/>
      <c r="Z4" s="16"/>
      <c r="AA4" s="16"/>
      <c r="AB4" s="16"/>
      <c r="AC4" s="16"/>
      <c r="AD4" s="16"/>
    </row>
    <row r="5" spans="1:59">
      <c r="A5" s="167" t="s">
        <v>411</v>
      </c>
      <c r="B5" s="168"/>
      <c r="C5" s="167"/>
      <c r="D5" s="16"/>
      <c r="E5" s="169" t="s">
        <v>412</v>
      </c>
      <c r="F5" s="169"/>
      <c r="G5" s="158"/>
      <c r="H5" s="169"/>
      <c r="I5" s="16"/>
      <c r="J5" s="16"/>
      <c r="K5" s="16"/>
      <c r="L5" s="16"/>
      <c r="M5" s="16"/>
      <c r="N5" s="16"/>
      <c r="O5" s="16"/>
      <c r="P5" s="16"/>
      <c r="Q5" s="16"/>
      <c r="R5" s="16"/>
      <c r="S5" s="16"/>
      <c r="T5" s="16"/>
      <c r="U5" s="16"/>
      <c r="V5" s="16"/>
      <c r="W5" s="16"/>
      <c r="X5" s="16"/>
      <c r="Y5" s="16"/>
      <c r="Z5" s="16"/>
      <c r="AA5" s="16"/>
      <c r="AB5" s="16"/>
      <c r="AC5" s="16"/>
      <c r="AD5" s="16"/>
    </row>
    <row r="6" spans="1:59">
      <c r="A6" s="15"/>
      <c r="B6" s="64"/>
      <c r="C6" s="16"/>
      <c r="D6" s="16"/>
      <c r="E6" s="16"/>
      <c r="F6" s="16"/>
      <c r="G6" s="16"/>
      <c r="H6" s="16"/>
      <c r="I6" s="16"/>
      <c r="J6" s="64"/>
      <c r="K6" s="16"/>
      <c r="L6" s="16"/>
      <c r="M6" s="16"/>
      <c r="N6" s="16"/>
      <c r="O6" s="16"/>
      <c r="P6" s="16"/>
      <c r="Q6" s="16"/>
      <c r="R6" s="16"/>
      <c r="S6" s="16"/>
      <c r="T6" s="16"/>
      <c r="U6" s="16"/>
      <c r="V6" s="16"/>
      <c r="W6" s="16"/>
      <c r="X6" s="16"/>
      <c r="Y6" s="16"/>
      <c r="Z6" s="16"/>
      <c r="AA6" s="16"/>
      <c r="AB6" s="16"/>
      <c r="AC6" s="16"/>
      <c r="AD6" s="16"/>
    </row>
    <row r="7" spans="1:59">
      <c r="A7" s="170" t="s">
        <v>413</v>
      </c>
      <c r="B7" s="139">
        <v>45</v>
      </c>
      <c r="C7" s="16"/>
      <c r="D7" s="573" t="s">
        <v>414</v>
      </c>
      <c r="E7" s="701"/>
      <c r="F7" s="701"/>
      <c r="G7" s="701"/>
      <c r="H7" s="701"/>
      <c r="I7" s="701"/>
      <c r="J7" s="16"/>
      <c r="K7" s="16"/>
      <c r="L7" s="16"/>
      <c r="M7" s="16"/>
      <c r="N7" s="16"/>
      <c r="O7" s="16"/>
      <c r="P7" s="16"/>
      <c r="Q7" s="16"/>
      <c r="R7" s="16"/>
      <c r="S7" s="16"/>
      <c r="T7" s="16"/>
      <c r="U7" s="16"/>
      <c r="V7" s="16"/>
      <c r="W7" s="16"/>
      <c r="X7" s="16"/>
      <c r="Y7" s="16"/>
      <c r="Z7" s="16"/>
      <c r="AA7" s="16"/>
      <c r="AB7" s="16"/>
      <c r="AC7" s="16"/>
      <c r="AD7" s="16"/>
    </row>
    <row r="8" spans="1:59" ht="14.25" customHeight="1">
      <c r="A8" s="171" t="s">
        <v>415</v>
      </c>
      <c r="B8" s="172">
        <f ca="1">M21-M17</f>
        <v>2470.7039440731778</v>
      </c>
      <c r="C8" s="16" t="s">
        <v>416</v>
      </c>
      <c r="D8" s="574" t="s">
        <v>417</v>
      </c>
      <c r="E8" s="704"/>
      <c r="F8" s="704"/>
      <c r="G8" s="704"/>
      <c r="H8" s="704"/>
      <c r="I8" s="704"/>
      <c r="J8" s="16"/>
      <c r="K8" s="16"/>
      <c r="L8" s="16"/>
      <c r="M8" s="16"/>
      <c r="N8" s="16"/>
      <c r="O8" s="16"/>
      <c r="P8" s="16"/>
      <c r="Q8" s="16"/>
      <c r="R8" s="16"/>
      <c r="S8" s="16"/>
      <c r="T8" s="16"/>
      <c r="U8" s="16"/>
      <c r="V8" s="16"/>
      <c r="W8" s="16"/>
      <c r="X8" s="16"/>
      <c r="Y8" s="16"/>
      <c r="Z8" s="16"/>
      <c r="AA8" s="16"/>
      <c r="AB8" s="16"/>
      <c r="AC8" s="16"/>
    </row>
    <row r="9" spans="1:59">
      <c r="A9" s="65" t="s">
        <v>418</v>
      </c>
      <c r="B9" s="173" t="s">
        <v>419</v>
      </c>
      <c r="C9" s="16"/>
      <c r="D9" s="16"/>
      <c r="E9" s="17"/>
      <c r="F9" s="17"/>
      <c r="G9" s="17"/>
      <c r="H9" s="17"/>
      <c r="I9" s="17"/>
      <c r="J9" s="17"/>
      <c r="K9" s="17"/>
      <c r="L9" s="17"/>
      <c r="M9" s="17"/>
      <c r="N9" s="17"/>
      <c r="O9" s="17"/>
      <c r="P9" s="17"/>
      <c r="Q9" s="16"/>
      <c r="R9" s="17"/>
      <c r="S9" s="17"/>
      <c r="T9" s="17"/>
      <c r="U9" s="17"/>
      <c r="V9" s="17"/>
      <c r="W9" s="17"/>
      <c r="X9" s="17"/>
      <c r="Y9" s="17"/>
      <c r="Z9" s="17"/>
      <c r="AA9" s="17"/>
      <c r="AB9" s="17"/>
      <c r="AC9" s="17"/>
      <c r="AD9" s="18" t="s">
        <v>242</v>
      </c>
    </row>
    <row r="10" spans="1:59">
      <c r="A10" s="174" t="s">
        <v>420</v>
      </c>
      <c r="B10" s="66">
        <f>COUNTA(A38:A42)</f>
        <v>1</v>
      </c>
      <c r="C10" s="16"/>
      <c r="D10" s="16"/>
      <c r="E10" s="17"/>
      <c r="F10" s="17"/>
      <c r="G10" s="17"/>
      <c r="H10" s="17"/>
      <c r="I10" s="17"/>
      <c r="J10" s="17"/>
      <c r="K10" s="17"/>
      <c r="L10" s="17"/>
      <c r="M10" s="17"/>
      <c r="N10" s="17"/>
      <c r="O10" s="17"/>
      <c r="P10" s="17"/>
      <c r="Q10" s="16"/>
      <c r="R10" s="17"/>
      <c r="S10" s="17"/>
      <c r="T10" s="17"/>
      <c r="U10" s="17"/>
      <c r="V10" s="17"/>
      <c r="W10" s="17"/>
      <c r="X10" s="17"/>
      <c r="Y10" s="17"/>
      <c r="Z10" s="17"/>
      <c r="AA10" s="17"/>
      <c r="AB10" s="17"/>
      <c r="AC10" s="17"/>
      <c r="AD10" s="18"/>
    </row>
    <row r="11" spans="1:59">
      <c r="A11" s="171" t="s">
        <v>421</v>
      </c>
      <c r="B11" s="238">
        <f>SUM(B38:B42)</f>
        <v>20</v>
      </c>
      <c r="C11" s="16"/>
      <c r="D11" s="16"/>
      <c r="E11" s="17"/>
      <c r="F11" s="17"/>
      <c r="G11" s="17"/>
      <c r="H11" s="17"/>
      <c r="I11" s="17"/>
      <c r="J11" s="17"/>
      <c r="K11" s="17"/>
      <c r="L11" s="17"/>
      <c r="M11" s="17"/>
      <c r="N11" s="17"/>
      <c r="O11" s="17"/>
      <c r="P11" s="17"/>
      <c r="Q11" s="16"/>
      <c r="R11" s="17"/>
      <c r="S11" s="17"/>
      <c r="T11" s="17"/>
      <c r="U11" s="17"/>
      <c r="V11" s="17"/>
      <c r="W11" s="17"/>
      <c r="X11" s="17"/>
      <c r="Y11" s="17"/>
      <c r="Z11" s="17"/>
      <c r="AA11" s="17"/>
      <c r="AB11" s="17"/>
      <c r="AC11" s="17"/>
      <c r="AD11" s="18"/>
    </row>
    <row r="12" spans="1:59">
      <c r="A12" s="239" t="s">
        <v>422</v>
      </c>
      <c r="B12" s="240" t="s">
        <v>319</v>
      </c>
      <c r="C12" s="16"/>
      <c r="D12" s="16"/>
      <c r="E12" s="17"/>
      <c r="F12" s="17"/>
      <c r="G12" s="17"/>
      <c r="H12" s="17"/>
      <c r="I12" s="17"/>
      <c r="J12" s="17"/>
      <c r="K12" s="17"/>
      <c r="L12" s="17"/>
      <c r="M12" s="17"/>
      <c r="N12" s="17"/>
      <c r="O12" s="17"/>
      <c r="P12" s="17"/>
      <c r="Q12" s="16"/>
      <c r="R12" s="17"/>
      <c r="S12" s="17"/>
      <c r="T12" s="17"/>
      <c r="U12" s="17"/>
      <c r="V12" s="17"/>
      <c r="W12" s="17"/>
      <c r="X12" s="17"/>
      <c r="Y12" s="17"/>
      <c r="Z12" s="17"/>
      <c r="AA12" s="17"/>
      <c r="AB12" s="17"/>
      <c r="AC12" s="17"/>
      <c r="AD12" s="18"/>
    </row>
    <row r="13" spans="1:59">
      <c r="A13" s="16"/>
      <c r="B13" s="16"/>
      <c r="C13" s="16"/>
      <c r="D13" s="16"/>
      <c r="E13" s="17"/>
      <c r="F13" s="17"/>
      <c r="G13" s="17"/>
      <c r="H13" s="17"/>
      <c r="I13" s="17"/>
      <c r="J13" s="17"/>
      <c r="K13" s="17"/>
      <c r="L13" s="17"/>
      <c r="M13" s="17"/>
      <c r="N13" s="17"/>
      <c r="O13" s="17"/>
      <c r="P13" s="17"/>
      <c r="Q13" s="16"/>
      <c r="R13" s="17"/>
      <c r="S13" s="17"/>
      <c r="T13" s="17"/>
      <c r="U13" s="17"/>
      <c r="V13" s="17"/>
      <c r="W13" s="17"/>
      <c r="X13" s="17"/>
      <c r="Y13" s="17"/>
      <c r="Z13" s="17"/>
      <c r="AA13" s="17"/>
      <c r="AB13" s="17"/>
      <c r="AC13" s="17"/>
      <c r="AD13" s="17" t="str" cm="1">
        <f t="array" ref="AD13:BF14">Constants!A2:AC3</f>
        <v>SC1</v>
      </c>
      <c r="AE13" s="17" t="str">
        <v>SC1 - Half</v>
      </c>
      <c r="AF13" s="17" t="str">
        <v>SC2</v>
      </c>
      <c r="AG13" s="17" t="str">
        <v>SC2 - Half</v>
      </c>
      <c r="AH13" s="17" t="str">
        <v>SC3</v>
      </c>
      <c r="AI13" s="17" t="str">
        <v>SC4</v>
      </c>
      <c r="AJ13" s="17" t="str">
        <v>SC5</v>
      </c>
      <c r="AK13" s="17" t="str">
        <v>SC6</v>
      </c>
      <c r="AL13" s="17" t="str">
        <v>Dojo</v>
      </c>
      <c r="AM13" s="17" t="str">
        <v>Boulder Wall</v>
      </c>
      <c r="AN13" s="17" t="str">
        <v>Climbing Wall</v>
      </c>
      <c r="AO13" s="17" t="str">
        <v>Artificial Hockey field</v>
      </c>
      <c r="AP13" s="17" t="str">
        <v>Artificial Hockey field - Half</v>
      </c>
      <c r="AQ13" s="17" t="str">
        <v>Artificial Soccer field</v>
      </c>
      <c r="AR13" s="17" t="str">
        <v>Artificial Soccer field - Half</v>
      </c>
      <c r="AS13" s="17" t="str">
        <v>Basketball</v>
      </c>
      <c r="AT13" s="17" t="str">
        <v>Bastille field</v>
      </c>
      <c r="AU13" s="17" t="str">
        <v>Beach fields</v>
      </c>
      <c r="AV13" s="17" t="str">
        <v>Shooting range</v>
      </c>
      <c r="AW13" s="17" t="str">
        <v>Multi/Lacrosse field</v>
      </c>
      <c r="AX13" s="17" t="str">
        <v>Multi/Lacrosse field - Half</v>
      </c>
      <c r="AY13" s="17" t="str">
        <v>Bootcamp field</v>
      </c>
      <c r="AZ13" s="17" t="str">
        <v>Multi/Baseball field</v>
      </c>
      <c r="BA13" s="17" t="str">
        <v>Tennis court</v>
      </c>
      <c r="BB13" s="17" t="str">
        <v>Utrack</v>
      </c>
      <c r="BC13" s="22" t="str">
        <v>Verreveld</v>
      </c>
      <c r="BD13" s="22" t="str">
        <v>Wsc</v>
      </c>
      <c r="BE13" s="22" t="str">
        <v>Indoor pool</v>
      </c>
      <c r="BF13" s="22" t="str">
        <v>Outdoor pool</v>
      </c>
      <c r="BG13" s="22"/>
    </row>
    <row r="14" spans="1:59">
      <c r="A14" s="175" t="s">
        <v>423</v>
      </c>
      <c r="B14" s="16"/>
      <c r="C14" s="16"/>
      <c r="D14" s="16"/>
      <c r="E14" s="16"/>
      <c r="F14" s="16"/>
      <c r="G14" s="175" t="s">
        <v>424</v>
      </c>
      <c r="I14" s="17"/>
      <c r="J14" s="17"/>
      <c r="K14" s="176" t="s">
        <v>425</v>
      </c>
      <c r="L14" s="17"/>
      <c r="M14" s="176" t="s">
        <v>426</v>
      </c>
      <c r="N14" s="17"/>
      <c r="O14" s="17"/>
      <c r="P14" s="17"/>
      <c r="Q14" s="17"/>
      <c r="R14" s="17"/>
      <c r="S14" s="16"/>
      <c r="T14" s="17"/>
      <c r="U14" s="17"/>
      <c r="V14" s="17"/>
      <c r="W14" s="17"/>
      <c r="X14" s="17"/>
      <c r="Y14" s="17"/>
      <c r="Z14" s="17"/>
      <c r="AA14" s="17"/>
      <c r="AB14" s="17"/>
      <c r="AC14" s="17"/>
      <c r="AD14" s="19">
        <v>67.5</v>
      </c>
      <c r="AE14" s="19">
        <v>35</v>
      </c>
      <c r="AF14" s="19">
        <v>67.5</v>
      </c>
      <c r="AG14" s="19">
        <v>35</v>
      </c>
      <c r="AH14" s="19">
        <v>40</v>
      </c>
      <c r="AI14" s="19">
        <v>40</v>
      </c>
      <c r="AJ14" s="19">
        <v>35</v>
      </c>
      <c r="AK14" s="19">
        <v>35</v>
      </c>
      <c r="AL14" s="19">
        <v>40</v>
      </c>
      <c r="AM14" s="19">
        <v>27.5</v>
      </c>
      <c r="AN14" s="19">
        <v>45</v>
      </c>
      <c r="AO14" s="19">
        <v>75</v>
      </c>
      <c r="AP14" s="19">
        <v>40</v>
      </c>
      <c r="AQ14" s="19">
        <v>75</v>
      </c>
      <c r="AR14" s="19">
        <v>40</v>
      </c>
      <c r="AS14" s="19">
        <v>30</v>
      </c>
      <c r="AT14" s="19">
        <v>50</v>
      </c>
      <c r="AU14" s="19">
        <v>75</v>
      </c>
      <c r="AV14" s="19">
        <v>40</v>
      </c>
      <c r="AW14" s="19">
        <v>75</v>
      </c>
      <c r="AX14" s="19">
        <v>40</v>
      </c>
      <c r="AY14" s="19">
        <v>50</v>
      </c>
      <c r="AZ14" s="19">
        <v>65</v>
      </c>
      <c r="BA14" s="19">
        <v>35</v>
      </c>
      <c r="BB14" s="19">
        <v>45</v>
      </c>
      <c r="BC14" s="19">
        <v>50</v>
      </c>
      <c r="BD14" s="19">
        <v>0</v>
      </c>
      <c r="BE14" s="19">
        <v>65</v>
      </c>
      <c r="BF14" s="20">
        <v>70</v>
      </c>
      <c r="BG14" s="20"/>
    </row>
    <row r="15" spans="1:59">
      <c r="A15" s="67"/>
      <c r="B15" s="68" t="str">
        <f>Constants!H6</f>
        <v>Performance training</v>
      </c>
      <c r="C15" s="68" t="str">
        <f>Constants!H7</f>
        <v>Performance coaching</v>
      </c>
      <c r="D15" s="68" t="str">
        <f>Constants!H8</f>
        <v>Dangerous</v>
      </c>
      <c r="E15" s="69" t="str">
        <f>Constants!H9</f>
        <v>Recreational</v>
      </c>
      <c r="F15" s="69" t="s">
        <v>290</v>
      </c>
      <c r="G15" s="70"/>
      <c r="H15" s="71" t="s">
        <v>427</v>
      </c>
      <c r="I15" s="72" t="s">
        <v>272</v>
      </c>
      <c r="J15" s="70" t="s">
        <v>5</v>
      </c>
      <c r="K15" s="72" t="s">
        <v>428</v>
      </c>
      <c r="L15" s="70" t="s">
        <v>429</v>
      </c>
      <c r="M15" s="73" cm="1">
        <f t="array" ref="M15">(SUM(IF($D$46:$D$50="PT",($F$46:$F$50)/1.5+IF($G$46:$G$50="yes",1)))+SUM(IF($D$46:$D$50="Extern",($F$46:$F$50)/1.5+IF($G$46:$G$50="yes",1)))+SUM(IF($D$46:$D$50="PT-ZZP",($F$46:$F$50)/1.5+IF($G$46:$G$50="yes",1))))*Constants!B10</f>
        <v>0</v>
      </c>
      <c r="N15" s="17"/>
      <c r="O15" s="17"/>
      <c r="P15" s="17"/>
      <c r="Q15" s="17"/>
      <c r="R15" s="16"/>
      <c r="S15" s="17"/>
      <c r="T15" s="17"/>
      <c r="U15" s="17"/>
      <c r="V15" s="17"/>
      <c r="W15" s="17"/>
      <c r="X15" s="17"/>
      <c r="Y15" s="17"/>
      <c r="Z15" s="17"/>
      <c r="AA15" s="17"/>
      <c r="AB15" s="17"/>
      <c r="AC15" s="17"/>
      <c r="AD15" s="16">
        <f t="shared" ref="AD15:BF15" si="0">SUMIF($B$71:$B$88,AD13,$F$71:$F$88)</f>
        <v>63</v>
      </c>
      <c r="AE15" s="16">
        <f t="shared" si="0"/>
        <v>0</v>
      </c>
      <c r="AF15" s="16">
        <f t="shared" si="0"/>
        <v>0</v>
      </c>
      <c r="AG15" s="16">
        <f t="shared" si="0"/>
        <v>0</v>
      </c>
      <c r="AH15" s="16">
        <f t="shared" si="0"/>
        <v>0</v>
      </c>
      <c r="AI15" s="16">
        <f t="shared" si="0"/>
        <v>0</v>
      </c>
      <c r="AJ15" s="16">
        <f t="shared" si="0"/>
        <v>0</v>
      </c>
      <c r="AK15" s="16">
        <f t="shared" si="0"/>
        <v>0</v>
      </c>
      <c r="AL15" s="16">
        <f t="shared" si="0"/>
        <v>0</v>
      </c>
      <c r="AM15" s="16">
        <f t="shared" si="0"/>
        <v>0</v>
      </c>
      <c r="AN15" s="16">
        <f t="shared" si="0"/>
        <v>0</v>
      </c>
      <c r="AO15" s="16">
        <f t="shared" si="0"/>
        <v>0</v>
      </c>
      <c r="AP15" s="16">
        <f t="shared" si="0"/>
        <v>0</v>
      </c>
      <c r="AQ15" s="16">
        <f t="shared" si="0"/>
        <v>0</v>
      </c>
      <c r="AR15" s="16">
        <f t="shared" si="0"/>
        <v>0</v>
      </c>
      <c r="AS15" s="16">
        <f t="shared" si="0"/>
        <v>0</v>
      </c>
      <c r="AT15" s="16">
        <f t="shared" si="0"/>
        <v>0</v>
      </c>
      <c r="AU15" s="16">
        <f t="shared" si="0"/>
        <v>0</v>
      </c>
      <c r="AV15" s="16">
        <f t="shared" si="0"/>
        <v>0</v>
      </c>
      <c r="AW15" s="16">
        <f t="shared" si="0"/>
        <v>0</v>
      </c>
      <c r="AX15" s="16">
        <f t="shared" si="0"/>
        <v>0</v>
      </c>
      <c r="AY15" s="16">
        <f t="shared" si="0"/>
        <v>0</v>
      </c>
      <c r="AZ15" s="16">
        <f t="shared" si="0"/>
        <v>63</v>
      </c>
      <c r="BA15" s="16">
        <f t="shared" si="0"/>
        <v>0</v>
      </c>
      <c r="BB15" s="16">
        <f t="shared" si="0"/>
        <v>0</v>
      </c>
      <c r="BC15" s="16">
        <f t="shared" si="0"/>
        <v>0</v>
      </c>
      <c r="BD15" s="16">
        <f t="shared" si="0"/>
        <v>0</v>
      </c>
      <c r="BE15" s="16">
        <f t="shared" si="0"/>
        <v>0</v>
      </c>
      <c r="BF15" s="16">
        <f t="shared" si="0"/>
        <v>0</v>
      </c>
    </row>
    <row r="16" spans="1:59">
      <c r="A16" s="74" t="str">
        <f>Constants!E6</f>
        <v>PT</v>
      </c>
      <c r="B16" s="16">
        <f>SUMIFS(Stretchers!$F$55:$F$67,Stretchers!$B$55:$B$67, B$15,Stretchers!$H$55:$H$67,$A16)*(1+Constants!$B$7)</f>
        <v>0</v>
      </c>
      <c r="C16" s="16">
        <f>SUMIFS(Stretchers!$F$55:$F$67,Stretchers!$B$55:$B$67, C$15,Stretchers!$H$55:$H$67,$A16)</f>
        <v>0</v>
      </c>
      <c r="D16" s="16">
        <f>SUMIFS(Stretchers!$F$55:$F$67,Stretchers!$B$55:$B$67, D$15,Stretchers!$H$55:$H$67,$A16)*(1+Constants!$B$7)</f>
        <v>0</v>
      </c>
      <c r="E16" s="16">
        <f>SUMIFS(Stretchers!$F$55:$F$67,Stretchers!$B$55:$B$67, E$15,Stretchers!$H$55:$H$67,$A16)*(1+Constants!$B$7)</f>
        <v>0</v>
      </c>
      <c r="F16" s="16">
        <f>SUMIFS(Stretchers!$F$55:$F$67,Stretchers!$B$55:$B$67, F$15,Stretchers!$H$55:$H$67,$A16)*(1+Constants!$B$7)</f>
        <v>25.2</v>
      </c>
      <c r="G16" s="74" t="s">
        <v>430</v>
      </c>
      <c r="H16" s="16">
        <f>SUMIF(Stretchers!$B$71:$B$89,"&lt;&gt;External",Stretchers!$F$71:$F$89)</f>
        <v>126</v>
      </c>
      <c r="I16" s="75">
        <f>SUMIF(Stretchers!$B$71:$B$89,"External",Stretchers!$F$71:$F$89)</f>
        <v>0</v>
      </c>
      <c r="J16" s="234">
        <f>SUM($F$92:$F$105)</f>
        <v>0</v>
      </c>
      <c r="K16" s="76">
        <f>IF(OR(ISBLANK(B7),ISBLANK(B9)), "ERROR",MAX(MIN(J16,B7*Constants!B15)-Constants!B14*B7,0)*IF(B9="yes",Constants!B16,IF(B9="no",Constants!B17,0)))</f>
        <v>0</v>
      </c>
      <c r="L16" s="77" t="s">
        <v>360</v>
      </c>
      <c r="M16" s="76">
        <f>E16*Constants!B6+E17*Constants!B8+E22+E21</f>
        <v>0</v>
      </c>
      <c r="N16" s="17"/>
      <c r="O16" s="17"/>
      <c r="P16" s="17"/>
      <c r="Q16" s="17"/>
      <c r="R16" s="16"/>
      <c r="S16" s="17"/>
      <c r="T16" s="17"/>
      <c r="U16" s="17"/>
      <c r="V16" s="17"/>
      <c r="W16" s="17"/>
      <c r="X16" s="17"/>
      <c r="Y16" s="17"/>
      <c r="Z16" s="17"/>
      <c r="AA16" s="17"/>
      <c r="AB16" s="17"/>
      <c r="AC16" s="17"/>
      <c r="AD16" s="19">
        <f t="shared" ref="AD16:BF16" si="1">AD14*AD15</f>
        <v>4252.5</v>
      </c>
      <c r="AE16" s="19">
        <f t="shared" si="1"/>
        <v>0</v>
      </c>
      <c r="AF16" s="19">
        <f t="shared" si="1"/>
        <v>0</v>
      </c>
      <c r="AG16" s="19">
        <f t="shared" si="1"/>
        <v>0</v>
      </c>
      <c r="AH16" s="19">
        <f t="shared" si="1"/>
        <v>0</v>
      </c>
      <c r="AI16" s="19">
        <f t="shared" si="1"/>
        <v>0</v>
      </c>
      <c r="AJ16" s="19">
        <f t="shared" si="1"/>
        <v>0</v>
      </c>
      <c r="AK16" s="19">
        <f t="shared" si="1"/>
        <v>0</v>
      </c>
      <c r="AL16" s="19">
        <f t="shared" si="1"/>
        <v>0</v>
      </c>
      <c r="AM16" s="19">
        <f t="shared" si="1"/>
        <v>0</v>
      </c>
      <c r="AN16" s="19">
        <f t="shared" si="1"/>
        <v>0</v>
      </c>
      <c r="AO16" s="19">
        <f t="shared" si="1"/>
        <v>0</v>
      </c>
      <c r="AP16" s="19">
        <f t="shared" si="1"/>
        <v>0</v>
      </c>
      <c r="AQ16" s="19">
        <f t="shared" si="1"/>
        <v>0</v>
      </c>
      <c r="AR16" s="19">
        <f t="shared" si="1"/>
        <v>0</v>
      </c>
      <c r="AS16" s="19">
        <f t="shared" si="1"/>
        <v>0</v>
      </c>
      <c r="AT16" s="19">
        <f t="shared" si="1"/>
        <v>0</v>
      </c>
      <c r="AU16" s="19">
        <f t="shared" si="1"/>
        <v>0</v>
      </c>
      <c r="AV16" s="19">
        <f t="shared" si="1"/>
        <v>0</v>
      </c>
      <c r="AW16" s="19">
        <f t="shared" si="1"/>
        <v>0</v>
      </c>
      <c r="AX16" s="19">
        <f t="shared" si="1"/>
        <v>0</v>
      </c>
      <c r="AY16" s="19">
        <f t="shared" si="1"/>
        <v>0</v>
      </c>
      <c r="AZ16" s="19">
        <f t="shared" si="1"/>
        <v>4095</v>
      </c>
      <c r="BA16" s="19">
        <f t="shared" si="1"/>
        <v>0</v>
      </c>
      <c r="BB16" s="19">
        <f t="shared" si="1"/>
        <v>0</v>
      </c>
      <c r="BC16" s="19">
        <f t="shared" si="1"/>
        <v>0</v>
      </c>
      <c r="BD16" s="19">
        <f t="shared" si="1"/>
        <v>0</v>
      </c>
      <c r="BE16" s="19">
        <f t="shared" si="1"/>
        <v>0</v>
      </c>
      <c r="BF16" s="19">
        <f t="shared" si="1"/>
        <v>0</v>
      </c>
    </row>
    <row r="17" spans="1:36">
      <c r="A17" s="74" t="str">
        <f>Constants!E7</f>
        <v>PT-V</v>
      </c>
      <c r="B17" s="16">
        <f>SUMIFS(Stretchers!$F$55:$F$67,Stretchers!$B$55:$B$67, B$15,Stretchers!$H$55:$H$67,$A17)*(1+Constants!$B$9)</f>
        <v>0</v>
      </c>
      <c r="C17" s="16">
        <f>SUMIFS(Stretchers!$F$55:$F$67,Stretchers!$B$55:$B$67, C$15,Stretchers!$H$55:$H$67,$A17)</f>
        <v>0</v>
      </c>
      <c r="D17" s="16">
        <f>SUMIFS(Stretchers!$F$55:$F$67,Stretchers!$B$55:$B$67, D$15,Stretchers!$H$55:$H$67,$A17)*(1+Constants!$B$9)</f>
        <v>0</v>
      </c>
      <c r="E17" s="16">
        <f>SUMIFS(Stretchers!$F$55:$F$67,Stretchers!$B$55:$B$67, E$15,Stretchers!$H$55:$H$67,$A17)*(1+Constants!$B$9)</f>
        <v>0</v>
      </c>
      <c r="F17" s="16">
        <f>SUMIFS(Stretchers!$F$55:$F$67,Stretchers!$B$55:$B$67, F$15,Stretchers!$H$55:$H$67,$A17)</f>
        <v>0</v>
      </c>
      <c r="G17" s="74" t="s">
        <v>38</v>
      </c>
      <c r="H17" s="78">
        <f>SUM(AD16:BZ16)</f>
        <v>8347.5</v>
      </c>
      <c r="I17" s="76" cm="1">
        <f t="array" ref="I17">SUM(IF($B$71:$B$87="External",$F$71:$F$87*$H$71:$H$87,0))</f>
        <v>0</v>
      </c>
      <c r="J17" s="79"/>
      <c r="K17" s="80"/>
      <c r="L17" s="77" t="s">
        <v>63</v>
      </c>
      <c r="M17" s="76">
        <f>J16-K16</f>
        <v>0</v>
      </c>
      <c r="N17" s="17"/>
      <c r="O17" s="17"/>
      <c r="P17" s="17"/>
      <c r="Q17" s="17"/>
      <c r="R17" s="16"/>
      <c r="S17" s="17"/>
      <c r="T17" s="17"/>
      <c r="U17" s="17"/>
      <c r="V17" s="17"/>
      <c r="W17" s="17"/>
      <c r="X17" s="17"/>
      <c r="Y17" s="17"/>
      <c r="Z17" s="17"/>
      <c r="AA17" s="17"/>
      <c r="AB17" s="17"/>
      <c r="AC17" s="17"/>
      <c r="AD17" s="17"/>
      <c r="AE17" s="17"/>
    </row>
    <row r="18" spans="1:36">
      <c r="A18" s="74" t="str">
        <f>Constants!E8</f>
        <v>PT-ZZP</v>
      </c>
      <c r="B18" s="16">
        <f>SUMIFS(Stretchers!$F$55:$F$67,Stretchers!$B$55:$B$67, B$15,Stretchers!$H$55:$H$67,$A18)*(1+Constants!$B$7)</f>
        <v>0</v>
      </c>
      <c r="C18" s="16">
        <f>SUMIFS(Stretchers!$F$55:$F$67,Stretchers!$B$55:$B$67, C$15,Stretchers!$H$55:$H$67,$A18)</f>
        <v>0</v>
      </c>
      <c r="D18" s="16">
        <f>SUMIFS(Stretchers!$F$55:$F$67,Stretchers!$B$55:$B$67, D$15,Stretchers!$H$55:$H$67,$A18)*(1+Constants!$B$7)</f>
        <v>0</v>
      </c>
      <c r="E18" s="16">
        <f>SUMIFS(Stretchers!$F$55:$F$67,Stretchers!$B$55:$B$67, E$15,Stretchers!$H$55:$H$67,$A18)*(1+Constants!$B$7)</f>
        <v>0</v>
      </c>
      <c r="F18" s="16">
        <f>SUMIFS(Stretchers!$F$55:$F$67,Stretchers!$B$55:$B$67, F$15,Stretchers!$H$55:$H$67,$A18)*(1+Constants!$B$7)</f>
        <v>0</v>
      </c>
      <c r="G18" s="74"/>
      <c r="H18" s="78"/>
      <c r="I18" s="76"/>
      <c r="J18" s="79"/>
      <c r="K18" s="80"/>
      <c r="L18" s="77" t="s">
        <v>60</v>
      </c>
      <c r="M18" s="76" t="str">
        <f>IF(I17-Constants!I17*$B$7&gt;0,$I$17-Constants!I17*$B$7,"-")</f>
        <v>-</v>
      </c>
      <c r="N18" s="17"/>
      <c r="O18" s="17"/>
      <c r="P18" s="17"/>
      <c r="Q18" s="17"/>
      <c r="R18" s="16"/>
      <c r="S18" s="17"/>
      <c r="T18" s="17"/>
      <c r="U18" s="17"/>
      <c r="V18" s="17"/>
      <c r="W18" s="17"/>
      <c r="X18" s="17"/>
      <c r="Y18" s="17"/>
      <c r="Z18" s="17"/>
      <c r="AA18" s="17"/>
      <c r="AB18" s="17"/>
      <c r="AC18" s="17"/>
      <c r="AD18" s="17"/>
      <c r="AE18" s="17"/>
    </row>
    <row r="19" spans="1:36">
      <c r="A19" s="74" t="str">
        <f>Constants!E9</f>
        <v>RT</v>
      </c>
      <c r="B19" s="16">
        <f>SUMIFS(Stretchers!$F$55:$F$67,Stretchers!$B$55:$B$67, B$15,Stretchers!$H$55:$H$67,$A19)</f>
        <v>0</v>
      </c>
      <c r="C19" s="16">
        <f>SUMIFS(Stretchers!$F$55:$F$67,Stretchers!$B$55:$B$67, C$15,Stretchers!$H$55:$H$67,$A19)</f>
        <v>0</v>
      </c>
      <c r="D19" s="16">
        <f>SUMIFS(Stretchers!$F$55:$F$67,Stretchers!$B$55:$B$67, D$15,Stretchers!$H$55:$H$67,$A19)</f>
        <v>0</v>
      </c>
      <c r="E19" s="16">
        <f>SUMIFS(Stretchers!$F$55:$F$67,Stretchers!$B$55:$B$67, E$15,Stretchers!$H$55:$H$67,$A19)</f>
        <v>126</v>
      </c>
      <c r="F19" s="16">
        <f>SUMIFS(Stretchers!$F$55:$F$67,Stretchers!$B$55:$B$67, F$15,Stretchers!$H$55:$H$67,$A19)</f>
        <v>0</v>
      </c>
      <c r="G19" s="74" t="s">
        <v>396</v>
      </c>
      <c r="H19" s="78"/>
      <c r="I19" s="76">
        <f>IF(B7*Constants!I17&lt;I17,B7*Constants!I17,I17)</f>
        <v>0</v>
      </c>
      <c r="J19" s="79"/>
      <c r="K19" s="80"/>
      <c r="L19" s="77" t="s">
        <v>431</v>
      </c>
      <c r="M19" s="255">
        <f ca="1">Constants!C31*B7+Data!L30</f>
        <v>2470.7039440731778</v>
      </c>
      <c r="N19" s="17"/>
      <c r="O19" s="17"/>
      <c r="P19" s="17"/>
      <c r="Q19" s="17"/>
      <c r="R19" s="16"/>
      <c r="S19" s="17"/>
      <c r="T19" s="17"/>
      <c r="U19" s="17"/>
      <c r="V19" s="17"/>
      <c r="W19" s="17"/>
      <c r="X19" s="17"/>
      <c r="Y19" s="17"/>
      <c r="Z19" s="17"/>
      <c r="AA19" s="17"/>
      <c r="AB19" s="17"/>
      <c r="AC19" s="17"/>
      <c r="AD19" s="17"/>
      <c r="AE19" s="17"/>
    </row>
    <row r="20" spans="1:36">
      <c r="A20" s="74" t="str">
        <f>Constants!E10</f>
        <v>Extern</v>
      </c>
      <c r="B20" s="16">
        <f>SUMIFS(Stretchers!$F$55:$F$67,Stretchers!$B$55:$B$67, B$15,Stretchers!$H$55:$H$67,$A20)</f>
        <v>0</v>
      </c>
      <c r="C20" s="16">
        <f>SUMIFS(Stretchers!$F$55:$F$67,Stretchers!$B$55:$B$67, C$15,Stretchers!$H$55:$H$67,$A20)</f>
        <v>0</v>
      </c>
      <c r="D20" s="16">
        <f>SUMIFS(Stretchers!$F$55:$F$67,Stretchers!$B$55:$B$67, D$15,Stretchers!$H$55:$H$67,$A20)</f>
        <v>0</v>
      </c>
      <c r="E20" s="16">
        <f>SUMIFS(Stretchers!$F$55:$F$67,Stretchers!$B$55:$B$67, E$15,Stretchers!$H$55:$H$67,$A20)</f>
        <v>0</v>
      </c>
      <c r="F20" s="16">
        <f>SUMIFS(Stretchers!$F$55:$F$67,Stretchers!$B$55:$B$67, F$15,Stretchers!$H$55:$H$67,$A20)</f>
        <v>0</v>
      </c>
      <c r="G20" s="81"/>
      <c r="H20" s="16"/>
      <c r="I20" s="75"/>
      <c r="J20" s="79"/>
      <c r="K20" s="82"/>
      <c r="L20" s="83"/>
      <c r="M20" s="84"/>
      <c r="N20" s="17"/>
      <c r="O20" s="17"/>
      <c r="P20" s="17"/>
      <c r="Q20" s="17"/>
      <c r="R20" s="16"/>
      <c r="S20" s="17"/>
      <c r="T20" s="17"/>
      <c r="U20" s="17"/>
      <c r="V20" s="17"/>
      <c r="W20" s="17"/>
      <c r="X20" s="17"/>
      <c r="Y20" s="17"/>
      <c r="Z20" s="17"/>
      <c r="AA20" s="17"/>
      <c r="AB20" s="17"/>
      <c r="AC20" s="17"/>
      <c r="AD20" s="17"/>
      <c r="AE20" s="17"/>
    </row>
    <row r="21" spans="1:36">
      <c r="A21" s="74" t="str">
        <f>CONCATENATE(A18," Costs")</f>
        <v>PT-ZZP Costs</v>
      </c>
      <c r="B21" s="78">
        <f t="array" ref="B21">SUM(IF(Stretchers!$B$55:$B$67=B$15,IF(Stretchers!$H$55:$H$67="PT-ZZP",Stretchers!$F$55:$F$67*Stretchers!$I$55:$I$67*(1+Constants!$B$7),0),0))</f>
        <v>0</v>
      </c>
      <c r="C21" s="78">
        <f t="array" ref="C21">SUM(IF(Stretchers!$B$55:$B$67=C$15,IF(Stretchers!$H$55:$H$67="PT-ZZP",Stretchers!$F$55:$F$67*Stretchers!$I$55:$I$67,0),0))</f>
        <v>0</v>
      </c>
      <c r="D21" s="78">
        <f t="array" ref="D21">SUM(IF(Stretchers!$B$55:$B$67=D$15,IF(Stretchers!$H$55:$H$67="PT-ZZP",Stretchers!$F$55:$F$67*Stretchers!$I$55:$I$67*(1+Constants!$B$7),0),0))</f>
        <v>0</v>
      </c>
      <c r="E21" s="78">
        <f t="array" ref="E21">SUM(IF(Stretchers!$B$55:$B$67=E$15,IF(Stretchers!$H$55:$H$67="PT-ZZP",Stretchers!$F$55:$F$67*Stretchers!$I$55:$I$67*(1+Constants!$B$7),0),0))</f>
        <v>0</v>
      </c>
      <c r="F21" s="78">
        <f t="array" ref="F21">SUM(IF(Stretchers!$B$55:$B$67=F$15,IF(Stretchers!$H$55:$H$67="PT-ZZP",Stretchers!$F$55:$F$67*Stretchers!$I$55:$I$67*(1+Constants!$B$7),0),0))</f>
        <v>0</v>
      </c>
      <c r="G21" s="81"/>
      <c r="H21" s="16"/>
      <c r="I21" s="75"/>
      <c r="J21" s="79"/>
      <c r="K21" s="82"/>
      <c r="L21" s="77" t="s">
        <v>5</v>
      </c>
      <c r="M21" s="76">
        <f ca="1">SUM(M15:M20)</f>
        <v>2470.7039440731778</v>
      </c>
      <c r="N21" s="17"/>
      <c r="O21" s="17"/>
      <c r="P21" s="17"/>
      <c r="Q21" s="17"/>
      <c r="R21" s="16"/>
      <c r="S21" s="17"/>
      <c r="T21" s="17"/>
      <c r="U21" s="17"/>
      <c r="V21" s="17"/>
      <c r="W21" s="17"/>
      <c r="X21" s="17"/>
      <c r="Y21" s="17"/>
      <c r="Z21" s="17"/>
      <c r="AA21" s="17"/>
      <c r="AB21" s="17"/>
      <c r="AC21" s="17"/>
      <c r="AD21" s="17"/>
      <c r="AE21" s="17"/>
    </row>
    <row r="22" spans="1:36" ht="15.75" customHeight="1">
      <c r="A22" s="74" t="str">
        <f>CONCATENATE(A20," Costs")</f>
        <v>Extern Costs</v>
      </c>
      <c r="B22" s="78">
        <f t="array" ref="B22">SUM(IF(Stretchers!$B$55:$B$67=B$15,IF(Stretchers!$H$55:$H$67="Extern",Stretchers!$F$55:$F$67*Stretchers!$I$55:$I$67,0),0))</f>
        <v>0</v>
      </c>
      <c r="C22" s="78">
        <f t="array" ref="C22">SUM(IF(Stretchers!$B$55:$B$67=C$15,IF(Stretchers!$H$55:$H$67="Extern",Stretchers!$F$55:$F$67*Stretchers!$I$55:$I$67,0),0))</f>
        <v>0</v>
      </c>
      <c r="D22" s="78">
        <f t="array" ref="D22">SUM(IF(Stretchers!$B$55:$B$67=D$15,IF(Stretchers!$H$55:$H$67="Extern",Stretchers!$F$55:$F$67*Stretchers!$I$55:$I$67,0),0))</f>
        <v>0</v>
      </c>
      <c r="E22" s="78">
        <f t="array" ref="E22">SUM(IF(Stretchers!$B$55:$B$67=E$15,IF(Stretchers!$H$55:$H$67="Extern",Stretchers!$F$55:$F$67*Stretchers!$I$55:$I$67,0),0))</f>
        <v>0</v>
      </c>
      <c r="F22" s="76">
        <f t="array" ref="F22">SUM(IF(Stretchers!$B$55:$B$67=F$15,IF(Stretchers!$H$55:$H$67="Extern",Stretchers!$F$55:$F$67*Stretchers!$I$55:$I$67,0),0))</f>
        <v>0</v>
      </c>
      <c r="G22" s="85"/>
      <c r="H22" s="177"/>
      <c r="I22" s="86"/>
      <c r="J22" s="87"/>
      <c r="K22" s="88"/>
      <c r="L22" s="87"/>
      <c r="M22" s="88"/>
      <c r="N22" s="17"/>
      <c r="O22" s="17"/>
      <c r="P22" s="17"/>
      <c r="Q22" s="17"/>
      <c r="R22" s="16"/>
      <c r="S22" s="17"/>
      <c r="T22" s="17"/>
      <c r="U22" s="17"/>
      <c r="V22" s="17"/>
      <c r="W22" s="17"/>
      <c r="X22" s="17"/>
      <c r="Y22" s="17"/>
      <c r="Z22" s="17"/>
      <c r="AA22" s="17"/>
      <c r="AB22" s="17"/>
      <c r="AC22" s="17"/>
      <c r="AD22" s="17"/>
      <c r="AE22" s="17"/>
    </row>
    <row r="23" spans="1:36" ht="15" customHeight="1">
      <c r="A23" s="74" t="s">
        <v>432</v>
      </c>
      <c r="B23" s="78"/>
      <c r="C23" s="78"/>
      <c r="D23" s="78"/>
      <c r="E23" s="78"/>
      <c r="F23" s="76">
        <f t="array" ref="F23">SUMIFS(Stretchers!$F$55:$F$67,Stretchers!$B$55:$B$67,"Mentorship",Stretchers!$H$55:$H$67,"PT-V")*Constants!B8+SUMIFS(Stretchers!$F$55:$F$67,Stretchers!$B$55:$B$67,"Mentorship",Stretchers!$H$55:$H$67,"PT")*Constants!B6+SUMPRODUCT(IF(Stretchers!$B$55:$B$67="Mentorship",IF(Stretchers!$H$55:$H$67="PT-ZZP",Stretchers!$F$55:$F$67*Stretchers!$I$55:$I$67,0)))</f>
        <v>1050</v>
      </c>
    </row>
    <row r="24" spans="1:36" ht="15" customHeight="1">
      <c r="A24" s="89" t="s">
        <v>433</v>
      </c>
      <c r="B24" s="178"/>
      <c r="C24" s="178"/>
      <c r="D24" s="178"/>
      <c r="E24" s="178">
        <f>SUMIF(Stretchers!$B$55:$B$67,"External Trainer Course",Stretchers!$I$55:$I$67)</f>
        <v>0</v>
      </c>
      <c r="F24" s="90"/>
    </row>
    <row r="25" spans="1:36" ht="15.75" customHeight="1">
      <c r="A25" s="16"/>
      <c r="B25" s="16"/>
      <c r="C25" s="16"/>
      <c r="D25" s="16"/>
      <c r="E25" s="17"/>
      <c r="F25" s="17"/>
      <c r="G25" s="17"/>
      <c r="H25" s="17"/>
      <c r="I25" s="17"/>
      <c r="J25" s="17"/>
      <c r="K25" s="17"/>
      <c r="L25" s="17"/>
      <c r="M25" s="17"/>
      <c r="N25" s="17"/>
      <c r="O25" s="17"/>
      <c r="P25" s="17"/>
      <c r="Q25" s="16"/>
      <c r="R25" s="17"/>
      <c r="S25" s="17"/>
      <c r="T25" s="17"/>
      <c r="U25" s="17"/>
      <c r="V25" s="17"/>
      <c r="W25" s="17"/>
      <c r="X25" s="17"/>
      <c r="Y25" s="17"/>
      <c r="Z25" s="17"/>
      <c r="AA25" s="17"/>
      <c r="AB25" s="17"/>
      <c r="AC25" s="17"/>
      <c r="AD25" s="17"/>
    </row>
    <row r="26" spans="1:36" ht="15.75" customHeight="1">
      <c r="A26" s="16"/>
      <c r="B26" s="16"/>
      <c r="C26" s="16"/>
      <c r="D26" s="16"/>
      <c r="E26" s="17"/>
      <c r="F26" s="17"/>
      <c r="G26" s="17"/>
      <c r="H26" s="17"/>
      <c r="I26" s="17"/>
      <c r="J26" s="17"/>
      <c r="K26" s="17"/>
      <c r="L26" s="17"/>
      <c r="M26" s="17"/>
      <c r="N26" s="17"/>
      <c r="O26" s="17"/>
      <c r="P26" s="17"/>
      <c r="Q26" s="16"/>
      <c r="R26" s="17"/>
      <c r="S26" s="17"/>
      <c r="T26" s="17"/>
      <c r="U26" s="17"/>
      <c r="V26" s="17"/>
      <c r="W26" s="17"/>
      <c r="X26" s="17"/>
      <c r="Y26" s="17"/>
      <c r="Z26" s="17"/>
      <c r="AA26" s="17"/>
      <c r="AB26" s="17"/>
      <c r="AC26" s="17"/>
      <c r="AD26" s="17"/>
    </row>
    <row r="27" spans="1:36" ht="15.75" customHeight="1" thickBot="1">
      <c r="A27" s="91" t="s">
        <v>434</v>
      </c>
      <c r="B27" s="17"/>
      <c r="C27" s="17"/>
      <c r="D27" s="17"/>
      <c r="E27" s="17"/>
      <c r="F27" s="17"/>
      <c r="G27" s="92"/>
      <c r="H27" s="19"/>
      <c r="I27" s="17"/>
      <c r="J27" s="17"/>
      <c r="K27" s="17"/>
      <c r="L27" s="17"/>
      <c r="M27" s="17"/>
      <c r="N27" s="17"/>
      <c r="O27" s="17"/>
      <c r="P27" s="17"/>
      <c r="Q27" s="16"/>
      <c r="R27" s="17"/>
      <c r="S27" s="17"/>
      <c r="T27" s="17"/>
      <c r="U27" s="17"/>
      <c r="V27" s="17"/>
      <c r="W27" s="17"/>
      <c r="X27" s="17"/>
      <c r="Y27" s="17"/>
      <c r="Z27" s="17"/>
      <c r="AA27" s="17"/>
      <c r="AB27" s="17"/>
      <c r="AC27" s="17"/>
      <c r="AD27" s="17"/>
    </row>
    <row r="28" spans="1:36" ht="15.75" customHeight="1" thickTop="1" thickBot="1">
      <c r="A28" s="706" t="s">
        <v>435</v>
      </c>
      <c r="B28" s="707"/>
      <c r="C28" s="707"/>
      <c r="D28" s="707"/>
      <c r="E28" s="707"/>
      <c r="F28" s="708"/>
      <c r="G28" s="15"/>
      <c r="H28" s="17"/>
      <c r="I28" s="17"/>
      <c r="J28" s="17"/>
      <c r="K28" s="17"/>
      <c r="L28" s="17"/>
      <c r="M28" s="17"/>
      <c r="N28" s="17"/>
      <c r="O28" s="17"/>
      <c r="P28" s="17"/>
      <c r="Q28" s="16"/>
      <c r="R28" s="17"/>
      <c r="S28" s="17"/>
      <c r="T28" s="17"/>
      <c r="U28" s="17"/>
      <c r="V28" s="17"/>
      <c r="W28" s="17"/>
      <c r="X28" s="17"/>
      <c r="Y28" s="17"/>
      <c r="Z28" s="17"/>
      <c r="AA28" s="17"/>
      <c r="AB28" s="17"/>
      <c r="AC28" s="17"/>
      <c r="AD28" s="242" t="s">
        <v>436</v>
      </c>
      <c r="AE28" s="16"/>
      <c r="AF28" s="128"/>
      <c r="AG28" s="51"/>
      <c r="AH28" s="51"/>
      <c r="AI28" s="51"/>
      <c r="AJ28" s="51"/>
    </row>
    <row r="29" spans="1:36" ht="15.75" customHeight="1" thickBot="1">
      <c r="A29" s="709" t="s">
        <v>437</v>
      </c>
      <c r="B29" s="696"/>
      <c r="C29" s="696"/>
      <c r="D29" s="696"/>
      <c r="E29" s="696"/>
      <c r="F29" s="710"/>
      <c r="G29" s="17"/>
      <c r="H29" s="17"/>
      <c r="I29" s="17"/>
      <c r="J29" s="17"/>
      <c r="K29" s="17"/>
      <c r="L29" s="17"/>
      <c r="M29" s="17"/>
      <c r="N29" s="17"/>
      <c r="O29" s="17"/>
      <c r="P29" s="17"/>
      <c r="Q29" s="16"/>
      <c r="R29" s="17"/>
      <c r="S29" s="17"/>
      <c r="T29" s="17"/>
      <c r="U29" s="17"/>
      <c r="V29" s="17"/>
      <c r="W29" s="17"/>
      <c r="X29" s="17"/>
      <c r="Y29" s="17"/>
      <c r="Z29" s="17"/>
      <c r="AA29" s="17"/>
      <c r="AB29" s="17"/>
      <c r="AC29" s="17"/>
      <c r="AD29" s="243" t="s">
        <v>438</v>
      </c>
      <c r="AE29" s="243" t="s">
        <v>439</v>
      </c>
      <c r="AF29" s="243" t="s">
        <v>440</v>
      </c>
      <c r="AG29" s="711" t="s">
        <v>441</v>
      </c>
      <c r="AH29" s="712"/>
      <c r="AI29" s="711" t="s">
        <v>434</v>
      </c>
      <c r="AJ29" s="712"/>
    </row>
    <row r="30" spans="1:36" ht="15.75" customHeight="1" thickBot="1">
      <c r="A30" s="709" t="s">
        <v>442</v>
      </c>
      <c r="B30" s="696"/>
      <c r="C30" s="696"/>
      <c r="D30" s="696"/>
      <c r="E30" s="696"/>
      <c r="F30" s="710"/>
      <c r="G30" s="17"/>
      <c r="H30" s="17"/>
      <c r="I30" s="17"/>
      <c r="J30" s="17"/>
      <c r="K30" s="17"/>
      <c r="L30" s="17"/>
      <c r="M30" s="17"/>
      <c r="N30" s="17"/>
      <c r="O30" s="17"/>
      <c r="P30" s="17"/>
      <c r="Q30" s="16"/>
      <c r="R30" s="17"/>
      <c r="S30" s="17"/>
      <c r="T30" s="17"/>
      <c r="U30" s="17"/>
      <c r="V30" s="17"/>
      <c r="W30" s="17"/>
      <c r="X30" s="17"/>
      <c r="Y30" s="17"/>
      <c r="Z30" s="17"/>
      <c r="AA30" s="17"/>
      <c r="AB30" s="17"/>
      <c r="AC30" s="17"/>
      <c r="AD30" s="244" t="str">
        <f>IF($B$12="individual",Constants!F55,Constants!L55)</f>
        <v>member count</v>
      </c>
      <c r="AE30" s="244">
        <f>B7</f>
        <v>45</v>
      </c>
      <c r="AF30" s="269">
        <f>IF(AE30&gt;=301,5,IF(AE30&gt;=176,4,IF(AE30&gt;=101,3,IF(AE30&gt;=51,2,1))))</f>
        <v>1</v>
      </c>
      <c r="AG30" s="560"/>
      <c r="AH30" s="560"/>
      <c r="AI30" s="560" t="s">
        <v>443</v>
      </c>
      <c r="AJ30" s="560"/>
    </row>
    <row r="31" spans="1:36" ht="15" customHeight="1" thickBot="1">
      <c r="A31" s="709" t="s">
        <v>444</v>
      </c>
      <c r="B31" s="696"/>
      <c r="C31" s="696"/>
      <c r="D31" s="696"/>
      <c r="E31" s="696"/>
      <c r="F31" s="710"/>
      <c r="G31" s="17"/>
      <c r="H31" s="17"/>
      <c r="I31" s="17"/>
      <c r="J31" s="17"/>
      <c r="K31" s="17"/>
      <c r="L31" s="17"/>
      <c r="M31" s="17"/>
      <c r="N31" s="17"/>
      <c r="O31" s="17"/>
      <c r="P31" s="17"/>
      <c r="Q31" s="16"/>
      <c r="R31" s="17"/>
      <c r="S31" s="17"/>
      <c r="T31" s="17"/>
      <c r="U31" s="17"/>
      <c r="V31" s="17"/>
      <c r="W31" s="17"/>
      <c r="X31" s="17"/>
      <c r="Y31" s="17"/>
      <c r="Z31" s="17"/>
      <c r="AA31" s="17"/>
      <c r="AB31" s="17"/>
      <c r="AC31" s="17"/>
      <c r="AD31" s="244" t="str">
        <f>IF($B$12="individual",Constants!F56,Constants!L56)</f>
        <v>number of trainings per week</v>
      </c>
      <c r="AE31" s="244" cm="1">
        <f t="array" ref="AE31">SUMPRODUCT(C55:C67*D55:D67)/42</f>
        <v>3</v>
      </c>
      <c r="AF31" s="270">
        <f>IF(AE31&gt;=4,3,IF(AE31&gt;=3,2,IF(AE31&gt;=2,1,0)))</f>
        <v>2</v>
      </c>
      <c r="AG31" s="560"/>
      <c r="AH31" s="560"/>
      <c r="AI31" s="560"/>
      <c r="AJ31" s="560"/>
    </row>
    <row r="32" spans="1:36" ht="15.75" customHeight="1" thickBot="1">
      <c r="A32" s="709" t="s">
        <v>445</v>
      </c>
      <c r="B32" s="696"/>
      <c r="C32" s="696"/>
      <c r="D32" s="696"/>
      <c r="E32" s="696"/>
      <c r="F32" s="710"/>
      <c r="G32" s="17"/>
      <c r="H32" s="16"/>
      <c r="I32" s="16"/>
      <c r="J32" s="16"/>
      <c r="K32" s="17"/>
      <c r="L32" s="17"/>
      <c r="M32" s="17"/>
      <c r="N32" s="17"/>
      <c r="O32" s="17"/>
      <c r="P32" s="17"/>
      <c r="Q32" s="16"/>
      <c r="R32" s="17"/>
      <c r="S32" s="17"/>
      <c r="T32" s="17"/>
      <c r="U32" s="17"/>
      <c r="V32" s="17"/>
      <c r="W32" s="17"/>
      <c r="X32" s="17"/>
      <c r="Y32" s="17"/>
      <c r="Z32" s="17"/>
      <c r="AA32" s="17"/>
      <c r="AB32" s="17"/>
      <c r="AC32" s="17"/>
      <c r="AD32" s="244" t="str">
        <f>IF($B$12="individual",Constants!F57,Constants!L57)</f>
        <v>number of trainings weeks per year</v>
      </c>
      <c r="AE32" s="252">
        <f>MAX(C55:C67)</f>
        <v>42</v>
      </c>
      <c r="AF32" s="250">
        <f>IF(AE32&gt;=40,3,IF(AE32&gt;=35,2,1))</f>
        <v>3</v>
      </c>
      <c r="AG32" s="560"/>
      <c r="AH32" s="560"/>
      <c r="AI32" s="560"/>
      <c r="AJ32" s="560"/>
    </row>
    <row r="33" spans="1:58" ht="15.75" customHeight="1" thickBot="1">
      <c r="A33" s="93" t="s">
        <v>446</v>
      </c>
      <c r="F33" s="94"/>
      <c r="G33" s="17"/>
      <c r="H33" s="16"/>
      <c r="I33" s="16"/>
      <c r="J33" s="16"/>
      <c r="K33" s="17"/>
      <c r="L33" s="17"/>
      <c r="M33" s="17"/>
      <c r="N33" s="17"/>
      <c r="O33" s="17"/>
      <c r="P33" s="17"/>
      <c r="Q33" s="16"/>
      <c r="R33" s="17"/>
      <c r="S33" s="17"/>
      <c r="T33" s="17"/>
      <c r="U33" s="17"/>
      <c r="V33" s="17"/>
      <c r="W33" s="17"/>
      <c r="X33" s="17"/>
      <c r="Y33" s="17"/>
      <c r="Z33" s="17"/>
      <c r="AA33" s="17"/>
      <c r="AB33" s="17"/>
      <c r="AC33" s="17"/>
      <c r="AD33" s="244" t="str">
        <f>IF($B$12="individual",Constants!F58,Constants!L58)</f>
        <v>number of training hours by RT / PT-V</v>
      </c>
      <c r="AE33" s="251">
        <f>(SUMIF(H55:H67,"RT",F55:F67)+SUMIF(H55:H67,"PT-V",F55:F67))/SUM(F55:F67)</f>
        <v>0.8571428571428571</v>
      </c>
      <c r="AF33" s="270">
        <f>IF(AE33&gt;0.9,3,IF(AE33&gt;0.6,2,IF(AE33&gt;0.3,1,0)))</f>
        <v>2</v>
      </c>
      <c r="AG33" s="560"/>
      <c r="AH33" s="560"/>
      <c r="AI33" s="560"/>
      <c r="AJ33" s="560"/>
    </row>
    <row r="34" spans="1:58" ht="15.75" customHeight="1" thickBot="1">
      <c r="A34" s="713" t="s">
        <v>447</v>
      </c>
      <c r="B34" s="714"/>
      <c r="C34" s="714"/>
      <c r="D34" s="714"/>
      <c r="E34" s="714"/>
      <c r="F34" s="715"/>
      <c r="G34" s="17"/>
      <c r="H34" s="16"/>
      <c r="I34" s="16"/>
      <c r="J34" s="16"/>
      <c r="K34" s="17"/>
      <c r="L34" s="17"/>
      <c r="M34" s="17"/>
      <c r="N34" s="17"/>
      <c r="O34" s="17"/>
      <c r="P34" s="17"/>
      <c r="Q34" s="16"/>
      <c r="R34" s="17"/>
      <c r="S34" s="17"/>
      <c r="T34" s="17"/>
      <c r="U34" s="17"/>
      <c r="V34" s="17"/>
      <c r="W34" s="17"/>
      <c r="X34" s="17"/>
      <c r="Y34" s="17"/>
      <c r="Z34" s="17"/>
      <c r="AA34" s="17"/>
      <c r="AB34" s="17"/>
      <c r="AC34" s="17"/>
      <c r="AD34" s="244" t="str">
        <f>IF($B$12="individual",Constants!F59,Constants!L59)</f>
        <v>number of training groups / teams</v>
      </c>
      <c r="AE34" s="244">
        <f>B10</f>
        <v>1</v>
      </c>
      <c r="AF34" s="271">
        <f>IF(AE34&gt;9,3,IF(AE34&gt;4,2,IF(AE34&gt;2,1,0)))</f>
        <v>0</v>
      </c>
      <c r="AG34" s="560"/>
      <c r="AH34" s="560"/>
      <c r="AI34" s="560"/>
      <c r="AJ34" s="560"/>
    </row>
    <row r="35" spans="1:58" ht="15.75" customHeight="1" thickTop="1" thickBot="1">
      <c r="A35" s="16"/>
      <c r="G35" s="17"/>
      <c r="H35" s="16"/>
      <c r="I35" s="16"/>
      <c r="J35" s="16"/>
      <c r="K35" s="17"/>
      <c r="L35" s="17"/>
      <c r="M35" s="17"/>
      <c r="N35" s="17"/>
      <c r="O35" s="17"/>
      <c r="P35" s="17"/>
      <c r="Q35" s="16"/>
      <c r="R35" s="17"/>
      <c r="S35" s="17"/>
      <c r="T35" s="17"/>
      <c r="U35" s="17"/>
      <c r="V35" s="17"/>
      <c r="W35" s="17"/>
      <c r="X35" s="17"/>
      <c r="Y35" s="17"/>
      <c r="Z35" s="17"/>
      <c r="AA35" s="17"/>
      <c r="AB35" s="17"/>
      <c r="AC35" s="17"/>
      <c r="AD35" s="244" t="str">
        <f>IF($B$12="individual",Constants!F60,Constants!L60)</f>
        <v>number of competitions organised</v>
      </c>
      <c r="AE35" s="249">
        <v>0</v>
      </c>
      <c r="AF35" s="271">
        <f>IF(AE35&gt;=4,5,IF(AE35&gt;=2,3,IF(AE35&gt;=1,1,0)))</f>
        <v>0</v>
      </c>
      <c r="AG35" s="560"/>
      <c r="AH35" s="560"/>
      <c r="AI35" s="560"/>
      <c r="AJ35" s="560"/>
    </row>
    <row r="36" spans="1:58" ht="15.75" customHeight="1" thickBot="1">
      <c r="A36" s="179" t="s">
        <v>448</v>
      </c>
      <c r="B36" s="16"/>
      <c r="C36" s="16"/>
      <c r="D36" s="16"/>
      <c r="E36" s="16"/>
      <c r="F36" s="16"/>
      <c r="G36" s="16"/>
      <c r="H36" s="16"/>
      <c r="I36" s="16"/>
      <c r="J36" s="16"/>
      <c r="K36" s="16"/>
      <c r="L36" s="16"/>
      <c r="M36" s="16"/>
      <c r="N36" s="16"/>
      <c r="O36" s="16"/>
      <c r="P36" s="16"/>
      <c r="Q36" s="16"/>
      <c r="R36" s="16"/>
      <c r="S36" s="16"/>
      <c r="T36" s="16"/>
      <c r="U36" s="16"/>
      <c r="V36" s="16"/>
      <c r="W36" s="16"/>
      <c r="X36" s="16"/>
      <c r="Y36" s="16"/>
      <c r="Z36" s="16"/>
      <c r="AA36" s="16"/>
      <c r="AB36" s="18"/>
      <c r="AC36" s="16"/>
      <c r="AD36" s="244" t="str">
        <f>IF($B$12="individual",Constants!F61,Constants!L61)</f>
        <v>number of social activities</v>
      </c>
      <c r="AE36" s="249">
        <v>21</v>
      </c>
      <c r="AF36" s="271">
        <f>IF(AE36&gt;=20,2,IF(AE36&gt;=10,1,0))</f>
        <v>2</v>
      </c>
      <c r="AG36" s="560"/>
      <c r="AH36" s="560"/>
      <c r="AI36" s="560"/>
      <c r="AJ36" s="560"/>
    </row>
    <row r="37" spans="1:58" ht="15" customHeight="1" thickTop="1" thickBot="1">
      <c r="A37" s="258" t="s">
        <v>449</v>
      </c>
      <c r="B37" s="259" t="s">
        <v>450</v>
      </c>
      <c r="C37" s="258" t="s">
        <v>451</v>
      </c>
      <c r="D37" s="258" t="s">
        <v>452</v>
      </c>
      <c r="E37" s="258" t="s">
        <v>453</v>
      </c>
      <c r="F37" s="258" t="s">
        <v>454</v>
      </c>
      <c r="G37" s="259" t="s">
        <v>455</v>
      </c>
      <c r="H37" s="561" t="s">
        <v>456</v>
      </c>
      <c r="I37" s="716"/>
      <c r="J37" s="717"/>
      <c r="K37" s="98"/>
      <c r="L37" s="98"/>
      <c r="M37" s="98"/>
      <c r="N37" s="98"/>
      <c r="O37" s="98"/>
      <c r="P37" s="98"/>
      <c r="Q37" s="98"/>
      <c r="R37" s="98"/>
      <c r="S37" s="98"/>
      <c r="T37" s="98"/>
      <c r="U37" s="96"/>
      <c r="V37" s="96"/>
      <c r="W37" s="96"/>
      <c r="X37" s="96"/>
      <c r="Y37" s="99"/>
      <c r="Z37" s="96"/>
      <c r="AA37" s="96"/>
      <c r="AB37" s="100"/>
      <c r="AC37" s="100"/>
      <c r="AD37" s="244" t="str">
        <f>IF($B$12="individual",Constants!F62,Constants!L62)</f>
        <v>number of bar days</v>
      </c>
      <c r="AE37" s="249">
        <v>0</v>
      </c>
      <c r="AF37" s="271">
        <f>IF(AE37&gt;=15,2,IF(AE37&gt;=8,1,0))</f>
        <v>0</v>
      </c>
      <c r="AG37" s="560"/>
      <c r="AH37" s="560"/>
      <c r="AI37" s="560"/>
      <c r="AJ37" s="560"/>
      <c r="AK37" s="100"/>
      <c r="AL37" s="100"/>
      <c r="AM37" s="100"/>
      <c r="AN37" s="100"/>
      <c r="AO37" s="100"/>
      <c r="AP37" s="100"/>
      <c r="AQ37" s="100"/>
      <c r="AR37" s="100"/>
      <c r="AS37" s="100"/>
      <c r="AT37" s="100"/>
      <c r="AU37" s="100"/>
      <c r="AV37" s="100"/>
      <c r="AW37" s="100"/>
      <c r="AX37" s="100"/>
      <c r="AY37" s="100"/>
      <c r="AZ37" s="100"/>
      <c r="BA37" s="100"/>
      <c r="BB37" s="100"/>
      <c r="BC37" s="100"/>
      <c r="BD37" s="100"/>
      <c r="BE37" s="100"/>
      <c r="BF37" s="100"/>
    </row>
    <row r="38" spans="1:58" ht="14.25" customHeight="1" thickTop="1" thickBot="1">
      <c r="A38" s="312" t="s">
        <v>356</v>
      </c>
      <c r="B38" s="232">
        <v>20</v>
      </c>
      <c r="C38" s="312">
        <v>2</v>
      </c>
      <c r="D38" s="313">
        <v>42</v>
      </c>
      <c r="E38" s="312" t="s">
        <v>55</v>
      </c>
      <c r="F38" s="324"/>
      <c r="G38" s="323"/>
      <c r="H38" s="618" t="s">
        <v>1716</v>
      </c>
      <c r="I38" s="741"/>
      <c r="J38" s="742"/>
      <c r="K38" s="16"/>
      <c r="L38" s="16"/>
      <c r="M38" s="16"/>
      <c r="N38" s="16"/>
      <c r="O38" s="16"/>
      <c r="P38" s="16"/>
      <c r="Q38" s="16"/>
      <c r="R38" s="16"/>
      <c r="S38" s="16"/>
      <c r="T38" s="16"/>
      <c r="U38" s="16"/>
      <c r="V38" s="16"/>
      <c r="W38" s="16"/>
      <c r="X38" s="16"/>
      <c r="Y38" s="17"/>
      <c r="Z38" s="16"/>
      <c r="AA38" s="16"/>
      <c r="AD38" s="244" t="str">
        <f>IF($B$12="individual",Constants!F63,Constants!L63)</f>
        <v>own bar / extra location</v>
      </c>
      <c r="AE38" s="249">
        <v>0</v>
      </c>
      <c r="AF38" s="271">
        <f>IF(AE38&gt;=15,2,IF(AE38&gt;=8,1,0))</f>
        <v>0</v>
      </c>
      <c r="AG38" s="560"/>
      <c r="AH38" s="560"/>
      <c r="AI38" s="560"/>
      <c r="AJ38" s="560"/>
    </row>
    <row r="39" spans="1:58" ht="14.25" customHeight="1" thickBot="1">
      <c r="A39" s="312"/>
      <c r="B39" s="232"/>
      <c r="C39" s="269"/>
      <c r="D39" s="313"/>
      <c r="E39" s="245"/>
      <c r="F39" s="261"/>
      <c r="G39" s="325"/>
      <c r="H39" s="743"/>
      <c r="I39" s="744"/>
      <c r="J39" s="745"/>
      <c r="K39" s="16"/>
      <c r="L39" s="16"/>
      <c r="M39" s="16"/>
      <c r="N39" s="16"/>
      <c r="O39" s="16"/>
      <c r="P39" s="16"/>
      <c r="Q39" s="16"/>
      <c r="R39" s="16"/>
      <c r="S39" s="16"/>
      <c r="T39" s="16"/>
      <c r="U39" s="16"/>
      <c r="V39" s="16"/>
      <c r="W39" s="16"/>
      <c r="X39" s="16"/>
      <c r="Y39" s="17"/>
      <c r="Z39" s="16"/>
      <c r="AA39" s="16"/>
      <c r="AD39" s="244" t="str">
        <f>IF($B$12="individual",Constants!F65,Constants!L64)</f>
        <v>number of facilities used</v>
      </c>
      <c r="AE39" s="249">
        <v>4</v>
      </c>
      <c r="AF39" s="273">
        <f>IF(B12="individual", IF(AE39&gt;10, 5, IF(AE39&gt;6, 3, IF(AE39&gt;2, 1, 0))), IF(AE39&gt;3, 3, IF(AE39&gt;1, 2, 1)))</f>
        <v>3</v>
      </c>
      <c r="AG39" s="560"/>
      <c r="AH39" s="560"/>
      <c r="AI39" s="560"/>
      <c r="AJ39" s="560"/>
    </row>
    <row r="40" spans="1:58" ht="15.75" customHeight="1" thickBot="1">
      <c r="A40" s="231"/>
      <c r="B40" s="232"/>
      <c r="C40" s="231"/>
      <c r="D40" s="232"/>
      <c r="E40" s="245"/>
      <c r="F40" s="261"/>
      <c r="G40" s="231"/>
      <c r="H40" s="743"/>
      <c r="I40" s="744"/>
      <c r="J40" s="745"/>
      <c r="K40" s="16"/>
      <c r="L40" s="16"/>
      <c r="M40" s="16"/>
      <c r="N40" s="16"/>
      <c r="O40" s="16"/>
      <c r="P40" s="16"/>
      <c r="Q40" s="16"/>
      <c r="R40" s="16"/>
      <c r="S40" s="16"/>
      <c r="T40" s="16"/>
      <c r="U40" s="16"/>
      <c r="V40" s="16"/>
      <c r="W40" s="16"/>
      <c r="X40" s="16"/>
      <c r="Y40" s="16"/>
      <c r="Z40" s="16"/>
      <c r="AA40" s="16"/>
      <c r="AD40" s="231" t="str">
        <f>IF($B$12="individual",Constants!F64,Constants!L65)</f>
        <v>ratio of competing teams / training teams</v>
      </c>
      <c r="AE40" s="231">
        <f>IF(AD40="n/a","",COUNTA(A46:A50)/COUNTA(A38:A42))</f>
        <v>0</v>
      </c>
      <c r="AF40" s="272">
        <f>IF(B12="group", IF(AE40&gt;0.15, 5, IF(AE40&gt;0.1, 3, IF(AE40&gt;0.05, 1, 0))), " ")</f>
        <v>0</v>
      </c>
      <c r="AG40" s="560"/>
      <c r="AH40" s="560"/>
      <c r="AI40" s="560"/>
      <c r="AJ40" s="560"/>
    </row>
    <row r="41" spans="1:58" ht="15.75" customHeight="1" thickBot="1">
      <c r="A41" s="231"/>
      <c r="B41" s="232"/>
      <c r="C41" s="231"/>
      <c r="D41" s="232"/>
      <c r="E41" s="245"/>
      <c r="F41" s="261"/>
      <c r="G41" s="231"/>
      <c r="H41" s="743"/>
      <c r="I41" s="744"/>
      <c r="J41" s="745"/>
      <c r="K41" s="16"/>
      <c r="L41" s="16"/>
      <c r="M41" s="16"/>
      <c r="N41" s="16"/>
      <c r="O41" s="16"/>
      <c r="P41" s="16"/>
      <c r="Q41" s="16"/>
      <c r="R41" s="16"/>
      <c r="S41" s="16"/>
      <c r="T41" s="16"/>
      <c r="U41" s="16"/>
      <c r="V41" s="16"/>
      <c r="W41" s="16"/>
      <c r="X41" s="16"/>
      <c r="Y41" s="16"/>
      <c r="Z41" s="16"/>
      <c r="AA41" s="16"/>
      <c r="AD41" s="16"/>
      <c r="AE41" s="275" t="s">
        <v>461</v>
      </c>
      <c r="AF41" s="277">
        <f>SUM(AF30:AF40)</f>
        <v>13</v>
      </c>
      <c r="AG41" s="247"/>
      <c r="AH41" s="245"/>
      <c r="AI41" s="246"/>
      <c r="AJ41" s="247"/>
    </row>
    <row r="42" spans="1:58" ht="15.75" customHeight="1" thickBot="1">
      <c r="A42" s="231"/>
      <c r="B42" s="326"/>
      <c r="C42" s="245"/>
      <c r="D42" s="232"/>
      <c r="E42" s="261"/>
      <c r="F42" s="261"/>
      <c r="G42" s="231"/>
      <c r="H42" s="746"/>
      <c r="I42" s="747"/>
      <c r="J42" s="748"/>
      <c r="K42" s="16"/>
      <c r="L42" s="16"/>
      <c r="M42" s="16"/>
      <c r="N42" s="16"/>
      <c r="O42" s="16"/>
      <c r="P42" s="16"/>
      <c r="Q42" s="16"/>
      <c r="R42" s="16"/>
      <c r="S42" s="16"/>
      <c r="T42" s="16"/>
      <c r="U42" s="16"/>
      <c r="V42" s="16"/>
      <c r="W42" s="16"/>
      <c r="X42" s="16"/>
      <c r="Y42" s="16"/>
      <c r="Z42" s="16"/>
      <c r="AA42" s="16"/>
    </row>
    <row r="43" spans="1:58" ht="15.75" customHeight="1" thickTop="1">
      <c r="A43" s="18"/>
      <c r="B43" s="18"/>
      <c r="C43" s="18"/>
      <c r="D43" s="18"/>
      <c r="E43" s="18"/>
      <c r="F43" s="18"/>
      <c r="G43" s="17"/>
      <c r="H43" s="17"/>
      <c r="I43" s="17"/>
      <c r="J43" s="17"/>
      <c r="K43" s="17"/>
      <c r="L43" s="17"/>
      <c r="M43" s="17"/>
      <c r="N43" s="17"/>
      <c r="O43" s="17"/>
      <c r="P43" s="17"/>
      <c r="Q43" s="16"/>
      <c r="R43" s="17"/>
      <c r="S43" s="17"/>
      <c r="T43" s="17"/>
      <c r="U43" s="17"/>
      <c r="V43" s="17"/>
      <c r="W43" s="17"/>
      <c r="X43" s="17"/>
      <c r="Y43" s="17"/>
      <c r="Z43" s="17"/>
      <c r="AA43" s="17"/>
      <c r="AB43" s="17"/>
      <c r="AC43" s="17"/>
      <c r="AD43" s="17"/>
    </row>
    <row r="44" spans="1:58" ht="15.75" customHeight="1" thickBot="1">
      <c r="A44" s="179" t="s">
        <v>462</v>
      </c>
      <c r="B44" s="169"/>
      <c r="C44" s="16"/>
      <c r="D44" s="16"/>
      <c r="E44" s="16"/>
      <c r="F44" s="16"/>
      <c r="G44" s="16"/>
      <c r="H44" s="16"/>
      <c r="I44" s="16"/>
      <c r="J44" s="16"/>
      <c r="K44" s="16"/>
      <c r="L44" s="16"/>
      <c r="M44" s="16"/>
      <c r="N44" s="16"/>
      <c r="O44" s="16"/>
      <c r="P44" s="16"/>
      <c r="Q44" s="16"/>
      <c r="R44" s="16"/>
      <c r="S44" s="16"/>
      <c r="T44" s="16"/>
      <c r="U44" s="16"/>
      <c r="V44" s="16"/>
      <c r="W44" s="16"/>
      <c r="X44" s="16"/>
      <c r="Y44" s="16"/>
      <c r="Z44" s="16"/>
      <c r="AA44" s="16"/>
      <c r="AB44" s="18"/>
      <c r="AC44" s="16"/>
      <c r="AD44" s="16"/>
    </row>
    <row r="45" spans="1:58" ht="15" customHeight="1" thickTop="1" thickBot="1">
      <c r="A45" s="258" t="s">
        <v>449</v>
      </c>
      <c r="B45" s="259" t="s">
        <v>450</v>
      </c>
      <c r="C45" s="258" t="s">
        <v>463</v>
      </c>
      <c r="D45" s="258" t="s">
        <v>464</v>
      </c>
      <c r="E45" s="258" t="s">
        <v>465</v>
      </c>
      <c r="F45" s="258" t="s">
        <v>466</v>
      </c>
      <c r="G45" s="258" t="s">
        <v>467</v>
      </c>
      <c r="H45" s="259" t="s">
        <v>455</v>
      </c>
      <c r="I45" s="561" t="s">
        <v>456</v>
      </c>
      <c r="J45" s="716"/>
      <c r="K45" s="717"/>
      <c r="L45" s="98"/>
      <c r="M45" s="98"/>
      <c r="N45" s="98"/>
      <c r="O45" s="98"/>
      <c r="P45" s="98"/>
      <c r="Q45" s="98"/>
      <c r="R45" s="98"/>
      <c r="S45" s="98"/>
      <c r="T45" s="98"/>
      <c r="U45" s="98"/>
      <c r="V45" s="96"/>
      <c r="W45" s="96"/>
      <c r="X45" s="96"/>
      <c r="Y45" s="96"/>
      <c r="Z45" s="99"/>
      <c r="AA45" s="96"/>
      <c r="AB45" s="96"/>
      <c r="AC45" s="100"/>
      <c r="AD45" s="100"/>
      <c r="AE45" s="100"/>
      <c r="AF45" s="100"/>
      <c r="AG45" s="100"/>
      <c r="AH45" s="100"/>
      <c r="AI45" s="100"/>
      <c r="AJ45" s="100"/>
      <c r="AK45" s="100"/>
      <c r="AL45" s="100"/>
      <c r="AM45" s="100"/>
      <c r="AN45" s="100"/>
      <c r="AO45" s="100"/>
      <c r="AP45" s="100"/>
      <c r="AQ45" s="100"/>
      <c r="AR45" s="100"/>
      <c r="AS45" s="100"/>
      <c r="AT45" s="100"/>
      <c r="AU45" s="100"/>
      <c r="AV45" s="100"/>
      <c r="AW45" s="100"/>
      <c r="AX45" s="100"/>
      <c r="AY45" s="100"/>
      <c r="AZ45" s="100"/>
      <c r="BA45" s="100"/>
      <c r="BB45" s="100"/>
      <c r="BC45" s="100"/>
      <c r="BD45" s="100"/>
      <c r="BE45" s="100"/>
      <c r="BF45" s="100"/>
    </row>
    <row r="46" spans="1:58" ht="14.25" customHeight="1" thickTop="1">
      <c r="A46" s="312"/>
      <c r="B46" s="323"/>
      <c r="C46" s="312"/>
      <c r="D46" s="312"/>
      <c r="E46" s="327"/>
      <c r="F46" s="327"/>
      <c r="G46" s="323"/>
      <c r="H46" s="323"/>
      <c r="I46" s="618" t="s">
        <v>1717</v>
      </c>
      <c r="J46" s="741"/>
      <c r="K46" s="742"/>
      <c r="L46" s="16"/>
      <c r="M46" s="16"/>
      <c r="N46" s="16"/>
      <c r="O46" s="16"/>
      <c r="P46" s="16"/>
      <c r="Q46" s="16"/>
      <c r="R46" s="16"/>
      <c r="S46" s="16"/>
      <c r="T46" s="16"/>
      <c r="U46" s="16"/>
      <c r="V46" s="16"/>
      <c r="W46" s="16"/>
      <c r="X46" s="16"/>
      <c r="Y46" s="16"/>
      <c r="Z46" s="17"/>
      <c r="AA46" s="16"/>
      <c r="AB46" s="16"/>
    </row>
    <row r="47" spans="1:58" ht="14.25" customHeight="1">
      <c r="A47" s="312"/>
      <c r="B47" s="323"/>
      <c r="C47" s="312"/>
      <c r="D47" s="312"/>
      <c r="E47" s="328"/>
      <c r="F47" s="327"/>
      <c r="G47" s="323"/>
      <c r="H47" s="323"/>
      <c r="I47" s="743"/>
      <c r="J47" s="744"/>
      <c r="K47" s="745"/>
      <c r="L47" s="16"/>
      <c r="M47" s="16"/>
      <c r="N47" s="16"/>
      <c r="O47" s="16"/>
      <c r="P47" s="16"/>
      <c r="Q47" s="16"/>
      <c r="R47" s="16"/>
      <c r="S47" s="16"/>
      <c r="T47" s="16"/>
      <c r="U47" s="16"/>
      <c r="V47" s="16"/>
      <c r="W47" s="16"/>
      <c r="X47" s="16"/>
      <c r="Y47" s="16"/>
      <c r="Z47" s="17"/>
      <c r="AA47" s="16"/>
      <c r="AB47" s="16"/>
    </row>
    <row r="48" spans="1:58" ht="15.75" customHeight="1">
      <c r="A48" s="323"/>
      <c r="B48" s="323"/>
      <c r="C48" s="323"/>
      <c r="D48" s="312"/>
      <c r="E48" s="328"/>
      <c r="F48" s="327"/>
      <c r="G48" s="329"/>
      <c r="H48" s="323"/>
      <c r="I48" s="743"/>
      <c r="J48" s="744"/>
      <c r="K48" s="745"/>
      <c r="L48" s="16"/>
      <c r="M48" s="16"/>
      <c r="N48" s="16"/>
      <c r="O48" s="16"/>
      <c r="P48" s="16"/>
      <c r="Q48" s="16"/>
      <c r="R48" s="16"/>
      <c r="S48" s="16"/>
      <c r="T48" s="16"/>
      <c r="U48" s="16"/>
      <c r="V48" s="16"/>
      <c r="W48" s="16"/>
      <c r="X48" s="16"/>
      <c r="Y48" s="16"/>
      <c r="Z48" s="16"/>
      <c r="AA48" s="16"/>
      <c r="AB48" s="16"/>
    </row>
    <row r="49" spans="1:30" ht="15.75" customHeight="1">
      <c r="A49" s="231"/>
      <c r="B49" s="232"/>
      <c r="C49" s="231"/>
      <c r="D49" s="269"/>
      <c r="E49" s="245"/>
      <c r="F49" s="261"/>
      <c r="G49" s="263"/>
      <c r="H49" s="231"/>
      <c r="I49" s="743"/>
      <c r="J49" s="744"/>
      <c r="K49" s="745"/>
      <c r="L49" s="16"/>
      <c r="M49" s="16"/>
      <c r="N49" s="16"/>
      <c r="O49" s="16"/>
      <c r="P49" s="16"/>
      <c r="Q49" s="16"/>
      <c r="R49" s="16"/>
      <c r="S49" s="16"/>
      <c r="T49" s="16"/>
      <c r="U49" s="16"/>
      <c r="V49" s="16"/>
      <c r="W49" s="16"/>
      <c r="X49" s="16"/>
      <c r="Y49" s="16"/>
      <c r="Z49" s="16"/>
      <c r="AA49" s="16"/>
      <c r="AB49" s="16"/>
    </row>
    <row r="50" spans="1:30" ht="15.75" customHeight="1" thickBot="1">
      <c r="A50" s="231"/>
      <c r="B50" s="326"/>
      <c r="C50" s="245"/>
      <c r="D50" s="245"/>
      <c r="E50" s="261"/>
      <c r="F50" s="261"/>
      <c r="G50" s="263"/>
      <c r="H50" s="231"/>
      <c r="I50" s="746"/>
      <c r="J50" s="747"/>
      <c r="K50" s="748"/>
      <c r="L50" s="16"/>
      <c r="M50" s="16"/>
      <c r="N50" s="16"/>
      <c r="O50" s="16"/>
      <c r="P50" s="16"/>
      <c r="Q50" s="16"/>
      <c r="R50" s="16"/>
      <c r="S50" s="16"/>
      <c r="T50" s="16"/>
      <c r="U50" s="16"/>
      <c r="V50" s="16"/>
      <c r="W50" s="16"/>
      <c r="X50" s="16"/>
      <c r="Y50" s="16"/>
      <c r="Z50" s="16"/>
      <c r="AA50" s="16"/>
      <c r="AB50" s="16"/>
    </row>
    <row r="51" spans="1:30" ht="15.75" customHeight="1" thickTop="1">
      <c r="A51" s="15"/>
      <c r="B51" s="16"/>
      <c r="C51" s="16"/>
      <c r="D51" s="16"/>
      <c r="E51" s="16"/>
      <c r="F51" s="16"/>
      <c r="G51" s="16"/>
      <c r="H51" s="16"/>
      <c r="I51" s="16"/>
      <c r="J51" s="16"/>
      <c r="K51" s="16"/>
      <c r="L51" s="16"/>
      <c r="M51" s="16"/>
      <c r="N51" s="16"/>
      <c r="O51" s="16"/>
      <c r="P51" s="16"/>
      <c r="Q51" s="16"/>
      <c r="R51" s="16"/>
      <c r="S51" s="16"/>
      <c r="T51" s="16"/>
      <c r="U51" s="16"/>
      <c r="V51" s="16"/>
      <c r="W51" s="16"/>
      <c r="X51" s="16"/>
      <c r="Y51" s="16"/>
      <c r="Z51" s="16"/>
      <c r="AA51" s="16"/>
      <c r="AB51" s="16"/>
      <c r="AC51" s="16"/>
      <c r="AD51" s="16"/>
    </row>
    <row r="52" spans="1:30" ht="15.75" customHeight="1">
      <c r="A52" s="15"/>
      <c r="B52" s="16"/>
      <c r="C52" s="16"/>
      <c r="D52" s="16"/>
      <c r="E52" s="16"/>
      <c r="F52" s="16"/>
      <c r="G52" s="16"/>
      <c r="H52" s="16"/>
      <c r="I52" s="16"/>
      <c r="J52" s="16"/>
      <c r="K52" s="16"/>
      <c r="L52" s="16"/>
      <c r="M52" s="16"/>
      <c r="N52" s="16"/>
      <c r="O52" s="16"/>
      <c r="P52" s="16"/>
      <c r="Q52" s="16"/>
      <c r="W52" s="16"/>
      <c r="X52" s="16"/>
      <c r="Y52" s="16"/>
      <c r="Z52" s="16"/>
      <c r="AA52" s="16"/>
      <c r="AB52" s="16"/>
      <c r="AC52" s="16"/>
      <c r="AD52" s="16"/>
    </row>
    <row r="53" spans="1:30" ht="15.75" customHeight="1" thickBot="1">
      <c r="A53" s="186" t="s">
        <v>475</v>
      </c>
      <c r="B53" s="231"/>
      <c r="C53" s="231"/>
      <c r="D53" s="231"/>
      <c r="E53" s="231"/>
      <c r="F53" s="231"/>
      <c r="G53" s="231"/>
      <c r="H53" s="231"/>
      <c r="I53" s="231"/>
      <c r="J53" s="231"/>
      <c r="K53" s="16"/>
      <c r="L53" s="16"/>
      <c r="M53" s="16"/>
      <c r="N53" s="16"/>
      <c r="O53" s="16"/>
      <c r="P53" s="16"/>
      <c r="Q53" s="16"/>
      <c r="W53" s="16"/>
      <c r="X53" s="16"/>
      <c r="Y53" s="16"/>
      <c r="Z53" s="16"/>
      <c r="AA53" s="16"/>
      <c r="AB53" s="16"/>
      <c r="AC53" s="16"/>
      <c r="AD53" s="16"/>
    </row>
    <row r="54" spans="1:30" ht="15.75" customHeight="1" thickTop="1" thickBot="1">
      <c r="A54" s="230" t="s">
        <v>476</v>
      </c>
      <c r="B54" s="230" t="s">
        <v>477</v>
      </c>
      <c r="C54" s="230" t="s">
        <v>478</v>
      </c>
      <c r="D54" s="230" t="s">
        <v>479</v>
      </c>
      <c r="E54" s="230" t="s">
        <v>480</v>
      </c>
      <c r="F54" s="230" t="s">
        <v>481</v>
      </c>
      <c r="G54" s="230" t="s">
        <v>482</v>
      </c>
      <c r="H54" s="230" t="s">
        <v>453</v>
      </c>
      <c r="I54" s="230" t="s">
        <v>483</v>
      </c>
      <c r="J54" s="230" t="s">
        <v>484</v>
      </c>
      <c r="K54" s="721" t="s">
        <v>485</v>
      </c>
      <c r="L54" s="716"/>
      <c r="M54" s="722"/>
      <c r="N54" s="15"/>
      <c r="O54" s="16"/>
      <c r="P54" s="16"/>
      <c r="Q54" s="16"/>
      <c r="W54" s="16"/>
      <c r="X54" s="16"/>
      <c r="Y54" s="16"/>
      <c r="Z54" s="16"/>
      <c r="AA54" s="16"/>
      <c r="AB54" s="16"/>
    </row>
    <row r="55" spans="1:30" ht="15" customHeight="1" thickTop="1">
      <c r="A55" s="312" t="s">
        <v>356</v>
      </c>
      <c r="B55" s="319" t="s">
        <v>287</v>
      </c>
      <c r="C55" s="231">
        <v>42</v>
      </c>
      <c r="D55" s="231">
        <v>2</v>
      </c>
      <c r="E55" s="231">
        <v>3</v>
      </c>
      <c r="F55" s="231">
        <f>Table_4168320[[#This Row],[Total hours/week]]*Table_4168320[[#This Row],['# Weeks]]</f>
        <v>126</v>
      </c>
      <c r="G55" s="354" t="s">
        <v>1718</v>
      </c>
      <c r="H55" s="319" t="s">
        <v>55</v>
      </c>
      <c r="I55" s="331" t="s">
        <v>328</v>
      </c>
      <c r="J55" s="231"/>
      <c r="K55" s="564" t="s">
        <v>1719</v>
      </c>
      <c r="L55" s="741"/>
      <c r="M55" s="742"/>
      <c r="N55" s="16"/>
      <c r="O55" s="16"/>
      <c r="P55" s="16"/>
      <c r="Q55" s="16"/>
      <c r="W55" s="16"/>
      <c r="X55" s="16"/>
      <c r="Y55" s="16"/>
      <c r="Z55" s="16"/>
      <c r="AA55" s="16"/>
      <c r="AB55" s="16"/>
    </row>
    <row r="56" spans="1:30" ht="15.75" customHeight="1">
      <c r="A56" s="231" t="s">
        <v>290</v>
      </c>
      <c r="B56" s="319" t="s">
        <v>290</v>
      </c>
      <c r="C56" s="231">
        <v>42</v>
      </c>
      <c r="D56" s="231">
        <v>1</v>
      </c>
      <c r="E56" s="231">
        <v>0.5</v>
      </c>
      <c r="F56" s="231">
        <f>Table_4168320[[#This Row],[Total hours/week]]*Table_4168320[[#This Row],['# Weeks]]</f>
        <v>21</v>
      </c>
      <c r="G56" s="231" t="s">
        <v>542</v>
      </c>
      <c r="H56" s="319" t="s">
        <v>57</v>
      </c>
      <c r="I56" s="331" t="s">
        <v>328</v>
      </c>
      <c r="J56" s="231" t="s">
        <v>1720</v>
      </c>
      <c r="K56" s="749"/>
      <c r="L56" s="744"/>
      <c r="M56" s="745"/>
      <c r="N56" s="16"/>
      <c r="O56" s="16"/>
      <c r="P56" s="16"/>
      <c r="Q56" s="16"/>
      <c r="W56" s="16"/>
      <c r="X56" s="16"/>
      <c r="Y56" s="16"/>
      <c r="Z56" s="16"/>
      <c r="AA56" s="16"/>
      <c r="AB56" s="16"/>
    </row>
    <row r="57" spans="1:30" ht="14.25" customHeight="1">
      <c r="A57" s="231"/>
      <c r="B57" s="319"/>
      <c r="C57" s="231"/>
      <c r="D57" s="231"/>
      <c r="E57" s="231"/>
      <c r="F57" s="231"/>
      <c r="G57" s="248"/>
      <c r="H57" s="319"/>
      <c r="I57" s="331"/>
      <c r="J57" s="231"/>
      <c r="K57" s="749"/>
      <c r="L57" s="744"/>
      <c r="M57" s="745"/>
      <c r="N57" s="16"/>
      <c r="O57" s="16"/>
      <c r="P57" s="16"/>
      <c r="Q57" s="16"/>
      <c r="W57" s="16"/>
      <c r="X57" s="16"/>
      <c r="Y57" s="16"/>
      <c r="Z57" s="16"/>
      <c r="AA57" s="16"/>
      <c r="AB57" s="16"/>
    </row>
    <row r="58" spans="1:30" ht="15.75" customHeight="1">
      <c r="A58" s="319"/>
      <c r="B58" s="319"/>
      <c r="C58" s="231"/>
      <c r="D58" s="231"/>
      <c r="E58" s="231"/>
      <c r="F58" s="231"/>
      <c r="G58" s="231"/>
      <c r="H58" s="319"/>
      <c r="I58" s="331"/>
      <c r="J58" s="231"/>
      <c r="K58" s="749"/>
      <c r="L58" s="744"/>
      <c r="M58" s="745"/>
      <c r="N58" s="16"/>
      <c r="O58" s="16"/>
      <c r="P58" s="16"/>
      <c r="Q58" s="16"/>
      <c r="W58" s="16"/>
      <c r="X58" s="16"/>
      <c r="Y58" s="16"/>
      <c r="Z58" s="16"/>
      <c r="AA58" s="16"/>
      <c r="AB58" s="16"/>
    </row>
    <row r="59" spans="1:30" ht="15.75" customHeight="1">
      <c r="A59" s="319"/>
      <c r="B59" s="319"/>
      <c r="C59" s="231"/>
      <c r="D59" s="231"/>
      <c r="E59" s="231"/>
      <c r="F59" s="231"/>
      <c r="G59" s="231"/>
      <c r="H59" s="319"/>
      <c r="I59" s="331"/>
      <c r="J59" s="231"/>
      <c r="K59" s="749"/>
      <c r="L59" s="744"/>
      <c r="M59" s="745"/>
      <c r="N59" s="16"/>
      <c r="O59" s="16"/>
      <c r="P59" s="16"/>
      <c r="Q59" s="16"/>
      <c r="W59" s="16"/>
      <c r="X59" s="16"/>
      <c r="Y59" s="16"/>
      <c r="Z59" s="16"/>
      <c r="AA59" s="16"/>
      <c r="AB59" s="16"/>
    </row>
    <row r="60" spans="1:30" ht="15.75" customHeight="1">
      <c r="A60" s="319"/>
      <c r="B60" s="319"/>
      <c r="C60" s="231"/>
      <c r="D60" s="231"/>
      <c r="E60" s="231"/>
      <c r="F60" s="231"/>
      <c r="G60" s="319"/>
      <c r="H60" s="319"/>
      <c r="I60" s="331"/>
      <c r="J60" s="231"/>
      <c r="K60" s="749"/>
      <c r="L60" s="744"/>
      <c r="M60" s="745"/>
      <c r="N60" s="16"/>
      <c r="O60" s="16"/>
      <c r="P60" s="16"/>
      <c r="Q60" s="16"/>
      <c r="W60" s="16"/>
      <c r="X60" s="16"/>
      <c r="Y60" s="16"/>
      <c r="Z60" s="16"/>
      <c r="AA60" s="16"/>
      <c r="AB60" s="16"/>
    </row>
    <row r="61" spans="1:30" ht="15.75" customHeight="1">
      <c r="A61" s="319"/>
      <c r="B61" s="319"/>
      <c r="C61" s="231"/>
      <c r="D61" s="231"/>
      <c r="E61" s="231"/>
      <c r="F61" s="231"/>
      <c r="G61" s="319"/>
      <c r="H61" s="319"/>
      <c r="I61" s="331"/>
      <c r="J61" s="231"/>
      <c r="K61" s="749"/>
      <c r="L61" s="744"/>
      <c r="M61" s="745"/>
      <c r="N61" s="16"/>
      <c r="O61" s="16"/>
      <c r="P61" s="16"/>
      <c r="Q61" s="16"/>
      <c r="W61" s="16"/>
      <c r="X61" s="16"/>
      <c r="Y61" s="16"/>
      <c r="Z61" s="16"/>
      <c r="AA61" s="16"/>
      <c r="AB61" s="16"/>
    </row>
    <row r="62" spans="1:30" ht="15.75" customHeight="1">
      <c r="A62" s="319"/>
      <c r="B62" s="319"/>
      <c r="C62" s="261"/>
      <c r="D62" s="261"/>
      <c r="E62" s="261"/>
      <c r="F62" s="262"/>
      <c r="G62" s="319"/>
      <c r="H62" s="319"/>
      <c r="I62" s="331"/>
      <c r="J62" s="231"/>
      <c r="K62" s="749"/>
      <c r="L62" s="744"/>
      <c r="M62" s="745"/>
      <c r="N62" s="16"/>
      <c r="O62" s="16"/>
      <c r="P62" s="16"/>
      <c r="Q62" s="16"/>
      <c r="W62" s="16"/>
      <c r="X62" s="16"/>
      <c r="Y62" s="16"/>
      <c r="Z62" s="16"/>
      <c r="AA62" s="16"/>
      <c r="AB62" s="16"/>
    </row>
    <row r="63" spans="1:30" ht="15.75" customHeight="1">
      <c r="A63" s="319"/>
      <c r="B63" s="319"/>
      <c r="C63" s="261"/>
      <c r="D63" s="261"/>
      <c r="E63" s="261"/>
      <c r="F63" s="262"/>
      <c r="G63" s="319"/>
      <c r="H63" s="319"/>
      <c r="I63" s="331"/>
      <c r="J63" s="231"/>
      <c r="K63" s="749"/>
      <c r="L63" s="744"/>
      <c r="M63" s="745"/>
      <c r="N63" s="16"/>
      <c r="O63" s="16"/>
      <c r="P63" s="16"/>
      <c r="Q63" s="16"/>
      <c r="W63" s="16"/>
      <c r="X63" s="16"/>
      <c r="Y63" s="16"/>
      <c r="Z63" s="16"/>
      <c r="AA63" s="16"/>
      <c r="AB63" s="16"/>
    </row>
    <row r="64" spans="1:30" ht="15.75" customHeight="1">
      <c r="A64" s="231"/>
      <c r="B64" s="319"/>
      <c r="C64" s="232"/>
      <c r="D64" s="232"/>
      <c r="E64" s="261"/>
      <c r="F64" s="262"/>
      <c r="G64" s="231"/>
      <c r="H64" s="319"/>
      <c r="I64" s="331"/>
      <c r="J64" s="231"/>
      <c r="K64" s="749"/>
      <c r="L64" s="744"/>
      <c r="M64" s="745"/>
      <c r="N64" s="16"/>
      <c r="O64" s="16"/>
      <c r="P64" s="16"/>
      <c r="Q64" s="16"/>
      <c r="W64" s="16"/>
      <c r="X64" s="16"/>
      <c r="Y64" s="16"/>
      <c r="Z64" s="16"/>
      <c r="AA64" s="16"/>
      <c r="AB64" s="16"/>
    </row>
    <row r="65" spans="1:30" ht="15.75" customHeight="1">
      <c r="A65" s="231"/>
      <c r="B65" s="319"/>
      <c r="C65" s="232"/>
      <c r="D65" s="232"/>
      <c r="E65" s="261"/>
      <c r="F65" s="262"/>
      <c r="G65" s="231"/>
      <c r="H65" s="319"/>
      <c r="I65" s="331"/>
      <c r="J65" s="231"/>
      <c r="K65" s="749"/>
      <c r="L65" s="744"/>
      <c r="M65" s="745"/>
      <c r="N65" s="16"/>
      <c r="O65" s="16"/>
      <c r="P65" s="16"/>
      <c r="Q65" s="16"/>
      <c r="W65" s="16"/>
      <c r="X65" s="16"/>
      <c r="Y65" s="16"/>
      <c r="Z65" s="16"/>
      <c r="AA65" s="16"/>
      <c r="AB65" s="16"/>
    </row>
    <row r="66" spans="1:30" ht="15.75" customHeight="1">
      <c r="A66" s="231"/>
      <c r="B66" s="319"/>
      <c r="C66" s="232"/>
      <c r="D66" s="232"/>
      <c r="E66" s="261"/>
      <c r="F66" s="262"/>
      <c r="G66" s="231"/>
      <c r="H66" s="319"/>
      <c r="I66" s="331"/>
      <c r="J66" s="231"/>
      <c r="K66" s="749"/>
      <c r="L66" s="744"/>
      <c r="M66" s="745"/>
      <c r="N66" s="16"/>
      <c r="O66" s="16"/>
      <c r="P66" s="16"/>
      <c r="Q66" s="16"/>
      <c r="W66" s="16"/>
      <c r="X66" s="16"/>
      <c r="Y66" s="16"/>
      <c r="Z66" s="16"/>
      <c r="AA66" s="16"/>
      <c r="AB66" s="16"/>
    </row>
    <row r="67" spans="1:30" ht="15.75" customHeight="1" thickBot="1">
      <c r="A67" s="231"/>
      <c r="B67" s="319"/>
      <c r="C67" s="245"/>
      <c r="D67" s="232"/>
      <c r="E67" s="261"/>
      <c r="F67" s="262"/>
      <c r="G67" s="263"/>
      <c r="H67" s="263"/>
      <c r="I67" s="264"/>
      <c r="J67" s="231"/>
      <c r="K67" s="746"/>
      <c r="L67" s="747"/>
      <c r="M67" s="748"/>
      <c r="N67" s="16"/>
      <c r="O67" s="16"/>
      <c r="P67" s="16"/>
      <c r="Q67" s="16"/>
      <c r="W67" s="16"/>
      <c r="X67" s="16"/>
      <c r="Y67" s="16"/>
      <c r="Z67" s="16"/>
      <c r="AA67" s="16"/>
      <c r="AB67" s="16"/>
    </row>
    <row r="68" spans="1:30" ht="15.75" customHeight="1" thickTop="1">
      <c r="A68" s="16"/>
      <c r="B68" s="16"/>
      <c r="C68" s="16"/>
      <c r="E68" s="16"/>
      <c r="F68" s="16"/>
      <c r="G68" s="16"/>
      <c r="H68" s="16"/>
      <c r="I68" s="16"/>
      <c r="J68" s="16"/>
      <c r="K68" s="16"/>
      <c r="L68" s="16"/>
      <c r="M68" s="16"/>
      <c r="N68" s="16"/>
      <c r="O68" s="16"/>
      <c r="P68" s="16"/>
      <c r="Q68" s="16"/>
      <c r="W68" s="16"/>
      <c r="X68" s="16"/>
      <c r="Y68" s="16"/>
      <c r="Z68" s="16"/>
      <c r="AA68" s="16"/>
      <c r="AB68" s="16"/>
      <c r="AC68" s="16"/>
      <c r="AD68" s="16"/>
    </row>
    <row r="69" spans="1:30" ht="15.75" customHeight="1" thickBot="1">
      <c r="A69" s="186" t="s">
        <v>499</v>
      </c>
      <c r="B69" s="231"/>
      <c r="C69" s="231"/>
      <c r="D69" s="231"/>
      <c r="E69" s="231"/>
      <c r="F69" s="231"/>
      <c r="G69" s="231"/>
      <c r="H69" s="231"/>
      <c r="I69" s="231"/>
      <c r="J69" s="231"/>
      <c r="K69" s="123"/>
      <c r="L69" s="123"/>
      <c r="M69" s="16"/>
      <c r="N69" s="16"/>
      <c r="O69" s="16"/>
      <c r="P69" s="16"/>
      <c r="Q69" s="16"/>
      <c r="W69" s="16"/>
      <c r="X69" s="16"/>
      <c r="Y69" s="16"/>
      <c r="Z69" s="16"/>
      <c r="AA69" s="16"/>
      <c r="AB69" s="16"/>
      <c r="AC69" s="16"/>
      <c r="AD69" s="16"/>
    </row>
    <row r="70" spans="1:30" ht="15.75" customHeight="1" thickTop="1" thickBot="1">
      <c r="A70" s="230" t="s">
        <v>476</v>
      </c>
      <c r="B70" s="230" t="s">
        <v>500</v>
      </c>
      <c r="C70" s="230" t="s">
        <v>501</v>
      </c>
      <c r="D70" s="230" t="s">
        <v>502</v>
      </c>
      <c r="E70" s="230" t="s">
        <v>503</v>
      </c>
      <c r="F70" s="230" t="s">
        <v>504</v>
      </c>
      <c r="G70" s="230" t="s">
        <v>505</v>
      </c>
      <c r="H70" s="230" t="s">
        <v>506</v>
      </c>
      <c r="I70" s="230" t="s">
        <v>507</v>
      </c>
      <c r="J70" s="230" t="s">
        <v>508</v>
      </c>
      <c r="K70" s="561" t="s">
        <v>441</v>
      </c>
      <c r="L70" s="561"/>
      <c r="M70" s="561"/>
      <c r="N70" s="561"/>
      <c r="O70" s="570"/>
      <c r="P70" s="726" t="s">
        <v>434</v>
      </c>
      <c r="Q70" s="727"/>
      <c r="R70" s="16"/>
      <c r="S70" s="16"/>
      <c r="V70" s="16"/>
      <c r="W70" s="16"/>
      <c r="X70" s="16"/>
      <c r="Y70" s="16"/>
      <c r="Z70" s="16"/>
      <c r="AA70" s="16"/>
    </row>
    <row r="71" spans="1:30" ht="15.75" customHeight="1" thickTop="1">
      <c r="A71" s="312" t="s">
        <v>356</v>
      </c>
      <c r="B71" s="231" t="s">
        <v>243</v>
      </c>
      <c r="C71" s="232" t="s">
        <v>515</v>
      </c>
      <c r="D71" s="261">
        <v>1.5</v>
      </c>
      <c r="E71" s="245">
        <v>42</v>
      </c>
      <c r="F71" s="326">
        <f>Stretchers!$D71*Stretchers!$E71</f>
        <v>63</v>
      </c>
      <c r="G71" s="245">
        <v>1</v>
      </c>
      <c r="H71" s="332">
        <f>IF($B71= "","-",IF($B71= "External","Specify location tariff", INDEX(Constants!$3:$3,MATCH($B71,Constants!$2:$2,0))))</f>
        <v>67.5</v>
      </c>
      <c r="I71" s="333">
        <f t="shared" ref="I71:I87" si="2">IF($H71="-","-",IF($H71="Specify location tariff","-",$H71*$F71))</f>
        <v>4252.5</v>
      </c>
      <c r="J71" s="247"/>
      <c r="K71" s="610"/>
      <c r="L71" s="611"/>
      <c r="M71" s="611"/>
      <c r="N71" s="611"/>
      <c r="O71" s="612"/>
      <c r="P71" s="564" t="s">
        <v>511</v>
      </c>
      <c r="Q71" s="565"/>
      <c r="R71" s="16"/>
      <c r="S71" s="16"/>
      <c r="V71" s="16"/>
      <c r="W71" s="16"/>
      <c r="X71" s="16"/>
      <c r="Y71" s="16"/>
      <c r="Z71" s="16"/>
      <c r="AA71" s="16"/>
    </row>
    <row r="72" spans="1:30" ht="15.75" customHeight="1">
      <c r="A72" s="312" t="s">
        <v>356</v>
      </c>
      <c r="B72" s="231" t="s">
        <v>265</v>
      </c>
      <c r="C72" s="232" t="s">
        <v>516</v>
      </c>
      <c r="D72" s="261">
        <v>1.5</v>
      </c>
      <c r="E72" s="245">
        <v>42</v>
      </c>
      <c r="F72" s="326">
        <f>Stretchers!$D72*Stretchers!$E72</f>
        <v>63</v>
      </c>
      <c r="G72" s="245">
        <v>2</v>
      </c>
      <c r="H72" s="332">
        <f>IF($B72= "","-",IF($B72= "External","Specify location tariff", INDEX(Constants!$3:$3,MATCH($B72,Constants!$2:$2,0))))</f>
        <v>65</v>
      </c>
      <c r="I72" s="333">
        <f t="shared" si="2"/>
        <v>4095</v>
      </c>
      <c r="J72" s="247"/>
      <c r="K72" s="613"/>
      <c r="L72" s="562"/>
      <c r="M72" s="562"/>
      <c r="N72" s="562"/>
      <c r="O72" s="614"/>
      <c r="P72" s="566"/>
      <c r="Q72" s="567"/>
      <c r="R72" s="16"/>
      <c r="S72" s="16"/>
      <c r="V72" s="16"/>
      <c r="W72" s="16"/>
      <c r="X72" s="16"/>
      <c r="Y72" s="16"/>
      <c r="Z72" s="16"/>
      <c r="AA72" s="16"/>
    </row>
    <row r="73" spans="1:30" ht="15.75" customHeight="1">
      <c r="A73" s="231"/>
      <c r="B73" s="231"/>
      <c r="C73" s="232"/>
      <c r="D73" s="261"/>
      <c r="E73" s="245"/>
      <c r="F73" s="326">
        <f>Stretchers!$D73*Stretchers!$E73</f>
        <v>0</v>
      </c>
      <c r="G73" s="245"/>
      <c r="H73" s="332" t="str">
        <f>IF($B73= "","-",IF($B73= "External","Specify location tariff", INDEX(Constants!$3:$3,MATCH($B73,Constants!$2:$2,0))))</f>
        <v>-</v>
      </c>
      <c r="I73" s="333" t="str">
        <f t="shared" si="2"/>
        <v>-</v>
      </c>
      <c r="J73" s="247"/>
      <c r="K73" s="613"/>
      <c r="L73" s="562"/>
      <c r="M73" s="562"/>
      <c r="N73" s="562"/>
      <c r="O73" s="614"/>
      <c r="P73" s="566"/>
      <c r="Q73" s="567"/>
      <c r="R73" s="16"/>
      <c r="S73" s="16"/>
      <c r="V73" s="16"/>
      <c r="W73" s="16"/>
      <c r="X73" s="16"/>
      <c r="Y73" s="16"/>
      <c r="Z73" s="16"/>
      <c r="AA73" s="16"/>
    </row>
    <row r="74" spans="1:30" ht="15.75" customHeight="1">
      <c r="A74" s="231"/>
      <c r="B74" s="231"/>
      <c r="C74" s="232"/>
      <c r="D74" s="261"/>
      <c r="E74" s="245"/>
      <c r="F74" s="326">
        <f>Stretchers!$D74*Stretchers!$E74</f>
        <v>0</v>
      </c>
      <c r="G74" s="245"/>
      <c r="H74" s="332" t="str">
        <f>IF($B74= "","-",IF($B74= "External","Specify location tariff", INDEX(Constants!$3:$3,MATCH($B74,Constants!$2:$2,0))))</f>
        <v>-</v>
      </c>
      <c r="I74" s="333" t="str">
        <f t="shared" si="2"/>
        <v>-</v>
      </c>
      <c r="J74" s="247"/>
      <c r="K74" s="613"/>
      <c r="L74" s="562"/>
      <c r="M74" s="562"/>
      <c r="N74" s="562"/>
      <c r="O74" s="614"/>
      <c r="P74" s="566"/>
      <c r="Q74" s="567"/>
      <c r="R74" s="16"/>
      <c r="S74" s="16"/>
      <c r="V74" s="16"/>
      <c r="W74" s="16"/>
      <c r="X74" s="16"/>
      <c r="Y74" s="16"/>
      <c r="Z74" s="16"/>
      <c r="AA74" s="16"/>
    </row>
    <row r="75" spans="1:30" ht="15.75" customHeight="1">
      <c r="A75" s="231"/>
      <c r="B75" s="231"/>
      <c r="C75" s="232"/>
      <c r="D75" s="261"/>
      <c r="E75" s="245"/>
      <c r="F75" s="326">
        <f>Stretchers!$D75*Stretchers!$E75</f>
        <v>0</v>
      </c>
      <c r="G75" s="245"/>
      <c r="H75" s="332" t="str">
        <f>IF($B75= "","-",IF($B75= "External","Specify location tariff", INDEX(Constants!$3:$3,MATCH($B75,Constants!$2:$2,0))))</f>
        <v>-</v>
      </c>
      <c r="I75" s="333" t="str">
        <f t="shared" si="2"/>
        <v>-</v>
      </c>
      <c r="J75" s="247"/>
      <c r="K75" s="613"/>
      <c r="L75" s="562"/>
      <c r="M75" s="562"/>
      <c r="N75" s="562"/>
      <c r="O75" s="614"/>
      <c r="P75" s="566"/>
      <c r="Q75" s="567"/>
      <c r="R75" s="16"/>
      <c r="S75" s="16"/>
      <c r="V75" s="16"/>
      <c r="W75" s="16"/>
      <c r="X75" s="16"/>
      <c r="Y75" s="16"/>
      <c r="Z75" s="16"/>
      <c r="AA75" s="16"/>
    </row>
    <row r="76" spans="1:30" ht="15.75" customHeight="1">
      <c r="A76" s="231"/>
      <c r="B76" s="231"/>
      <c r="C76" s="232"/>
      <c r="D76" s="261"/>
      <c r="E76" s="245"/>
      <c r="F76" s="326">
        <f>Stretchers!$D76*Stretchers!$E76</f>
        <v>0</v>
      </c>
      <c r="G76" s="245"/>
      <c r="H76" s="332" t="str">
        <f>IF($B76= "","-",IF($B76= "External","Specify location tariff", INDEX(Constants!$3:$3,MATCH($B76,Constants!$2:$2,0))))</f>
        <v>-</v>
      </c>
      <c r="I76" s="333" t="str">
        <f t="shared" si="2"/>
        <v>-</v>
      </c>
      <c r="J76" s="247"/>
      <c r="K76" s="613"/>
      <c r="L76" s="562"/>
      <c r="M76" s="562"/>
      <c r="N76" s="562"/>
      <c r="O76" s="614"/>
      <c r="P76" s="566"/>
      <c r="Q76" s="567"/>
      <c r="R76" s="16"/>
      <c r="S76" s="16"/>
      <c r="V76" s="16"/>
      <c r="W76" s="16"/>
      <c r="X76" s="16"/>
      <c r="Y76" s="16"/>
      <c r="Z76" s="16"/>
      <c r="AA76" s="16"/>
    </row>
    <row r="77" spans="1:30" ht="15.75" customHeight="1">
      <c r="A77" s="231"/>
      <c r="B77" s="231"/>
      <c r="C77" s="232"/>
      <c r="D77" s="261"/>
      <c r="E77" s="245"/>
      <c r="F77" s="326">
        <f>Stretchers!$D77*Stretchers!$E77</f>
        <v>0</v>
      </c>
      <c r="G77" s="245"/>
      <c r="H77" s="332" t="str">
        <f>IF($B77= "","-",IF($B77= "External","Specify location tariff", INDEX(Constants!$3:$3,MATCH($B77,Constants!$2:$2,0))))</f>
        <v>-</v>
      </c>
      <c r="I77" s="333" t="str">
        <f t="shared" si="2"/>
        <v>-</v>
      </c>
      <c r="J77" s="247"/>
      <c r="K77" s="613"/>
      <c r="L77" s="562"/>
      <c r="M77" s="562"/>
      <c r="N77" s="562"/>
      <c r="O77" s="614"/>
      <c r="P77" s="566"/>
      <c r="Q77" s="567"/>
      <c r="R77" s="16"/>
      <c r="S77" s="16"/>
      <c r="V77" s="16"/>
      <c r="W77" s="16"/>
      <c r="X77" s="16"/>
      <c r="Y77" s="16"/>
      <c r="Z77" s="16"/>
      <c r="AA77" s="16"/>
    </row>
    <row r="78" spans="1:30" ht="15.75" customHeight="1">
      <c r="A78" s="231"/>
      <c r="B78" s="231"/>
      <c r="C78" s="232"/>
      <c r="D78" s="261"/>
      <c r="E78" s="245"/>
      <c r="F78" s="326">
        <f>Stretchers!$D78*Stretchers!$E78</f>
        <v>0</v>
      </c>
      <c r="G78" s="245"/>
      <c r="H78" s="332" t="str">
        <f>IF($B78= "","-",IF($B78= "External","Specify location tariff", INDEX(Constants!$3:$3,MATCH($B78,Constants!$2:$2,0))))</f>
        <v>-</v>
      </c>
      <c r="I78" s="333" t="str">
        <f t="shared" si="2"/>
        <v>-</v>
      </c>
      <c r="J78" s="247"/>
      <c r="K78" s="613"/>
      <c r="L78" s="562"/>
      <c r="M78" s="562"/>
      <c r="N78" s="562"/>
      <c r="O78" s="614"/>
      <c r="P78" s="566"/>
      <c r="Q78" s="567"/>
      <c r="R78" s="16"/>
      <c r="S78" s="16"/>
      <c r="V78" s="16"/>
      <c r="W78" s="16"/>
      <c r="X78" s="16"/>
      <c r="Y78" s="16"/>
      <c r="Z78" s="16"/>
      <c r="AA78" s="16"/>
    </row>
    <row r="79" spans="1:30" ht="15.75" customHeight="1">
      <c r="A79" s="231"/>
      <c r="B79" s="231"/>
      <c r="C79" s="232"/>
      <c r="D79" s="261"/>
      <c r="E79" s="245"/>
      <c r="F79" s="326">
        <f>Stretchers!$D79*Stretchers!$E79</f>
        <v>0</v>
      </c>
      <c r="G79" s="245"/>
      <c r="H79" s="332" t="str">
        <f>IF($B79= "","-",IF($B79= "External","Specify location tariff", INDEX(Constants!$3:$3,MATCH($B79,Constants!$2:$2,0))))</f>
        <v>-</v>
      </c>
      <c r="I79" s="333" t="str">
        <f t="shared" si="2"/>
        <v>-</v>
      </c>
      <c r="J79" s="247"/>
      <c r="K79" s="613"/>
      <c r="L79" s="562"/>
      <c r="M79" s="562"/>
      <c r="N79" s="562"/>
      <c r="O79" s="614"/>
      <c r="P79" s="566"/>
      <c r="Q79" s="567"/>
      <c r="R79" s="16"/>
      <c r="S79" s="16"/>
      <c r="V79" s="16"/>
      <c r="W79" s="16"/>
      <c r="X79" s="16"/>
      <c r="Y79" s="16"/>
      <c r="Z79" s="16"/>
      <c r="AA79" s="16"/>
    </row>
    <row r="80" spans="1:30" ht="15.75" customHeight="1">
      <c r="A80" s="231"/>
      <c r="B80" s="231"/>
      <c r="C80" s="232"/>
      <c r="D80" s="261"/>
      <c r="E80" s="245"/>
      <c r="F80" s="326">
        <f>Stretchers!$D80*Stretchers!$E80</f>
        <v>0</v>
      </c>
      <c r="G80" s="245"/>
      <c r="H80" s="332" t="str">
        <f>IF($B80= "","-",IF($B80= "External","Specify location tariff", INDEX(Constants!$3:$3,MATCH($B80,Constants!$2:$2,0))))</f>
        <v>-</v>
      </c>
      <c r="I80" s="333" t="str">
        <f t="shared" si="2"/>
        <v>-</v>
      </c>
      <c r="J80" s="247"/>
      <c r="K80" s="613"/>
      <c r="L80" s="562"/>
      <c r="M80" s="562"/>
      <c r="N80" s="562"/>
      <c r="O80" s="614"/>
      <c r="P80" s="566"/>
      <c r="Q80" s="567"/>
      <c r="R80" s="16"/>
      <c r="S80" s="16"/>
      <c r="V80" s="16"/>
      <c r="W80" s="16"/>
      <c r="X80" s="16"/>
      <c r="Y80" s="16"/>
      <c r="Z80" s="16"/>
      <c r="AA80" s="16"/>
    </row>
    <row r="81" spans="1:30" ht="15.75" customHeight="1">
      <c r="A81" s="231"/>
      <c r="B81" s="231"/>
      <c r="C81" s="232"/>
      <c r="D81" s="261"/>
      <c r="E81" s="245"/>
      <c r="F81" s="326">
        <f>Stretchers!$D81*Stretchers!$E81</f>
        <v>0</v>
      </c>
      <c r="G81" s="245"/>
      <c r="H81" s="332" t="str">
        <f>IF($B81= "","-",IF($B81= "External","Specify location tariff", INDEX(Constants!$3:$3,MATCH($B81,Constants!$2:$2,0))))</f>
        <v>-</v>
      </c>
      <c r="I81" s="333" t="str">
        <f t="shared" si="2"/>
        <v>-</v>
      </c>
      <c r="J81" s="247"/>
      <c r="K81" s="613"/>
      <c r="L81" s="562"/>
      <c r="M81" s="562"/>
      <c r="N81" s="562"/>
      <c r="O81" s="614"/>
      <c r="P81" s="566"/>
      <c r="Q81" s="567"/>
      <c r="R81" s="16"/>
      <c r="S81" s="16"/>
      <c r="V81" s="16"/>
      <c r="W81" s="16"/>
      <c r="X81" s="16"/>
      <c r="Y81" s="16"/>
      <c r="Z81" s="16"/>
      <c r="AA81" s="16"/>
    </row>
    <row r="82" spans="1:30" ht="15.75" customHeight="1">
      <c r="A82" s="231"/>
      <c r="B82" s="231"/>
      <c r="C82" s="232"/>
      <c r="D82" s="261"/>
      <c r="E82" s="245"/>
      <c r="F82" s="326">
        <f>Stretchers!$D82*Stretchers!$E82</f>
        <v>0</v>
      </c>
      <c r="G82" s="245"/>
      <c r="H82" s="332" t="str">
        <f>IF($B82= "","-",IF($B82= "External","Specify location tariff", INDEX(Constants!$3:$3,MATCH($B82,Constants!$2:$2,0))))</f>
        <v>-</v>
      </c>
      <c r="I82" s="333" t="str">
        <f t="shared" si="2"/>
        <v>-</v>
      </c>
      <c r="J82" s="247"/>
      <c r="K82" s="613"/>
      <c r="L82" s="562"/>
      <c r="M82" s="562"/>
      <c r="N82" s="562"/>
      <c r="O82" s="614"/>
      <c r="P82" s="566"/>
      <c r="Q82" s="567"/>
      <c r="R82" s="16"/>
      <c r="S82" s="16"/>
      <c r="V82" s="16"/>
      <c r="W82" s="16"/>
      <c r="X82" s="16"/>
      <c r="Y82" s="16"/>
      <c r="Z82" s="16"/>
      <c r="AA82" s="16"/>
    </row>
    <row r="83" spans="1:30" ht="15.75" customHeight="1">
      <c r="A83" s="231"/>
      <c r="B83" s="231"/>
      <c r="C83" s="232"/>
      <c r="D83" s="261"/>
      <c r="E83" s="245"/>
      <c r="F83" s="326">
        <f>Stretchers!$D83*Stretchers!$E83</f>
        <v>0</v>
      </c>
      <c r="G83" s="245"/>
      <c r="H83" s="332" t="str">
        <f>IF($B83= "","-",IF($B83= "External","Specify location tariff", INDEX(Constants!$3:$3,MATCH($B83,Constants!$2:$2,0))))</f>
        <v>-</v>
      </c>
      <c r="I83" s="333" t="str">
        <f t="shared" si="2"/>
        <v>-</v>
      </c>
      <c r="J83" s="247"/>
      <c r="K83" s="613"/>
      <c r="L83" s="562"/>
      <c r="M83" s="562"/>
      <c r="N83" s="562"/>
      <c r="O83" s="614"/>
      <c r="P83" s="566"/>
      <c r="Q83" s="567"/>
      <c r="R83" s="16"/>
      <c r="S83" s="16"/>
      <c r="V83" s="16"/>
      <c r="W83" s="16"/>
      <c r="X83" s="16"/>
      <c r="Y83" s="16"/>
      <c r="Z83" s="16"/>
      <c r="AA83" s="16"/>
    </row>
    <row r="84" spans="1:30" ht="15.75" customHeight="1">
      <c r="A84" s="231"/>
      <c r="B84" s="231"/>
      <c r="C84" s="232"/>
      <c r="D84" s="261"/>
      <c r="E84" s="245"/>
      <c r="F84" s="326">
        <f>Stretchers!$D84*Stretchers!$E84</f>
        <v>0</v>
      </c>
      <c r="G84" s="245"/>
      <c r="H84" s="332" t="str">
        <f>IF($B84= "","-",IF($B84= "External","Specify location tariff", INDEX(Constants!$3:$3,MATCH($B84,Constants!$2:$2,0))))</f>
        <v>-</v>
      </c>
      <c r="I84" s="333" t="str">
        <f t="shared" si="2"/>
        <v>-</v>
      </c>
      <c r="J84" s="247"/>
      <c r="K84" s="613"/>
      <c r="L84" s="562"/>
      <c r="M84" s="562"/>
      <c r="N84" s="562"/>
      <c r="O84" s="614"/>
      <c r="P84" s="566"/>
      <c r="Q84" s="567"/>
      <c r="R84" s="16"/>
      <c r="S84" s="16"/>
      <c r="V84" s="16"/>
      <c r="W84" s="16"/>
      <c r="X84" s="16"/>
      <c r="Y84" s="16"/>
      <c r="Z84" s="16"/>
      <c r="AA84" s="16"/>
    </row>
    <row r="85" spans="1:30" ht="15.75" customHeight="1">
      <c r="A85" s="231"/>
      <c r="B85" s="231"/>
      <c r="C85" s="232"/>
      <c r="D85" s="261"/>
      <c r="E85" s="245"/>
      <c r="F85" s="326">
        <f>Stretchers!$D85*Stretchers!$E85</f>
        <v>0</v>
      </c>
      <c r="G85" s="245"/>
      <c r="H85" s="332" t="str">
        <f>IF($B85= "","-",IF($B85= "External","Specify location tariff", INDEX(Constants!$3:$3,MATCH($B85,Constants!$2:$2,0))))</f>
        <v>-</v>
      </c>
      <c r="I85" s="333" t="str">
        <f t="shared" si="2"/>
        <v>-</v>
      </c>
      <c r="J85" s="247"/>
      <c r="K85" s="613"/>
      <c r="L85" s="562"/>
      <c r="M85" s="562"/>
      <c r="N85" s="562"/>
      <c r="O85" s="614"/>
      <c r="P85" s="566"/>
      <c r="Q85" s="567"/>
      <c r="R85" s="16"/>
      <c r="S85" s="16"/>
      <c r="V85" s="16"/>
      <c r="W85" s="16"/>
      <c r="X85" s="16"/>
      <c r="Y85" s="16"/>
      <c r="Z85" s="16"/>
      <c r="AA85" s="16"/>
    </row>
    <row r="86" spans="1:30" ht="15.75" customHeight="1">
      <c r="A86" s="231"/>
      <c r="B86" s="231"/>
      <c r="C86" s="232"/>
      <c r="D86" s="261"/>
      <c r="E86" s="245"/>
      <c r="F86" s="326">
        <f>Stretchers!$D86*Stretchers!$E86</f>
        <v>0</v>
      </c>
      <c r="G86" s="245"/>
      <c r="H86" s="332" t="str">
        <f>IF($B86= "","-",IF($B86= "External","Specify location tariff", INDEX(Constants!$3:$3,MATCH($B86,Constants!$2:$2,0))))</f>
        <v>-</v>
      </c>
      <c r="I86" s="333" t="str">
        <f t="shared" si="2"/>
        <v>-</v>
      </c>
      <c r="J86" s="247"/>
      <c r="K86" s="613"/>
      <c r="L86" s="562"/>
      <c r="M86" s="562"/>
      <c r="N86" s="562"/>
      <c r="O86" s="614"/>
      <c r="P86" s="566"/>
      <c r="Q86" s="567"/>
      <c r="R86" s="16"/>
      <c r="S86" s="16"/>
      <c r="V86" s="16"/>
      <c r="W86" s="16"/>
      <c r="X86" s="16"/>
      <c r="Y86" s="16"/>
      <c r="Z86" s="16"/>
      <c r="AA86" s="16"/>
    </row>
    <row r="87" spans="1:30" ht="15.75" customHeight="1" thickBot="1">
      <c r="A87" s="231"/>
      <c r="B87" s="231"/>
      <c r="C87" s="232"/>
      <c r="D87" s="261"/>
      <c r="E87" s="245"/>
      <c r="F87" s="326">
        <f>Stretchers!$D87*Stretchers!$E87</f>
        <v>0</v>
      </c>
      <c r="G87" s="245"/>
      <c r="H87" s="332" t="str">
        <f>IF($B87= "","-",IF($B87= "External","Specify location tariff", INDEX(Constants!$3:$3,MATCH($B87,Constants!$2:$2,0))))</f>
        <v>-</v>
      </c>
      <c r="I87" s="333" t="str">
        <f t="shared" si="2"/>
        <v>-</v>
      </c>
      <c r="J87" s="247"/>
      <c r="K87" s="615"/>
      <c r="L87" s="616"/>
      <c r="M87" s="616"/>
      <c r="N87" s="616"/>
      <c r="O87" s="617"/>
      <c r="P87" s="568"/>
      <c r="Q87" s="569"/>
      <c r="R87" s="16"/>
      <c r="S87" s="16"/>
      <c r="V87" s="16"/>
      <c r="W87" s="16"/>
      <c r="X87" s="16"/>
      <c r="Y87" s="16"/>
      <c r="Z87" s="16"/>
      <c r="AA87" s="16"/>
    </row>
    <row r="88" spans="1:30" ht="15.75" customHeight="1" thickTop="1">
      <c r="A88" s="15"/>
      <c r="B88" s="16"/>
      <c r="C88" s="16"/>
      <c r="D88" s="16"/>
      <c r="E88" s="16"/>
      <c r="F88" s="16"/>
      <c r="G88" s="16"/>
      <c r="H88" s="16"/>
      <c r="I88" s="16"/>
      <c r="J88" s="16"/>
      <c r="K88" s="16"/>
      <c r="L88" s="16"/>
      <c r="M88" s="16"/>
      <c r="N88" s="16"/>
      <c r="O88" s="16"/>
      <c r="P88" s="16"/>
      <c r="Q88" s="16"/>
      <c r="R88" s="16"/>
      <c r="S88" s="16"/>
      <c r="T88" s="16"/>
      <c r="U88" s="16"/>
      <c r="V88" s="16"/>
      <c r="W88" s="16"/>
      <c r="X88" s="16"/>
      <c r="Y88" s="16"/>
      <c r="Z88" s="16"/>
      <c r="AA88" s="16"/>
      <c r="AB88" s="16"/>
      <c r="AC88" s="16"/>
      <c r="AD88" s="16"/>
    </row>
    <row r="89" spans="1:30" ht="15.75" customHeight="1">
      <c r="A89" s="15"/>
      <c r="B89" s="16"/>
      <c r="C89" s="16"/>
      <c r="D89" s="16"/>
      <c r="E89" s="16"/>
      <c r="F89" s="16"/>
      <c r="G89" s="16"/>
      <c r="H89" s="16"/>
      <c r="I89" s="16"/>
      <c r="J89" s="16"/>
      <c r="K89" s="16"/>
      <c r="L89" s="16"/>
      <c r="M89" s="16"/>
      <c r="N89" s="16"/>
      <c r="O89" s="16"/>
      <c r="P89" s="16"/>
      <c r="Q89" s="16"/>
      <c r="R89" s="16"/>
      <c r="S89" s="16"/>
      <c r="T89" s="16"/>
      <c r="U89" s="16"/>
      <c r="V89" s="16"/>
      <c r="W89" s="16"/>
      <c r="X89" s="16"/>
      <c r="Y89" s="16"/>
      <c r="Z89" s="16"/>
      <c r="AA89" s="16"/>
      <c r="AB89" s="16"/>
      <c r="AC89" s="16"/>
      <c r="AD89" s="16"/>
    </row>
    <row r="90" spans="1:30" ht="15.75" customHeight="1" thickBot="1">
      <c r="A90" s="186" t="s">
        <v>519</v>
      </c>
      <c r="B90" s="16"/>
      <c r="C90" s="128"/>
      <c r="D90" s="51"/>
      <c r="E90" s="51"/>
      <c r="F90" s="51"/>
      <c r="G90" s="51"/>
      <c r="H90" s="51"/>
      <c r="I90" s="51"/>
      <c r="J90" s="51"/>
      <c r="K90" s="51"/>
      <c r="L90" s="232"/>
      <c r="M90" s="231"/>
      <c r="N90" s="16"/>
      <c r="O90" s="16"/>
      <c r="P90" s="16"/>
      <c r="Q90" s="16"/>
      <c r="R90" s="16"/>
      <c r="S90" s="16"/>
      <c r="T90" s="16"/>
      <c r="U90" s="16"/>
      <c r="V90" s="16"/>
      <c r="W90" s="16"/>
      <c r="X90" s="16"/>
      <c r="Y90" s="16"/>
      <c r="Z90" s="16"/>
      <c r="AA90" s="16"/>
      <c r="AB90" s="16"/>
      <c r="AC90" s="16"/>
      <c r="AD90" s="16"/>
    </row>
    <row r="91" spans="1:30" ht="15" customHeight="1" thickTop="1" thickBot="1">
      <c r="A91" s="230" t="s">
        <v>438</v>
      </c>
      <c r="B91" s="230" t="s">
        <v>439</v>
      </c>
      <c r="C91" s="230" t="s">
        <v>520</v>
      </c>
      <c r="D91" s="230" t="s">
        <v>521</v>
      </c>
      <c r="E91" s="230" t="s">
        <v>522</v>
      </c>
      <c r="F91" s="230" t="s">
        <v>523</v>
      </c>
      <c r="G91" s="230" t="s">
        <v>508</v>
      </c>
      <c r="H91" s="721" t="s">
        <v>441</v>
      </c>
      <c r="I91" s="728"/>
      <c r="J91" s="729" t="s">
        <v>434</v>
      </c>
      <c r="K91" s="730"/>
      <c r="L91" s="16"/>
      <c r="M91" s="16"/>
      <c r="N91" s="16"/>
      <c r="O91" s="16"/>
      <c r="P91" s="117"/>
      <c r="Q91" s="15"/>
      <c r="R91" s="16"/>
      <c r="S91" s="130"/>
      <c r="T91" s="16"/>
      <c r="U91" s="16"/>
      <c r="V91" s="16"/>
      <c r="W91" s="241"/>
      <c r="X91" s="16"/>
      <c r="Y91" s="16"/>
      <c r="Z91" s="16"/>
      <c r="AA91" s="16"/>
      <c r="AB91" s="16"/>
    </row>
    <row r="92" spans="1:30" ht="14.25" customHeight="1" thickTop="1">
      <c r="A92" s="231"/>
      <c r="B92" s="248"/>
      <c r="C92" s="246">
        <v>0</v>
      </c>
      <c r="D92" s="247"/>
      <c r="E92" s="245"/>
      <c r="F92" s="246">
        <f>IF(Table_6170322[[#This Row],[Item]]="",0,Table_6170322[[#This Row],[Amount]]*Table_6170322[[#This Row],[Purchase / Running costs]]/Table_6170322[[#This Row],[Depreciation period]])</f>
        <v>0</v>
      </c>
      <c r="G92" s="247"/>
      <c r="H92" s="564"/>
      <c r="I92" s="750"/>
      <c r="J92" s="628" t="s">
        <v>526</v>
      </c>
      <c r="K92" s="730"/>
      <c r="L92" s="16"/>
      <c r="M92" s="16"/>
      <c r="N92" s="16"/>
      <c r="O92" s="16"/>
      <c r="P92" s="16"/>
      <c r="Q92" s="133"/>
      <c r="R92" s="16"/>
      <c r="S92" s="16"/>
      <c r="T92" s="16"/>
      <c r="U92" s="16"/>
      <c r="V92" s="16"/>
      <c r="W92" s="16"/>
      <c r="X92" s="16"/>
      <c r="Y92" s="16"/>
      <c r="Z92" s="16"/>
      <c r="AA92" s="16"/>
      <c r="AB92" s="16"/>
    </row>
    <row r="93" spans="1:30" ht="15.75" customHeight="1">
      <c r="A93" s="231"/>
      <c r="B93" s="248"/>
      <c r="C93" s="246">
        <v>0</v>
      </c>
      <c r="D93" s="247"/>
      <c r="E93" s="245"/>
      <c r="F93" s="246">
        <f>IF(Table_6170322[[#This Row],[Item]]="",0,Table_6170322[[#This Row],[Amount]]*Table_6170322[[#This Row],[Purchase / Running costs]]/Table_6170322[[#This Row],[Depreciation period]])</f>
        <v>0</v>
      </c>
      <c r="G93" s="247"/>
      <c r="H93" s="743"/>
      <c r="I93" s="751"/>
      <c r="J93" s="702"/>
      <c r="K93" s="732"/>
      <c r="L93" s="16"/>
      <c r="M93" s="16"/>
      <c r="N93" s="16"/>
      <c r="O93" s="16"/>
      <c r="P93" s="16"/>
      <c r="Q93" s="16"/>
      <c r="R93" s="16"/>
      <c r="S93" s="16"/>
      <c r="T93" s="16"/>
      <c r="U93" s="16"/>
      <c r="V93" s="16"/>
      <c r="W93" s="16"/>
      <c r="X93" s="16"/>
      <c r="Y93" s="16"/>
      <c r="Z93" s="16"/>
      <c r="AA93" s="16"/>
      <c r="AB93" s="16"/>
    </row>
    <row r="94" spans="1:30" ht="15.75" customHeight="1">
      <c r="A94" s="231"/>
      <c r="B94" s="248"/>
      <c r="C94" s="246">
        <v>0</v>
      </c>
      <c r="D94" s="247"/>
      <c r="E94" s="245"/>
      <c r="F94" s="246">
        <f>IF(Table_6170322[[#This Row],[Item]]="",0,Table_6170322[[#This Row],[Amount]]*Table_6170322[[#This Row],[Purchase / Running costs]]/Table_6170322[[#This Row],[Depreciation period]])</f>
        <v>0</v>
      </c>
      <c r="G94" s="247"/>
      <c r="H94" s="743"/>
      <c r="I94" s="751"/>
      <c r="J94" s="702"/>
      <c r="K94" s="732"/>
      <c r="L94" s="16"/>
      <c r="M94" s="16"/>
      <c r="N94" s="16"/>
      <c r="O94" s="16"/>
      <c r="P94" s="16"/>
      <c r="Q94" s="16"/>
      <c r="R94" s="16"/>
      <c r="S94" s="16"/>
      <c r="T94" s="16"/>
      <c r="U94" s="16"/>
      <c r="V94" s="16"/>
      <c r="W94" s="16"/>
      <c r="X94" s="16"/>
      <c r="Y94" s="16"/>
      <c r="Z94" s="16"/>
      <c r="AA94" s="16"/>
      <c r="AB94" s="16"/>
    </row>
    <row r="95" spans="1:30" ht="15.75" customHeight="1">
      <c r="A95" s="231"/>
      <c r="B95" s="248"/>
      <c r="C95" s="246">
        <v>0</v>
      </c>
      <c r="D95" s="247"/>
      <c r="E95" s="245"/>
      <c r="F95" s="246">
        <f>IF(Table_6170322[[#This Row],[Item]]="",0,Table_6170322[[#This Row],[Amount]]*Table_6170322[[#This Row],[Purchase / Running costs]]/Table_6170322[[#This Row],[Depreciation period]])</f>
        <v>0</v>
      </c>
      <c r="G95" s="247"/>
      <c r="H95" s="743"/>
      <c r="I95" s="751"/>
      <c r="J95" s="702"/>
      <c r="K95" s="732"/>
      <c r="L95" s="16"/>
      <c r="M95" s="16"/>
      <c r="N95" s="16"/>
      <c r="O95" s="16"/>
      <c r="P95" s="16"/>
      <c r="Q95" s="16"/>
      <c r="R95" s="16"/>
      <c r="S95" s="16"/>
      <c r="T95" s="16"/>
      <c r="U95" s="16"/>
      <c r="V95" s="16"/>
      <c r="W95" s="16"/>
      <c r="X95" s="16"/>
      <c r="Y95" s="16"/>
      <c r="Z95" s="16"/>
      <c r="AA95" s="16"/>
      <c r="AB95" s="16"/>
    </row>
    <row r="96" spans="1:30" ht="15.75" customHeight="1">
      <c r="A96" s="231"/>
      <c r="B96" s="248"/>
      <c r="C96" s="246">
        <v>0</v>
      </c>
      <c r="D96" s="247"/>
      <c r="E96" s="245"/>
      <c r="F96" s="246">
        <f>IF(Table_6170322[[#This Row],[Item]]="",0,Table_6170322[[#This Row],[Amount]]*Table_6170322[[#This Row],[Purchase / Running costs]]/Table_6170322[[#This Row],[Depreciation period]])</f>
        <v>0</v>
      </c>
      <c r="G96" s="247"/>
      <c r="H96" s="743"/>
      <c r="I96" s="751"/>
      <c r="J96" s="702"/>
      <c r="K96" s="732"/>
      <c r="L96" s="16"/>
      <c r="M96" s="16"/>
      <c r="N96" s="16"/>
      <c r="O96" s="16"/>
      <c r="P96" s="16"/>
      <c r="Q96" s="16"/>
      <c r="R96" s="16"/>
      <c r="S96" s="16"/>
      <c r="T96" s="16"/>
      <c r="U96" s="16"/>
      <c r="V96" s="16"/>
      <c r="W96" s="16"/>
      <c r="X96" s="16"/>
      <c r="Y96" s="16"/>
      <c r="Z96" s="16"/>
      <c r="AA96" s="16"/>
      <c r="AB96" s="16"/>
    </row>
    <row r="97" spans="1:30" ht="15.75" customHeight="1">
      <c r="A97" s="231"/>
      <c r="B97" s="248"/>
      <c r="C97" s="246">
        <v>0</v>
      </c>
      <c r="D97" s="247"/>
      <c r="E97" s="245"/>
      <c r="F97" s="246">
        <f>IF(Table_6170322[[#This Row],[Item]]="",0,Table_6170322[[#This Row],[Amount]]*Table_6170322[[#This Row],[Purchase / Running costs]]/Table_6170322[[#This Row],[Depreciation period]])</f>
        <v>0</v>
      </c>
      <c r="G97" s="247"/>
      <c r="H97" s="743"/>
      <c r="I97" s="751"/>
      <c r="J97" s="702"/>
      <c r="K97" s="732"/>
      <c r="L97" s="16"/>
      <c r="M97" s="16"/>
      <c r="N97" s="16"/>
      <c r="O97" s="16"/>
      <c r="P97" s="16"/>
      <c r="Q97" s="16"/>
      <c r="R97" s="16"/>
      <c r="S97" s="16"/>
      <c r="T97" s="16"/>
      <c r="U97" s="16"/>
      <c r="V97" s="16"/>
      <c r="W97" s="16"/>
      <c r="X97" s="16"/>
      <c r="Y97" s="16"/>
      <c r="Z97" s="16"/>
      <c r="AA97" s="16"/>
      <c r="AB97" s="16"/>
    </row>
    <row r="98" spans="1:30" ht="15.75" customHeight="1">
      <c r="A98" s="231"/>
      <c r="B98" s="244"/>
      <c r="C98" s="246">
        <v>0</v>
      </c>
      <c r="D98" s="247"/>
      <c r="E98" s="245"/>
      <c r="F98" s="246">
        <f>IF(Table_6170322[[#This Row],[Item]]="",0,Table_6170322[[#This Row],[Amount]]*Table_6170322[[#This Row],[Purchase / Running costs]]/Table_6170322[[#This Row],[Depreciation period]])</f>
        <v>0</v>
      </c>
      <c r="G98" s="247"/>
      <c r="H98" s="743"/>
      <c r="I98" s="751"/>
      <c r="J98" s="702"/>
      <c r="K98" s="732"/>
      <c r="L98" s="16"/>
      <c r="M98" s="16"/>
      <c r="N98" s="16"/>
      <c r="O98" s="16"/>
      <c r="P98" s="16"/>
      <c r="Q98" s="16"/>
      <c r="R98" s="16"/>
      <c r="S98" s="16"/>
      <c r="T98" s="16"/>
      <c r="U98" s="16"/>
      <c r="V98" s="16"/>
      <c r="W98" s="16"/>
      <c r="X98" s="16"/>
      <c r="Y98" s="16"/>
      <c r="Z98" s="16"/>
      <c r="AA98" s="16"/>
      <c r="AB98" s="16"/>
    </row>
    <row r="99" spans="1:30" ht="15.75" customHeight="1">
      <c r="A99" s="231"/>
      <c r="B99" s="244"/>
      <c r="C99" s="246">
        <v>0</v>
      </c>
      <c r="D99" s="247"/>
      <c r="E99" s="245"/>
      <c r="F99" s="246">
        <f>IF(Table_6170322[[#This Row],[Item]]="",0,Table_6170322[[#This Row],[Amount]]*Table_6170322[[#This Row],[Purchase / Running costs]]/Table_6170322[[#This Row],[Depreciation period]])</f>
        <v>0</v>
      </c>
      <c r="G99" s="247"/>
      <c r="H99" s="743"/>
      <c r="I99" s="751"/>
      <c r="J99" s="702"/>
      <c r="K99" s="732"/>
      <c r="L99" s="16"/>
      <c r="M99" s="16"/>
      <c r="N99" s="16"/>
      <c r="O99" s="16"/>
      <c r="P99" s="16"/>
      <c r="Q99" s="16"/>
      <c r="R99" s="16"/>
      <c r="S99" s="16"/>
      <c r="T99" s="16"/>
      <c r="U99" s="16"/>
      <c r="V99" s="16"/>
      <c r="W99" s="16"/>
      <c r="X99" s="16"/>
      <c r="Y99" s="16"/>
      <c r="Z99" s="16"/>
      <c r="AA99" s="16"/>
      <c r="AB99" s="16"/>
    </row>
    <row r="100" spans="1:30" ht="15.75" customHeight="1">
      <c r="A100" s="231"/>
      <c r="B100" s="244"/>
      <c r="C100" s="246">
        <v>0</v>
      </c>
      <c r="D100" s="247"/>
      <c r="E100" s="245"/>
      <c r="F100" s="246">
        <f>IF(Table_6170322[[#This Row],[Item]]="",0,Table_6170322[[#This Row],[Amount]]*Table_6170322[[#This Row],[Purchase / Running costs]]/Table_6170322[[#This Row],[Depreciation period]])</f>
        <v>0</v>
      </c>
      <c r="G100" s="247"/>
      <c r="H100" s="743"/>
      <c r="I100" s="751"/>
      <c r="J100" s="702"/>
      <c r="K100" s="732"/>
      <c r="L100" s="16"/>
      <c r="M100" s="16"/>
      <c r="N100" s="16"/>
      <c r="O100" s="16"/>
      <c r="P100" s="16"/>
      <c r="Q100" s="16"/>
      <c r="R100" s="16"/>
      <c r="S100" s="16"/>
      <c r="T100" s="16"/>
      <c r="U100" s="16"/>
      <c r="V100" s="16"/>
      <c r="W100" s="16"/>
      <c r="X100" s="16"/>
      <c r="Y100" s="16"/>
      <c r="Z100" s="16"/>
      <c r="AA100" s="16"/>
      <c r="AB100" s="16"/>
    </row>
    <row r="101" spans="1:30" ht="15.75" customHeight="1">
      <c r="A101" s="231"/>
      <c r="B101" s="244"/>
      <c r="C101" s="246">
        <v>0</v>
      </c>
      <c r="D101" s="247"/>
      <c r="E101" s="245"/>
      <c r="F101" s="246">
        <f>IF(Table_6170322[[#This Row],[Item]]="",0,Table_6170322[[#This Row],[Amount]]*Table_6170322[[#This Row],[Purchase / Running costs]]/Table_6170322[[#This Row],[Depreciation period]])</f>
        <v>0</v>
      </c>
      <c r="G101" s="247"/>
      <c r="H101" s="743"/>
      <c r="I101" s="751"/>
      <c r="J101" s="702"/>
      <c r="K101" s="732"/>
      <c r="L101" s="16"/>
      <c r="M101" s="16"/>
      <c r="N101" s="16"/>
      <c r="O101" s="16"/>
      <c r="P101" s="16"/>
      <c r="Q101" s="16"/>
      <c r="R101" s="16"/>
      <c r="S101" s="16"/>
      <c r="T101" s="16"/>
      <c r="U101" s="16"/>
      <c r="V101" s="16"/>
      <c r="W101" s="16"/>
      <c r="X101" s="16"/>
      <c r="Y101" s="16"/>
      <c r="Z101" s="16"/>
      <c r="AA101" s="16"/>
      <c r="AB101" s="16"/>
    </row>
    <row r="102" spans="1:30" ht="15.75" customHeight="1">
      <c r="A102" s="231"/>
      <c r="B102" s="244"/>
      <c r="C102" s="246">
        <v>0</v>
      </c>
      <c r="D102" s="247"/>
      <c r="E102" s="245"/>
      <c r="F102" s="246">
        <f>IF(Table_6170322[[#This Row],[Item]]="",0,Table_6170322[[#This Row],[Amount]]*Table_6170322[[#This Row],[Purchase / Running costs]]/Table_6170322[[#This Row],[Depreciation period]])</f>
        <v>0</v>
      </c>
      <c r="G102" s="247"/>
      <c r="H102" s="743"/>
      <c r="I102" s="751"/>
      <c r="J102" s="702"/>
      <c r="K102" s="732"/>
      <c r="L102" s="16"/>
      <c r="M102" s="16"/>
      <c r="N102" s="16"/>
      <c r="O102" s="16"/>
      <c r="P102" s="16"/>
      <c r="Q102" s="16"/>
      <c r="R102" s="16"/>
      <c r="S102" s="16"/>
      <c r="T102" s="16"/>
      <c r="U102" s="16"/>
      <c r="V102" s="16"/>
      <c r="W102" s="16"/>
      <c r="X102" s="16"/>
      <c r="Y102" s="16"/>
      <c r="Z102" s="16"/>
      <c r="AA102" s="16"/>
      <c r="AB102" s="16"/>
    </row>
    <row r="103" spans="1:30" ht="15.75" customHeight="1">
      <c r="A103" s="231"/>
      <c r="B103" s="244"/>
      <c r="C103" s="246">
        <v>0</v>
      </c>
      <c r="D103" s="247"/>
      <c r="E103" s="245"/>
      <c r="F103" s="246">
        <f>IF(Table_6170322[[#This Row],[Item]]="",0,Table_6170322[[#This Row],[Amount]]*Table_6170322[[#This Row],[Purchase / Running costs]]/Table_6170322[[#This Row],[Depreciation period]])</f>
        <v>0</v>
      </c>
      <c r="G103" s="247"/>
      <c r="H103" s="743"/>
      <c r="I103" s="751"/>
      <c r="J103" s="702"/>
      <c r="K103" s="732"/>
      <c r="L103" s="16"/>
      <c r="M103" s="16"/>
      <c r="N103" s="16"/>
      <c r="O103" s="16"/>
      <c r="P103" s="16"/>
      <c r="Q103" s="16"/>
      <c r="R103" s="16"/>
      <c r="S103" s="16"/>
      <c r="T103" s="16"/>
      <c r="U103" s="16"/>
      <c r="V103" s="16"/>
      <c r="W103" s="16"/>
      <c r="X103" s="16"/>
      <c r="Y103" s="16"/>
      <c r="Z103" s="16"/>
      <c r="AA103" s="16"/>
      <c r="AB103" s="16"/>
    </row>
    <row r="104" spans="1:30" ht="15.75" customHeight="1">
      <c r="A104" s="231"/>
      <c r="B104" s="244"/>
      <c r="C104" s="246">
        <v>0</v>
      </c>
      <c r="D104" s="247"/>
      <c r="E104" s="245"/>
      <c r="F104" s="246">
        <f>IF(Table_6170322[[#This Row],[Item]]="",0,Table_6170322[[#This Row],[Amount]]*Table_6170322[[#This Row],[Purchase / Running costs]]/Table_6170322[[#This Row],[Depreciation period]])</f>
        <v>0</v>
      </c>
      <c r="G104" s="247"/>
      <c r="H104" s="743"/>
      <c r="I104" s="751"/>
      <c r="J104" s="702"/>
      <c r="K104" s="732"/>
      <c r="L104" s="16"/>
      <c r="M104" s="16"/>
      <c r="N104" s="16"/>
      <c r="O104" s="16"/>
      <c r="P104" s="16"/>
      <c r="Q104" s="16"/>
      <c r="R104" s="16"/>
      <c r="S104" s="16"/>
      <c r="T104" s="16"/>
      <c r="U104" s="16"/>
      <c r="V104" s="16"/>
      <c r="W104" s="16"/>
      <c r="X104" s="16"/>
      <c r="Y104" s="16"/>
      <c r="Z104" s="16"/>
      <c r="AA104" s="16"/>
      <c r="AB104" s="16"/>
    </row>
    <row r="105" spans="1:30" ht="15.75" customHeight="1" thickBot="1">
      <c r="A105" s="231"/>
      <c r="B105" s="244"/>
      <c r="C105" s="246">
        <v>0</v>
      </c>
      <c r="D105" s="247"/>
      <c r="E105" s="245"/>
      <c r="F105" s="246">
        <f>IF(Table_6170322[[#This Row],[Item]]="",0,Table_6170322[[#This Row],[Amount]]*Table_6170322[[#This Row],[Purchase / Running costs]]/Table_6170322[[#This Row],[Depreciation period]])</f>
        <v>0</v>
      </c>
      <c r="G105" s="247"/>
      <c r="H105" s="746"/>
      <c r="I105" s="748"/>
      <c r="J105" s="752"/>
      <c r="K105" s="734"/>
      <c r="L105" s="16"/>
      <c r="M105" s="16"/>
      <c r="N105" s="16"/>
      <c r="O105" s="16"/>
      <c r="P105" s="16"/>
      <c r="Q105" s="16"/>
      <c r="R105" s="16"/>
      <c r="S105" s="16"/>
      <c r="T105" s="16"/>
      <c r="U105" s="16"/>
      <c r="V105" s="16"/>
      <c r="W105" s="16"/>
      <c r="X105" s="16"/>
      <c r="Y105" s="16"/>
      <c r="Z105" s="16"/>
      <c r="AA105" s="16"/>
      <c r="AB105" s="16"/>
    </row>
    <row r="106" spans="1:30" ht="15.75" customHeight="1" thickTop="1">
      <c r="A106" s="15"/>
      <c r="B106" s="131"/>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c r="AD106" s="16"/>
    </row>
    <row r="107" spans="1:30" ht="15.75" customHeight="1">
      <c r="A107" s="15"/>
      <c r="B107" s="131"/>
      <c r="C107" s="16"/>
      <c r="D107" s="16"/>
      <c r="E107" s="16"/>
      <c r="F107" s="16"/>
      <c r="G107" s="16"/>
      <c r="I107" s="16"/>
      <c r="J107" s="16"/>
      <c r="K107" s="16"/>
      <c r="L107" s="16"/>
      <c r="M107" s="16"/>
      <c r="N107" s="16"/>
      <c r="O107" s="16"/>
      <c r="P107" s="16"/>
      <c r="Q107" s="16"/>
      <c r="R107" s="16"/>
      <c r="S107" s="16"/>
      <c r="T107" s="16"/>
      <c r="U107" s="16"/>
      <c r="V107" s="16"/>
      <c r="W107" s="16"/>
      <c r="X107" s="16"/>
      <c r="Y107" s="16"/>
      <c r="Z107" s="16"/>
      <c r="AA107" s="16"/>
      <c r="AB107" s="16"/>
      <c r="AC107" s="16"/>
      <c r="AD107" s="16"/>
    </row>
    <row r="108" spans="1:30" ht="15.75" customHeight="1">
      <c r="H108" s="51"/>
      <c r="I108" s="51"/>
      <c r="J108" s="51"/>
      <c r="K108" s="51"/>
      <c r="L108" s="16"/>
      <c r="M108" s="16"/>
      <c r="N108" s="16"/>
      <c r="O108" s="16"/>
      <c r="P108" s="16"/>
      <c r="Q108" s="16"/>
      <c r="R108" s="16"/>
      <c r="S108" s="16"/>
      <c r="T108" s="16"/>
      <c r="U108" s="16"/>
      <c r="V108" s="16"/>
      <c r="W108" s="16"/>
      <c r="X108" s="16"/>
      <c r="Y108" s="16"/>
      <c r="Z108" s="16"/>
      <c r="AA108" s="16"/>
      <c r="AB108" s="16"/>
      <c r="AC108" s="16"/>
      <c r="AD108" s="16"/>
    </row>
    <row r="109" spans="1:30" ht="15.75" customHeight="1">
      <c r="L109" s="16"/>
      <c r="M109" s="16"/>
      <c r="N109" s="16"/>
      <c r="O109" s="16"/>
      <c r="P109" s="16"/>
      <c r="Q109" s="16"/>
      <c r="R109" s="16"/>
      <c r="S109" s="16"/>
      <c r="T109" s="16"/>
      <c r="U109" s="16"/>
      <c r="V109" s="16"/>
      <c r="W109" s="16"/>
      <c r="X109" s="16"/>
      <c r="Y109" s="16"/>
      <c r="Z109" s="16"/>
      <c r="AA109" s="16"/>
      <c r="AB109" s="16"/>
      <c r="AC109" s="16"/>
      <c r="AD109" s="16"/>
    </row>
    <row r="110" spans="1:30" ht="15.75" customHeight="1">
      <c r="L110" s="16"/>
      <c r="M110" s="16"/>
      <c r="N110" s="16"/>
      <c r="O110" s="16"/>
      <c r="P110" s="16"/>
      <c r="Q110" s="16"/>
      <c r="R110" s="16"/>
      <c r="S110" s="16"/>
      <c r="T110" s="16"/>
      <c r="U110" s="16"/>
      <c r="V110" s="16"/>
      <c r="W110" s="16"/>
      <c r="X110" s="16"/>
      <c r="Y110" s="16"/>
      <c r="Z110" s="16"/>
      <c r="AA110" s="16"/>
      <c r="AB110" s="16"/>
      <c r="AC110" s="16"/>
      <c r="AD110" s="16"/>
    </row>
    <row r="111" spans="1:30" ht="15.75" customHeight="1">
      <c r="L111" s="16"/>
      <c r="M111" s="16"/>
      <c r="N111" s="16"/>
      <c r="O111" s="16"/>
      <c r="P111" s="16"/>
      <c r="Q111" s="16"/>
      <c r="R111" s="16"/>
      <c r="S111" s="16"/>
      <c r="T111" s="16"/>
      <c r="U111" s="16"/>
      <c r="V111" s="16"/>
      <c r="W111" s="16"/>
      <c r="X111" s="16"/>
      <c r="Y111" s="16"/>
      <c r="Z111" s="16"/>
      <c r="AA111" s="16"/>
      <c r="AB111" s="16"/>
      <c r="AC111" s="16"/>
      <c r="AD111" s="16"/>
    </row>
    <row r="112" spans="1:30" ht="15.75" customHeight="1">
      <c r="L112" s="16"/>
      <c r="M112" s="16"/>
      <c r="N112" s="16"/>
      <c r="O112" s="16"/>
      <c r="P112" s="16"/>
      <c r="Q112" s="16"/>
      <c r="R112" s="16"/>
      <c r="S112" s="16"/>
      <c r="T112" s="16"/>
      <c r="U112" s="16"/>
      <c r="V112" s="16"/>
      <c r="W112" s="16"/>
      <c r="X112" s="16"/>
      <c r="Y112" s="16"/>
      <c r="Z112" s="16"/>
      <c r="AA112" s="16"/>
      <c r="AB112" s="16"/>
      <c r="AC112" s="16"/>
      <c r="AD112" s="16"/>
    </row>
    <row r="113" spans="1:30" ht="15.75" customHeight="1">
      <c r="L113" s="16"/>
      <c r="M113" s="16"/>
      <c r="N113" s="16"/>
      <c r="O113" s="16"/>
      <c r="P113" s="16"/>
      <c r="Q113" s="16"/>
      <c r="R113" s="16"/>
      <c r="S113" s="16"/>
      <c r="T113" s="16"/>
      <c r="U113" s="16"/>
      <c r="V113" s="16"/>
      <c r="W113" s="16"/>
      <c r="X113" s="16"/>
      <c r="Y113" s="16"/>
      <c r="Z113" s="16"/>
      <c r="AA113" s="16"/>
      <c r="AB113" s="16"/>
      <c r="AC113" s="16"/>
      <c r="AD113" s="16"/>
    </row>
    <row r="114" spans="1:30" ht="15.75" customHeight="1">
      <c r="L114" s="16"/>
      <c r="M114" s="16"/>
      <c r="N114" s="16"/>
      <c r="O114" s="16"/>
      <c r="P114" s="16"/>
      <c r="Q114" s="16"/>
      <c r="R114" s="16"/>
      <c r="S114" s="16"/>
      <c r="T114" s="16"/>
      <c r="U114" s="16"/>
      <c r="V114" s="16"/>
      <c r="W114" s="16"/>
      <c r="X114" s="16"/>
      <c r="Y114" s="16"/>
      <c r="Z114" s="16"/>
      <c r="AA114" s="16"/>
      <c r="AB114" s="16"/>
      <c r="AC114" s="16"/>
      <c r="AD114" s="16"/>
    </row>
    <row r="115" spans="1:30" ht="15.75" customHeight="1">
      <c r="L115" s="16"/>
      <c r="M115" s="16"/>
      <c r="N115" s="16"/>
      <c r="O115" s="16"/>
      <c r="P115" s="735"/>
      <c r="Q115" s="696"/>
      <c r="R115" s="696"/>
      <c r="S115" s="16"/>
      <c r="T115" s="16"/>
      <c r="U115" s="16"/>
      <c r="V115" s="16"/>
      <c r="W115" s="16"/>
      <c r="X115" s="16"/>
      <c r="Y115" s="16"/>
      <c r="Z115" s="16"/>
      <c r="AA115" s="16"/>
      <c r="AB115" s="16"/>
      <c r="AC115" s="16"/>
      <c r="AD115" s="16"/>
    </row>
    <row r="116" spans="1:30" ht="15.75" customHeight="1">
      <c r="L116" s="16"/>
      <c r="M116" s="16"/>
      <c r="N116" s="16"/>
      <c r="O116" s="16"/>
      <c r="P116" s="735"/>
      <c r="Q116" s="696"/>
      <c r="R116" s="696"/>
      <c r="S116" s="16"/>
      <c r="T116" s="16"/>
      <c r="U116" s="16"/>
      <c r="V116" s="16"/>
      <c r="W116" s="16"/>
      <c r="X116" s="16"/>
      <c r="Y116" s="16"/>
      <c r="Z116" s="16"/>
      <c r="AA116" s="16"/>
      <c r="AB116" s="16"/>
      <c r="AC116" s="16"/>
      <c r="AD116" s="16"/>
    </row>
    <row r="117" spans="1:30" ht="15.75" customHeight="1">
      <c r="L117" s="16"/>
      <c r="M117" s="16"/>
      <c r="N117" s="16"/>
      <c r="O117" s="16"/>
      <c r="P117" s="735"/>
      <c r="Q117" s="696"/>
      <c r="R117" s="696"/>
      <c r="S117" s="16"/>
      <c r="T117" s="16"/>
      <c r="U117" s="16"/>
      <c r="V117" s="16"/>
      <c r="W117" s="16"/>
      <c r="X117" s="16"/>
      <c r="Y117" s="16"/>
      <c r="Z117" s="16"/>
      <c r="AA117" s="16"/>
      <c r="AB117" s="16"/>
      <c r="AC117" s="16"/>
      <c r="AD117" s="16"/>
    </row>
    <row r="118" spans="1:30" ht="15.75" customHeight="1">
      <c r="L118" s="16"/>
      <c r="M118" s="16"/>
      <c r="N118" s="16"/>
      <c r="O118" s="16"/>
      <c r="P118" s="735"/>
      <c r="Q118" s="696"/>
      <c r="R118" s="696"/>
      <c r="S118" s="16"/>
      <c r="T118" s="16"/>
      <c r="U118" s="16"/>
      <c r="V118" s="16"/>
      <c r="W118" s="16"/>
      <c r="X118" s="16"/>
      <c r="Y118" s="16"/>
      <c r="Z118" s="16"/>
      <c r="AA118" s="16"/>
      <c r="AB118" s="16"/>
      <c r="AC118" s="16"/>
      <c r="AD118" s="16"/>
    </row>
    <row r="119" spans="1:30" ht="15.75" customHeight="1">
      <c r="L119" s="16"/>
      <c r="M119" s="16"/>
      <c r="N119" s="16"/>
      <c r="O119" s="16"/>
      <c r="P119" s="735"/>
      <c r="Q119" s="696"/>
      <c r="R119" s="696"/>
      <c r="S119" s="16"/>
      <c r="T119" s="16"/>
      <c r="U119" s="16"/>
      <c r="V119" s="16"/>
      <c r="W119" s="16"/>
      <c r="X119" s="16"/>
      <c r="Y119" s="16"/>
      <c r="Z119" s="16"/>
      <c r="AA119" s="16"/>
      <c r="AB119" s="16"/>
      <c r="AC119" s="16"/>
      <c r="AD119" s="16"/>
    </row>
    <row r="120" spans="1:30" ht="15.75" customHeight="1">
      <c r="L120" s="16"/>
      <c r="M120" s="16"/>
      <c r="N120" s="16"/>
      <c r="O120" s="16"/>
      <c r="P120" s="735"/>
      <c r="Q120" s="696"/>
      <c r="R120" s="696"/>
      <c r="S120" s="16"/>
      <c r="T120" s="16"/>
      <c r="U120" s="16"/>
      <c r="V120" s="16"/>
      <c r="W120" s="16"/>
      <c r="X120" s="16"/>
      <c r="Y120" s="16"/>
      <c r="Z120" s="16"/>
      <c r="AA120" s="16"/>
      <c r="AB120" s="16"/>
      <c r="AC120" s="16"/>
      <c r="AD120" s="16"/>
    </row>
    <row r="121" spans="1:30" ht="15.75" customHeight="1">
      <c r="H121" s="248"/>
      <c r="I121" s="248"/>
      <c r="J121" s="228"/>
      <c r="K121" s="228"/>
      <c r="L121" s="16"/>
      <c r="M121" s="16"/>
      <c r="N121" s="16"/>
      <c r="O121" s="16"/>
      <c r="P121" s="735"/>
      <c r="Q121" s="696"/>
      <c r="R121" s="696"/>
      <c r="S121" s="16"/>
      <c r="T121" s="16"/>
      <c r="U121" s="16"/>
      <c r="V121" s="16"/>
      <c r="W121" s="16"/>
      <c r="X121" s="16"/>
      <c r="Y121" s="16"/>
      <c r="Z121" s="16"/>
      <c r="AA121" s="16"/>
      <c r="AB121" s="16"/>
      <c r="AC121" s="16"/>
      <c r="AD121" s="16"/>
    </row>
    <row r="122" spans="1:30" ht="15.75" customHeight="1">
      <c r="A122" s="231"/>
      <c r="B122" s="231"/>
      <c r="C122" s="246"/>
      <c r="D122" s="247"/>
      <c r="E122" s="245"/>
      <c r="F122" s="246"/>
      <c r="G122" s="247"/>
      <c r="H122" s="248"/>
      <c r="I122" s="248"/>
      <c r="J122" s="228"/>
      <c r="K122" s="228"/>
      <c r="L122" s="16"/>
      <c r="M122" s="16"/>
      <c r="N122" s="16"/>
      <c r="O122" s="16"/>
      <c r="P122" s="16"/>
      <c r="Q122" s="16"/>
      <c r="R122" s="16"/>
      <c r="S122" s="16"/>
      <c r="T122" s="16"/>
      <c r="U122" s="16"/>
      <c r="V122" s="16"/>
      <c r="W122" s="16"/>
      <c r="X122" s="16"/>
      <c r="Y122" s="16"/>
      <c r="Z122" s="16"/>
      <c r="AA122" s="16"/>
      <c r="AB122" s="16"/>
      <c r="AC122" s="16"/>
      <c r="AD122" s="16"/>
    </row>
    <row r="123" spans="1:30" ht="15.75" customHeight="1">
      <c r="A123" s="231"/>
      <c r="B123" s="16"/>
      <c r="C123" s="246"/>
      <c r="D123" s="247"/>
      <c r="E123" s="245"/>
      <c r="F123" s="246"/>
      <c r="G123" s="247"/>
      <c r="H123" s="228"/>
      <c r="I123" s="228"/>
      <c r="J123" s="228"/>
      <c r="K123" s="228"/>
      <c r="L123" s="16"/>
      <c r="M123" s="735"/>
      <c r="N123" s="696"/>
      <c r="O123" s="696"/>
      <c r="P123" s="735"/>
      <c r="Q123" s="696"/>
      <c r="R123" s="696"/>
      <c r="S123" s="696"/>
      <c r="T123" s="696"/>
      <c r="U123" s="16"/>
      <c r="V123" s="16"/>
      <c r="W123" s="16"/>
      <c r="X123" s="16"/>
      <c r="Y123" s="16"/>
      <c r="Z123" s="16"/>
      <c r="AA123" s="16"/>
      <c r="AB123" s="16"/>
      <c r="AC123" s="16"/>
      <c r="AD123" s="16"/>
    </row>
    <row r="124" spans="1:30" ht="15.75" customHeight="1">
      <c r="A124" s="16"/>
      <c r="B124" s="16"/>
      <c r="C124" s="16"/>
      <c r="D124" s="16"/>
      <c r="E124" s="16"/>
      <c r="F124" s="16"/>
      <c r="G124" s="16"/>
      <c r="H124" s="16"/>
      <c r="I124" s="16"/>
      <c r="J124" s="16"/>
      <c r="K124" s="16"/>
      <c r="L124" s="16"/>
      <c r="M124" s="735"/>
      <c r="N124" s="696"/>
      <c r="O124" s="696"/>
      <c r="P124" s="735"/>
      <c r="Q124" s="696"/>
      <c r="R124" s="696"/>
      <c r="S124" s="696"/>
      <c r="T124" s="696"/>
      <c r="U124" s="16"/>
      <c r="V124" s="16"/>
      <c r="W124" s="16"/>
      <c r="X124" s="16"/>
      <c r="Y124" s="16"/>
      <c r="Z124" s="16"/>
      <c r="AA124" s="16"/>
      <c r="AB124" s="16"/>
      <c r="AC124" s="16"/>
      <c r="AD124" s="16"/>
    </row>
    <row r="125" spans="1:30" ht="15.75" customHeight="1">
      <c r="A125" s="16"/>
      <c r="B125" s="16"/>
      <c r="C125" s="16"/>
      <c r="D125" s="16"/>
      <c r="E125" s="16"/>
      <c r="F125" s="16"/>
      <c r="G125" s="16"/>
      <c r="H125" s="16"/>
      <c r="I125" s="16"/>
      <c r="J125" s="16"/>
      <c r="K125" s="16"/>
      <c r="L125" s="16"/>
      <c r="M125" s="735"/>
      <c r="N125" s="696"/>
      <c r="O125" s="696"/>
      <c r="P125" s="696"/>
      <c r="Q125" s="696"/>
      <c r="R125" s="696"/>
      <c r="S125" s="696"/>
      <c r="T125" s="696"/>
      <c r="U125" s="16"/>
      <c r="V125" s="16"/>
      <c r="W125" s="16"/>
      <c r="X125" s="16"/>
      <c r="Y125" s="16"/>
      <c r="Z125" s="16"/>
      <c r="AA125" s="16"/>
      <c r="AB125" s="16"/>
      <c r="AC125" s="16"/>
      <c r="AD125" s="16"/>
    </row>
    <row r="126" spans="1:30" ht="15.75" customHeight="1">
      <c r="A126" s="16"/>
      <c r="B126" s="16"/>
      <c r="C126" s="16"/>
      <c r="D126" s="16"/>
      <c r="E126" s="16"/>
      <c r="F126" s="16"/>
      <c r="G126" s="16"/>
      <c r="H126" s="16"/>
      <c r="I126" s="16"/>
      <c r="J126" s="16"/>
      <c r="K126" s="16"/>
      <c r="L126" s="16"/>
      <c r="M126" s="735"/>
      <c r="N126" s="696"/>
      <c r="O126" s="696"/>
      <c r="P126" s="696"/>
      <c r="Q126" s="696"/>
      <c r="R126" s="696"/>
      <c r="S126" s="696"/>
      <c r="T126" s="696"/>
      <c r="U126" s="16"/>
      <c r="V126" s="16"/>
      <c r="W126" s="16"/>
      <c r="X126" s="16"/>
      <c r="Y126" s="16"/>
      <c r="Z126" s="16"/>
      <c r="AA126" s="16"/>
      <c r="AB126" s="16"/>
      <c r="AC126" s="16"/>
      <c r="AD126" s="16"/>
    </row>
    <row r="127" spans="1:30" ht="15.75" customHeight="1">
      <c r="A127" s="16"/>
      <c r="B127" s="16"/>
      <c r="C127" s="16"/>
      <c r="D127" s="16"/>
      <c r="E127" s="16"/>
      <c r="F127" s="16"/>
      <c r="G127" s="16"/>
      <c r="H127" s="16"/>
      <c r="I127" s="16"/>
      <c r="J127" s="16"/>
      <c r="K127" s="16"/>
      <c r="L127" s="16"/>
      <c r="M127" s="735"/>
      <c r="N127" s="696"/>
      <c r="O127" s="696"/>
      <c r="P127" s="696"/>
      <c r="Q127" s="696"/>
      <c r="R127" s="696"/>
      <c r="S127" s="696"/>
      <c r="T127" s="696"/>
      <c r="U127" s="16"/>
      <c r="V127" s="16"/>
      <c r="W127" s="16"/>
      <c r="X127" s="16"/>
      <c r="Y127" s="16"/>
      <c r="Z127" s="16"/>
      <c r="AA127" s="16"/>
      <c r="AB127" s="16"/>
      <c r="AC127" s="16"/>
      <c r="AD127" s="16"/>
    </row>
    <row r="128" spans="1:30" ht="15.75" customHeight="1">
      <c r="A128" s="16"/>
      <c r="B128" s="16"/>
      <c r="C128" s="16"/>
      <c r="D128" s="16"/>
      <c r="E128" s="16"/>
      <c r="F128" s="16"/>
      <c r="G128" s="16"/>
      <c r="H128" s="16"/>
      <c r="I128" s="16"/>
      <c r="J128" s="16"/>
      <c r="K128" s="16"/>
      <c r="L128" s="16"/>
      <c r="M128" s="735"/>
      <c r="N128" s="696"/>
      <c r="O128" s="696"/>
      <c r="P128" s="696"/>
      <c r="Q128" s="696"/>
      <c r="R128" s="696"/>
      <c r="S128" s="696"/>
      <c r="T128" s="696"/>
      <c r="U128" s="16"/>
      <c r="V128" s="16"/>
      <c r="W128" s="16"/>
      <c r="X128" s="16"/>
      <c r="Y128" s="16"/>
      <c r="Z128" s="16"/>
      <c r="AA128" s="16"/>
      <c r="AB128" s="16"/>
      <c r="AC128" s="16"/>
      <c r="AD128" s="16"/>
    </row>
    <row r="129" spans="1:30" ht="15.75" customHeight="1">
      <c r="A129" s="16"/>
      <c r="B129" s="16"/>
      <c r="C129" s="16"/>
      <c r="D129" s="16"/>
      <c r="E129" s="16"/>
      <c r="F129" s="16"/>
      <c r="G129" s="16"/>
      <c r="H129" s="16"/>
      <c r="I129" s="16"/>
      <c r="J129" s="16"/>
      <c r="K129" s="16"/>
      <c r="L129" s="16"/>
      <c r="M129" s="735"/>
      <c r="N129" s="696"/>
      <c r="O129" s="696"/>
      <c r="P129" s="696"/>
      <c r="Q129" s="696"/>
      <c r="R129" s="696"/>
      <c r="S129" s="696"/>
      <c r="T129" s="696"/>
      <c r="U129" s="16"/>
      <c r="V129" s="16"/>
      <c r="W129" s="16"/>
      <c r="X129" s="16"/>
      <c r="Y129" s="16"/>
      <c r="Z129" s="16"/>
      <c r="AA129" s="16"/>
      <c r="AB129" s="16"/>
      <c r="AC129" s="16"/>
      <c r="AD129" s="16"/>
    </row>
    <row r="130" spans="1:30" ht="15.75" customHeight="1">
      <c r="A130" s="16"/>
      <c r="B130" s="16"/>
      <c r="C130" s="16"/>
      <c r="D130" s="16"/>
      <c r="E130" s="16"/>
      <c r="F130" s="16"/>
      <c r="G130" s="16"/>
      <c r="H130" s="16"/>
      <c r="I130" s="16"/>
      <c r="J130" s="16"/>
      <c r="K130" s="16"/>
      <c r="L130" s="16"/>
      <c r="M130" s="735"/>
      <c r="N130" s="696"/>
      <c r="O130" s="696"/>
      <c r="P130" s="696"/>
      <c r="Q130" s="696"/>
      <c r="R130" s="696"/>
      <c r="S130" s="696"/>
      <c r="T130" s="696"/>
      <c r="U130" s="16"/>
      <c r="V130" s="16"/>
      <c r="W130" s="16"/>
      <c r="X130" s="16"/>
      <c r="Y130" s="16"/>
      <c r="Z130" s="16"/>
      <c r="AA130" s="16"/>
      <c r="AB130" s="16"/>
      <c r="AC130" s="16"/>
      <c r="AD130" s="16"/>
    </row>
    <row r="131" spans="1:30" ht="15.75" customHeight="1">
      <c r="A131" s="16"/>
      <c r="B131" s="16"/>
      <c r="C131" s="16"/>
      <c r="D131" s="16"/>
      <c r="E131" s="16"/>
      <c r="F131" s="16"/>
      <c r="G131" s="16"/>
      <c r="H131" s="16"/>
      <c r="I131" s="16"/>
      <c r="J131" s="16"/>
      <c r="K131" s="16"/>
      <c r="L131" s="16"/>
      <c r="M131" s="735"/>
      <c r="N131" s="696"/>
      <c r="O131" s="696"/>
      <c r="P131" s="696"/>
      <c r="Q131" s="696"/>
      <c r="R131" s="696"/>
      <c r="S131" s="696"/>
      <c r="T131" s="696"/>
      <c r="U131" s="16"/>
      <c r="V131" s="16"/>
      <c r="W131" s="16"/>
      <c r="X131" s="16"/>
      <c r="Y131" s="16"/>
      <c r="Z131" s="16"/>
      <c r="AA131" s="16"/>
      <c r="AB131" s="16"/>
      <c r="AC131" s="16"/>
      <c r="AD131" s="16"/>
    </row>
    <row r="132" spans="1:30" ht="15.75" customHeight="1">
      <c r="A132" s="16"/>
      <c r="B132" s="16"/>
      <c r="C132" s="16"/>
      <c r="D132" s="16"/>
      <c r="E132" s="16"/>
      <c r="F132" s="16"/>
      <c r="G132" s="16"/>
      <c r="H132" s="16"/>
      <c r="I132" s="16"/>
      <c r="J132" s="16"/>
      <c r="K132" s="16"/>
      <c r="L132" s="16"/>
      <c r="M132" s="735"/>
      <c r="N132" s="696"/>
      <c r="O132" s="696"/>
      <c r="P132" s="696"/>
      <c r="Q132" s="696"/>
      <c r="R132" s="696"/>
      <c r="S132" s="696"/>
      <c r="T132" s="696"/>
      <c r="U132" s="16"/>
      <c r="V132" s="16"/>
      <c r="W132" s="16"/>
      <c r="X132" s="16"/>
      <c r="Y132" s="16"/>
      <c r="Z132" s="16"/>
      <c r="AA132" s="16"/>
      <c r="AB132" s="16"/>
      <c r="AC132" s="16"/>
      <c r="AD132" s="16"/>
    </row>
    <row r="133" spans="1:30" ht="15.75" customHeight="1">
      <c r="A133" s="16"/>
      <c r="B133" s="16"/>
      <c r="C133" s="16"/>
      <c r="D133" s="16"/>
      <c r="E133" s="16"/>
      <c r="F133" s="16"/>
      <c r="G133" s="16"/>
      <c r="H133" s="16"/>
      <c r="I133" s="16"/>
      <c r="J133" s="16"/>
      <c r="K133" s="16"/>
      <c r="L133" s="16"/>
      <c r="M133" s="735"/>
      <c r="N133" s="696"/>
      <c r="O133" s="696"/>
      <c r="P133" s="696"/>
      <c r="Q133" s="696"/>
      <c r="R133" s="696"/>
      <c r="S133" s="696"/>
      <c r="T133" s="696"/>
      <c r="U133" s="16"/>
      <c r="V133" s="16"/>
      <c r="W133" s="16"/>
      <c r="X133" s="16"/>
      <c r="Y133" s="16"/>
      <c r="Z133" s="16"/>
      <c r="AA133" s="16"/>
      <c r="AB133" s="16"/>
      <c r="AC133" s="16"/>
      <c r="AD133" s="16"/>
    </row>
    <row r="134" spans="1:30" ht="15.75" customHeight="1">
      <c r="A134" s="16"/>
      <c r="B134" s="16"/>
      <c r="C134" s="16"/>
      <c r="D134" s="16"/>
      <c r="E134" s="16"/>
      <c r="F134" s="16"/>
      <c r="G134" s="16"/>
      <c r="H134" s="16"/>
      <c r="I134" s="16"/>
      <c r="J134" s="16"/>
      <c r="K134" s="16"/>
      <c r="L134" s="16"/>
      <c r="M134" s="735"/>
      <c r="N134" s="696"/>
      <c r="O134" s="696"/>
      <c r="P134" s="696"/>
      <c r="Q134" s="696"/>
      <c r="R134" s="696"/>
      <c r="S134" s="696"/>
      <c r="T134" s="696"/>
      <c r="U134" s="16"/>
      <c r="V134" s="16"/>
      <c r="W134" s="16"/>
      <c r="X134" s="16"/>
      <c r="Y134" s="16"/>
      <c r="Z134" s="16"/>
      <c r="AA134" s="16"/>
      <c r="AB134" s="16"/>
      <c r="AC134" s="16"/>
      <c r="AD134" s="16"/>
    </row>
    <row r="135" spans="1:30" ht="15.75" customHeight="1">
      <c r="A135" s="16"/>
      <c r="B135" s="16"/>
      <c r="C135" s="16"/>
      <c r="D135" s="16"/>
      <c r="E135" s="16"/>
      <c r="F135" s="16"/>
      <c r="G135" s="16"/>
      <c r="H135" s="16"/>
      <c r="I135" s="16"/>
      <c r="J135" s="16"/>
      <c r="K135" s="16"/>
      <c r="L135" s="16"/>
      <c r="M135" s="735"/>
      <c r="N135" s="696"/>
      <c r="O135" s="696"/>
      <c r="P135" s="696"/>
      <c r="Q135" s="696"/>
      <c r="R135" s="696"/>
      <c r="S135" s="696"/>
      <c r="T135" s="696"/>
      <c r="U135" s="16"/>
      <c r="V135" s="16"/>
      <c r="W135" s="16"/>
      <c r="X135" s="16"/>
      <c r="Y135" s="16"/>
      <c r="Z135" s="16"/>
      <c r="AA135" s="16"/>
      <c r="AB135" s="16"/>
      <c r="AC135" s="16"/>
      <c r="AD135" s="16"/>
    </row>
    <row r="136" spans="1:30" ht="15.75" customHeight="1">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c r="AA136" s="16"/>
      <c r="AB136" s="16"/>
      <c r="AC136" s="16"/>
      <c r="AD136" s="16"/>
    </row>
    <row r="137" spans="1:30" ht="15.75" customHeight="1">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c r="AA137" s="16"/>
      <c r="AB137" s="16"/>
      <c r="AC137" s="16"/>
      <c r="AD137" s="16"/>
    </row>
    <row r="138" spans="1:30" ht="15.75" customHeight="1">
      <c r="A138" s="16"/>
      <c r="B138" s="16"/>
      <c r="C138" s="16"/>
      <c r="D138" s="16"/>
      <c r="E138" s="16"/>
      <c r="F138" s="16"/>
      <c r="G138" s="16"/>
      <c r="H138" s="16"/>
      <c r="I138" s="16"/>
      <c r="J138" s="16"/>
      <c r="K138" s="16"/>
      <c r="L138" s="16"/>
      <c r="M138" s="735"/>
      <c r="N138" s="696"/>
      <c r="O138" s="696"/>
      <c r="P138" s="735"/>
      <c r="Q138" s="696"/>
      <c r="R138" s="696"/>
      <c r="S138" s="696"/>
      <c r="T138" s="696"/>
      <c r="U138" s="16"/>
      <c r="V138" s="16"/>
      <c r="W138" s="16"/>
      <c r="X138" s="16"/>
      <c r="Y138" s="16"/>
      <c r="Z138" s="16"/>
      <c r="AA138" s="16"/>
      <c r="AB138" s="16"/>
      <c r="AC138" s="16"/>
      <c r="AD138" s="16"/>
    </row>
    <row r="139" spans="1:30" ht="15.75" customHeight="1">
      <c r="A139" s="16"/>
      <c r="B139" s="16"/>
      <c r="C139" s="16"/>
      <c r="D139" s="16"/>
      <c r="E139" s="16"/>
      <c r="F139" s="16"/>
      <c r="G139" s="16"/>
      <c r="H139" s="16"/>
      <c r="I139" s="16"/>
      <c r="J139" s="16"/>
      <c r="K139" s="16"/>
      <c r="L139" s="16"/>
      <c r="M139" s="735"/>
      <c r="N139" s="696"/>
      <c r="O139" s="696"/>
      <c r="P139" s="735"/>
      <c r="Q139" s="696"/>
      <c r="R139" s="696"/>
      <c r="S139" s="696"/>
      <c r="T139" s="696"/>
      <c r="U139" s="16"/>
      <c r="V139" s="16"/>
      <c r="W139" s="16"/>
      <c r="X139" s="16"/>
      <c r="Y139" s="16"/>
      <c r="Z139" s="16"/>
      <c r="AA139" s="16"/>
      <c r="AB139" s="16"/>
      <c r="AC139" s="16"/>
      <c r="AD139" s="16"/>
    </row>
    <row r="140" spans="1:30" ht="15.75" customHeight="1">
      <c r="A140" s="16"/>
      <c r="B140" s="16"/>
      <c r="C140" s="16"/>
      <c r="D140" s="16"/>
      <c r="E140" s="16"/>
      <c r="F140" s="16"/>
      <c r="G140" s="16"/>
      <c r="H140" s="16"/>
      <c r="I140" s="16"/>
      <c r="J140" s="16"/>
      <c r="K140" s="16"/>
      <c r="L140" s="16"/>
      <c r="M140" s="735"/>
      <c r="N140" s="696"/>
      <c r="O140" s="696"/>
      <c r="P140" s="696"/>
      <c r="Q140" s="696"/>
      <c r="R140" s="696"/>
      <c r="S140" s="696"/>
      <c r="T140" s="696"/>
      <c r="U140" s="16"/>
      <c r="V140" s="16"/>
      <c r="W140" s="16"/>
      <c r="X140" s="16"/>
      <c r="Y140" s="16"/>
      <c r="Z140" s="16"/>
      <c r="AA140" s="16"/>
      <c r="AB140" s="16"/>
      <c r="AC140" s="16"/>
      <c r="AD140" s="16"/>
    </row>
    <row r="141" spans="1:30" ht="15.75" customHeight="1">
      <c r="A141" s="16"/>
      <c r="B141" s="16"/>
      <c r="C141" s="16"/>
      <c r="D141" s="16"/>
      <c r="E141" s="16"/>
      <c r="F141" s="16"/>
      <c r="G141" s="16"/>
      <c r="H141" s="16"/>
      <c r="I141" s="16"/>
      <c r="J141" s="16"/>
      <c r="K141" s="16"/>
      <c r="L141" s="16"/>
      <c r="M141" s="735"/>
      <c r="N141" s="696"/>
      <c r="O141" s="696"/>
      <c r="P141" s="696"/>
      <c r="Q141" s="696"/>
      <c r="R141" s="696"/>
      <c r="S141" s="696"/>
      <c r="T141" s="696"/>
      <c r="U141" s="16"/>
      <c r="V141" s="16"/>
      <c r="W141" s="16"/>
      <c r="X141" s="16"/>
      <c r="Y141" s="16"/>
      <c r="Z141" s="16"/>
      <c r="AA141" s="16"/>
      <c r="AB141" s="16"/>
      <c r="AC141" s="16"/>
      <c r="AD141" s="16"/>
    </row>
    <row r="142" spans="1:30" ht="15.75" customHeight="1">
      <c r="A142" s="16"/>
      <c r="B142" s="16"/>
      <c r="C142" s="16"/>
      <c r="D142" s="16"/>
      <c r="E142" s="16"/>
      <c r="F142" s="16"/>
      <c r="G142" s="16"/>
      <c r="H142" s="16"/>
      <c r="I142" s="16"/>
      <c r="J142" s="16"/>
      <c r="K142" s="16"/>
      <c r="L142" s="16"/>
      <c r="M142" s="735"/>
      <c r="N142" s="696"/>
      <c r="O142" s="696"/>
      <c r="P142" s="696"/>
      <c r="Q142" s="696"/>
      <c r="R142" s="696"/>
      <c r="S142" s="696"/>
      <c r="T142" s="696"/>
      <c r="U142" s="16"/>
      <c r="V142" s="16"/>
      <c r="W142" s="16"/>
      <c r="X142" s="16"/>
      <c r="Y142" s="16"/>
      <c r="Z142" s="16"/>
      <c r="AA142" s="16"/>
      <c r="AB142" s="16"/>
      <c r="AC142" s="16"/>
      <c r="AD142" s="16"/>
    </row>
    <row r="143" spans="1:30" ht="15.75" customHeight="1">
      <c r="A143" s="16"/>
      <c r="B143" s="16"/>
      <c r="C143" s="16"/>
      <c r="D143" s="16"/>
      <c r="E143" s="16"/>
      <c r="F143" s="16"/>
      <c r="G143" s="16"/>
      <c r="H143" s="16"/>
      <c r="I143" s="16"/>
      <c r="J143" s="16"/>
      <c r="K143" s="16"/>
      <c r="L143" s="16"/>
      <c r="M143" s="735"/>
      <c r="N143" s="696"/>
      <c r="O143" s="696"/>
      <c r="P143" s="696"/>
      <c r="Q143" s="696"/>
      <c r="R143" s="696"/>
      <c r="S143" s="696"/>
      <c r="T143" s="696"/>
      <c r="U143" s="16"/>
      <c r="V143" s="16"/>
      <c r="W143" s="16"/>
      <c r="X143" s="16"/>
      <c r="Y143" s="16"/>
      <c r="Z143" s="16"/>
      <c r="AA143" s="16"/>
      <c r="AB143" s="16"/>
      <c r="AC143" s="16"/>
      <c r="AD143" s="16"/>
    </row>
    <row r="144" spans="1:30" ht="15.75" customHeight="1">
      <c r="A144" s="16"/>
      <c r="B144" s="16"/>
      <c r="C144" s="16"/>
      <c r="D144" s="16"/>
      <c r="E144" s="16"/>
      <c r="F144" s="16"/>
      <c r="G144" s="16"/>
      <c r="H144" s="16"/>
      <c r="I144" s="16"/>
      <c r="J144" s="16"/>
      <c r="K144" s="16"/>
      <c r="L144" s="16"/>
      <c r="M144" s="735"/>
      <c r="N144" s="696"/>
      <c r="O144" s="696"/>
      <c r="P144" s="696"/>
      <c r="Q144" s="696"/>
      <c r="R144" s="696"/>
      <c r="S144" s="696"/>
      <c r="T144" s="696"/>
      <c r="U144" s="16"/>
      <c r="V144" s="16"/>
      <c r="W144" s="16"/>
      <c r="X144" s="16"/>
      <c r="Y144" s="16"/>
      <c r="Z144" s="16"/>
      <c r="AA144" s="16"/>
      <c r="AB144" s="16"/>
      <c r="AC144" s="16"/>
      <c r="AD144" s="16"/>
    </row>
    <row r="145" spans="1:30" ht="15.75" customHeight="1">
      <c r="A145" s="16"/>
      <c r="B145" s="16"/>
      <c r="C145" s="16"/>
      <c r="D145" s="16"/>
      <c r="E145" s="16"/>
      <c r="F145" s="16"/>
      <c r="G145" s="16"/>
      <c r="H145" s="16"/>
      <c r="I145" s="16"/>
      <c r="J145" s="16"/>
      <c r="K145" s="16"/>
      <c r="L145" s="16"/>
      <c r="M145" s="735"/>
      <c r="N145" s="696"/>
      <c r="O145" s="696"/>
      <c r="P145" s="696"/>
      <c r="Q145" s="696"/>
      <c r="R145" s="696"/>
      <c r="S145" s="696"/>
      <c r="T145" s="696"/>
      <c r="U145" s="16"/>
      <c r="V145" s="16"/>
      <c r="W145" s="16"/>
      <c r="X145" s="16"/>
      <c r="Y145" s="16"/>
      <c r="Z145" s="16"/>
      <c r="AA145" s="16"/>
      <c r="AB145" s="16"/>
      <c r="AC145" s="16"/>
      <c r="AD145" s="16"/>
    </row>
    <row r="146" spans="1:30" ht="15.75" customHeight="1">
      <c r="A146" s="16"/>
      <c r="B146" s="16"/>
      <c r="C146" s="16"/>
      <c r="D146" s="16"/>
      <c r="E146" s="16"/>
      <c r="F146" s="16"/>
      <c r="G146" s="16"/>
      <c r="H146" s="16"/>
      <c r="I146" s="16"/>
      <c r="J146" s="16"/>
      <c r="K146" s="16"/>
      <c r="L146" s="16"/>
      <c r="M146" s="735"/>
      <c r="N146" s="696"/>
      <c r="O146" s="696"/>
      <c r="P146" s="696"/>
      <c r="Q146" s="696"/>
      <c r="R146" s="696"/>
      <c r="S146" s="696"/>
      <c r="T146" s="696"/>
      <c r="U146" s="16"/>
      <c r="V146" s="16"/>
      <c r="W146" s="16"/>
      <c r="X146" s="16"/>
      <c r="Y146" s="16"/>
      <c r="Z146" s="16"/>
      <c r="AA146" s="16"/>
      <c r="AB146" s="16"/>
      <c r="AC146" s="16"/>
      <c r="AD146" s="16"/>
    </row>
    <row r="147" spans="1:30" ht="15.75" customHeight="1">
      <c r="A147" s="16"/>
      <c r="B147" s="16"/>
      <c r="C147" s="16"/>
      <c r="D147" s="16"/>
      <c r="E147" s="16"/>
      <c r="F147" s="16"/>
      <c r="G147" s="16"/>
      <c r="H147" s="16"/>
      <c r="I147" s="16"/>
      <c r="J147" s="16"/>
      <c r="K147" s="16"/>
      <c r="L147" s="16"/>
      <c r="M147" s="735"/>
      <c r="N147" s="696"/>
      <c r="O147" s="696"/>
      <c r="P147" s="696"/>
      <c r="Q147" s="696"/>
      <c r="R147" s="696"/>
      <c r="S147" s="696"/>
      <c r="T147" s="696"/>
      <c r="U147" s="16"/>
      <c r="V147" s="16"/>
      <c r="W147" s="16"/>
      <c r="X147" s="16"/>
      <c r="Y147" s="16"/>
      <c r="Z147" s="16"/>
      <c r="AA147" s="16"/>
      <c r="AB147" s="16"/>
      <c r="AC147" s="16"/>
      <c r="AD147" s="16"/>
    </row>
    <row r="148" spans="1:30" ht="15.75" customHeight="1">
      <c r="A148" s="16"/>
      <c r="B148" s="16"/>
      <c r="C148" s="16"/>
      <c r="D148" s="16"/>
      <c r="E148" s="16"/>
      <c r="F148" s="16"/>
      <c r="G148" s="16"/>
      <c r="H148" s="16"/>
      <c r="I148" s="16"/>
      <c r="J148" s="16"/>
      <c r="K148" s="16"/>
      <c r="L148" s="16"/>
      <c r="M148" s="735"/>
      <c r="N148" s="696"/>
      <c r="O148" s="696"/>
      <c r="P148" s="696"/>
      <c r="Q148" s="696"/>
      <c r="R148" s="696"/>
      <c r="S148" s="696"/>
      <c r="T148" s="696"/>
      <c r="U148" s="16"/>
      <c r="V148" s="16"/>
      <c r="W148" s="16"/>
      <c r="X148" s="16"/>
      <c r="Y148" s="16"/>
      <c r="Z148" s="16"/>
      <c r="AA148" s="16"/>
      <c r="AB148" s="16"/>
      <c r="AC148" s="16"/>
      <c r="AD148" s="16"/>
    </row>
    <row r="149" spans="1:30" ht="15.75" customHeight="1">
      <c r="A149" s="16"/>
      <c r="B149" s="16"/>
      <c r="C149" s="16"/>
      <c r="D149" s="16"/>
      <c r="E149" s="16"/>
      <c r="F149" s="16"/>
      <c r="G149" s="16"/>
      <c r="H149" s="16"/>
      <c r="I149" s="16"/>
      <c r="J149" s="16"/>
      <c r="K149" s="16"/>
      <c r="L149" s="16"/>
      <c r="M149" s="735"/>
      <c r="N149" s="696"/>
      <c r="O149" s="696"/>
      <c r="P149" s="696"/>
      <c r="Q149" s="696"/>
      <c r="R149" s="696"/>
      <c r="S149" s="696"/>
      <c r="T149" s="696"/>
      <c r="U149" s="16"/>
      <c r="V149" s="16"/>
      <c r="W149" s="16"/>
      <c r="X149" s="16"/>
      <c r="Y149" s="16"/>
      <c r="Z149" s="16"/>
      <c r="AA149" s="16"/>
      <c r="AB149" s="16"/>
      <c r="AC149" s="16"/>
      <c r="AD149" s="16"/>
    </row>
    <row r="150" spans="1:30" ht="15.75" customHeight="1">
      <c r="A150" s="16"/>
      <c r="B150" s="16"/>
      <c r="C150" s="16"/>
      <c r="D150" s="16"/>
      <c r="E150" s="16"/>
      <c r="F150" s="16"/>
      <c r="G150" s="16"/>
      <c r="H150" s="16"/>
      <c r="I150" s="16"/>
      <c r="J150" s="16"/>
      <c r="K150" s="16"/>
      <c r="L150" s="16"/>
      <c r="M150" s="735"/>
      <c r="N150" s="696"/>
      <c r="O150" s="696"/>
      <c r="P150" s="696"/>
      <c r="Q150" s="696"/>
      <c r="R150" s="696"/>
      <c r="S150" s="696"/>
      <c r="T150" s="696"/>
      <c r="U150" s="16"/>
      <c r="V150" s="16"/>
      <c r="W150" s="16"/>
      <c r="X150" s="16"/>
      <c r="Y150" s="16"/>
      <c r="Z150" s="16"/>
      <c r="AA150" s="16"/>
      <c r="AB150" s="16"/>
      <c r="AC150" s="16"/>
      <c r="AD150" s="16"/>
    </row>
    <row r="151" spans="1:30" ht="15.75" customHeight="1">
      <c r="A151" s="16"/>
      <c r="B151" s="16"/>
      <c r="C151" s="16"/>
      <c r="D151" s="16"/>
      <c r="E151" s="16"/>
      <c r="F151" s="16"/>
      <c r="G151" s="16"/>
      <c r="H151" s="16"/>
      <c r="I151" s="16"/>
      <c r="J151" s="16"/>
      <c r="K151" s="16"/>
      <c r="L151" s="16"/>
      <c r="M151" s="735"/>
      <c r="N151" s="696"/>
      <c r="O151" s="696"/>
      <c r="P151" s="696"/>
      <c r="Q151" s="696"/>
      <c r="R151" s="696"/>
      <c r="S151" s="696"/>
      <c r="T151" s="696"/>
      <c r="U151" s="16"/>
      <c r="V151" s="16"/>
      <c r="W151" s="16"/>
      <c r="X151" s="16"/>
      <c r="Y151" s="16"/>
      <c r="Z151" s="16"/>
      <c r="AA151" s="16"/>
      <c r="AB151" s="16"/>
      <c r="AC151" s="16"/>
      <c r="AD151" s="16"/>
    </row>
    <row r="152" spans="1:30" ht="15.75" customHeight="1">
      <c r="A152" s="16"/>
      <c r="B152" s="16"/>
      <c r="C152" s="16"/>
      <c r="D152" s="16"/>
      <c r="E152" s="16"/>
      <c r="F152" s="16"/>
      <c r="G152" s="16"/>
      <c r="H152" s="16"/>
      <c r="I152" s="16"/>
      <c r="J152" s="16"/>
      <c r="K152" s="16"/>
      <c r="L152" s="16"/>
      <c r="M152" s="735"/>
      <c r="N152" s="696"/>
      <c r="O152" s="696"/>
      <c r="P152" s="696"/>
      <c r="Q152" s="696"/>
      <c r="R152" s="696"/>
      <c r="S152" s="696"/>
      <c r="T152" s="696"/>
      <c r="U152" s="16"/>
      <c r="V152" s="16"/>
      <c r="W152" s="16"/>
      <c r="X152" s="16"/>
      <c r="Y152" s="16"/>
      <c r="Z152" s="16"/>
      <c r="AA152" s="16"/>
      <c r="AB152" s="16"/>
      <c r="AC152" s="16"/>
      <c r="AD152" s="16"/>
    </row>
    <row r="153" spans="1:30" ht="15.75" customHeight="1">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c r="AA153" s="16"/>
      <c r="AB153" s="16"/>
      <c r="AC153" s="16"/>
      <c r="AD153" s="16"/>
    </row>
    <row r="154" spans="1:30" ht="15.75" customHeight="1">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c r="AA154" s="16"/>
      <c r="AB154" s="16"/>
      <c r="AC154" s="16"/>
      <c r="AD154" s="16"/>
    </row>
    <row r="155" spans="1:30" ht="15.75" customHeight="1">
      <c r="A155" s="16"/>
      <c r="B155" s="735"/>
      <c r="C155" s="696"/>
      <c r="D155" s="16"/>
      <c r="E155" s="16"/>
      <c r="F155" s="16"/>
      <c r="G155" s="16"/>
      <c r="H155" s="16"/>
      <c r="I155" s="16"/>
      <c r="J155" s="16"/>
      <c r="K155" s="16"/>
      <c r="L155" s="16"/>
      <c r="M155" s="735"/>
      <c r="N155" s="696"/>
      <c r="O155" s="696"/>
      <c r="P155" s="735"/>
      <c r="Q155" s="696"/>
      <c r="R155" s="696"/>
      <c r="S155" s="696"/>
      <c r="T155" s="696"/>
      <c r="U155" s="16"/>
      <c r="V155" s="16"/>
      <c r="W155" s="16"/>
      <c r="X155" s="16"/>
      <c r="Y155" s="16"/>
      <c r="Z155" s="16"/>
      <c r="AA155" s="16"/>
      <c r="AB155" s="16"/>
      <c r="AC155" s="16"/>
      <c r="AD155" s="16"/>
    </row>
    <row r="156" spans="1:30" ht="15.75" customHeight="1">
      <c r="A156" s="16"/>
      <c r="B156" s="735"/>
      <c r="C156" s="696"/>
      <c r="D156" s="16"/>
      <c r="E156" s="16"/>
      <c r="F156" s="16"/>
      <c r="G156" s="16"/>
      <c r="H156" s="16"/>
      <c r="I156" s="16"/>
      <c r="J156" s="16"/>
      <c r="K156" s="16"/>
      <c r="L156" s="16"/>
      <c r="M156" s="735"/>
      <c r="N156" s="696"/>
      <c r="O156" s="696"/>
      <c r="P156" s="735"/>
      <c r="Q156" s="696"/>
      <c r="R156" s="696"/>
      <c r="S156" s="696"/>
      <c r="T156" s="696"/>
      <c r="U156" s="16"/>
      <c r="V156" s="16"/>
      <c r="W156" s="16"/>
      <c r="X156" s="16"/>
      <c r="Y156" s="16"/>
      <c r="Z156" s="16"/>
      <c r="AA156" s="16"/>
      <c r="AB156" s="16"/>
      <c r="AC156" s="16"/>
      <c r="AD156" s="16"/>
    </row>
    <row r="157" spans="1:30" ht="15.75" customHeight="1">
      <c r="A157" s="16"/>
      <c r="B157" s="735"/>
      <c r="C157" s="696"/>
      <c r="D157" s="16"/>
      <c r="E157" s="16"/>
      <c r="F157" s="16"/>
      <c r="G157" s="16"/>
      <c r="H157" s="16"/>
      <c r="I157" s="16"/>
      <c r="J157" s="16"/>
      <c r="K157" s="16"/>
      <c r="L157" s="16"/>
      <c r="M157" s="735"/>
      <c r="N157" s="696"/>
      <c r="O157" s="696"/>
      <c r="P157" s="696"/>
      <c r="Q157" s="696"/>
      <c r="R157" s="696"/>
      <c r="S157" s="696"/>
      <c r="T157" s="696"/>
      <c r="U157" s="16"/>
      <c r="V157" s="16"/>
      <c r="W157" s="16"/>
      <c r="X157" s="16"/>
      <c r="Y157" s="16"/>
      <c r="Z157" s="16"/>
      <c r="AA157" s="16"/>
      <c r="AB157" s="16"/>
      <c r="AC157" s="16"/>
      <c r="AD157" s="16"/>
    </row>
    <row r="158" spans="1:30" ht="15.75" customHeight="1">
      <c r="A158" s="16"/>
      <c r="B158" s="735"/>
      <c r="C158" s="696"/>
      <c r="D158" s="16"/>
      <c r="E158" s="16"/>
      <c r="F158" s="16"/>
      <c r="G158" s="16"/>
      <c r="H158" s="16"/>
      <c r="I158" s="16"/>
      <c r="J158" s="16"/>
      <c r="K158" s="16"/>
      <c r="L158" s="16"/>
      <c r="M158" s="735"/>
      <c r="N158" s="696"/>
      <c r="O158" s="696"/>
      <c r="P158" s="696"/>
      <c r="Q158" s="696"/>
      <c r="R158" s="696"/>
      <c r="S158" s="696"/>
      <c r="T158" s="696"/>
      <c r="U158" s="16"/>
      <c r="V158" s="16"/>
      <c r="W158" s="16"/>
      <c r="X158" s="16"/>
      <c r="Y158" s="16"/>
      <c r="Z158" s="16"/>
      <c r="AA158" s="16"/>
      <c r="AB158" s="16"/>
      <c r="AC158" s="16"/>
      <c r="AD158" s="16"/>
    </row>
    <row r="159" spans="1:30" ht="15.75" customHeight="1">
      <c r="A159" s="16"/>
      <c r="B159" s="735"/>
      <c r="C159" s="696"/>
      <c r="D159" s="16"/>
      <c r="E159" s="16"/>
      <c r="F159" s="16"/>
      <c r="G159" s="16"/>
      <c r="H159" s="16"/>
      <c r="I159" s="16"/>
      <c r="J159" s="16"/>
      <c r="K159" s="16"/>
      <c r="L159" s="16"/>
      <c r="M159" s="735"/>
      <c r="N159" s="696"/>
      <c r="O159" s="696"/>
      <c r="P159" s="696"/>
      <c r="Q159" s="696"/>
      <c r="R159" s="696"/>
      <c r="S159" s="696"/>
      <c r="T159" s="696"/>
      <c r="U159" s="16"/>
      <c r="V159" s="16"/>
      <c r="W159" s="16"/>
      <c r="X159" s="16"/>
      <c r="Y159" s="16"/>
      <c r="Z159" s="16"/>
      <c r="AA159" s="16"/>
      <c r="AB159" s="16"/>
      <c r="AC159" s="16"/>
      <c r="AD159" s="16"/>
    </row>
    <row r="160" spans="1:30" ht="15.75" customHeight="1">
      <c r="A160" s="16"/>
      <c r="B160" s="735"/>
      <c r="C160" s="696"/>
      <c r="D160" s="16"/>
      <c r="E160" s="16"/>
      <c r="F160" s="16"/>
      <c r="G160" s="16"/>
      <c r="H160" s="16"/>
      <c r="I160" s="16"/>
      <c r="J160" s="16"/>
      <c r="K160" s="16"/>
      <c r="L160" s="16"/>
      <c r="M160" s="735"/>
      <c r="N160" s="696"/>
      <c r="O160" s="696"/>
      <c r="P160" s="696"/>
      <c r="Q160" s="696"/>
      <c r="R160" s="696"/>
      <c r="S160" s="696"/>
      <c r="T160" s="696"/>
      <c r="U160" s="16"/>
      <c r="V160" s="16"/>
      <c r="W160" s="16"/>
      <c r="X160" s="16"/>
      <c r="Y160" s="16"/>
      <c r="Z160" s="16"/>
      <c r="AA160" s="16"/>
      <c r="AB160" s="16"/>
      <c r="AC160" s="16"/>
      <c r="AD160" s="16"/>
    </row>
    <row r="161" spans="1:30" ht="15.75" customHeight="1">
      <c r="A161" s="16"/>
      <c r="B161" s="735"/>
      <c r="C161" s="696"/>
      <c r="D161" s="16"/>
      <c r="E161" s="16"/>
      <c r="F161" s="16"/>
      <c r="G161" s="16"/>
      <c r="H161" s="16"/>
      <c r="I161" s="16"/>
      <c r="J161" s="16"/>
      <c r="K161" s="16"/>
      <c r="L161" s="16"/>
      <c r="M161" s="735"/>
      <c r="N161" s="696"/>
      <c r="O161" s="696"/>
      <c r="P161" s="696"/>
      <c r="Q161" s="696"/>
      <c r="R161" s="696"/>
      <c r="S161" s="696"/>
      <c r="T161" s="696"/>
      <c r="U161" s="16"/>
      <c r="V161" s="16"/>
      <c r="W161" s="16"/>
      <c r="X161" s="16"/>
      <c r="Y161" s="16"/>
      <c r="Z161" s="16"/>
      <c r="AA161" s="16"/>
      <c r="AB161" s="16"/>
      <c r="AC161" s="16"/>
      <c r="AD161" s="16"/>
    </row>
    <row r="162" spans="1:30" ht="15.75" customHeight="1">
      <c r="A162" s="16"/>
      <c r="B162" s="735"/>
      <c r="C162" s="696"/>
      <c r="D162" s="16"/>
      <c r="E162" s="16"/>
      <c r="F162" s="16"/>
      <c r="G162" s="16"/>
      <c r="H162" s="16"/>
      <c r="I162" s="16"/>
      <c r="J162" s="16"/>
      <c r="K162" s="16"/>
      <c r="L162" s="16"/>
      <c r="M162" s="735"/>
      <c r="N162" s="696"/>
      <c r="O162" s="696"/>
      <c r="P162" s="696"/>
      <c r="Q162" s="696"/>
      <c r="R162" s="696"/>
      <c r="S162" s="696"/>
      <c r="T162" s="696"/>
      <c r="U162" s="16"/>
      <c r="V162" s="16"/>
      <c r="W162" s="16"/>
      <c r="X162" s="16"/>
      <c r="Y162" s="16"/>
      <c r="Z162" s="16"/>
      <c r="AA162" s="16"/>
      <c r="AB162" s="16"/>
      <c r="AC162" s="16"/>
      <c r="AD162" s="16"/>
    </row>
    <row r="163" spans="1:30" ht="15.75" customHeight="1">
      <c r="A163" s="16"/>
      <c r="B163" s="735"/>
      <c r="C163" s="696"/>
      <c r="D163" s="16"/>
      <c r="E163" s="16"/>
      <c r="F163" s="16"/>
      <c r="G163" s="16"/>
      <c r="H163" s="16"/>
      <c r="I163" s="16"/>
      <c r="J163" s="16"/>
      <c r="K163" s="16"/>
      <c r="L163" s="16"/>
      <c r="M163" s="735"/>
      <c r="N163" s="696"/>
      <c r="O163" s="696"/>
      <c r="P163" s="696"/>
      <c r="Q163" s="696"/>
      <c r="R163" s="696"/>
      <c r="S163" s="696"/>
      <c r="T163" s="696"/>
      <c r="U163" s="16"/>
      <c r="V163" s="16"/>
      <c r="W163" s="16"/>
      <c r="X163" s="16"/>
      <c r="Y163" s="16"/>
      <c r="Z163" s="16"/>
      <c r="AA163" s="16"/>
      <c r="AB163" s="16"/>
      <c r="AC163" s="16"/>
      <c r="AD163" s="16"/>
    </row>
    <row r="164" spans="1:30" ht="15.75" customHeight="1">
      <c r="A164" s="16"/>
      <c r="B164" s="735"/>
      <c r="C164" s="696"/>
      <c r="D164" s="16"/>
      <c r="E164" s="16"/>
      <c r="F164" s="16"/>
      <c r="G164" s="16"/>
      <c r="H164" s="16"/>
      <c r="I164" s="16"/>
      <c r="J164" s="16"/>
      <c r="K164" s="16"/>
      <c r="L164" s="16"/>
      <c r="M164" s="735"/>
      <c r="N164" s="696"/>
      <c r="O164" s="696"/>
      <c r="P164" s="696"/>
      <c r="Q164" s="696"/>
      <c r="R164" s="696"/>
      <c r="S164" s="696"/>
      <c r="T164" s="696"/>
      <c r="U164" s="16"/>
      <c r="V164" s="16"/>
      <c r="W164" s="16"/>
      <c r="X164" s="16"/>
      <c r="Y164" s="16"/>
      <c r="Z164" s="16"/>
      <c r="AA164" s="16"/>
      <c r="AB164" s="16"/>
      <c r="AC164" s="16"/>
      <c r="AD164" s="16"/>
    </row>
    <row r="165" spans="1:30" ht="15.75" customHeight="1">
      <c r="A165" s="16"/>
      <c r="B165" s="735"/>
      <c r="C165" s="696"/>
      <c r="D165" s="16"/>
      <c r="E165" s="16"/>
      <c r="F165" s="16"/>
      <c r="G165" s="16"/>
      <c r="H165" s="16"/>
      <c r="I165" s="16"/>
      <c r="J165" s="16"/>
      <c r="K165" s="16"/>
      <c r="L165" s="16"/>
      <c r="M165" s="735"/>
      <c r="N165" s="696"/>
      <c r="O165" s="696"/>
      <c r="P165" s="696"/>
      <c r="Q165" s="696"/>
      <c r="R165" s="696"/>
      <c r="S165" s="696"/>
      <c r="T165" s="696"/>
      <c r="U165" s="16"/>
      <c r="V165" s="16"/>
      <c r="W165" s="16"/>
      <c r="X165" s="16"/>
      <c r="Y165" s="16"/>
      <c r="Z165" s="16"/>
      <c r="AA165" s="16"/>
      <c r="AB165" s="16"/>
      <c r="AC165" s="16"/>
      <c r="AD165" s="16"/>
    </row>
    <row r="166" spans="1:30" ht="15.75" customHeight="1">
      <c r="A166" s="16"/>
      <c r="B166" s="735"/>
      <c r="C166" s="696"/>
      <c r="D166" s="16"/>
      <c r="E166" s="16"/>
      <c r="F166" s="16"/>
      <c r="G166" s="16"/>
      <c r="H166" s="16"/>
      <c r="I166" s="16"/>
      <c r="J166" s="16"/>
      <c r="K166" s="16"/>
      <c r="L166" s="16"/>
      <c r="M166" s="735"/>
      <c r="N166" s="696"/>
      <c r="O166" s="696"/>
      <c r="P166" s="696"/>
      <c r="Q166" s="696"/>
      <c r="R166" s="696"/>
      <c r="S166" s="696"/>
      <c r="T166" s="696"/>
      <c r="U166" s="16"/>
      <c r="V166" s="16"/>
      <c r="W166" s="16"/>
      <c r="X166" s="16"/>
      <c r="Y166" s="16"/>
      <c r="Z166" s="16"/>
      <c r="AA166" s="16"/>
      <c r="AB166" s="16"/>
      <c r="AC166" s="16"/>
      <c r="AD166" s="16"/>
    </row>
    <row r="167" spans="1:30" ht="15.75" customHeight="1">
      <c r="A167" s="16"/>
      <c r="B167" s="735"/>
      <c r="C167" s="696"/>
      <c r="D167" s="16"/>
      <c r="E167" s="16"/>
      <c r="F167" s="16"/>
      <c r="G167" s="16"/>
      <c r="H167" s="16"/>
      <c r="I167" s="16"/>
      <c r="J167" s="16"/>
      <c r="K167" s="16"/>
      <c r="L167" s="16"/>
      <c r="M167" s="735"/>
      <c r="N167" s="696"/>
      <c r="O167" s="696"/>
      <c r="P167" s="696"/>
      <c r="Q167" s="696"/>
      <c r="R167" s="696"/>
      <c r="S167" s="696"/>
      <c r="T167" s="696"/>
      <c r="U167" s="16"/>
      <c r="V167" s="16"/>
      <c r="W167" s="16"/>
      <c r="X167" s="16"/>
      <c r="Y167" s="16"/>
      <c r="Z167" s="16"/>
      <c r="AA167" s="16"/>
      <c r="AB167" s="16"/>
      <c r="AC167" s="16"/>
      <c r="AD167" s="16"/>
    </row>
    <row r="168" spans="1:30" ht="15.75" customHeight="1">
      <c r="A168" s="16"/>
      <c r="B168" s="735"/>
      <c r="C168" s="696"/>
      <c r="D168" s="16"/>
      <c r="E168" s="16"/>
      <c r="F168" s="16"/>
      <c r="G168" s="16"/>
      <c r="H168" s="16"/>
      <c r="I168" s="16"/>
      <c r="J168" s="16"/>
      <c r="K168" s="16"/>
      <c r="L168" s="16"/>
      <c r="M168" s="735"/>
      <c r="N168" s="696"/>
      <c r="O168" s="696"/>
      <c r="P168" s="696"/>
      <c r="Q168" s="696"/>
      <c r="R168" s="696"/>
      <c r="S168" s="696"/>
      <c r="T168" s="696"/>
      <c r="U168" s="16"/>
      <c r="V168" s="16"/>
      <c r="W168" s="16"/>
      <c r="X168" s="16"/>
      <c r="Y168" s="16"/>
      <c r="Z168" s="16"/>
      <c r="AA168" s="16"/>
      <c r="AB168" s="16"/>
      <c r="AC168" s="16"/>
      <c r="AD168" s="16"/>
    </row>
    <row r="169" spans="1:30" ht="15.75" customHeight="1">
      <c r="A169" s="16"/>
      <c r="B169" s="735"/>
      <c r="C169" s="696"/>
      <c r="D169" s="16"/>
      <c r="E169" s="16"/>
      <c r="F169" s="16"/>
      <c r="G169" s="16"/>
      <c r="H169" s="16"/>
      <c r="I169" s="16"/>
      <c r="J169" s="16"/>
      <c r="K169" s="16"/>
      <c r="L169" s="16"/>
      <c r="M169" s="735"/>
      <c r="N169" s="696"/>
      <c r="O169" s="696"/>
      <c r="P169" s="696"/>
      <c r="Q169" s="696"/>
      <c r="R169" s="696"/>
      <c r="S169" s="696"/>
      <c r="T169" s="696"/>
      <c r="U169" s="16"/>
      <c r="V169" s="16"/>
      <c r="W169" s="16"/>
      <c r="X169" s="16"/>
      <c r="Y169" s="16"/>
      <c r="Z169" s="16"/>
      <c r="AA169" s="16"/>
      <c r="AB169" s="16"/>
      <c r="AC169" s="16"/>
      <c r="AD169" s="16"/>
    </row>
    <row r="170" spans="1:30" ht="15.75" customHeight="1">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c r="AA170" s="16"/>
      <c r="AB170" s="16"/>
      <c r="AC170" s="16"/>
      <c r="AD170" s="16"/>
    </row>
    <row r="171" spans="1:30" ht="15.75" customHeight="1">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c r="AA171" s="16"/>
      <c r="AB171" s="16"/>
      <c r="AC171" s="16"/>
      <c r="AD171" s="16"/>
    </row>
    <row r="172" spans="1:30" ht="15.75" customHeight="1">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row>
    <row r="173" spans="1:30" ht="15.75" customHeight="1">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c r="AC173" s="16"/>
      <c r="AD173" s="16"/>
    </row>
    <row r="174" spans="1:30" ht="15.75" customHeight="1">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c r="AC174" s="16"/>
      <c r="AD174" s="16"/>
    </row>
    <row r="175" spans="1:30" ht="15.75" customHeight="1">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c r="AA175" s="16"/>
      <c r="AB175" s="16"/>
      <c r="AC175" s="16"/>
      <c r="AD175" s="16"/>
    </row>
    <row r="176" spans="1:30" ht="15.75" customHeight="1">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c r="AD176" s="16"/>
    </row>
    <row r="177" spans="1:30" ht="15.75" customHeight="1">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c r="AD177" s="16"/>
    </row>
    <row r="178" spans="1:30" ht="15.75" customHeight="1">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c r="AA178" s="16"/>
      <c r="AB178" s="16"/>
      <c r="AC178" s="16"/>
      <c r="AD178" s="16"/>
    </row>
    <row r="179" spans="1:30" ht="15.75" customHeight="1">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c r="AD179" s="16"/>
    </row>
    <row r="180" spans="1:30" ht="15.75" customHeight="1">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c r="AD180" s="16"/>
    </row>
    <row r="181" spans="1:30" ht="15.75" customHeight="1">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c r="AD181" s="16"/>
    </row>
    <row r="182" spans="1:30" ht="15.75" customHeight="1">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c r="AD182" s="16"/>
    </row>
    <row r="183" spans="1:30" ht="15.75" customHeight="1">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c r="AD183" s="16"/>
    </row>
    <row r="184" spans="1:30" ht="15.75" customHeight="1">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c r="AD184" s="16"/>
    </row>
    <row r="185" spans="1:30" ht="15.75" customHeight="1">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c r="AD185" s="16"/>
    </row>
    <row r="186" spans="1:30" ht="15.75" customHeight="1">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c r="AD186" s="16"/>
    </row>
    <row r="187" spans="1:30" ht="15.75" customHeight="1">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16"/>
      <c r="AB187" s="16"/>
      <c r="AC187" s="16"/>
      <c r="AD187" s="16"/>
    </row>
    <row r="188" spans="1:30" ht="15.75" customHeight="1">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c r="AD188" s="16"/>
    </row>
    <row r="189" spans="1:30" ht="15.75" customHeight="1">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c r="AD189" s="16"/>
    </row>
    <row r="190" spans="1:30" ht="15.75" customHeight="1">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c r="AD190" s="16"/>
    </row>
    <row r="191" spans="1:30" ht="15.75" customHeight="1">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c r="AD191" s="16"/>
    </row>
    <row r="192" spans="1:30" ht="15.75" customHeight="1">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c r="AD192" s="16"/>
    </row>
    <row r="193" spans="1:30" ht="15.75" customHeight="1">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c r="AA193" s="16"/>
      <c r="AB193" s="16"/>
      <c r="AC193" s="16"/>
      <c r="AD193" s="16"/>
    </row>
    <row r="194" spans="1:30" ht="15.75" customHeight="1">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c r="AA194" s="16"/>
      <c r="AB194" s="16"/>
      <c r="AC194" s="16"/>
      <c r="AD194" s="16"/>
    </row>
    <row r="195" spans="1:30" ht="15.75" customHeight="1">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c r="AA195" s="16"/>
      <c r="AB195" s="16"/>
      <c r="AC195" s="16"/>
      <c r="AD195" s="16"/>
    </row>
    <row r="196" spans="1:30" ht="15.75" customHeight="1">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c r="AA196" s="16"/>
      <c r="AB196" s="16"/>
      <c r="AC196" s="16"/>
      <c r="AD196" s="16"/>
    </row>
    <row r="197" spans="1:30" ht="15.75" customHeight="1">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c r="AD197" s="16"/>
    </row>
    <row r="198" spans="1:30" ht="15.75" customHeight="1">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c r="AD198" s="16"/>
    </row>
    <row r="199" spans="1:30" ht="15.75" customHeight="1">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c r="AA199" s="16"/>
      <c r="AB199" s="16"/>
      <c r="AC199" s="16"/>
      <c r="AD199" s="16"/>
    </row>
    <row r="200" spans="1:30" ht="15.75" customHeight="1">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c r="AA200" s="16"/>
      <c r="AB200" s="16"/>
      <c r="AC200" s="16"/>
      <c r="AD200" s="16"/>
    </row>
    <row r="201" spans="1:30" ht="15.75" customHeight="1">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c r="AD201" s="16"/>
    </row>
    <row r="202" spans="1:30" ht="15.75" customHeight="1">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c r="AD202" s="16"/>
    </row>
    <row r="203" spans="1:30" ht="15.75" customHeight="1">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c r="AA203" s="16"/>
      <c r="AB203" s="16"/>
      <c r="AC203" s="16"/>
      <c r="AD203" s="16"/>
    </row>
    <row r="204" spans="1:30" ht="15.75" customHeight="1">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c r="AA204" s="16"/>
      <c r="AB204" s="16"/>
      <c r="AC204" s="16"/>
      <c r="AD204" s="16"/>
    </row>
    <row r="205" spans="1:30" ht="15.75" customHeight="1">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c r="AD205" s="16"/>
    </row>
    <row r="206" spans="1:30" ht="15.75" customHeight="1">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row>
    <row r="207" spans="1:30" ht="15.75" customHeight="1">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c r="AD207" s="16"/>
    </row>
    <row r="208" spans="1:30" ht="15.75" customHeight="1">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c r="AD208" s="16"/>
    </row>
    <row r="209" spans="1:30" ht="15.75" customHeight="1">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c r="AD209" s="16"/>
    </row>
    <row r="210" spans="1:30" ht="15.75" customHeight="1">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c r="AD210" s="16"/>
    </row>
    <row r="211" spans="1:30" ht="15.75" customHeight="1">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row>
    <row r="212" spans="1:30" ht="15.75" customHeight="1">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c r="AD212" s="16"/>
    </row>
    <row r="213" spans="1:30" ht="15.75" customHeight="1">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c r="AD213" s="16"/>
    </row>
    <row r="214" spans="1:30" ht="15.75" customHeight="1">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row>
    <row r="215" spans="1:30" ht="15.75" customHeight="1">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c r="AD215" s="16"/>
    </row>
    <row r="216" spans="1:30" ht="15.75" customHeight="1">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c r="AD216" s="16"/>
    </row>
    <row r="217" spans="1:30" ht="15.75" customHeight="1">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c r="AD217" s="16"/>
    </row>
    <row r="218" spans="1:30" ht="15.75" customHeight="1">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c r="AD218" s="16"/>
    </row>
    <row r="219" spans="1:30" ht="15.75" customHeight="1">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c r="AD219" s="16"/>
    </row>
    <row r="220" spans="1:30" ht="15.75" customHeight="1">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c r="AD220" s="16"/>
    </row>
    <row r="221" spans="1:30" ht="15.75" customHeight="1">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row>
    <row r="222" spans="1:30" ht="15.75" customHeight="1">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row>
    <row r="223" spans="1:30" ht="15.75" customHeight="1">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c r="AD223" s="16"/>
    </row>
    <row r="224" spans="1:30" ht="15.75" customHeight="1">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c r="AD224" s="16"/>
    </row>
    <row r="225" spans="1:30" ht="15.75" customHeight="1">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16"/>
    </row>
    <row r="226" spans="1:30" ht="15.75" customHeight="1">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row>
    <row r="227" spans="1:30" ht="15.75" customHeight="1">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16"/>
    </row>
    <row r="228" spans="1:30" ht="15.75" customHeight="1">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c r="AD228" s="16"/>
    </row>
    <row r="229" spans="1:30" ht="15.75" customHeight="1">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c r="AD229" s="16"/>
    </row>
    <row r="230" spans="1:30" ht="15.75" customHeight="1">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row>
    <row r="231" spans="1:30" ht="15.75" customHeight="1">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c r="AD231" s="16"/>
    </row>
    <row r="232" spans="1:30" ht="15.75" customHeight="1">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c r="AD232" s="16"/>
    </row>
    <row r="233" spans="1:30" ht="15.75" customHeight="1">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c r="AD233" s="16"/>
    </row>
    <row r="234" spans="1:30" ht="15.75" customHeight="1">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c r="AD234" s="16"/>
    </row>
    <row r="235" spans="1:30" ht="15.75" customHeight="1">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row>
    <row r="236" spans="1:30" ht="15.75" customHeight="1">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c r="AD236" s="16"/>
    </row>
    <row r="237" spans="1:30" ht="15.75" customHeight="1">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c r="AD237" s="16"/>
    </row>
    <row r="238" spans="1:30" ht="15.75" customHeight="1">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c r="AD238" s="16"/>
    </row>
    <row r="239" spans="1:30" ht="15.75" customHeight="1">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c r="AD239" s="16"/>
    </row>
    <row r="240" spans="1:30" ht="15.75" customHeight="1">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c r="AD240" s="16"/>
    </row>
    <row r="241" spans="1:30" ht="15.75" customHeight="1">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c r="AD241" s="16"/>
    </row>
    <row r="242" spans="1:30" ht="15.75" customHeight="1">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c r="AD242" s="16"/>
    </row>
    <row r="243" spans="1:30" ht="15.75" customHeight="1">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c r="AD243" s="16"/>
    </row>
    <row r="244" spans="1:30" ht="15.75" customHeight="1">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16"/>
    </row>
    <row r="245" spans="1:30" ht="15.75" customHeight="1">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c r="AD245" s="16"/>
    </row>
    <row r="246" spans="1:30" ht="15.75" customHeight="1">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row>
    <row r="247" spans="1:30" ht="15.75" customHeight="1">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c r="AD247" s="16"/>
    </row>
    <row r="248" spans="1:30" ht="15.75" customHeight="1">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row>
    <row r="249" spans="1:30" ht="15.75" customHeight="1">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row>
    <row r="250" spans="1:30" ht="15.75" customHeight="1">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c r="AD250" s="16"/>
    </row>
    <row r="251" spans="1:30" ht="15.75" customHeight="1">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row>
    <row r="252" spans="1:30" ht="15.75" customHeight="1">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16"/>
    </row>
    <row r="253" spans="1:30" ht="15.75" customHeight="1">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c r="AD253" s="16"/>
    </row>
    <row r="254" spans="1:30" ht="15.75" customHeight="1">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row>
    <row r="255" spans="1:30" ht="15.75" customHeight="1">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c r="AD255" s="16"/>
    </row>
    <row r="256" spans="1:30" ht="15.75" customHeight="1">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row>
    <row r="257" spans="1:30" ht="15.75" customHeight="1">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c r="AD257" s="16"/>
    </row>
    <row r="258" spans="1:30" ht="15.75" customHeight="1">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c r="AD258" s="16"/>
    </row>
    <row r="259" spans="1:30" ht="15.75" customHeight="1">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row>
    <row r="260" spans="1:30" ht="15.75" customHeight="1">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row>
    <row r="261" spans="1:30" ht="15.75" customHeight="1">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c r="AD261" s="16"/>
    </row>
    <row r="262" spans="1:30" ht="15.75" customHeight="1">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row>
    <row r="263" spans="1:30" ht="15.75" customHeight="1">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row>
    <row r="264" spans="1:30" ht="15.75" customHeight="1">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c r="AD264" s="16"/>
    </row>
    <row r="265" spans="1:30" ht="15.75" customHeight="1">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row>
    <row r="266" spans="1:30" ht="15.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row>
    <row r="267" spans="1:30" ht="15.75" customHeight="1">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row>
    <row r="268" spans="1:30" ht="15.75" customHeight="1">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c r="AD268" s="16"/>
    </row>
    <row r="269" spans="1:30" ht="15.75" customHeight="1">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row>
    <row r="270" spans="1:30" ht="15.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row>
    <row r="271" spans="1:30" ht="15.75" customHeight="1">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c r="AD271" s="16"/>
    </row>
    <row r="272" spans="1:30" ht="15.75" customHeight="1">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c r="AD272" s="16"/>
    </row>
    <row r="273" spans="1:30" ht="15.75" customHeight="1">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c r="AD273" s="16"/>
    </row>
    <row r="274" spans="1:30" ht="15.75" customHeight="1">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c r="AD274" s="16"/>
    </row>
    <row r="275" spans="1:30" ht="15.75" customHeight="1">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c r="AD275" s="16"/>
    </row>
    <row r="276" spans="1:30" ht="15.75" customHeight="1">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row>
    <row r="277" spans="1:30" ht="15.75" customHeight="1">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16"/>
    </row>
    <row r="278" spans="1:30" ht="15.75" customHeight="1">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row>
    <row r="279" spans="1:30" ht="15.75" customHeight="1">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16"/>
    </row>
    <row r="280" spans="1:30" ht="15.75" customHeight="1">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c r="AD280" s="16"/>
    </row>
    <row r="281" spans="1:30" ht="15.75" customHeight="1">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c r="AD281" s="16"/>
    </row>
    <row r="282" spans="1:30" ht="15.75" customHeight="1">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c r="AD282" s="16"/>
    </row>
    <row r="283" spans="1:30" ht="15.75" customHeight="1">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c r="AD283" s="16"/>
    </row>
    <row r="284" spans="1:30" ht="15.75" customHeight="1">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c r="AD284" s="16"/>
    </row>
    <row r="285" spans="1:30" ht="15.75" customHeight="1">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c r="AD285" s="16"/>
    </row>
    <row r="286" spans="1:30" ht="15.75" customHeight="1">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row>
    <row r="287" spans="1:30" ht="15.75" customHeight="1">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row>
    <row r="288" spans="1:30" ht="15.75" customHeight="1">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row>
    <row r="289" spans="1:30" ht="15.75" customHeight="1">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row>
    <row r="290" spans="1:30" ht="15.75" customHeight="1">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row>
    <row r="291" spans="1:30" ht="15.75" customHeight="1">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c r="AD291" s="16"/>
    </row>
    <row r="292" spans="1:30" ht="15.75" customHeight="1">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row>
    <row r="293" spans="1:30" ht="15.75" customHeight="1">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row>
    <row r="294" spans="1:30" ht="15.75" customHeight="1">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row>
    <row r="295" spans="1:30" ht="15.75" customHeight="1">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row>
    <row r="296" spans="1:30" ht="15.75" customHeight="1">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row>
    <row r="297" spans="1:30" ht="15.75" customHeight="1">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row>
    <row r="298" spans="1:30" ht="15.75" customHeight="1">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row>
    <row r="299" spans="1:30" ht="15.75" customHeight="1">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row>
    <row r="300" spans="1:30" ht="15.75" customHeight="1">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row>
    <row r="301" spans="1:30" ht="15.75" customHeight="1">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c r="AD301" s="16"/>
    </row>
    <row r="302" spans="1:30" ht="15.75" customHeight="1">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c r="AD302" s="16"/>
    </row>
    <row r="303" spans="1:30" ht="15.75" customHeight="1">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row>
    <row r="304" spans="1:30" ht="15.75" customHeight="1">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c r="AD304" s="16"/>
    </row>
    <row r="305" spans="1:30" ht="15.75" customHeight="1">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c r="AD305" s="16"/>
    </row>
    <row r="306" spans="1:30" ht="15.75" customHeight="1"/>
    <row r="307" spans="1:30" ht="15.75" customHeight="1"/>
    <row r="308" spans="1:30" ht="15.75" customHeight="1"/>
    <row r="309" spans="1:30" ht="15.75" customHeight="1"/>
    <row r="310" spans="1:30" ht="15.75" customHeight="1"/>
    <row r="311" spans="1:30" ht="15.75" customHeight="1"/>
    <row r="312" spans="1:30" ht="15.75" customHeight="1"/>
    <row r="313" spans="1:30" ht="15.75" customHeight="1"/>
    <row r="314" spans="1:30" ht="15.75" customHeight="1"/>
    <row r="315" spans="1:30" ht="15.75" customHeight="1"/>
    <row r="316" spans="1:30" ht="15.75" customHeight="1"/>
    <row r="317" spans="1:30" ht="15.75" customHeight="1"/>
    <row r="318" spans="1:30" ht="15.75" customHeight="1"/>
    <row r="319" spans="1:30" ht="15.75" customHeight="1"/>
    <row r="320" spans="1:3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99">
    <mergeCell ref="K55:M67"/>
    <mergeCell ref="A30:F30"/>
    <mergeCell ref="A31:F31"/>
    <mergeCell ref="A32:F32"/>
    <mergeCell ref="A34:F34"/>
    <mergeCell ref="A29:F29"/>
    <mergeCell ref="A1:C1"/>
    <mergeCell ref="E1:H1"/>
    <mergeCell ref="D7:I7"/>
    <mergeCell ref="D8:I8"/>
    <mergeCell ref="A28:F28"/>
    <mergeCell ref="H92:I105"/>
    <mergeCell ref="J92:K105"/>
    <mergeCell ref="AG29:AH29"/>
    <mergeCell ref="AI29:AJ29"/>
    <mergeCell ref="AG30:AH40"/>
    <mergeCell ref="AI30:AJ40"/>
    <mergeCell ref="H37:J37"/>
    <mergeCell ref="K71:O87"/>
    <mergeCell ref="P71:Q87"/>
    <mergeCell ref="H91:I91"/>
    <mergeCell ref="J91:K91"/>
    <mergeCell ref="K70:O70"/>
    <mergeCell ref="H38:J42"/>
    <mergeCell ref="I45:K45"/>
    <mergeCell ref="I46:K50"/>
    <mergeCell ref="K54:M54"/>
    <mergeCell ref="P115:R115"/>
    <mergeCell ref="P70:Q70"/>
    <mergeCell ref="P116:R116"/>
    <mergeCell ref="P117:R117"/>
    <mergeCell ref="P118:R118"/>
    <mergeCell ref="P119:R119"/>
    <mergeCell ref="P120:R120"/>
    <mergeCell ref="M135:O135"/>
    <mergeCell ref="P121:R121"/>
    <mergeCell ref="M123:O123"/>
    <mergeCell ref="P123:T123"/>
    <mergeCell ref="M124:O124"/>
    <mergeCell ref="P124:T135"/>
    <mergeCell ref="M125:O125"/>
    <mergeCell ref="M126:O126"/>
    <mergeCell ref="M127:O127"/>
    <mergeCell ref="M128:O128"/>
    <mergeCell ref="M129:O129"/>
    <mergeCell ref="M130:O130"/>
    <mergeCell ref="M131:O131"/>
    <mergeCell ref="M132:O132"/>
    <mergeCell ref="M133:O133"/>
    <mergeCell ref="M134:O134"/>
    <mergeCell ref="M151:O151"/>
    <mergeCell ref="M138:O138"/>
    <mergeCell ref="P138:T138"/>
    <mergeCell ref="M139:O139"/>
    <mergeCell ref="P139:T152"/>
    <mergeCell ref="M140:O140"/>
    <mergeCell ref="M141:O141"/>
    <mergeCell ref="M142:O142"/>
    <mergeCell ref="M143:O143"/>
    <mergeCell ref="M144:O144"/>
    <mergeCell ref="M145:O145"/>
    <mergeCell ref="M146:O146"/>
    <mergeCell ref="M147:O147"/>
    <mergeCell ref="M148:O148"/>
    <mergeCell ref="M149:O149"/>
    <mergeCell ref="M150:O150"/>
    <mergeCell ref="P155:T155"/>
    <mergeCell ref="B156:C156"/>
    <mergeCell ref="M156:O156"/>
    <mergeCell ref="P156:T169"/>
    <mergeCell ref="B157:C157"/>
    <mergeCell ref="M157:O157"/>
    <mergeCell ref="B158:C158"/>
    <mergeCell ref="B161:C161"/>
    <mergeCell ref="M161:O161"/>
    <mergeCell ref="B160:C160"/>
    <mergeCell ref="M160:O160"/>
    <mergeCell ref="B162:C162"/>
    <mergeCell ref="M162:O162"/>
    <mergeCell ref="B163:C163"/>
    <mergeCell ref="M163:O163"/>
    <mergeCell ref="B164:C164"/>
    <mergeCell ref="M152:O152"/>
    <mergeCell ref="B155:C155"/>
    <mergeCell ref="M155:O155"/>
    <mergeCell ref="M158:O158"/>
    <mergeCell ref="B159:C159"/>
    <mergeCell ref="M159:O159"/>
    <mergeCell ref="M164:O164"/>
    <mergeCell ref="B168:C168"/>
    <mergeCell ref="M168:O168"/>
    <mergeCell ref="B169:C169"/>
    <mergeCell ref="M169:O169"/>
    <mergeCell ref="B165:C165"/>
    <mergeCell ref="M165:O165"/>
    <mergeCell ref="B166:C166"/>
    <mergeCell ref="M166:O166"/>
    <mergeCell ref="B167:C167"/>
    <mergeCell ref="M167:O167"/>
  </mergeCells>
  <phoneticPr fontId="31" type="noConversion"/>
  <conditionalFormatting sqref="I55:I66">
    <cfRule type="containsText" dxfId="216" priority="1" operator="containsText" text="5">
      <formula>NOT(ISERROR(SEARCH(("5"),(I55))))</formula>
    </cfRule>
    <cfRule type="containsText" dxfId="215" priority="2" operator="containsText" text="42">
      <formula>NOT(ISERROR(SEARCH(("42"),(I55))))</formula>
    </cfRule>
    <cfRule type="containsText" dxfId="214" priority="3" operator="containsText" text="Please fill in">
      <formula>NOT(ISERROR(SEARCH(("Please fill in"),(I55))))</formula>
    </cfRule>
  </conditionalFormatting>
  <dataValidations count="3">
    <dataValidation type="list" allowBlank="1" showErrorMessage="1" sqref="D46:D50 H55:H67" xr:uid="{BAF1E899-4E1C-4E9C-8ECA-D2F4539D060C}">
      <formula1>Stretchers!TypesOfTrainers</formula1>
    </dataValidation>
    <dataValidation type="list" allowBlank="1" showErrorMessage="1" sqref="B9" xr:uid="{980B3E29-658F-4FDF-8847-761573C0E64D}">
      <formula1>"yes,no,partial"</formula1>
    </dataValidation>
    <dataValidation type="list" allowBlank="1" sqref="G46:G50" xr:uid="{CA032806-1954-48C3-9F77-BEEAC67C4624}">
      <formula1>"yes,no"</formula1>
    </dataValidation>
  </dataValidations>
  <pageMargins left="0.7" right="0.7" top="0.75" bottom="0.75" header="0" footer="0"/>
  <pageSetup paperSize="9" orientation="portrait"/>
  <drawing r:id="rId1"/>
  <legacyDrawing r:id="rId2"/>
  <tableParts count="6">
    <tablePart r:id="rId3"/>
    <tablePart r:id="rId4"/>
    <tablePart r:id="rId5"/>
    <tablePart r:id="rId6"/>
    <tablePart r:id="rId7"/>
    <tablePart r:id="rId8"/>
  </tableParts>
  <extLst>
    <ext xmlns:x14="http://schemas.microsoft.com/office/spreadsheetml/2009/9/main" uri="{CCE6A557-97BC-4b89-ADB6-D9C93CAAB3DF}">
      <x14:dataValidations xmlns:xm="http://schemas.microsoft.com/office/excel/2006/main" count="4">
        <x14:dataValidation type="list" allowBlank="1" showInputMessage="1" showErrorMessage="1" xr:uid="{CB33CB50-6977-4FF3-BC6C-00C896F84583}">
          <x14:formula1>
            <xm:f>Constants!$M$6:$M$7</xm:f>
          </x14:formula1>
          <xm:sqref>B92:B107</xm:sqref>
        </x14:dataValidation>
        <x14:dataValidation type="list" allowBlank="1" showInputMessage="1" showErrorMessage="1" xr:uid="{124B8B10-466A-4225-A452-DCB7348AE095}">
          <x14:formula1>
            <xm:f>Constants!$C$55:$C$56</xm:f>
          </x14:formula1>
          <xm:sqref>B12</xm:sqref>
        </x14:dataValidation>
        <x14:dataValidation type="list" allowBlank="1" showErrorMessage="1" xr:uid="{45EBA267-F3A4-44D2-AF33-2EEC01A67937}">
          <x14:formula1>
            <xm:f>Constants!$H$6:$H$13</xm:f>
          </x14:formula1>
          <xm:sqref>B55:B67</xm:sqref>
        </x14:dataValidation>
        <x14:dataValidation type="list" allowBlank="1" showErrorMessage="1" xr:uid="{544FE0B9-3E85-4718-B3F0-E357C545C452}">
          <x14:formula1>
            <xm:f>Constants!$A$2:$AD$2</xm:f>
          </x14:formula1>
          <xm:sqref>B71:B87</xm:sqref>
        </x14:dataValidation>
      </x14:dataValidation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2C5A8-050F-4334-826B-03F9915D155C}">
  <dimension ref="A1:BG1015"/>
  <sheetViews>
    <sheetView topLeftCell="Z3" workbookViewId="0">
      <selection activeCell="AF30" sqref="AF30"/>
    </sheetView>
  </sheetViews>
  <sheetFormatPr defaultColWidth="12.625" defaultRowHeight="15" customHeight="1"/>
  <cols>
    <col min="1" max="1" width="36.625" customWidth="1"/>
    <col min="2" max="2" width="28.125" customWidth="1"/>
    <col min="3" max="3" width="21" customWidth="1"/>
    <col min="4" max="4" width="17.5" customWidth="1"/>
    <col min="5" max="5" width="16.125" customWidth="1"/>
    <col min="6" max="6" width="21.5" customWidth="1"/>
    <col min="7" max="7" width="22.625" customWidth="1"/>
    <col min="8" max="8" width="18.625" customWidth="1"/>
    <col min="9" max="9" width="19.625" customWidth="1"/>
    <col min="10" max="10" width="18.875" customWidth="1"/>
    <col min="11" max="11" width="21.625" customWidth="1"/>
    <col min="12" max="12" width="17.375" customWidth="1"/>
    <col min="13" max="13" width="15.125" customWidth="1"/>
    <col min="14" max="14" width="15.625" customWidth="1"/>
    <col min="15" max="15" width="28.5" customWidth="1"/>
    <col min="16" max="16" width="13.125" customWidth="1"/>
    <col min="17" max="17" width="21.875" customWidth="1"/>
    <col min="18" max="18" width="27" customWidth="1"/>
    <col min="19" max="19" width="20.5" customWidth="1"/>
    <col min="20" max="22" width="7.625" customWidth="1"/>
    <col min="23" max="23" width="31.875" customWidth="1"/>
    <col min="24" max="24" width="7.625" customWidth="1"/>
    <col min="25" max="25" width="8.375" customWidth="1"/>
    <col min="26" max="26" width="21.625" customWidth="1"/>
    <col min="27" max="27" width="12" customWidth="1"/>
    <col min="28" max="28" width="16.5" customWidth="1"/>
    <col min="29" max="29" width="6" customWidth="1"/>
    <col min="30" max="30" width="13.625" customWidth="1"/>
  </cols>
  <sheetData>
    <row r="1" spans="1:59" ht="171" customHeight="1">
      <c r="A1" s="703"/>
      <c r="B1" s="704"/>
      <c r="C1" s="705"/>
      <c r="D1" s="16"/>
      <c r="E1" s="572" t="s">
        <v>147</v>
      </c>
      <c r="F1" s="704"/>
      <c r="G1" s="704"/>
      <c r="H1" s="705"/>
      <c r="I1" s="16"/>
      <c r="J1" s="16"/>
      <c r="K1" s="16"/>
      <c r="L1" s="16"/>
      <c r="M1" s="16"/>
      <c r="N1" s="16"/>
      <c r="O1" s="16"/>
      <c r="P1" s="16"/>
      <c r="Q1" s="16"/>
      <c r="R1" s="16"/>
      <c r="S1" s="16"/>
      <c r="T1" s="16"/>
      <c r="U1" s="16"/>
      <c r="V1" s="16"/>
      <c r="W1" s="16"/>
      <c r="X1" s="16"/>
      <c r="Y1" s="16"/>
      <c r="Z1" s="16"/>
      <c r="AA1" s="16"/>
      <c r="AB1" s="16"/>
      <c r="AC1" s="16"/>
      <c r="AD1" s="16"/>
    </row>
    <row r="2" spans="1:59">
      <c r="A2" s="58" t="s">
        <v>404</v>
      </c>
      <c r="B2" s="152" t="s">
        <v>716</v>
      </c>
      <c r="C2" s="59"/>
      <c r="D2" s="16"/>
      <c r="E2" s="60" t="s">
        <v>406</v>
      </c>
      <c r="F2" s="153"/>
      <c r="G2" s="154"/>
      <c r="H2" s="61"/>
      <c r="I2" s="16"/>
      <c r="J2" s="16"/>
      <c r="K2" s="16"/>
      <c r="L2" s="16"/>
      <c r="M2" s="16"/>
      <c r="N2" s="16"/>
      <c r="O2" s="16"/>
      <c r="P2" s="16"/>
      <c r="Q2" s="16"/>
      <c r="R2" s="16"/>
      <c r="S2" s="16"/>
      <c r="T2" s="16"/>
      <c r="U2" s="16"/>
      <c r="V2" s="16"/>
      <c r="W2" s="16"/>
      <c r="X2" s="16"/>
      <c r="Y2" s="16"/>
      <c r="Z2" s="15"/>
      <c r="AA2" s="15"/>
      <c r="AB2" s="15"/>
      <c r="AC2" s="15"/>
      <c r="AD2" s="16"/>
      <c r="AE2" s="16"/>
      <c r="AF2" s="16"/>
      <c r="AG2" s="16"/>
      <c r="AH2" s="16"/>
      <c r="AI2" s="17"/>
      <c r="AJ2" s="17"/>
      <c r="AK2" s="17"/>
      <c r="AL2" s="17"/>
      <c r="AM2" s="17"/>
      <c r="AN2" s="17"/>
      <c r="AO2" s="17"/>
      <c r="AP2" s="17"/>
      <c r="AQ2" s="17"/>
      <c r="AR2" s="18"/>
      <c r="AS2" s="17"/>
      <c r="AT2" s="17"/>
      <c r="AU2" s="16"/>
      <c r="AV2" s="16"/>
      <c r="AW2" s="16"/>
      <c r="AX2" s="16"/>
      <c r="AY2" s="16"/>
      <c r="AZ2" s="16"/>
      <c r="BA2" s="16"/>
    </row>
    <row r="3" spans="1:59">
      <c r="A3" s="62" t="s">
        <v>408</v>
      </c>
      <c r="B3" s="155">
        <v>6</v>
      </c>
      <c r="C3" s="156"/>
      <c r="D3" s="16"/>
      <c r="E3" s="63" t="s">
        <v>409</v>
      </c>
      <c r="F3" s="157"/>
      <c r="G3" s="158"/>
      <c r="H3" s="159"/>
      <c r="I3" s="16"/>
      <c r="J3" s="16"/>
      <c r="K3" s="16"/>
      <c r="L3" s="16"/>
      <c r="M3" s="16"/>
      <c r="N3" s="16"/>
      <c r="O3" s="16"/>
      <c r="P3" s="16"/>
      <c r="Q3" s="16"/>
      <c r="R3" s="16"/>
      <c r="S3" s="16"/>
      <c r="T3" s="16"/>
      <c r="U3" s="16"/>
      <c r="V3" s="16"/>
      <c r="W3" s="16"/>
      <c r="X3" s="16"/>
      <c r="Y3" s="16"/>
      <c r="Z3" s="16"/>
      <c r="AA3" s="16"/>
      <c r="AB3" s="16"/>
      <c r="AC3" s="16"/>
      <c r="AD3" s="16"/>
    </row>
    <row r="4" spans="1:59">
      <c r="A4" s="160" t="s">
        <v>410</v>
      </c>
      <c r="B4" s="161">
        <v>45812</v>
      </c>
      <c r="C4" s="162"/>
      <c r="D4" s="16"/>
      <c r="E4" s="163"/>
      <c r="F4" s="164"/>
      <c r="G4" s="165"/>
      <c r="H4" s="166"/>
      <c r="I4" s="16"/>
      <c r="J4" s="16"/>
      <c r="K4" s="16"/>
      <c r="L4" s="16"/>
      <c r="M4" s="16"/>
      <c r="N4" s="16"/>
      <c r="O4" s="16"/>
      <c r="P4" s="16"/>
      <c r="Q4" s="16"/>
      <c r="R4" s="16"/>
      <c r="S4" s="16"/>
      <c r="T4" s="16"/>
      <c r="U4" s="16"/>
      <c r="V4" s="16"/>
      <c r="W4" s="16"/>
      <c r="X4" s="16"/>
      <c r="Y4" s="16"/>
      <c r="Z4" s="16"/>
      <c r="AA4" s="16"/>
      <c r="AB4" s="16"/>
      <c r="AC4" s="16"/>
      <c r="AD4" s="16"/>
    </row>
    <row r="5" spans="1:59">
      <c r="A5" s="167" t="s">
        <v>411</v>
      </c>
      <c r="B5" s="168"/>
      <c r="C5" s="167"/>
      <c r="D5" s="16"/>
      <c r="E5" s="169" t="s">
        <v>412</v>
      </c>
      <c r="F5" s="169"/>
      <c r="G5" s="158"/>
      <c r="H5" s="169"/>
      <c r="I5" s="16"/>
      <c r="J5" s="16"/>
      <c r="K5" s="16"/>
      <c r="L5" s="16"/>
      <c r="M5" s="16"/>
      <c r="N5" s="16"/>
      <c r="O5" s="16"/>
      <c r="P5" s="16"/>
      <c r="Q5" s="16"/>
      <c r="R5" s="16"/>
      <c r="S5" s="16"/>
      <c r="T5" s="16"/>
      <c r="U5" s="16"/>
      <c r="V5" s="16"/>
      <c r="W5" s="16"/>
      <c r="X5" s="16"/>
      <c r="Y5" s="16"/>
      <c r="Z5" s="16"/>
      <c r="AA5" s="16"/>
      <c r="AB5" s="16"/>
      <c r="AC5" s="16"/>
      <c r="AD5" s="16"/>
    </row>
    <row r="6" spans="1:59">
      <c r="A6" s="15"/>
      <c r="B6" s="64"/>
      <c r="C6" s="16"/>
      <c r="D6" s="16"/>
      <c r="E6" s="16"/>
      <c r="F6" s="16"/>
      <c r="G6" s="16"/>
      <c r="H6" s="16"/>
      <c r="I6" s="16"/>
      <c r="J6" s="64"/>
      <c r="K6" s="16"/>
      <c r="L6" s="16"/>
      <c r="M6" s="16"/>
      <c r="N6" s="16"/>
      <c r="O6" s="16"/>
      <c r="P6" s="16"/>
      <c r="Q6" s="16"/>
      <c r="R6" s="16"/>
      <c r="S6" s="16"/>
      <c r="T6" s="16"/>
      <c r="U6" s="16"/>
      <c r="V6" s="16"/>
      <c r="W6" s="16"/>
      <c r="X6" s="16"/>
      <c r="Y6" s="16"/>
      <c r="Z6" s="16"/>
      <c r="AA6" s="16"/>
      <c r="AB6" s="16"/>
      <c r="AC6" s="16"/>
      <c r="AD6" s="16"/>
    </row>
    <row r="7" spans="1:59">
      <c r="A7" s="170" t="s">
        <v>413</v>
      </c>
      <c r="B7" s="59">
        <v>65</v>
      </c>
      <c r="C7" s="16"/>
      <c r="D7" s="573" t="s">
        <v>414</v>
      </c>
      <c r="E7" s="701"/>
      <c r="F7" s="701"/>
      <c r="G7" s="701"/>
      <c r="H7" s="701"/>
      <c r="I7" s="701"/>
      <c r="J7" s="16"/>
      <c r="K7" s="16"/>
      <c r="L7" s="16"/>
      <c r="M7" s="16"/>
      <c r="N7" s="16"/>
      <c r="O7" s="16"/>
      <c r="P7" s="16"/>
      <c r="Q7" s="16"/>
      <c r="R7" s="16"/>
      <c r="S7" s="16"/>
      <c r="T7" s="16"/>
      <c r="U7" s="16"/>
      <c r="V7" s="16"/>
      <c r="W7" s="16"/>
      <c r="X7" s="16"/>
      <c r="Y7" s="16"/>
      <c r="Z7" s="16"/>
      <c r="AA7" s="16"/>
      <c r="AB7" s="16"/>
      <c r="AC7" s="16"/>
      <c r="AD7" s="16"/>
    </row>
    <row r="8" spans="1:59" ht="14.25" customHeight="1">
      <c r="A8" s="171" t="s">
        <v>415</v>
      </c>
      <c r="B8" s="172">
        <f ca="1">M21-M17</f>
        <v>4765.6699764213881</v>
      </c>
      <c r="C8" s="16" t="s">
        <v>416</v>
      </c>
      <c r="D8" s="574" t="s">
        <v>417</v>
      </c>
      <c r="E8" s="704"/>
      <c r="F8" s="704"/>
      <c r="G8" s="704"/>
      <c r="H8" s="704"/>
      <c r="I8" s="704"/>
      <c r="J8" s="16"/>
      <c r="K8" s="16"/>
      <c r="L8" s="16"/>
      <c r="M8" s="16"/>
      <c r="N8" s="16"/>
      <c r="O8" s="16"/>
      <c r="P8" s="16"/>
      <c r="Q8" s="16"/>
      <c r="R8" s="16"/>
      <c r="S8" s="16"/>
      <c r="T8" s="16"/>
      <c r="U8" s="16"/>
      <c r="V8" s="16"/>
      <c r="W8" s="16"/>
      <c r="X8" s="16"/>
      <c r="Y8" s="16"/>
      <c r="Z8" s="16"/>
      <c r="AA8" s="16"/>
      <c r="AB8" s="16"/>
      <c r="AC8" s="16"/>
    </row>
    <row r="9" spans="1:59">
      <c r="A9" s="65" t="s">
        <v>418</v>
      </c>
      <c r="B9" s="173" t="s">
        <v>419</v>
      </c>
      <c r="C9" s="16"/>
      <c r="D9" s="16"/>
      <c r="E9" s="17"/>
      <c r="F9" s="17"/>
      <c r="G9" s="17"/>
      <c r="H9" s="17"/>
      <c r="I9" s="17"/>
      <c r="J9" s="17"/>
      <c r="K9" s="17"/>
      <c r="L9" s="17"/>
      <c r="M9" s="17"/>
      <c r="N9" s="17"/>
      <c r="O9" s="17"/>
      <c r="P9" s="17"/>
      <c r="Q9" s="16"/>
      <c r="R9" s="17"/>
      <c r="S9" s="17"/>
      <c r="T9" s="17"/>
      <c r="U9" s="17"/>
      <c r="V9" s="17"/>
      <c r="W9" s="17"/>
      <c r="X9" s="17"/>
      <c r="Y9" s="17"/>
      <c r="Z9" s="17"/>
      <c r="AA9" s="17"/>
      <c r="AB9" s="17"/>
      <c r="AC9" s="17"/>
      <c r="AD9" s="18" t="s">
        <v>242</v>
      </c>
    </row>
    <row r="10" spans="1:59">
      <c r="A10" s="174" t="s">
        <v>420</v>
      </c>
      <c r="B10" s="257">
        <f>COUNTA(A38:A54)+COUNTA(A58:A62)</f>
        <v>4</v>
      </c>
      <c r="C10" s="16"/>
      <c r="D10" s="16"/>
      <c r="E10" s="17"/>
      <c r="F10" s="17"/>
      <c r="G10" s="17"/>
      <c r="H10" s="17"/>
      <c r="I10" s="17"/>
      <c r="J10" s="17"/>
      <c r="K10" s="17"/>
      <c r="L10" s="17"/>
      <c r="M10" s="17"/>
      <c r="N10" s="17"/>
      <c r="O10" s="17"/>
      <c r="P10" s="17"/>
      <c r="Q10" s="16"/>
      <c r="R10" s="17"/>
      <c r="S10" s="17"/>
      <c r="T10" s="17"/>
      <c r="U10" s="17"/>
      <c r="V10" s="17"/>
      <c r="W10" s="17"/>
      <c r="X10" s="17"/>
      <c r="Y10" s="17"/>
      <c r="Z10" s="17"/>
      <c r="AA10" s="17"/>
      <c r="AB10" s="17"/>
      <c r="AC10" s="17"/>
      <c r="AD10" s="18"/>
    </row>
    <row r="11" spans="1:59">
      <c r="A11" s="171" t="s">
        <v>421</v>
      </c>
      <c r="B11" s="256">
        <f>SUM(B38:B54)+SUM(B58:B62)</f>
        <v>126</v>
      </c>
      <c r="C11" s="16"/>
      <c r="D11" s="16"/>
      <c r="E11" s="17"/>
      <c r="F11" s="17"/>
      <c r="G11" s="17"/>
      <c r="H11" s="17"/>
      <c r="I11" s="17"/>
      <c r="J11" s="17"/>
      <c r="K11" s="17"/>
      <c r="L11" s="17"/>
      <c r="M11" s="17"/>
      <c r="N11" s="17"/>
      <c r="O11" s="17"/>
      <c r="P11" s="17"/>
      <c r="Q11" s="16"/>
      <c r="R11" s="17"/>
      <c r="S11" s="17"/>
      <c r="T11" s="17"/>
      <c r="U11" s="17"/>
      <c r="V11" s="17"/>
      <c r="W11" s="17"/>
      <c r="X11" s="17"/>
      <c r="Y11" s="17"/>
      <c r="Z11" s="17"/>
      <c r="AA11" s="17"/>
      <c r="AB11" s="17"/>
      <c r="AC11" s="17"/>
      <c r="AD11" s="18"/>
    </row>
    <row r="12" spans="1:59">
      <c r="A12" s="239" t="s">
        <v>422</v>
      </c>
      <c r="B12" s="240" t="s">
        <v>317</v>
      </c>
      <c r="C12" s="16"/>
      <c r="D12" s="16"/>
      <c r="E12" s="17"/>
      <c r="F12" s="17"/>
      <c r="G12" s="17"/>
      <c r="H12" s="17"/>
      <c r="I12" s="17"/>
      <c r="J12" s="17"/>
      <c r="K12" s="17"/>
      <c r="L12" s="17"/>
      <c r="M12" s="17"/>
      <c r="N12" s="17"/>
      <c r="O12" s="17"/>
      <c r="P12" s="17"/>
      <c r="Q12" s="16"/>
      <c r="R12" s="17"/>
      <c r="S12" s="17"/>
      <c r="T12" s="17"/>
      <c r="U12" s="17"/>
      <c r="V12" s="17"/>
      <c r="W12" s="17"/>
      <c r="X12" s="17"/>
      <c r="Y12" s="17"/>
      <c r="Z12" s="17"/>
      <c r="AA12" s="17"/>
      <c r="AB12" s="17"/>
      <c r="AC12" s="17"/>
      <c r="AD12" s="18"/>
    </row>
    <row r="13" spans="1:59">
      <c r="A13" s="16"/>
      <c r="B13" s="16"/>
      <c r="C13" s="16"/>
      <c r="D13" s="16"/>
      <c r="E13" s="17"/>
      <c r="F13" s="17"/>
      <c r="G13" s="17"/>
      <c r="H13" s="17"/>
      <c r="I13" s="17"/>
      <c r="J13" s="17"/>
      <c r="K13" s="17"/>
      <c r="L13" s="17"/>
      <c r="M13" s="17"/>
      <c r="N13" s="17"/>
      <c r="O13" s="17"/>
      <c r="P13" s="17"/>
      <c r="Q13" s="16"/>
      <c r="R13" s="17"/>
      <c r="S13" s="17"/>
      <c r="T13" s="17"/>
      <c r="U13" s="17"/>
      <c r="V13" s="17"/>
      <c r="W13" s="17"/>
      <c r="X13" s="17"/>
      <c r="Y13" s="17"/>
      <c r="Z13" s="17"/>
      <c r="AA13" s="17"/>
      <c r="AB13" s="17"/>
      <c r="AC13" s="17"/>
      <c r="AD13" s="17" t="str" cm="1">
        <f t="array" ref="AD13:BF14">Constants!A2:AC3</f>
        <v>SC1</v>
      </c>
      <c r="AE13" s="17" t="str">
        <v>SC1 - Half</v>
      </c>
      <c r="AF13" s="17" t="str">
        <v>SC2</v>
      </c>
      <c r="AG13" s="17" t="str">
        <v>SC2 - Half</v>
      </c>
      <c r="AH13" s="17" t="str">
        <v>SC3</v>
      </c>
      <c r="AI13" s="17" t="str">
        <v>SC4</v>
      </c>
      <c r="AJ13" s="17" t="str">
        <v>SC5</v>
      </c>
      <c r="AK13" s="17" t="str">
        <v>SC6</v>
      </c>
      <c r="AL13" s="17" t="str">
        <v>Dojo</v>
      </c>
      <c r="AM13" s="17" t="str">
        <v>Boulder Wall</v>
      </c>
      <c r="AN13" s="17" t="str">
        <v>Climbing Wall</v>
      </c>
      <c r="AO13" s="17" t="str">
        <v>Artificial Hockey field</v>
      </c>
      <c r="AP13" s="17" t="str">
        <v>Artificial Hockey field - Half</v>
      </c>
      <c r="AQ13" s="17" t="str">
        <v>Artificial Soccer field</v>
      </c>
      <c r="AR13" s="17" t="str">
        <v>Artificial Soccer field - Half</v>
      </c>
      <c r="AS13" s="17" t="str">
        <v>Basketball</v>
      </c>
      <c r="AT13" s="17" t="str">
        <v>Bastille field</v>
      </c>
      <c r="AU13" s="17" t="str">
        <v>Beach fields</v>
      </c>
      <c r="AV13" s="17" t="str">
        <v>Shooting range</v>
      </c>
      <c r="AW13" s="17" t="str">
        <v>Multi/Lacrosse field</v>
      </c>
      <c r="AX13" s="17" t="str">
        <v>Multi/Lacrosse field - Half</v>
      </c>
      <c r="AY13" s="17" t="str">
        <v>Bootcamp field</v>
      </c>
      <c r="AZ13" s="17" t="str">
        <v>Multi/Baseball field</v>
      </c>
      <c r="BA13" s="17" t="str">
        <v>Tennis court</v>
      </c>
      <c r="BB13" s="17" t="str">
        <v>Utrack</v>
      </c>
      <c r="BC13" s="22" t="str">
        <v>Verreveld</v>
      </c>
      <c r="BD13" s="22" t="str">
        <v>Wsc</v>
      </c>
      <c r="BE13" s="22" t="str">
        <v>Indoor pool</v>
      </c>
      <c r="BF13" s="22" t="str">
        <v>Outdoor pool</v>
      </c>
      <c r="BG13" s="22"/>
    </row>
    <row r="14" spans="1:59">
      <c r="A14" s="175" t="s">
        <v>423</v>
      </c>
      <c r="B14" s="16"/>
      <c r="C14" s="16"/>
      <c r="D14" s="16"/>
      <c r="E14" s="16"/>
      <c r="F14" s="16"/>
      <c r="G14" s="175" t="s">
        <v>424</v>
      </c>
      <c r="I14" s="17"/>
      <c r="J14" s="17"/>
      <c r="K14" s="176" t="s">
        <v>425</v>
      </c>
      <c r="L14" s="17"/>
      <c r="M14" s="176" t="s">
        <v>426</v>
      </c>
      <c r="N14" s="17"/>
      <c r="O14" s="17"/>
      <c r="P14" s="17"/>
      <c r="Q14" s="17"/>
      <c r="R14" s="17"/>
      <c r="S14" s="16"/>
      <c r="T14" s="17"/>
      <c r="U14" s="17"/>
      <c r="V14" s="17"/>
      <c r="W14" s="17"/>
      <c r="X14" s="17"/>
      <c r="Y14" s="17"/>
      <c r="Z14" s="17"/>
      <c r="AA14" s="17"/>
      <c r="AB14" s="17"/>
      <c r="AC14" s="17"/>
      <c r="AD14" s="19">
        <v>67.5</v>
      </c>
      <c r="AE14" s="19">
        <v>35</v>
      </c>
      <c r="AF14" s="19">
        <v>67.5</v>
      </c>
      <c r="AG14" s="19">
        <v>35</v>
      </c>
      <c r="AH14" s="19">
        <v>40</v>
      </c>
      <c r="AI14" s="19">
        <v>40</v>
      </c>
      <c r="AJ14" s="19">
        <v>35</v>
      </c>
      <c r="AK14" s="19">
        <v>35</v>
      </c>
      <c r="AL14" s="19">
        <v>40</v>
      </c>
      <c r="AM14" s="19">
        <v>27.5</v>
      </c>
      <c r="AN14" s="19">
        <v>45</v>
      </c>
      <c r="AO14" s="19">
        <v>75</v>
      </c>
      <c r="AP14" s="19">
        <v>40</v>
      </c>
      <c r="AQ14" s="19">
        <v>75</v>
      </c>
      <c r="AR14" s="19">
        <v>40</v>
      </c>
      <c r="AS14" s="19">
        <v>30</v>
      </c>
      <c r="AT14" s="19">
        <v>50</v>
      </c>
      <c r="AU14" s="19">
        <v>75</v>
      </c>
      <c r="AV14" s="19">
        <v>40</v>
      </c>
      <c r="AW14" s="19">
        <v>75</v>
      </c>
      <c r="AX14" s="19">
        <v>40</v>
      </c>
      <c r="AY14" s="19">
        <v>50</v>
      </c>
      <c r="AZ14" s="19">
        <v>65</v>
      </c>
      <c r="BA14" s="19">
        <v>35</v>
      </c>
      <c r="BB14" s="19">
        <v>45</v>
      </c>
      <c r="BC14" s="19">
        <v>50</v>
      </c>
      <c r="BD14" s="19">
        <v>0</v>
      </c>
      <c r="BE14" s="19">
        <v>65</v>
      </c>
      <c r="BF14" s="20">
        <v>70</v>
      </c>
      <c r="BG14" s="20"/>
    </row>
    <row r="15" spans="1:59">
      <c r="A15" s="67"/>
      <c r="B15" s="68" t="str">
        <f>Constants!H6</f>
        <v>Performance training</v>
      </c>
      <c r="C15" s="68" t="str">
        <f>Constants!H7</f>
        <v>Performance coaching</v>
      </c>
      <c r="D15" s="68" t="str">
        <f>Constants!H8</f>
        <v>Dangerous</v>
      </c>
      <c r="E15" s="69" t="str">
        <f>Constants!H9</f>
        <v>Recreational</v>
      </c>
      <c r="F15" s="69" t="s">
        <v>290</v>
      </c>
      <c r="G15" s="70"/>
      <c r="H15" s="71" t="s">
        <v>427</v>
      </c>
      <c r="I15" s="72" t="s">
        <v>272</v>
      </c>
      <c r="J15" s="70" t="s">
        <v>5</v>
      </c>
      <c r="K15" s="72" t="s">
        <v>428</v>
      </c>
      <c r="L15" s="70" t="s">
        <v>429</v>
      </c>
      <c r="M15" s="73" cm="1">
        <f t="array" ref="M15">(SUM(IF($D$58:$D$62="PT",($F$58:$F$62)/1.5+IF($G$58:$G$62="yes",1)))+SUM(IF($D$58:$D$62="Extern",($F$58:$F$62)/1.5+IF($G$58:$G$62="yes",1)))+SUM(IF($D$58:$D$62="PT-ZZP",($F$58:$F$62)/1.5+IF($G$58:$G$62="yes",1))))*Constants!B10</f>
        <v>1000</v>
      </c>
      <c r="N15" s="17"/>
      <c r="O15" s="17"/>
      <c r="P15" s="17"/>
      <c r="Q15" s="17"/>
      <c r="R15" s="16"/>
      <c r="S15" s="17"/>
      <c r="T15" s="17"/>
      <c r="U15" s="17"/>
      <c r="V15" s="17"/>
      <c r="W15" s="17"/>
      <c r="X15" s="17"/>
      <c r="Y15" s="17"/>
      <c r="Z15" s="17"/>
      <c r="AA15" s="17"/>
      <c r="AB15" s="17"/>
      <c r="AC15" s="17"/>
      <c r="AD15" s="16">
        <f t="shared" ref="AD15:BF15" si="0">SUMIF($B$83:$B$100,AD13,$F$83:$F$100)</f>
        <v>0</v>
      </c>
      <c r="AE15" s="16">
        <f t="shared" si="0"/>
        <v>0</v>
      </c>
      <c r="AF15" s="16">
        <f t="shared" si="0"/>
        <v>0</v>
      </c>
      <c r="AG15" s="16">
        <f t="shared" si="0"/>
        <v>0</v>
      </c>
      <c r="AH15" s="16">
        <f t="shared" si="0"/>
        <v>0</v>
      </c>
      <c r="AI15" s="16">
        <f t="shared" si="0"/>
        <v>0</v>
      </c>
      <c r="AJ15" s="16">
        <f t="shared" si="0"/>
        <v>0</v>
      </c>
      <c r="AK15" s="16">
        <f t="shared" si="0"/>
        <v>0</v>
      </c>
      <c r="AL15" s="16">
        <f t="shared" si="0"/>
        <v>0</v>
      </c>
      <c r="AM15" s="16">
        <f t="shared" si="0"/>
        <v>0</v>
      </c>
      <c r="AN15" s="16">
        <f t="shared" si="0"/>
        <v>0</v>
      </c>
      <c r="AO15" s="16">
        <f t="shared" si="0"/>
        <v>0</v>
      </c>
      <c r="AP15" s="16">
        <f t="shared" si="0"/>
        <v>0</v>
      </c>
      <c r="AQ15" s="16">
        <f t="shared" si="0"/>
        <v>0</v>
      </c>
      <c r="AR15" s="16">
        <f t="shared" si="0"/>
        <v>0</v>
      </c>
      <c r="AS15" s="16">
        <f t="shared" si="0"/>
        <v>0</v>
      </c>
      <c r="AT15" s="16">
        <f t="shared" si="0"/>
        <v>0</v>
      </c>
      <c r="AU15" s="16">
        <f t="shared" si="0"/>
        <v>0</v>
      </c>
      <c r="AV15" s="16">
        <f t="shared" si="0"/>
        <v>0</v>
      </c>
      <c r="AW15" s="16">
        <f t="shared" si="0"/>
        <v>0</v>
      </c>
      <c r="AX15" s="16">
        <f t="shared" si="0"/>
        <v>0</v>
      </c>
      <c r="AY15" s="16">
        <f t="shared" si="0"/>
        <v>210</v>
      </c>
      <c r="AZ15" s="16">
        <f t="shared" si="0"/>
        <v>0</v>
      </c>
      <c r="BA15" s="16">
        <f t="shared" si="0"/>
        <v>0</v>
      </c>
      <c r="BB15" s="16">
        <f t="shared" si="0"/>
        <v>0</v>
      </c>
      <c r="BC15" s="16">
        <f t="shared" si="0"/>
        <v>0</v>
      </c>
      <c r="BD15" s="16">
        <f t="shared" si="0"/>
        <v>0</v>
      </c>
      <c r="BE15" s="16">
        <f t="shared" si="0"/>
        <v>0</v>
      </c>
      <c r="BF15" s="16">
        <f t="shared" si="0"/>
        <v>0</v>
      </c>
    </row>
    <row r="16" spans="1:59">
      <c r="A16" s="74" t="str">
        <f>Constants!E6</f>
        <v>PT</v>
      </c>
      <c r="B16" s="16">
        <f>SUMIFS(Tartaros!$F$67:$F$79,Tartaros!$B$67:$B$79, B$15,Tartaros!$H$67:$H$79,$A16)*(1+Constants!$B$7)</f>
        <v>0</v>
      </c>
      <c r="C16" s="16">
        <f>SUMIFS(Tartaros!$F$67:$F$79,Tartaros!$B$67:$B$79, C$15,Tartaros!$H$67:$H$79,$A16)</f>
        <v>0</v>
      </c>
      <c r="D16" s="16">
        <f>SUMIFS(Tartaros!$F$67:$F$79,Tartaros!$B$67:$B$79, D$15,Tartaros!$H$67:$H$79,$A16)*(1+Constants!$B$7)</f>
        <v>151.19999999999999</v>
      </c>
      <c r="E16" s="16">
        <f>SUMIFS(Tartaros!$F$67:$F$79,Tartaros!$B$67:$B$79, E$15,Tartaros!$H$67:$H$79,$A16)*(1+Constants!$B$7)</f>
        <v>0</v>
      </c>
      <c r="F16" s="16">
        <f>SUMIFS(Tartaros!$F$67:$F$79,Tartaros!$B$67:$B$79, F$15,Tartaros!$H$67:$H$79,$A16)*(1+Constants!$B$7)</f>
        <v>0</v>
      </c>
      <c r="G16" s="74" t="s">
        <v>430</v>
      </c>
      <c r="H16" s="16">
        <f>SUMIF(Tartaros!$B$83:$B$101,"&lt;&gt;External",Tartaros!$F$83:$F$101)</f>
        <v>210</v>
      </c>
      <c r="I16" s="75">
        <f>SUMIF(Tartaros!$B$83:$B$101,"External",Tartaros!$F$83:$F$101)</f>
        <v>0</v>
      </c>
      <c r="J16" s="234">
        <f>SUM($F$104:$F$117)</f>
        <v>0</v>
      </c>
      <c r="K16" s="76">
        <f>IF(OR(ISBLANK(B7),ISBLANK(B9)), "ERROR",MAX(MIN(J16,B7*Constants!B15)-Constants!B14*B7,0)*IF(B9="yes",Constants!B16,IF(B9="no",Constants!B17,0)))</f>
        <v>0</v>
      </c>
      <c r="L16" s="77" t="s">
        <v>360</v>
      </c>
      <c r="M16" s="76">
        <f>E16*Constants!B6+E17*Constants!B8+E22+E21</f>
        <v>0</v>
      </c>
      <c r="N16" s="17"/>
      <c r="O16" s="17"/>
      <c r="P16" s="17"/>
      <c r="Q16" s="17"/>
      <c r="R16" s="16"/>
      <c r="S16" s="17"/>
      <c r="T16" s="17"/>
      <c r="U16" s="17"/>
      <c r="V16" s="17"/>
      <c r="W16" s="17"/>
      <c r="X16" s="17"/>
      <c r="Y16" s="17"/>
      <c r="Z16" s="17"/>
      <c r="AA16" s="17"/>
      <c r="AB16" s="17"/>
      <c r="AC16" s="17"/>
      <c r="AD16" s="19">
        <f t="shared" ref="AD16:BF16" si="1">AD14*AD15</f>
        <v>0</v>
      </c>
      <c r="AE16" s="19">
        <f t="shared" si="1"/>
        <v>0</v>
      </c>
      <c r="AF16" s="19">
        <f t="shared" si="1"/>
        <v>0</v>
      </c>
      <c r="AG16" s="19">
        <f t="shared" si="1"/>
        <v>0</v>
      </c>
      <c r="AH16" s="19">
        <f t="shared" si="1"/>
        <v>0</v>
      </c>
      <c r="AI16" s="19">
        <f t="shared" si="1"/>
        <v>0</v>
      </c>
      <c r="AJ16" s="19">
        <f t="shared" si="1"/>
        <v>0</v>
      </c>
      <c r="AK16" s="19">
        <f t="shared" si="1"/>
        <v>0</v>
      </c>
      <c r="AL16" s="19">
        <f t="shared" si="1"/>
        <v>0</v>
      </c>
      <c r="AM16" s="19">
        <f t="shared" si="1"/>
        <v>0</v>
      </c>
      <c r="AN16" s="19">
        <f t="shared" si="1"/>
        <v>0</v>
      </c>
      <c r="AO16" s="19">
        <f t="shared" si="1"/>
        <v>0</v>
      </c>
      <c r="AP16" s="19">
        <f t="shared" si="1"/>
        <v>0</v>
      </c>
      <c r="AQ16" s="19">
        <f t="shared" si="1"/>
        <v>0</v>
      </c>
      <c r="AR16" s="19">
        <f t="shared" si="1"/>
        <v>0</v>
      </c>
      <c r="AS16" s="19">
        <f t="shared" si="1"/>
        <v>0</v>
      </c>
      <c r="AT16" s="19">
        <f t="shared" si="1"/>
        <v>0</v>
      </c>
      <c r="AU16" s="19">
        <f t="shared" si="1"/>
        <v>0</v>
      </c>
      <c r="AV16" s="19">
        <f t="shared" si="1"/>
        <v>0</v>
      </c>
      <c r="AW16" s="19">
        <f t="shared" si="1"/>
        <v>0</v>
      </c>
      <c r="AX16" s="19">
        <f t="shared" si="1"/>
        <v>0</v>
      </c>
      <c r="AY16" s="19">
        <f t="shared" si="1"/>
        <v>10500</v>
      </c>
      <c r="AZ16" s="19">
        <f t="shared" si="1"/>
        <v>0</v>
      </c>
      <c r="BA16" s="19">
        <f t="shared" si="1"/>
        <v>0</v>
      </c>
      <c r="BB16" s="19">
        <f t="shared" si="1"/>
        <v>0</v>
      </c>
      <c r="BC16" s="19">
        <f t="shared" si="1"/>
        <v>0</v>
      </c>
      <c r="BD16" s="19">
        <f t="shared" si="1"/>
        <v>0</v>
      </c>
      <c r="BE16" s="19">
        <f t="shared" si="1"/>
        <v>0</v>
      </c>
      <c r="BF16" s="19">
        <f t="shared" si="1"/>
        <v>0</v>
      </c>
    </row>
    <row r="17" spans="1:36">
      <c r="A17" s="74" t="str">
        <f>Constants!E7</f>
        <v>PT-V</v>
      </c>
      <c r="B17" s="16">
        <f>SUMIFS(Tartaros!$F$67:$F$79,Tartaros!$B$67:$B$79, B$15,Tartaros!$H$67:$H$79,$A17)*(1+Constants!$B$9)</f>
        <v>0</v>
      </c>
      <c r="C17" s="16">
        <f>SUMIFS(Tartaros!$F$67:$F$79,Tartaros!$B$67:$B$79, C$15,Tartaros!$H$67:$H$79,$A17)</f>
        <v>0</v>
      </c>
      <c r="D17" s="16">
        <f>SUMIFS(Tartaros!$F$67:$F$79,Tartaros!$B$67:$B$79, D$15,Tartaros!$H$67:$H$79,$A17)*(1+Constants!$B$9)</f>
        <v>0</v>
      </c>
      <c r="E17" s="16">
        <f>SUMIFS(Tartaros!$F$67:$F$79,Tartaros!$B$67:$B$79, E$15,Tartaros!$H$67:$H$79,$A17)*(1+Constants!$B$9)</f>
        <v>0</v>
      </c>
      <c r="F17" s="16">
        <f>SUMIFS(Tartaros!$F$67:$F$79,Tartaros!$B$67:$B$79, F$15,Tartaros!$H$67:$H$79,$A17)</f>
        <v>0</v>
      </c>
      <c r="G17" s="74" t="s">
        <v>38</v>
      </c>
      <c r="H17" s="78">
        <f>SUM(AD16:BZ16)</f>
        <v>10500</v>
      </c>
      <c r="I17" s="76" cm="1">
        <f t="array" ref="I17">SUM(IF($B$83:$B$99="External",$F$83:$F$99*$H$83:$H$99,0))</f>
        <v>0</v>
      </c>
      <c r="J17" s="79"/>
      <c r="K17" s="80"/>
      <c r="L17" s="77" t="s">
        <v>63</v>
      </c>
      <c r="M17" s="76">
        <f>J16-K16</f>
        <v>0</v>
      </c>
      <c r="N17" s="17"/>
      <c r="O17" s="17"/>
      <c r="P17" s="17"/>
      <c r="Q17" s="17"/>
      <c r="R17" s="16"/>
      <c r="S17" s="17"/>
      <c r="T17" s="17"/>
      <c r="U17" s="17"/>
      <c r="V17" s="17"/>
      <c r="W17" s="17"/>
      <c r="X17" s="17"/>
      <c r="Y17" s="17"/>
      <c r="Z17" s="17"/>
      <c r="AA17" s="17"/>
      <c r="AB17" s="17"/>
      <c r="AC17" s="17"/>
      <c r="AD17" s="17"/>
      <c r="AE17" s="17"/>
    </row>
    <row r="18" spans="1:36">
      <c r="A18" s="74" t="str">
        <f>Constants!E8</f>
        <v>PT-ZZP</v>
      </c>
      <c r="B18" s="16">
        <f>SUMIFS(Tartaros!$F$67:$F$79,Tartaros!$B$67:$B$79, B$15,Tartaros!$H$67:$H$79,$A18)*(1+Constants!$B$7)</f>
        <v>0</v>
      </c>
      <c r="C18" s="16">
        <f>SUMIFS(Tartaros!$F$67:$F$79,Tartaros!$B$67:$B$79, C$15,Tartaros!$H$67:$H$79,$A18)</f>
        <v>0</v>
      </c>
      <c r="D18" s="16">
        <f>SUMIFS(Tartaros!$F$67:$F$79,Tartaros!$B$67:$B$79, D$15,Tartaros!$H$67:$H$79,$A18)*(1+Constants!$B$7)</f>
        <v>0</v>
      </c>
      <c r="E18" s="16">
        <f>SUMIFS(Tartaros!$F$67:$F$79,Tartaros!$B$67:$B$79, E$15,Tartaros!$H$67:$H$79,$A18)*(1+Constants!$B$7)</f>
        <v>0</v>
      </c>
      <c r="F18" s="16">
        <f>SUMIFS(Tartaros!$F$67:$F$79,Tartaros!$B$67:$B$79, F$15,Tartaros!$H$67:$H$79,$A18)*(1+Constants!$B$7)</f>
        <v>0</v>
      </c>
      <c r="G18" s="74"/>
      <c r="H18" s="78"/>
      <c r="I18" s="76"/>
      <c r="J18" s="79"/>
      <c r="K18" s="80"/>
      <c r="L18" s="77" t="s">
        <v>60</v>
      </c>
      <c r="M18" s="76" t="str">
        <f>IF(I17-Constants!I17*$B$7&gt;0,$I$17-Constants!I17*$B$7,"-")</f>
        <v>-</v>
      </c>
      <c r="N18" s="17"/>
      <c r="O18" s="17"/>
      <c r="P18" s="17"/>
      <c r="Q18" s="17"/>
      <c r="R18" s="16"/>
      <c r="S18" s="17"/>
      <c r="T18" s="17"/>
      <c r="U18" s="17"/>
      <c r="V18" s="17"/>
      <c r="W18" s="17"/>
      <c r="X18" s="17"/>
      <c r="Y18" s="17"/>
      <c r="Z18" s="17"/>
      <c r="AA18" s="17"/>
      <c r="AB18" s="17"/>
      <c r="AC18" s="17"/>
      <c r="AD18" s="17"/>
      <c r="AE18" s="17"/>
    </row>
    <row r="19" spans="1:36">
      <c r="A19" s="74" t="str">
        <f>Constants!E9</f>
        <v>RT</v>
      </c>
      <c r="B19" s="16">
        <f>SUMIFS(Tartaros!$F$67:$F$79,Tartaros!$B$67:$B$79, B$15,Tartaros!$H$67:$H$79,$A19)</f>
        <v>0</v>
      </c>
      <c r="C19" s="16">
        <f>SUMIFS(Tartaros!$F$67:$F$79,Tartaros!$B$67:$B$79, C$15,Tartaros!$H$67:$H$79,$A19)</f>
        <v>0</v>
      </c>
      <c r="D19" s="16">
        <f>SUMIFS(Tartaros!$F$67:$F$79,Tartaros!$B$67:$B$79, D$15,Tartaros!$H$67:$H$79,$A19)</f>
        <v>0</v>
      </c>
      <c r="E19" s="16">
        <f>SUMIFS(Tartaros!$F$67:$F$79,Tartaros!$B$67:$B$79, E$15,Tartaros!$H$67:$H$79,$A19)</f>
        <v>210</v>
      </c>
      <c r="F19" s="16">
        <f>SUMIFS(Tartaros!$F$67:$F$79,Tartaros!$B$67:$B$79, F$15,Tartaros!$H$67:$H$79,$A19)</f>
        <v>0</v>
      </c>
      <c r="G19" s="74" t="s">
        <v>396</v>
      </c>
      <c r="H19" s="78"/>
      <c r="I19" s="76">
        <f>IF(B7*Constants!I17&lt;I17,B7*Constants!I17,I17)</f>
        <v>0</v>
      </c>
      <c r="J19" s="79"/>
      <c r="K19" s="80"/>
      <c r="L19" s="77" t="s">
        <v>431</v>
      </c>
      <c r="M19" s="255">
        <f ca="1">Constants!C31*B7+Data!L31</f>
        <v>3765.6699764213877</v>
      </c>
      <c r="N19" s="17"/>
      <c r="O19" s="17"/>
      <c r="P19" s="17"/>
      <c r="Q19" s="17"/>
      <c r="R19" s="16"/>
      <c r="S19" s="17"/>
      <c r="T19" s="17"/>
      <c r="U19" s="17"/>
      <c r="V19" s="17"/>
      <c r="W19" s="17"/>
      <c r="X19" s="17"/>
      <c r="Y19" s="17"/>
      <c r="Z19" s="17"/>
      <c r="AA19" s="17"/>
      <c r="AB19" s="17"/>
      <c r="AC19" s="17"/>
      <c r="AD19" s="17"/>
      <c r="AE19" s="17"/>
    </row>
    <row r="20" spans="1:36">
      <c r="A20" s="74" t="str">
        <f>Constants!E10</f>
        <v>Extern</v>
      </c>
      <c r="B20" s="16">
        <f>SUMIFS(Tartaros!$F$67:$F$79,Tartaros!$B$67:$B$79, B$15,Tartaros!$H$67:$H$79,$A20)</f>
        <v>0</v>
      </c>
      <c r="C20" s="16">
        <f>SUMIFS(Tartaros!$F$67:$F$79,Tartaros!$B$67:$B$79, C$15,Tartaros!$H$67:$H$79,$A20)</f>
        <v>0</v>
      </c>
      <c r="D20" s="16">
        <f>SUMIFS(Tartaros!$F$67:$F$79,Tartaros!$B$67:$B$79, D$15,Tartaros!$H$67:$H$79,$A20)</f>
        <v>0</v>
      </c>
      <c r="E20" s="16">
        <f>SUMIFS(Tartaros!$F$67:$F$79,Tartaros!$B$67:$B$79, E$15,Tartaros!$H$67:$H$79,$A20)</f>
        <v>0</v>
      </c>
      <c r="F20" s="16">
        <f>SUMIFS(Tartaros!$F$67:$F$79,Tartaros!$B$67:$B$79, F$15,Tartaros!$H$67:$H$79,$A20)</f>
        <v>0</v>
      </c>
      <c r="G20" s="81"/>
      <c r="H20" s="16"/>
      <c r="I20" s="75"/>
      <c r="J20" s="79"/>
      <c r="K20" s="82"/>
      <c r="L20" s="83"/>
      <c r="M20" s="84"/>
      <c r="N20" s="17"/>
      <c r="O20" s="17"/>
      <c r="P20" s="17"/>
      <c r="Q20" s="17"/>
      <c r="R20" s="16"/>
      <c r="S20" s="17"/>
      <c r="T20" s="17"/>
      <c r="U20" s="17"/>
      <c r="V20" s="17"/>
      <c r="W20" s="17"/>
      <c r="X20" s="17"/>
      <c r="Y20" s="17"/>
      <c r="Z20" s="17"/>
      <c r="AA20" s="17"/>
      <c r="AB20" s="17"/>
      <c r="AC20" s="17"/>
      <c r="AD20" s="17"/>
      <c r="AE20" s="17"/>
    </row>
    <row r="21" spans="1:36">
      <c r="A21" s="74" t="str">
        <f>CONCATENATE(A18," Costs")</f>
        <v>PT-ZZP Costs</v>
      </c>
      <c r="B21" s="78">
        <f t="array" ref="B21">SUM(IF(Tartaros!$B$67:$B$79=B$15,IF(Tartaros!$H$67:$H$79="PT-ZZP",Tartaros!$F$67:$F$79*Tartaros!$I$67:$I$79*(1+Constants!$B$7),0),0))</f>
        <v>0</v>
      </c>
      <c r="C21" s="78">
        <f t="array" ref="C21">SUM(IF(Tartaros!$B$67:$B$79=C$15,IF(Tartaros!$H$67:$H$79="PT-ZZP",Tartaros!$F$67:$F$79*Tartaros!$I$67:$I$79,0),0))</f>
        <v>0</v>
      </c>
      <c r="D21" s="78">
        <f t="array" ref="D21">SUM(IF(Tartaros!$B$67:$B$79=D$15,IF(Tartaros!$H$67:$H$79="PT-ZZP",Tartaros!$F$67:$F$79*Tartaros!$I$67:$I$79*(1+Constants!$B$7),0),0))</f>
        <v>0</v>
      </c>
      <c r="E21" s="78">
        <f t="array" ref="E21">SUM(IF(Tartaros!$B$67:$B$79=E$15,IF(Tartaros!$H$67:$H$79="PT-ZZP",Tartaros!$F$67:$F$79*Tartaros!$I$67:$I$79*(1+Constants!$B$7),0),0))</f>
        <v>0</v>
      </c>
      <c r="F21" s="78">
        <f t="array" ref="F21">SUM(IF(Tartaros!$B$67:$B$79=F$15,IF(Tartaros!$H$67:$H$79="PT-ZZP",Tartaros!$F$67:$F$79*Tartaros!$I$67:$I$79*(1+Constants!$B$7),0),0))</f>
        <v>0</v>
      </c>
      <c r="G21" s="81"/>
      <c r="H21" s="16"/>
      <c r="I21" s="75"/>
      <c r="J21" s="79"/>
      <c r="K21" s="82"/>
      <c r="L21" s="77" t="s">
        <v>5</v>
      </c>
      <c r="M21" s="76">
        <f ca="1">SUM(M15:M20)</f>
        <v>4765.6699764213881</v>
      </c>
      <c r="N21" s="17"/>
      <c r="O21" s="17"/>
      <c r="P21" s="17"/>
      <c r="Q21" s="17"/>
      <c r="R21" s="16"/>
      <c r="S21" s="17"/>
      <c r="T21" s="17"/>
      <c r="U21" s="17"/>
      <c r="V21" s="17"/>
      <c r="W21" s="17"/>
      <c r="X21" s="17"/>
      <c r="Y21" s="17"/>
      <c r="Z21" s="17"/>
      <c r="AA21" s="17"/>
      <c r="AB21" s="17"/>
      <c r="AC21" s="17"/>
      <c r="AD21" s="17"/>
      <c r="AE21" s="17"/>
    </row>
    <row r="22" spans="1:36" ht="15.75" customHeight="1">
      <c r="A22" s="74" t="str">
        <f>CONCATENATE(A20," Costs")</f>
        <v>Extern Costs</v>
      </c>
      <c r="B22" s="78">
        <f t="array" ref="B22">SUM(IF(Tartaros!$B$67:$B$79=B$15,IF(Tartaros!$H$67:$H$79="Extern",Tartaros!$F$67:$F$79*Tartaros!$I$67:$I$79,0),0))</f>
        <v>0</v>
      </c>
      <c r="C22" s="78">
        <f t="array" ref="C22">SUM(IF(Tartaros!$B$67:$B$79=C$15,IF(Tartaros!$H$67:$H$79="Extern",Tartaros!$F$67:$F$79*Tartaros!$I$67:$I$79,0),0))</f>
        <v>0</v>
      </c>
      <c r="D22" s="78">
        <f t="array" ref="D22">SUM(IF(Tartaros!$B$67:$B$79=D$15,IF(Tartaros!$H$67:$H$79="Extern",Tartaros!$F$67:$F$79*Tartaros!$I$67:$I$79,0),0))</f>
        <v>0</v>
      </c>
      <c r="E22" s="78">
        <f t="array" ref="E22">SUM(IF(Tartaros!$B$67:$B$79=E$15,IF(Tartaros!$H$67:$H$79="Extern",Tartaros!$F$67:$F$79*Tartaros!$I$67:$I$79,0),0))</f>
        <v>0</v>
      </c>
      <c r="F22" s="76">
        <f t="array" ref="F22">SUM(IF(Tartaros!$B$67:$B$79=F$15,IF(Tartaros!$H$67:$H$79="Extern",Tartaros!$F$67:$F$79*Tartaros!$I$67:$I$79,0),0))</f>
        <v>0</v>
      </c>
      <c r="G22" s="85"/>
      <c r="H22" s="177"/>
      <c r="I22" s="86"/>
      <c r="J22" s="87"/>
      <c r="K22" s="88"/>
      <c r="L22" s="87"/>
      <c r="M22" s="88"/>
      <c r="N22" s="17"/>
      <c r="O22" s="17"/>
      <c r="P22" s="17"/>
      <c r="Q22" s="17"/>
      <c r="R22" s="16"/>
      <c r="S22" s="17"/>
      <c r="T22" s="17"/>
      <c r="U22" s="17"/>
      <c r="V22" s="17"/>
      <c r="W22" s="17"/>
      <c r="X22" s="17"/>
      <c r="Y22" s="17"/>
      <c r="Z22" s="17"/>
      <c r="AA22" s="17"/>
      <c r="AB22" s="17"/>
      <c r="AC22" s="17"/>
      <c r="AD22" s="17"/>
      <c r="AE22" s="17"/>
    </row>
    <row r="23" spans="1:36" ht="15" customHeight="1">
      <c r="A23" s="74" t="s">
        <v>432</v>
      </c>
      <c r="B23" s="78"/>
      <c r="C23" s="78"/>
      <c r="D23" s="78"/>
      <c r="E23" s="78"/>
      <c r="F23" s="76">
        <f t="array" ref="F23">SUMIFS(Tartaros!$F$67:$F$79,Tartaros!$B$67:$B$79,"Mentorship",Tartaros!$H$67:$H$79,"PT-V")*Constants!B8+SUMIFS(Tartaros!$F$67:$F$79,Tartaros!$B$67:$B$79,"Mentorship",Tartaros!$H$67:$H$79,"PT")*Constants!B6+SUMPRODUCT(IF(Tartaros!$B$67:$B$79="Mentorship",IF(Tartaros!$H$67:$H$79="PT-ZZP",Tartaros!$F$67:$F$79*Tartaros!$I$67:$I$79,0)))</f>
        <v>0</v>
      </c>
    </row>
    <row r="24" spans="1:36" ht="15" customHeight="1">
      <c r="A24" s="89" t="s">
        <v>433</v>
      </c>
      <c r="B24" s="178"/>
      <c r="C24" s="178"/>
      <c r="D24" s="178"/>
      <c r="E24" s="178">
        <f>SUMIF(Tartaros!$B$67:$B$79,"External Trainer Course",Tartaros!$I$67:$I$79)</f>
        <v>855</v>
      </c>
      <c r="F24" s="90"/>
    </row>
    <row r="25" spans="1:36" ht="15.75" customHeight="1">
      <c r="A25" s="16"/>
      <c r="B25" s="16"/>
      <c r="C25" s="16"/>
      <c r="D25" s="16"/>
      <c r="E25" s="17"/>
      <c r="F25" s="17"/>
      <c r="G25" s="17"/>
      <c r="H25" s="17"/>
      <c r="I25" s="17"/>
      <c r="J25" s="17"/>
      <c r="K25" s="17"/>
      <c r="L25" s="17"/>
      <c r="M25" s="17"/>
      <c r="N25" s="17"/>
      <c r="O25" s="17"/>
      <c r="P25" s="17"/>
      <c r="Q25" s="16"/>
      <c r="R25" s="17"/>
      <c r="S25" s="17"/>
      <c r="T25" s="17"/>
      <c r="U25" s="17"/>
      <c r="V25" s="17"/>
      <c r="W25" s="17"/>
      <c r="X25" s="17"/>
      <c r="Y25" s="17"/>
      <c r="Z25" s="17"/>
      <c r="AA25" s="17"/>
      <c r="AB25" s="17"/>
      <c r="AC25" s="17"/>
      <c r="AD25" s="17"/>
    </row>
    <row r="26" spans="1:36" ht="15.75" customHeight="1">
      <c r="A26" s="16"/>
      <c r="B26" s="16"/>
      <c r="C26" s="16"/>
      <c r="D26" s="16"/>
      <c r="E26" s="17"/>
      <c r="F26" s="17"/>
      <c r="G26" s="17"/>
      <c r="H26" s="17"/>
      <c r="I26" s="17"/>
      <c r="J26" s="17"/>
      <c r="K26" s="17"/>
      <c r="L26" s="17"/>
      <c r="M26" s="17"/>
      <c r="N26" s="17"/>
      <c r="O26" s="17"/>
      <c r="P26" s="17"/>
      <c r="Q26" s="16"/>
      <c r="R26" s="17"/>
      <c r="S26" s="17"/>
      <c r="T26" s="17"/>
      <c r="U26" s="17"/>
      <c r="V26" s="17"/>
      <c r="W26" s="17"/>
      <c r="X26" s="17"/>
      <c r="Y26" s="17"/>
      <c r="Z26" s="17"/>
      <c r="AA26" s="17"/>
      <c r="AB26" s="17"/>
      <c r="AC26" s="17"/>
      <c r="AD26" s="17"/>
    </row>
    <row r="27" spans="1:36" ht="15.75" customHeight="1" thickBot="1">
      <c r="A27" s="91" t="s">
        <v>434</v>
      </c>
      <c r="B27" s="17"/>
      <c r="C27" s="17"/>
      <c r="D27" s="17"/>
      <c r="E27" s="17"/>
      <c r="F27" s="17"/>
      <c r="G27" s="92"/>
      <c r="H27" s="19"/>
      <c r="I27" s="17"/>
      <c r="J27" s="17"/>
      <c r="K27" s="17"/>
      <c r="L27" s="17"/>
      <c r="M27" s="17"/>
      <c r="N27" s="17"/>
      <c r="O27" s="17"/>
      <c r="P27" s="17"/>
      <c r="Q27" s="16"/>
      <c r="R27" s="17"/>
      <c r="S27" s="17"/>
      <c r="T27" s="17"/>
      <c r="U27" s="17"/>
      <c r="V27" s="17"/>
      <c r="W27" s="17"/>
      <c r="X27" s="17"/>
      <c r="Y27" s="17"/>
      <c r="Z27" s="17"/>
      <c r="AA27" s="17"/>
      <c r="AB27" s="17"/>
      <c r="AC27" s="17"/>
      <c r="AD27" s="17"/>
    </row>
    <row r="28" spans="1:36" ht="15.75" customHeight="1" thickTop="1" thickBot="1">
      <c r="A28" s="706" t="s">
        <v>435</v>
      </c>
      <c r="B28" s="707"/>
      <c r="C28" s="707"/>
      <c r="D28" s="707"/>
      <c r="E28" s="707"/>
      <c r="F28" s="708"/>
      <c r="G28" s="15"/>
      <c r="H28" s="17"/>
      <c r="I28" s="17"/>
      <c r="J28" s="17"/>
      <c r="K28" s="17"/>
      <c r="L28" s="17"/>
      <c r="M28" s="17"/>
      <c r="N28" s="17"/>
      <c r="O28" s="17"/>
      <c r="P28" s="17"/>
      <c r="Q28" s="16"/>
      <c r="R28" s="17"/>
      <c r="S28" s="17"/>
      <c r="T28" s="17"/>
      <c r="U28" s="17"/>
      <c r="V28" s="17"/>
      <c r="W28" s="17"/>
      <c r="X28" s="17"/>
      <c r="Y28" s="17"/>
      <c r="Z28" s="17"/>
      <c r="AA28" s="17"/>
      <c r="AB28" s="17"/>
      <c r="AC28" s="17"/>
      <c r="AD28" s="242" t="s">
        <v>436</v>
      </c>
      <c r="AE28" s="16"/>
      <c r="AF28" s="128"/>
      <c r="AG28" s="51"/>
      <c r="AH28" s="51"/>
      <c r="AI28" s="51"/>
      <c r="AJ28" s="51"/>
    </row>
    <row r="29" spans="1:36" ht="15.75" customHeight="1" thickBot="1">
      <c r="A29" s="709" t="s">
        <v>437</v>
      </c>
      <c r="B29" s="696"/>
      <c r="C29" s="696"/>
      <c r="D29" s="696"/>
      <c r="E29" s="696"/>
      <c r="F29" s="710"/>
      <c r="G29" s="17"/>
      <c r="H29" s="17"/>
      <c r="I29" s="17"/>
      <c r="J29" s="17"/>
      <c r="K29" s="17"/>
      <c r="L29" s="17"/>
      <c r="M29" s="17"/>
      <c r="N29" s="17"/>
      <c r="O29" s="17"/>
      <c r="P29" s="17"/>
      <c r="Q29" s="16"/>
      <c r="R29" s="17"/>
      <c r="S29" s="17"/>
      <c r="T29" s="17"/>
      <c r="U29" s="17"/>
      <c r="V29" s="17"/>
      <c r="W29" s="17"/>
      <c r="X29" s="17"/>
      <c r="Y29" s="17"/>
      <c r="Z29" s="17"/>
      <c r="AA29" s="17"/>
      <c r="AB29" s="17"/>
      <c r="AC29" s="17"/>
      <c r="AD29" s="243" t="s">
        <v>438</v>
      </c>
      <c r="AE29" s="243" t="s">
        <v>439</v>
      </c>
      <c r="AF29" s="243" t="s">
        <v>440</v>
      </c>
      <c r="AG29" s="711" t="s">
        <v>441</v>
      </c>
      <c r="AH29" s="712"/>
      <c r="AI29" s="711" t="s">
        <v>434</v>
      </c>
      <c r="AJ29" s="712"/>
    </row>
    <row r="30" spans="1:36" ht="15.75" customHeight="1" thickBot="1">
      <c r="A30" s="709" t="s">
        <v>442</v>
      </c>
      <c r="B30" s="696"/>
      <c r="C30" s="696"/>
      <c r="D30" s="696"/>
      <c r="E30" s="696"/>
      <c r="F30" s="710"/>
      <c r="G30" s="17"/>
      <c r="H30" s="17"/>
      <c r="I30" s="17"/>
      <c r="J30" s="17"/>
      <c r="K30" s="17"/>
      <c r="L30" s="17"/>
      <c r="M30" s="17"/>
      <c r="N30" s="17"/>
      <c r="O30" s="17"/>
      <c r="P30" s="17"/>
      <c r="Q30" s="16"/>
      <c r="R30" s="17"/>
      <c r="S30" s="17"/>
      <c r="T30" s="17"/>
      <c r="U30" s="17"/>
      <c r="V30" s="17"/>
      <c r="W30" s="17"/>
      <c r="X30" s="17"/>
      <c r="Y30" s="17"/>
      <c r="Z30" s="17"/>
      <c r="AA30" s="17"/>
      <c r="AB30" s="17"/>
      <c r="AC30" s="17"/>
      <c r="AD30" s="244" t="str">
        <f>IF($B$12="individual",Constants!F55,Constants!L55)</f>
        <v>member count</v>
      </c>
      <c r="AE30" s="244">
        <f>B7</f>
        <v>65</v>
      </c>
      <c r="AF30" s="269">
        <f>IF(AE30&gt;=301,5,IF(AE30&gt;=176,4,IF(AE30&gt;=101,3,IF(AE30&gt;=51,2,1))))</f>
        <v>2</v>
      </c>
      <c r="AG30" s="560"/>
      <c r="AH30" s="560"/>
      <c r="AI30" s="560" t="s">
        <v>443</v>
      </c>
      <c r="AJ30" s="560"/>
    </row>
    <row r="31" spans="1:36" ht="15" customHeight="1" thickBot="1">
      <c r="A31" s="709" t="s">
        <v>444</v>
      </c>
      <c r="B31" s="696"/>
      <c r="C31" s="696"/>
      <c r="D31" s="696"/>
      <c r="E31" s="696"/>
      <c r="F31" s="710"/>
      <c r="G31" s="17"/>
      <c r="H31" s="17"/>
      <c r="I31" s="17"/>
      <c r="J31" s="17"/>
      <c r="K31" s="17"/>
      <c r="L31" s="17"/>
      <c r="M31" s="17"/>
      <c r="N31" s="17"/>
      <c r="O31" s="17"/>
      <c r="P31" s="17"/>
      <c r="Q31" s="16"/>
      <c r="R31" s="17"/>
      <c r="S31" s="17"/>
      <c r="T31" s="17"/>
      <c r="U31" s="17"/>
      <c r="V31" s="17"/>
      <c r="W31" s="17"/>
      <c r="X31" s="17"/>
      <c r="Y31" s="17"/>
      <c r="Z31" s="17"/>
      <c r="AA31" s="17"/>
      <c r="AB31" s="17"/>
      <c r="AC31" s="17"/>
      <c r="AD31" s="244" t="str">
        <f>IF($B$12="individual",Constants!F56,Constants!L56)</f>
        <v>number of trainings per week</v>
      </c>
      <c r="AE31" s="244" cm="1">
        <f t="array" ref="AE31">SUMPRODUCT(C67:C79*D67:D79)/42</f>
        <v>5</v>
      </c>
      <c r="AF31" s="270">
        <f>IF(AE31&gt;=4,3,IF(AE31&gt;=3,2,IF(AE31&gt;=2,1,0)))</f>
        <v>3</v>
      </c>
      <c r="AG31" s="560"/>
      <c r="AH31" s="560"/>
      <c r="AI31" s="560"/>
      <c r="AJ31" s="560"/>
    </row>
    <row r="32" spans="1:36" ht="15.75" customHeight="1" thickBot="1">
      <c r="A32" s="709" t="s">
        <v>445</v>
      </c>
      <c r="B32" s="696"/>
      <c r="C32" s="696"/>
      <c r="D32" s="696"/>
      <c r="E32" s="696"/>
      <c r="F32" s="710"/>
      <c r="G32" s="17"/>
      <c r="H32" s="16"/>
      <c r="I32" s="16"/>
      <c r="J32" s="16"/>
      <c r="K32" s="17"/>
      <c r="L32" s="17"/>
      <c r="M32" s="17"/>
      <c r="N32" s="17"/>
      <c r="O32" s="17"/>
      <c r="P32" s="17"/>
      <c r="Q32" s="16"/>
      <c r="R32" s="17"/>
      <c r="S32" s="17"/>
      <c r="T32" s="17"/>
      <c r="U32" s="17"/>
      <c r="V32" s="17"/>
      <c r="W32" s="17"/>
      <c r="X32" s="17"/>
      <c r="Y32" s="17"/>
      <c r="Z32" s="17"/>
      <c r="AA32" s="17"/>
      <c r="AB32" s="17"/>
      <c r="AC32" s="17"/>
      <c r="AD32" s="244" t="str">
        <f>IF($B$12="individual",Constants!F57,Constants!L57)</f>
        <v>number of trainings weeks per year</v>
      </c>
      <c r="AE32" s="252">
        <f>MAX(C67:C79)</f>
        <v>42</v>
      </c>
      <c r="AF32" s="250">
        <f>IF(AE32&gt;=40,3,IF(AE32&gt;=35,2,1))</f>
        <v>3</v>
      </c>
      <c r="AG32" s="560"/>
      <c r="AH32" s="560"/>
      <c r="AI32" s="560"/>
      <c r="AJ32" s="560"/>
    </row>
    <row r="33" spans="1:58" ht="15.75" customHeight="1" thickBot="1">
      <c r="A33" s="93" t="s">
        <v>446</v>
      </c>
      <c r="F33" s="94"/>
      <c r="G33" s="17"/>
      <c r="H33" s="16"/>
      <c r="I33" s="16"/>
      <c r="J33" s="16"/>
      <c r="K33" s="17"/>
      <c r="L33" s="17"/>
      <c r="M33" s="17"/>
      <c r="N33" s="17"/>
      <c r="O33" s="17"/>
      <c r="P33" s="17"/>
      <c r="Q33" s="16"/>
      <c r="R33" s="17"/>
      <c r="S33" s="17"/>
      <c r="T33" s="17"/>
      <c r="U33" s="17"/>
      <c r="V33" s="17"/>
      <c r="W33" s="17"/>
      <c r="X33" s="17"/>
      <c r="Y33" s="17"/>
      <c r="Z33" s="17"/>
      <c r="AA33" s="17"/>
      <c r="AB33" s="17"/>
      <c r="AC33" s="17"/>
      <c r="AD33" s="244" t="str">
        <f>IF($B$12="individual",Constants!F58,Constants!L58)</f>
        <v>number of training hours by RT / PT-V</v>
      </c>
      <c r="AE33" s="251">
        <f>(SUMIF(H67:H79,"RT",F67:F79)+SUMIF(H67:H79,"PT-V",F67:F79))/SUM(F67:F79)</f>
        <v>0.625</v>
      </c>
      <c r="AF33" s="270">
        <f>IF(AE33&gt;0.9,3,IF(AE33&gt;0.6,2,IF(AE33&gt;0.3,1,0)))</f>
        <v>2</v>
      </c>
      <c r="AG33" s="560"/>
      <c r="AH33" s="560"/>
      <c r="AI33" s="560"/>
      <c r="AJ33" s="560"/>
    </row>
    <row r="34" spans="1:58" ht="15.75" customHeight="1" thickBot="1">
      <c r="A34" s="713" t="s">
        <v>447</v>
      </c>
      <c r="B34" s="714"/>
      <c r="C34" s="714"/>
      <c r="D34" s="714"/>
      <c r="E34" s="714"/>
      <c r="F34" s="715"/>
      <c r="G34" s="17"/>
      <c r="H34" s="16"/>
      <c r="I34" s="16"/>
      <c r="J34" s="16"/>
      <c r="K34" s="17"/>
      <c r="L34" s="17"/>
      <c r="M34" s="17"/>
      <c r="N34" s="17"/>
      <c r="O34" s="17"/>
      <c r="P34" s="17"/>
      <c r="Q34" s="16"/>
      <c r="R34" s="17"/>
      <c r="S34" s="17"/>
      <c r="T34" s="17"/>
      <c r="U34" s="17"/>
      <c r="V34" s="17"/>
      <c r="W34" s="17"/>
      <c r="X34" s="17"/>
      <c r="Y34" s="17"/>
      <c r="Z34" s="17"/>
      <c r="AA34" s="17"/>
      <c r="AB34" s="17"/>
      <c r="AC34" s="17"/>
      <c r="AD34" s="244" t="str">
        <f>IF($B$12="individual",Constants!F59,Constants!L59)</f>
        <v>number of training groups / teams</v>
      </c>
      <c r="AE34" s="244">
        <f>B10</f>
        <v>4</v>
      </c>
      <c r="AF34" s="271">
        <f>IF(AE34&gt;9,3,IF(AE34&gt;4,2,IF(AE34&gt;2,1,0)))</f>
        <v>1</v>
      </c>
      <c r="AG34" s="560"/>
      <c r="AH34" s="560"/>
      <c r="AI34" s="560"/>
      <c r="AJ34" s="560"/>
    </row>
    <row r="35" spans="1:58" ht="15.75" customHeight="1" thickTop="1" thickBot="1">
      <c r="A35" s="16"/>
      <c r="G35" s="17"/>
      <c r="H35" s="16"/>
      <c r="I35" s="16"/>
      <c r="J35" s="16"/>
      <c r="K35" s="17"/>
      <c r="L35" s="17"/>
      <c r="M35" s="17"/>
      <c r="N35" s="17"/>
      <c r="O35" s="17"/>
      <c r="P35" s="17"/>
      <c r="Q35" s="16"/>
      <c r="R35" s="17"/>
      <c r="S35" s="17"/>
      <c r="T35" s="17"/>
      <c r="U35" s="17"/>
      <c r="V35" s="17"/>
      <c r="W35" s="17"/>
      <c r="X35" s="17"/>
      <c r="Y35" s="17"/>
      <c r="Z35" s="17"/>
      <c r="AA35" s="17"/>
      <c r="AB35" s="17"/>
      <c r="AC35" s="17"/>
      <c r="AD35" s="244" t="str">
        <f>IF($B$12="individual",Constants!F60,Constants!L60)</f>
        <v>number of competitions organised</v>
      </c>
      <c r="AE35" s="249">
        <v>1</v>
      </c>
      <c r="AF35" s="271">
        <f>IF(AE35&gt;=4,5,IF(AE35&gt;=2,3,IF(AE35&gt;=1,1,0)))</f>
        <v>1</v>
      </c>
      <c r="AG35" s="560"/>
      <c r="AH35" s="560"/>
      <c r="AI35" s="560"/>
      <c r="AJ35" s="560"/>
    </row>
    <row r="36" spans="1:58" ht="15.75" customHeight="1" thickBot="1">
      <c r="A36" s="179" t="s">
        <v>448</v>
      </c>
      <c r="B36" s="16"/>
      <c r="C36" s="16"/>
      <c r="D36" s="16"/>
      <c r="E36" s="16"/>
      <c r="F36" s="16"/>
      <c r="G36" s="16"/>
      <c r="H36" s="16"/>
      <c r="I36" s="16"/>
      <c r="J36" s="16"/>
      <c r="K36" s="16"/>
      <c r="L36" s="16"/>
      <c r="M36" s="16"/>
      <c r="N36" s="16"/>
      <c r="O36" s="16"/>
      <c r="P36" s="16"/>
      <c r="Q36" s="16"/>
      <c r="R36" s="16"/>
      <c r="S36" s="16"/>
      <c r="T36" s="16"/>
      <c r="U36" s="16"/>
      <c r="V36" s="16"/>
      <c r="W36" s="16"/>
      <c r="X36" s="16"/>
      <c r="Y36" s="16"/>
      <c r="Z36" s="16"/>
      <c r="AA36" s="16"/>
      <c r="AB36" s="18"/>
      <c r="AC36" s="16"/>
      <c r="AD36" s="244" t="str">
        <f>IF($B$12="individual",Constants!F61,Constants!L61)</f>
        <v>number of social activities</v>
      </c>
      <c r="AE36" s="249">
        <v>74</v>
      </c>
      <c r="AF36" s="271">
        <f>IF(AE36&gt;=20,2,IF(AE36&gt;=10,1,0))</f>
        <v>2</v>
      </c>
      <c r="AG36" s="560"/>
      <c r="AH36" s="560"/>
      <c r="AI36" s="560"/>
      <c r="AJ36" s="560"/>
    </row>
    <row r="37" spans="1:58" ht="15" customHeight="1" thickTop="1" thickBot="1">
      <c r="A37" s="258" t="s">
        <v>449</v>
      </c>
      <c r="B37" s="259" t="s">
        <v>450</v>
      </c>
      <c r="C37" s="258" t="s">
        <v>451</v>
      </c>
      <c r="D37" s="258" t="s">
        <v>452</v>
      </c>
      <c r="E37" s="258" t="s">
        <v>453</v>
      </c>
      <c r="F37" s="258" t="s">
        <v>454</v>
      </c>
      <c r="G37" s="259" t="s">
        <v>455</v>
      </c>
      <c r="H37" s="561" t="s">
        <v>456</v>
      </c>
      <c r="I37" s="716"/>
      <c r="J37" s="717"/>
      <c r="K37" s="98"/>
      <c r="L37" s="98"/>
      <c r="M37" s="98"/>
      <c r="N37" s="98"/>
      <c r="O37" s="98"/>
      <c r="P37" s="98"/>
      <c r="Q37" s="98"/>
      <c r="R37" s="98"/>
      <c r="S37" s="98"/>
      <c r="T37" s="98"/>
      <c r="U37" s="96"/>
      <c r="V37" s="96"/>
      <c r="W37" s="96"/>
      <c r="X37" s="96"/>
      <c r="Y37" s="99"/>
      <c r="Z37" s="96"/>
      <c r="AA37" s="96"/>
      <c r="AB37" s="100"/>
      <c r="AC37" s="100"/>
      <c r="AD37" s="244" t="str">
        <f>IF($B$12="individual",Constants!F62,Constants!L62)</f>
        <v>number of bar days</v>
      </c>
      <c r="AE37" s="249">
        <v>12</v>
      </c>
      <c r="AF37" s="271">
        <f>IF(AE37&gt;=15,2,IF(AE37&gt;=8,1,0))</f>
        <v>1</v>
      </c>
      <c r="AG37" s="560"/>
      <c r="AH37" s="560"/>
      <c r="AI37" s="560"/>
      <c r="AJ37" s="560"/>
      <c r="AK37" s="100"/>
      <c r="AL37" s="100"/>
      <c r="AM37" s="100"/>
      <c r="AN37" s="100"/>
      <c r="AO37" s="100"/>
      <c r="AP37" s="100"/>
      <c r="AQ37" s="100"/>
      <c r="AR37" s="100"/>
      <c r="AS37" s="100"/>
      <c r="AT37" s="100"/>
      <c r="AU37" s="100"/>
      <c r="AV37" s="100"/>
      <c r="AW37" s="100"/>
      <c r="AX37" s="100"/>
      <c r="AY37" s="100"/>
      <c r="AZ37" s="100"/>
      <c r="BA37" s="100"/>
      <c r="BB37" s="100"/>
      <c r="BC37" s="100"/>
      <c r="BD37" s="100"/>
      <c r="BE37" s="100"/>
      <c r="BF37" s="100"/>
    </row>
    <row r="38" spans="1:58" ht="15" customHeight="1" thickTop="1" thickBot="1">
      <c r="A38" s="312" t="s">
        <v>1721</v>
      </c>
      <c r="B38" s="232">
        <v>21</v>
      </c>
      <c r="C38" s="269">
        <v>2</v>
      </c>
      <c r="D38" s="269">
        <v>42</v>
      </c>
      <c r="E38" s="313" t="s">
        <v>55</v>
      </c>
      <c r="F38" s="261" t="s">
        <v>1722</v>
      </c>
      <c r="G38" s="259"/>
      <c r="H38" s="594"/>
      <c r="I38" s="606"/>
      <c r="J38" s="595"/>
      <c r="K38" s="98"/>
      <c r="L38" s="98"/>
      <c r="M38" s="98"/>
      <c r="N38" s="98"/>
      <c r="O38" s="98"/>
      <c r="P38" s="98"/>
      <c r="Q38" s="98"/>
      <c r="R38" s="98"/>
      <c r="S38" s="98"/>
      <c r="T38" s="98"/>
      <c r="U38" s="96"/>
      <c r="V38" s="96"/>
      <c r="W38" s="96"/>
      <c r="X38" s="96"/>
      <c r="Y38" s="99"/>
      <c r="Z38" s="96"/>
      <c r="AA38" s="96"/>
      <c r="AB38" s="100"/>
      <c r="AC38" s="100"/>
      <c r="AD38" s="244" t="str">
        <f>IF($B$12="individual",Constants!F63,Constants!L63)</f>
        <v>own bar / extra location</v>
      </c>
      <c r="AE38" s="249">
        <v>0</v>
      </c>
      <c r="AF38" s="271">
        <f>IF(AE38&gt;=15,2,IF(AE38&gt;=8,1,0))</f>
        <v>0</v>
      </c>
      <c r="AG38" s="560"/>
      <c r="AH38" s="560"/>
      <c r="AI38" s="560"/>
      <c r="AJ38" s="560"/>
      <c r="AK38" s="100"/>
      <c r="AL38" s="100"/>
      <c r="AM38" s="100"/>
      <c r="AN38" s="100"/>
      <c r="AO38" s="100"/>
      <c r="AP38" s="100"/>
      <c r="AQ38" s="100"/>
      <c r="AR38" s="100"/>
      <c r="AS38" s="100"/>
      <c r="AT38" s="100"/>
      <c r="AU38" s="100"/>
      <c r="AV38" s="100"/>
      <c r="AW38" s="100"/>
      <c r="AX38" s="100"/>
      <c r="AY38" s="100"/>
      <c r="AZ38" s="100"/>
      <c r="BA38" s="100"/>
      <c r="BB38" s="100"/>
      <c r="BC38" s="100"/>
      <c r="BD38" s="100"/>
      <c r="BE38" s="100"/>
      <c r="BF38" s="100"/>
    </row>
    <row r="39" spans="1:58" ht="15" customHeight="1" thickBot="1">
      <c r="A39" s="312" t="s">
        <v>1723</v>
      </c>
      <c r="B39" s="232">
        <v>42</v>
      </c>
      <c r="C39" s="269">
        <v>2</v>
      </c>
      <c r="D39" s="269">
        <v>42</v>
      </c>
      <c r="E39" s="245" t="s">
        <v>57</v>
      </c>
      <c r="F39" s="261" t="s">
        <v>1371</v>
      </c>
      <c r="G39" s="259"/>
      <c r="H39" s="596"/>
      <c r="I39" s="589"/>
      <c r="J39" s="597"/>
      <c r="K39" s="98"/>
      <c r="L39" s="98"/>
      <c r="M39" s="98"/>
      <c r="N39" s="98"/>
      <c r="O39" s="98"/>
      <c r="P39" s="98"/>
      <c r="Q39" s="98"/>
      <c r="R39" s="98"/>
      <c r="S39" s="98"/>
      <c r="T39" s="98"/>
      <c r="U39" s="96"/>
      <c r="V39" s="96"/>
      <c r="W39" s="96"/>
      <c r="X39" s="96"/>
      <c r="Y39" s="99"/>
      <c r="Z39" s="96"/>
      <c r="AA39" s="96"/>
      <c r="AB39" s="100"/>
      <c r="AC39" s="100"/>
      <c r="AD39" s="244" t="str">
        <f>IF($B$12="individual",Constants!F65,Constants!L64)</f>
        <v>number of competitions attended</v>
      </c>
      <c r="AE39" s="249">
        <v>4</v>
      </c>
      <c r="AF39" s="273">
        <f>IF(B12="individual", IF(AE39&gt;10, 5, IF(AE39&gt;6, 3, IF(AE39&gt;2, 1, 0))), IF(AE39&gt;3, 3, IF(AE39&gt;1, 2, 1)))</f>
        <v>1</v>
      </c>
      <c r="AG39" s="560"/>
      <c r="AH39" s="560"/>
      <c r="AI39" s="560"/>
      <c r="AJ39" s="560"/>
      <c r="AK39" s="100"/>
      <c r="AL39" s="100"/>
      <c r="AM39" s="100"/>
      <c r="AN39" s="100"/>
      <c r="AO39" s="100"/>
      <c r="AP39" s="100"/>
      <c r="AQ39" s="100"/>
      <c r="AR39" s="100"/>
      <c r="AS39" s="100"/>
      <c r="AT39" s="100"/>
      <c r="AU39" s="100"/>
      <c r="AV39" s="100"/>
      <c r="AW39" s="100"/>
      <c r="AX39" s="100"/>
      <c r="AY39" s="100"/>
      <c r="AZ39" s="100"/>
      <c r="BA39" s="100"/>
      <c r="BB39" s="100"/>
      <c r="BC39" s="100"/>
      <c r="BD39" s="100"/>
      <c r="BE39" s="100"/>
      <c r="BF39" s="100"/>
    </row>
    <row r="40" spans="1:58" ht="15" customHeight="1" thickBot="1">
      <c r="A40" s="258"/>
      <c r="B40" s="457"/>
      <c r="C40" s="258"/>
      <c r="D40" s="260"/>
      <c r="E40" s="258"/>
      <c r="F40" s="258"/>
      <c r="G40" s="259"/>
      <c r="H40" s="596"/>
      <c r="I40" s="589"/>
      <c r="J40" s="597"/>
      <c r="K40" s="98"/>
      <c r="L40" s="98"/>
      <c r="M40" s="98"/>
      <c r="N40" s="98"/>
      <c r="O40" s="98"/>
      <c r="P40" s="98"/>
      <c r="Q40" s="98"/>
      <c r="R40" s="98"/>
      <c r="S40" s="98"/>
      <c r="T40" s="98"/>
      <c r="U40" s="96"/>
      <c r="V40" s="96"/>
      <c r="W40" s="96"/>
      <c r="X40" s="96"/>
      <c r="Y40" s="99"/>
      <c r="Z40" s="96"/>
      <c r="AA40" s="96"/>
      <c r="AB40" s="100"/>
      <c r="AC40" s="100"/>
      <c r="AD40" s="231" t="str">
        <f>IF($B$12="individual",Constants!F64,Constants!L65)</f>
        <v>n/a</v>
      </c>
      <c r="AE40" s="248" t="str">
        <f>IF(AD40="n/a","",COUNTA(A58:A62)/COUNTA(A38:A54))</f>
        <v/>
      </c>
      <c r="AF40" s="272" t="str">
        <f>IF(B12="group", IF(AE40&gt;0.15, 5, IF(AE40&gt;0.1, 3, IF(AE40&gt;0.05, 1, 0))), " ")</f>
        <v xml:space="preserve"> </v>
      </c>
      <c r="AG40" s="560"/>
      <c r="AH40" s="560"/>
      <c r="AI40" s="560"/>
      <c r="AJ40" s="560"/>
      <c r="AK40" s="100"/>
      <c r="AL40" s="100"/>
      <c r="AM40" s="100"/>
      <c r="AN40" s="100"/>
      <c r="AO40" s="100"/>
      <c r="AP40" s="100"/>
      <c r="AQ40" s="100"/>
      <c r="AR40" s="100"/>
      <c r="AS40" s="100"/>
      <c r="AT40" s="100"/>
      <c r="AU40" s="100"/>
      <c r="AV40" s="100"/>
      <c r="AW40" s="100"/>
      <c r="AX40" s="100"/>
      <c r="AY40" s="100"/>
      <c r="AZ40" s="100"/>
      <c r="BA40" s="100"/>
      <c r="BB40" s="100"/>
      <c r="BC40" s="100"/>
      <c r="BD40" s="100"/>
      <c r="BE40" s="100"/>
      <c r="BF40" s="100"/>
    </row>
    <row r="41" spans="1:58" ht="15" customHeight="1" thickBot="1">
      <c r="A41" s="258"/>
      <c r="B41" s="457"/>
      <c r="C41" s="258"/>
      <c r="D41" s="260"/>
      <c r="E41" s="258"/>
      <c r="F41" s="258"/>
      <c r="G41" s="259"/>
      <c r="H41" s="596"/>
      <c r="I41" s="589"/>
      <c r="J41" s="597"/>
      <c r="K41" s="98"/>
      <c r="L41" s="98"/>
      <c r="M41" s="98"/>
      <c r="N41" s="98"/>
      <c r="O41" s="98"/>
      <c r="P41" s="98"/>
      <c r="Q41" s="98"/>
      <c r="R41" s="98"/>
      <c r="S41" s="98"/>
      <c r="T41" s="98"/>
      <c r="U41" s="96"/>
      <c r="V41" s="96"/>
      <c r="W41" s="96"/>
      <c r="X41" s="96"/>
      <c r="Y41" s="99"/>
      <c r="Z41" s="96"/>
      <c r="AA41" s="96"/>
      <c r="AB41" s="100"/>
      <c r="AC41" s="100"/>
      <c r="AD41" s="16"/>
      <c r="AE41" s="275" t="s">
        <v>461</v>
      </c>
      <c r="AF41" s="274">
        <f>SUM(AF30:AF40)</f>
        <v>16</v>
      </c>
      <c r="AG41" s="247"/>
      <c r="AH41" s="245"/>
      <c r="AI41" s="246"/>
      <c r="AJ41" s="247"/>
      <c r="AK41" s="100"/>
      <c r="AL41" s="100"/>
      <c r="AM41" s="100"/>
      <c r="AN41" s="100"/>
      <c r="AO41" s="100"/>
      <c r="AP41" s="100"/>
      <c r="AQ41" s="100"/>
      <c r="AR41" s="100"/>
      <c r="AS41" s="100"/>
      <c r="AT41" s="100"/>
      <c r="AU41" s="100"/>
      <c r="AV41" s="100"/>
      <c r="AW41" s="100"/>
      <c r="AX41" s="100"/>
      <c r="AY41" s="100"/>
      <c r="AZ41" s="100"/>
      <c r="BA41" s="100"/>
      <c r="BB41" s="100"/>
      <c r="BC41" s="100"/>
      <c r="BD41" s="100"/>
      <c r="BE41" s="100"/>
      <c r="BF41" s="100"/>
    </row>
    <row r="42" spans="1:58" ht="15" customHeight="1">
      <c r="A42" s="258"/>
      <c r="B42" s="457"/>
      <c r="C42" s="258"/>
      <c r="D42" s="260"/>
      <c r="E42" s="258"/>
      <c r="F42" s="258"/>
      <c r="G42" s="259"/>
      <c r="H42" s="596"/>
      <c r="I42" s="589"/>
      <c r="J42" s="597"/>
      <c r="K42" s="98"/>
      <c r="L42" s="98"/>
      <c r="M42" s="98"/>
      <c r="N42" s="98"/>
      <c r="O42" s="98"/>
      <c r="P42" s="98"/>
      <c r="Q42" s="98"/>
      <c r="R42" s="98"/>
      <c r="S42" s="98"/>
      <c r="T42" s="98"/>
      <c r="U42" s="96"/>
      <c r="V42" s="96"/>
      <c r="W42" s="96"/>
      <c r="X42" s="96"/>
      <c r="Y42" s="99"/>
      <c r="Z42" s="96"/>
      <c r="AA42" s="96"/>
      <c r="AB42" s="100"/>
      <c r="AC42" s="100"/>
      <c r="AD42" s="100"/>
      <c r="AE42" s="100"/>
      <c r="AF42" s="100"/>
      <c r="AG42" s="100"/>
      <c r="AH42" s="100"/>
      <c r="AI42" s="100"/>
      <c r="AJ42" s="100"/>
      <c r="AK42" s="100"/>
      <c r="AL42" s="100"/>
      <c r="AM42" s="100"/>
      <c r="AN42" s="100"/>
      <c r="AO42" s="100"/>
      <c r="AP42" s="100"/>
      <c r="AQ42" s="100"/>
      <c r="AR42" s="100"/>
      <c r="AS42" s="100"/>
      <c r="AT42" s="100"/>
      <c r="AU42" s="100"/>
      <c r="AV42" s="100"/>
      <c r="AW42" s="100"/>
      <c r="AX42" s="100"/>
      <c r="AY42" s="100"/>
      <c r="AZ42" s="100"/>
      <c r="BA42" s="100"/>
      <c r="BB42" s="100"/>
      <c r="BC42" s="100"/>
      <c r="BD42" s="100"/>
      <c r="BE42" s="100"/>
      <c r="BF42" s="100"/>
    </row>
    <row r="43" spans="1:58" ht="15" customHeight="1">
      <c r="A43" s="258"/>
      <c r="B43" s="457"/>
      <c r="C43" s="258"/>
      <c r="D43" s="260"/>
      <c r="E43" s="258"/>
      <c r="F43" s="258"/>
      <c r="G43" s="259"/>
      <c r="H43" s="596"/>
      <c r="I43" s="589"/>
      <c r="J43" s="597"/>
      <c r="K43" s="98"/>
      <c r="L43" s="98"/>
      <c r="M43" s="98"/>
      <c r="N43" s="98"/>
      <c r="O43" s="98"/>
      <c r="P43" s="98"/>
      <c r="Q43" s="98"/>
      <c r="R43" s="98"/>
      <c r="S43" s="98"/>
      <c r="T43" s="98"/>
      <c r="U43" s="96"/>
      <c r="V43" s="96"/>
      <c r="W43" s="96"/>
      <c r="X43" s="96"/>
      <c r="Y43" s="99"/>
      <c r="Z43" s="96"/>
      <c r="AA43" s="96"/>
      <c r="AB43" s="100"/>
      <c r="AC43" s="100"/>
      <c r="AD43" s="100"/>
      <c r="AE43" s="100"/>
      <c r="AF43" s="100"/>
      <c r="AG43" s="100"/>
      <c r="AH43" s="100"/>
      <c r="AI43" s="100"/>
      <c r="AJ43" s="100"/>
      <c r="AK43" s="100"/>
      <c r="AL43" s="100"/>
      <c r="AM43" s="100"/>
      <c r="AN43" s="100"/>
      <c r="AO43" s="100"/>
      <c r="AP43" s="100"/>
      <c r="AQ43" s="100"/>
      <c r="AR43" s="100"/>
      <c r="AS43" s="100"/>
      <c r="AT43" s="100"/>
      <c r="AU43" s="100"/>
      <c r="AV43" s="100"/>
      <c r="AW43" s="100"/>
      <c r="AX43" s="100"/>
      <c r="AY43" s="100"/>
      <c r="AZ43" s="100"/>
      <c r="BA43" s="100"/>
      <c r="BB43" s="100"/>
      <c r="BC43" s="100"/>
      <c r="BD43" s="100"/>
      <c r="BE43" s="100"/>
      <c r="BF43" s="100"/>
    </row>
    <row r="44" spans="1:58" ht="15" customHeight="1">
      <c r="A44" s="258"/>
      <c r="B44" s="457"/>
      <c r="C44" s="258"/>
      <c r="D44" s="260"/>
      <c r="E44" s="258"/>
      <c r="F44" s="258"/>
      <c r="G44" s="259"/>
      <c r="H44" s="596"/>
      <c r="I44" s="589"/>
      <c r="J44" s="597"/>
      <c r="K44" s="98"/>
      <c r="L44" s="98"/>
      <c r="M44" s="98"/>
      <c r="N44" s="98"/>
      <c r="O44" s="98"/>
      <c r="P44" s="98"/>
      <c r="Q44" s="98"/>
      <c r="R44" s="98"/>
      <c r="S44" s="98"/>
      <c r="T44" s="98"/>
      <c r="U44" s="96"/>
      <c r="V44" s="96"/>
      <c r="W44" s="96"/>
      <c r="X44" s="96"/>
      <c r="Y44" s="99"/>
      <c r="Z44" s="96"/>
      <c r="AA44" s="96"/>
      <c r="AB44" s="100"/>
      <c r="AC44" s="100"/>
      <c r="AD44" s="100"/>
      <c r="AE44" s="100"/>
      <c r="AF44" s="100"/>
      <c r="AG44" s="100"/>
      <c r="AH44" s="100"/>
      <c r="AI44" s="100"/>
      <c r="AJ44" s="100"/>
      <c r="AK44" s="100"/>
      <c r="AL44" s="100"/>
      <c r="AM44" s="100"/>
      <c r="AN44" s="100"/>
      <c r="AO44" s="100"/>
      <c r="AP44" s="100"/>
      <c r="AQ44" s="100"/>
      <c r="AR44" s="100"/>
      <c r="AS44" s="100"/>
      <c r="AT44" s="100"/>
      <c r="AU44" s="100"/>
      <c r="AV44" s="100"/>
      <c r="AW44" s="100"/>
      <c r="AX44" s="100"/>
      <c r="AY44" s="100"/>
      <c r="AZ44" s="100"/>
      <c r="BA44" s="100"/>
      <c r="BB44" s="100"/>
      <c r="BC44" s="100"/>
      <c r="BD44" s="100"/>
      <c r="BE44" s="100"/>
      <c r="BF44" s="100"/>
    </row>
    <row r="45" spans="1:58" ht="15" customHeight="1">
      <c r="A45" s="258"/>
      <c r="B45" s="457"/>
      <c r="C45" s="258"/>
      <c r="D45" s="260"/>
      <c r="E45" s="258"/>
      <c r="F45" s="258"/>
      <c r="G45" s="259"/>
      <c r="H45" s="596"/>
      <c r="I45" s="589"/>
      <c r="J45" s="597"/>
      <c r="K45" s="98"/>
      <c r="L45" s="98"/>
      <c r="M45" s="98"/>
      <c r="N45" s="98"/>
      <c r="O45" s="98"/>
      <c r="P45" s="98"/>
      <c r="Q45" s="98"/>
      <c r="R45" s="98"/>
      <c r="S45" s="98"/>
      <c r="T45" s="98"/>
      <c r="U45" s="96"/>
      <c r="V45" s="96"/>
      <c r="W45" s="96"/>
      <c r="X45" s="96"/>
      <c r="Y45" s="99"/>
      <c r="Z45" s="96"/>
      <c r="AA45" s="96"/>
      <c r="AB45" s="100"/>
      <c r="AC45" s="100"/>
      <c r="AD45" s="100"/>
      <c r="AE45" s="100"/>
      <c r="AF45" s="100"/>
      <c r="AG45" s="100"/>
      <c r="AH45" s="100"/>
      <c r="AI45" s="100"/>
      <c r="AJ45" s="100"/>
      <c r="AK45" s="100"/>
      <c r="AL45" s="100"/>
      <c r="AM45" s="100"/>
      <c r="AN45" s="100"/>
      <c r="AO45" s="100"/>
      <c r="AP45" s="100"/>
      <c r="AQ45" s="100"/>
      <c r="AR45" s="100"/>
      <c r="AS45" s="100"/>
      <c r="AT45" s="100"/>
      <c r="AU45" s="100"/>
      <c r="AV45" s="100"/>
      <c r="AW45" s="100"/>
      <c r="AX45" s="100"/>
      <c r="AY45" s="100"/>
      <c r="AZ45" s="100"/>
      <c r="BA45" s="100"/>
      <c r="BB45" s="100"/>
      <c r="BC45" s="100"/>
      <c r="BD45" s="100"/>
      <c r="BE45" s="100"/>
      <c r="BF45" s="100"/>
    </row>
    <row r="46" spans="1:58" ht="15" customHeight="1">
      <c r="A46" s="258"/>
      <c r="B46" s="457"/>
      <c r="C46" s="258"/>
      <c r="D46" s="260"/>
      <c r="E46" s="258"/>
      <c r="F46" s="258"/>
      <c r="G46" s="259"/>
      <c r="H46" s="596"/>
      <c r="I46" s="589"/>
      <c r="J46" s="597"/>
      <c r="K46" s="98"/>
      <c r="L46" s="98"/>
      <c r="M46" s="98"/>
      <c r="N46" s="98"/>
      <c r="O46" s="98"/>
      <c r="P46" s="98"/>
      <c r="Q46" s="98"/>
      <c r="R46" s="98"/>
      <c r="S46" s="98"/>
      <c r="T46" s="98"/>
      <c r="U46" s="96"/>
      <c r="V46" s="96"/>
      <c r="W46" s="96"/>
      <c r="X46" s="96"/>
      <c r="Y46" s="99"/>
      <c r="Z46" s="96"/>
      <c r="AA46" s="96"/>
      <c r="AB46" s="100"/>
      <c r="AC46" s="100"/>
      <c r="AD46" s="100"/>
      <c r="AE46" s="100"/>
      <c r="AF46" s="100"/>
      <c r="AG46" s="100"/>
      <c r="AH46" s="100"/>
      <c r="AI46" s="100"/>
      <c r="AJ46" s="100"/>
      <c r="AK46" s="100"/>
      <c r="AL46" s="100"/>
      <c r="AM46" s="100"/>
      <c r="AN46" s="100"/>
      <c r="AO46" s="100"/>
      <c r="AP46" s="100"/>
      <c r="AQ46" s="100"/>
      <c r="AR46" s="100"/>
      <c r="AS46" s="100"/>
      <c r="AT46" s="100"/>
      <c r="AU46" s="100"/>
      <c r="AV46" s="100"/>
      <c r="AW46" s="100"/>
      <c r="AX46" s="100"/>
      <c r="AY46" s="100"/>
      <c r="AZ46" s="100"/>
      <c r="BA46" s="100"/>
      <c r="BB46" s="100"/>
      <c r="BC46" s="100"/>
      <c r="BD46" s="100"/>
      <c r="BE46" s="100"/>
      <c r="BF46" s="100"/>
    </row>
    <row r="47" spans="1:58" ht="15" customHeight="1">
      <c r="A47" s="258"/>
      <c r="B47" s="457"/>
      <c r="C47" s="258"/>
      <c r="D47" s="260"/>
      <c r="E47" s="258"/>
      <c r="F47" s="258"/>
      <c r="G47" s="259"/>
      <c r="H47" s="596"/>
      <c r="I47" s="589"/>
      <c r="J47" s="597"/>
      <c r="K47" s="98"/>
      <c r="L47" s="98"/>
      <c r="M47" s="98"/>
      <c r="N47" s="98"/>
      <c r="O47" s="98"/>
      <c r="P47" s="98"/>
      <c r="Q47" s="98"/>
      <c r="R47" s="98"/>
      <c r="S47" s="98"/>
      <c r="T47" s="98"/>
      <c r="U47" s="96"/>
      <c r="V47" s="96"/>
      <c r="W47" s="96"/>
      <c r="X47" s="96"/>
      <c r="Y47" s="99"/>
      <c r="Z47" s="96"/>
      <c r="AA47" s="96"/>
      <c r="AB47" s="100"/>
      <c r="AC47" s="100"/>
      <c r="AD47" s="100"/>
      <c r="AE47" s="100"/>
      <c r="AF47" s="100"/>
      <c r="AG47" s="100"/>
      <c r="AH47" s="100"/>
      <c r="AI47" s="100"/>
      <c r="AJ47" s="100"/>
      <c r="AK47" s="100"/>
      <c r="AL47" s="100"/>
      <c r="AM47" s="100"/>
      <c r="AN47" s="100"/>
      <c r="AO47" s="100"/>
      <c r="AP47" s="100"/>
      <c r="AQ47" s="100"/>
      <c r="AR47" s="100"/>
      <c r="AS47" s="100"/>
      <c r="AT47" s="100"/>
      <c r="AU47" s="100"/>
      <c r="AV47" s="100"/>
      <c r="AW47" s="100"/>
      <c r="AX47" s="100"/>
      <c r="AY47" s="100"/>
      <c r="AZ47" s="100"/>
      <c r="BA47" s="100"/>
      <c r="BB47" s="100"/>
      <c r="BC47" s="100"/>
      <c r="BD47" s="100"/>
      <c r="BE47" s="100"/>
      <c r="BF47" s="100"/>
    </row>
    <row r="48" spans="1:58" ht="15" customHeight="1">
      <c r="A48" s="258"/>
      <c r="B48" s="457"/>
      <c r="C48" s="258"/>
      <c r="D48" s="260"/>
      <c r="E48" s="258"/>
      <c r="F48" s="258"/>
      <c r="G48" s="259"/>
      <c r="H48" s="596"/>
      <c r="I48" s="589"/>
      <c r="J48" s="597"/>
      <c r="K48" s="98"/>
      <c r="L48" s="98"/>
      <c r="M48" s="98"/>
      <c r="N48" s="98"/>
      <c r="O48" s="98"/>
      <c r="P48" s="98"/>
      <c r="Q48" s="98"/>
      <c r="R48" s="98"/>
      <c r="S48" s="98"/>
      <c r="T48" s="98"/>
      <c r="U48" s="96"/>
      <c r="V48" s="96"/>
      <c r="W48" s="96"/>
      <c r="X48" s="96"/>
      <c r="Y48" s="99"/>
      <c r="Z48" s="96"/>
      <c r="AA48" s="96"/>
      <c r="AB48" s="100"/>
      <c r="AC48" s="100"/>
      <c r="AD48" s="100"/>
      <c r="AE48" s="100"/>
      <c r="AF48" s="100"/>
      <c r="AG48" s="100"/>
      <c r="AH48" s="100"/>
      <c r="AI48" s="100"/>
      <c r="AJ48" s="100"/>
      <c r="AK48" s="100"/>
      <c r="AL48" s="100"/>
      <c r="AM48" s="100"/>
      <c r="AN48" s="100"/>
      <c r="AO48" s="100"/>
      <c r="AP48" s="100"/>
      <c r="AQ48" s="100"/>
      <c r="AR48" s="100"/>
      <c r="AS48" s="100"/>
      <c r="AT48" s="100"/>
      <c r="AU48" s="100"/>
      <c r="AV48" s="100"/>
      <c r="AW48" s="100"/>
      <c r="AX48" s="100"/>
      <c r="AY48" s="100"/>
      <c r="AZ48" s="100"/>
      <c r="BA48" s="100"/>
      <c r="BB48" s="100"/>
      <c r="BC48" s="100"/>
      <c r="BD48" s="100"/>
      <c r="BE48" s="100"/>
      <c r="BF48" s="100"/>
    </row>
    <row r="49" spans="1:58" ht="15" customHeight="1">
      <c r="A49" s="258"/>
      <c r="B49" s="457"/>
      <c r="C49" s="258"/>
      <c r="D49" s="260"/>
      <c r="E49" s="258"/>
      <c r="F49" s="258"/>
      <c r="G49" s="259"/>
      <c r="H49" s="596"/>
      <c r="I49" s="589"/>
      <c r="J49" s="597"/>
      <c r="K49" s="98"/>
      <c r="L49" s="98"/>
      <c r="M49" s="98"/>
      <c r="N49" s="98"/>
      <c r="O49" s="98"/>
      <c r="P49" s="98"/>
      <c r="Q49" s="98"/>
      <c r="R49" s="98"/>
      <c r="S49" s="98"/>
      <c r="T49" s="98"/>
      <c r="U49" s="96"/>
      <c r="V49" s="96"/>
      <c r="W49" s="96"/>
      <c r="X49" s="96"/>
      <c r="Y49" s="99"/>
      <c r="Z49" s="96"/>
      <c r="AA49" s="96"/>
      <c r="AB49" s="100"/>
      <c r="AC49" s="100"/>
      <c r="AD49" s="100"/>
      <c r="AE49" s="100"/>
      <c r="AF49" s="100"/>
      <c r="AG49" s="100"/>
      <c r="AH49" s="100"/>
      <c r="AI49" s="100"/>
      <c r="AJ49" s="100"/>
      <c r="AK49" s="100"/>
      <c r="AL49" s="100"/>
      <c r="AM49" s="100"/>
      <c r="AN49" s="100"/>
      <c r="AO49" s="100"/>
      <c r="AP49" s="100"/>
      <c r="AQ49" s="100"/>
      <c r="AR49" s="100"/>
      <c r="AS49" s="100"/>
      <c r="AT49" s="100"/>
      <c r="AU49" s="100"/>
      <c r="AV49" s="100"/>
      <c r="AW49" s="100"/>
      <c r="AX49" s="100"/>
      <c r="AY49" s="100"/>
      <c r="AZ49" s="100"/>
      <c r="BA49" s="100"/>
      <c r="BB49" s="100"/>
      <c r="BC49" s="100"/>
      <c r="BD49" s="100"/>
      <c r="BE49" s="100"/>
      <c r="BF49" s="100"/>
    </row>
    <row r="50" spans="1:58" ht="14.25" customHeight="1">
      <c r="A50" s="312"/>
      <c r="B50" s="232"/>
      <c r="C50" s="312"/>
      <c r="D50" s="313"/>
      <c r="E50" s="312"/>
      <c r="F50" s="324"/>
      <c r="G50" s="323"/>
      <c r="H50" s="596"/>
      <c r="I50" s="589"/>
      <c r="J50" s="597"/>
      <c r="K50" s="16"/>
      <c r="L50" s="16"/>
      <c r="M50" s="16"/>
      <c r="N50" s="16"/>
      <c r="O50" s="16"/>
      <c r="P50" s="16"/>
      <c r="Q50" s="16"/>
      <c r="R50" s="16"/>
      <c r="S50" s="16"/>
      <c r="T50" s="16"/>
      <c r="U50" s="16"/>
      <c r="V50" s="16"/>
      <c r="W50" s="16"/>
      <c r="X50" s="16"/>
      <c r="Y50" s="17"/>
      <c r="Z50" s="16"/>
      <c r="AA50" s="16"/>
    </row>
    <row r="51" spans="1:58" ht="14.25" customHeight="1">
      <c r="A51" s="312"/>
      <c r="B51" s="232"/>
      <c r="C51" s="269"/>
      <c r="D51" s="313"/>
      <c r="E51" s="245"/>
      <c r="F51" s="261"/>
      <c r="G51" s="325"/>
      <c r="H51" s="596"/>
      <c r="I51" s="589"/>
      <c r="J51" s="597"/>
      <c r="K51" s="16"/>
      <c r="L51" s="16"/>
      <c r="M51" s="16"/>
      <c r="N51" s="16"/>
      <c r="O51" s="16"/>
      <c r="P51" s="16"/>
      <c r="Q51" s="16"/>
      <c r="R51" s="16"/>
      <c r="S51" s="16"/>
      <c r="T51" s="16"/>
      <c r="U51" s="16"/>
      <c r="V51" s="16"/>
      <c r="W51" s="16"/>
      <c r="X51" s="16"/>
      <c r="Y51" s="17"/>
      <c r="Z51" s="16"/>
      <c r="AA51" s="16"/>
    </row>
    <row r="52" spans="1:58" ht="15.75" customHeight="1">
      <c r="A52" s="231"/>
      <c r="B52" s="232"/>
      <c r="C52" s="231"/>
      <c r="D52" s="232"/>
      <c r="E52" s="245"/>
      <c r="F52" s="261"/>
      <c r="G52" s="231"/>
      <c r="H52" s="596"/>
      <c r="I52" s="589"/>
      <c r="J52" s="597"/>
      <c r="K52" s="16"/>
      <c r="L52" s="16"/>
      <c r="M52" s="16"/>
      <c r="N52" s="16"/>
      <c r="O52" s="16"/>
      <c r="P52" s="16"/>
      <c r="Q52" s="16"/>
      <c r="R52" s="16"/>
      <c r="S52" s="16"/>
      <c r="T52" s="16"/>
      <c r="U52" s="16"/>
      <c r="V52" s="16"/>
      <c r="W52" s="16"/>
      <c r="X52" s="16"/>
      <c r="Y52" s="16"/>
      <c r="Z52" s="16"/>
      <c r="AA52" s="16"/>
    </row>
    <row r="53" spans="1:58" ht="15.75" customHeight="1">
      <c r="A53" s="231"/>
      <c r="B53" s="232"/>
      <c r="C53" s="231"/>
      <c r="D53" s="232"/>
      <c r="E53" s="245"/>
      <c r="F53" s="261"/>
      <c r="G53" s="231"/>
      <c r="H53" s="596"/>
      <c r="I53" s="589"/>
      <c r="J53" s="597"/>
      <c r="K53" s="16"/>
      <c r="L53" s="16"/>
      <c r="M53" s="16"/>
      <c r="N53" s="16"/>
      <c r="O53" s="16"/>
      <c r="P53" s="16"/>
      <c r="Q53" s="16"/>
      <c r="R53" s="16"/>
      <c r="S53" s="16"/>
      <c r="T53" s="16"/>
      <c r="U53" s="16"/>
      <c r="V53" s="16"/>
      <c r="W53" s="16"/>
      <c r="X53" s="16"/>
      <c r="Y53" s="16"/>
      <c r="Z53" s="16"/>
      <c r="AA53" s="16"/>
    </row>
    <row r="54" spans="1:58" ht="15.75" customHeight="1" thickBot="1">
      <c r="A54" s="231"/>
      <c r="B54" s="326"/>
      <c r="C54" s="245"/>
      <c r="D54" s="232"/>
      <c r="E54" s="261"/>
      <c r="F54" s="261"/>
      <c r="G54" s="231"/>
      <c r="H54" s="598"/>
      <c r="I54" s="607"/>
      <c r="J54" s="599"/>
      <c r="K54" s="16"/>
      <c r="L54" s="16"/>
      <c r="M54" s="16"/>
      <c r="N54" s="16"/>
      <c r="O54" s="16"/>
      <c r="P54" s="16"/>
      <c r="Q54" s="16"/>
      <c r="R54" s="16"/>
      <c r="S54" s="16"/>
      <c r="T54" s="16"/>
      <c r="U54" s="16"/>
      <c r="V54" s="16"/>
      <c r="W54" s="16"/>
      <c r="X54" s="16"/>
      <c r="Y54" s="16"/>
      <c r="Z54" s="16"/>
      <c r="AA54" s="16"/>
    </row>
    <row r="55" spans="1:58" ht="15.75" customHeight="1" thickTop="1">
      <c r="A55" s="18"/>
      <c r="B55" s="18"/>
      <c r="C55" s="18"/>
      <c r="D55" s="18"/>
      <c r="E55" s="18"/>
      <c r="F55" s="18"/>
      <c r="G55" s="17"/>
      <c r="H55" s="17"/>
      <c r="I55" s="17"/>
      <c r="J55" s="17"/>
      <c r="K55" s="17"/>
      <c r="L55" s="17"/>
      <c r="M55" s="17"/>
      <c r="N55" s="17"/>
      <c r="O55" s="17"/>
      <c r="P55" s="17"/>
      <c r="Q55" s="16"/>
      <c r="R55" s="17"/>
      <c r="S55" s="17"/>
      <c r="T55" s="17"/>
      <c r="U55" s="17"/>
      <c r="V55" s="17"/>
      <c r="W55" s="17"/>
      <c r="X55" s="17"/>
      <c r="Y55" s="17"/>
      <c r="Z55" s="17"/>
      <c r="AA55" s="17"/>
      <c r="AB55" s="17"/>
      <c r="AC55" s="17"/>
      <c r="AD55" s="17"/>
    </row>
    <row r="56" spans="1:58" ht="15.75" customHeight="1" thickBot="1">
      <c r="A56" s="179" t="s">
        <v>462</v>
      </c>
      <c r="B56" s="169"/>
      <c r="C56" s="16"/>
      <c r="D56" s="16"/>
      <c r="E56" s="16"/>
      <c r="F56" s="16"/>
      <c r="G56" s="16"/>
      <c r="H56" s="16"/>
      <c r="I56" s="16"/>
      <c r="J56" s="16"/>
      <c r="K56" s="16"/>
      <c r="L56" s="16"/>
      <c r="M56" s="16"/>
      <c r="N56" s="16"/>
      <c r="O56" s="16"/>
      <c r="P56" s="16"/>
      <c r="Q56" s="16"/>
      <c r="R56" s="16"/>
      <c r="S56" s="16"/>
      <c r="T56" s="16"/>
      <c r="U56" s="16"/>
      <c r="V56" s="16"/>
      <c r="W56" s="16"/>
      <c r="X56" s="16"/>
      <c r="Y56" s="16"/>
      <c r="Z56" s="16"/>
      <c r="AA56" s="16"/>
      <c r="AB56" s="18"/>
      <c r="AC56" s="16"/>
      <c r="AD56" s="16"/>
    </row>
    <row r="57" spans="1:58" ht="15" customHeight="1" thickTop="1" thickBot="1">
      <c r="A57" s="258" t="s">
        <v>449</v>
      </c>
      <c r="B57" s="259" t="s">
        <v>450</v>
      </c>
      <c r="C57" s="258" t="s">
        <v>463</v>
      </c>
      <c r="D57" s="258" t="s">
        <v>464</v>
      </c>
      <c r="E57" s="258" t="s">
        <v>465</v>
      </c>
      <c r="F57" s="258" t="s">
        <v>466</v>
      </c>
      <c r="G57" s="258" t="s">
        <v>467</v>
      </c>
      <c r="H57" s="259" t="s">
        <v>455</v>
      </c>
      <c r="I57" s="561" t="s">
        <v>456</v>
      </c>
      <c r="J57" s="716"/>
      <c r="K57" s="717"/>
      <c r="L57" s="98"/>
      <c r="M57" s="98"/>
      <c r="N57" s="98"/>
      <c r="O57" s="98"/>
      <c r="P57" s="98"/>
      <c r="Q57" s="98"/>
      <c r="R57" s="98"/>
      <c r="S57" s="98"/>
      <c r="T57" s="98"/>
      <c r="U57" s="98"/>
      <c r="V57" s="96"/>
      <c r="W57" s="96"/>
      <c r="X57" s="96"/>
      <c r="Y57" s="96"/>
      <c r="Z57" s="99"/>
      <c r="AA57" s="96"/>
      <c r="AB57" s="96"/>
      <c r="AC57" s="100"/>
      <c r="AD57" s="100"/>
      <c r="AE57" s="100"/>
      <c r="AF57" s="100"/>
      <c r="AG57" s="100"/>
      <c r="AH57" s="100"/>
      <c r="AI57" s="100"/>
      <c r="AJ57" s="100"/>
      <c r="AK57" s="100"/>
      <c r="AL57" s="100"/>
      <c r="AM57" s="100"/>
      <c r="AN57" s="100"/>
      <c r="AO57" s="100"/>
      <c r="AP57" s="100"/>
      <c r="AQ57" s="100"/>
      <c r="AR57" s="100"/>
      <c r="AS57" s="100"/>
      <c r="AT57" s="100"/>
      <c r="AU57" s="100"/>
      <c r="AV57" s="100"/>
      <c r="AW57" s="100"/>
      <c r="AX57" s="100"/>
      <c r="AY57" s="100"/>
      <c r="AZ57" s="100"/>
      <c r="BA57" s="100"/>
      <c r="BB57" s="100"/>
      <c r="BC57" s="100"/>
      <c r="BD57" s="100"/>
      <c r="BE57" s="100"/>
      <c r="BF57" s="100"/>
    </row>
    <row r="58" spans="1:58" ht="14.25" customHeight="1" thickTop="1">
      <c r="A58" s="312" t="s">
        <v>1721</v>
      </c>
      <c r="B58" s="232">
        <v>21</v>
      </c>
      <c r="C58" s="269" t="s">
        <v>570</v>
      </c>
      <c r="D58" s="269" t="s">
        <v>55</v>
      </c>
      <c r="E58" s="261">
        <v>2</v>
      </c>
      <c r="F58" s="261">
        <v>3</v>
      </c>
      <c r="G58" s="323" t="s">
        <v>471</v>
      </c>
      <c r="H58" s="323"/>
      <c r="I58" s="618"/>
      <c r="J58" s="741"/>
      <c r="K58" s="742"/>
      <c r="L58" s="16"/>
      <c r="M58" s="16"/>
      <c r="N58" s="16"/>
      <c r="O58" s="16"/>
      <c r="P58" s="16"/>
      <c r="Q58" s="16"/>
      <c r="R58" s="16"/>
      <c r="S58" s="16"/>
      <c r="T58" s="16"/>
      <c r="U58" s="16"/>
      <c r="V58" s="16"/>
      <c r="W58" s="16"/>
      <c r="X58" s="16"/>
      <c r="Y58" s="16"/>
      <c r="Z58" s="17"/>
      <c r="AA58" s="16"/>
      <c r="AB58" s="16"/>
    </row>
    <row r="59" spans="1:58" ht="14.25" customHeight="1">
      <c r="A59" s="312" t="s">
        <v>1724</v>
      </c>
      <c r="B59" s="232">
        <v>42</v>
      </c>
      <c r="C59" s="269" t="s">
        <v>542</v>
      </c>
      <c r="D59" s="269" t="s">
        <v>57</v>
      </c>
      <c r="E59" s="261">
        <v>2</v>
      </c>
      <c r="F59" s="261">
        <v>3</v>
      </c>
      <c r="G59" s="323" t="s">
        <v>471</v>
      </c>
      <c r="H59" s="323"/>
      <c r="I59" s="743"/>
      <c r="J59" s="744"/>
      <c r="K59" s="745"/>
      <c r="L59" s="16"/>
      <c r="M59" s="16"/>
      <c r="N59" s="16"/>
      <c r="O59" s="16"/>
      <c r="P59" s="16"/>
      <c r="Q59" s="16"/>
      <c r="R59" s="16"/>
      <c r="S59" s="16"/>
      <c r="T59" s="16"/>
      <c r="U59" s="16"/>
      <c r="V59" s="16"/>
      <c r="W59" s="16"/>
      <c r="X59" s="16"/>
      <c r="Y59" s="16"/>
      <c r="Z59" s="17"/>
      <c r="AA59" s="16"/>
      <c r="AB59" s="16"/>
    </row>
    <row r="60" spans="1:58" ht="15.75" customHeight="1">
      <c r="A60" s="323"/>
      <c r="B60" s="323"/>
      <c r="C60" s="323"/>
      <c r="D60" s="312"/>
      <c r="E60" s="328"/>
      <c r="F60" s="327"/>
      <c r="G60" s="329"/>
      <c r="H60" s="323"/>
      <c r="I60" s="743"/>
      <c r="J60" s="744"/>
      <c r="K60" s="745"/>
      <c r="L60" s="16"/>
      <c r="M60" s="16"/>
      <c r="N60" s="16"/>
      <c r="O60" s="16"/>
      <c r="P60" s="16"/>
      <c r="Q60" s="16"/>
      <c r="R60" s="16"/>
      <c r="S60" s="16"/>
      <c r="T60" s="16"/>
      <c r="U60" s="16"/>
      <c r="V60" s="16"/>
      <c r="W60" s="16"/>
      <c r="X60" s="16"/>
      <c r="Y60" s="16"/>
      <c r="Z60" s="16"/>
      <c r="AA60" s="16"/>
      <c r="AB60" s="16"/>
    </row>
    <row r="61" spans="1:58" ht="15.75" customHeight="1">
      <c r="A61" s="231"/>
      <c r="B61" s="232"/>
      <c r="C61" s="231"/>
      <c r="D61" s="269"/>
      <c r="E61" s="245"/>
      <c r="F61" s="261"/>
      <c r="G61" s="263"/>
      <c r="H61" s="231"/>
      <c r="I61" s="743"/>
      <c r="J61" s="744"/>
      <c r="K61" s="745"/>
      <c r="L61" s="16"/>
      <c r="M61" s="16"/>
      <c r="N61" s="16"/>
      <c r="O61" s="16"/>
      <c r="P61" s="16"/>
      <c r="Q61" s="16"/>
      <c r="R61" s="16"/>
      <c r="S61" s="16"/>
      <c r="T61" s="16"/>
      <c r="U61" s="16"/>
      <c r="V61" s="16"/>
      <c r="W61" s="16"/>
      <c r="X61" s="16"/>
      <c r="Y61" s="16"/>
      <c r="Z61" s="16"/>
      <c r="AA61" s="16"/>
      <c r="AB61" s="16"/>
    </row>
    <row r="62" spans="1:58" ht="15.75" customHeight="1" thickBot="1">
      <c r="A62" s="231"/>
      <c r="B62" s="326"/>
      <c r="C62" s="245"/>
      <c r="D62" s="245"/>
      <c r="E62" s="261"/>
      <c r="F62" s="261"/>
      <c r="G62" s="263"/>
      <c r="H62" s="231"/>
      <c r="I62" s="746"/>
      <c r="J62" s="747"/>
      <c r="K62" s="748"/>
      <c r="L62" s="16"/>
      <c r="M62" s="16"/>
      <c r="N62" s="16"/>
      <c r="O62" s="16"/>
      <c r="P62" s="16"/>
      <c r="Q62" s="16"/>
      <c r="R62" s="16"/>
      <c r="S62" s="16"/>
      <c r="T62" s="16"/>
      <c r="U62" s="16"/>
      <c r="V62" s="16"/>
      <c r="W62" s="16"/>
      <c r="X62" s="16"/>
      <c r="Y62" s="16"/>
      <c r="Z62" s="16"/>
      <c r="AA62" s="16"/>
      <c r="AB62" s="16"/>
    </row>
    <row r="63" spans="1:58" ht="15.75" customHeight="1" thickTop="1">
      <c r="A63" s="15"/>
      <c r="B63" s="16"/>
      <c r="C63" s="16"/>
      <c r="D63" s="16"/>
      <c r="E63" s="16"/>
      <c r="F63" s="16"/>
      <c r="G63" s="16"/>
      <c r="H63" s="16"/>
      <c r="I63" s="16"/>
      <c r="J63" s="16"/>
      <c r="K63" s="16"/>
      <c r="L63" s="16"/>
      <c r="M63" s="16"/>
      <c r="N63" s="16"/>
      <c r="O63" s="16"/>
      <c r="P63" s="16"/>
      <c r="Q63" s="16"/>
      <c r="R63" s="16"/>
      <c r="S63" s="16"/>
      <c r="T63" s="16"/>
      <c r="U63" s="16"/>
      <c r="V63" s="16"/>
      <c r="W63" s="16"/>
      <c r="X63" s="16"/>
      <c r="Y63" s="16"/>
      <c r="Z63" s="16"/>
      <c r="AA63" s="16"/>
      <c r="AB63" s="16"/>
      <c r="AC63" s="16"/>
      <c r="AD63" s="16"/>
    </row>
    <row r="64" spans="1:58" ht="15.75" customHeight="1">
      <c r="A64" s="15"/>
      <c r="B64" s="16"/>
      <c r="C64" s="16"/>
      <c r="D64" s="16"/>
      <c r="E64" s="16"/>
      <c r="F64" s="16"/>
      <c r="G64" s="16"/>
      <c r="H64" s="16"/>
      <c r="I64" s="16"/>
      <c r="J64" s="16"/>
      <c r="K64" s="16"/>
      <c r="L64" s="16"/>
      <c r="M64" s="16"/>
      <c r="N64" s="16"/>
      <c r="O64" s="16"/>
      <c r="P64" s="16"/>
      <c r="Q64" s="16"/>
      <c r="W64" s="16"/>
      <c r="X64" s="16"/>
      <c r="Y64" s="16"/>
      <c r="Z64" s="16"/>
      <c r="AA64" s="16"/>
      <c r="AB64" s="16"/>
      <c r="AC64" s="16"/>
      <c r="AD64" s="16"/>
    </row>
    <row r="65" spans="1:30" ht="15.75" customHeight="1" thickBot="1">
      <c r="A65" s="186" t="s">
        <v>475</v>
      </c>
      <c r="B65" s="231"/>
      <c r="C65" s="231"/>
      <c r="D65" s="231"/>
      <c r="E65" s="231"/>
      <c r="F65" s="231"/>
      <c r="G65" s="231"/>
      <c r="H65" s="231"/>
      <c r="I65" s="231"/>
      <c r="J65" s="231"/>
      <c r="K65" s="16"/>
      <c r="L65" s="16"/>
      <c r="M65" s="16"/>
      <c r="N65" s="16"/>
      <c r="O65" s="16"/>
      <c r="P65" s="16"/>
      <c r="Q65" s="16"/>
      <c r="W65" s="16"/>
      <c r="X65" s="16"/>
      <c r="Y65" s="16"/>
      <c r="Z65" s="16"/>
      <c r="AA65" s="16"/>
      <c r="AB65" s="16"/>
      <c r="AC65" s="16"/>
      <c r="AD65" s="16"/>
    </row>
    <row r="66" spans="1:30" ht="15.75" customHeight="1" thickTop="1" thickBot="1">
      <c r="A66" s="230" t="s">
        <v>476</v>
      </c>
      <c r="B66" s="230" t="s">
        <v>477</v>
      </c>
      <c r="C66" s="230" t="s">
        <v>478</v>
      </c>
      <c r="D66" s="230" t="s">
        <v>479</v>
      </c>
      <c r="E66" s="230" t="s">
        <v>480</v>
      </c>
      <c r="F66" s="230" t="s">
        <v>481</v>
      </c>
      <c r="G66" s="230" t="s">
        <v>482</v>
      </c>
      <c r="H66" s="230" t="s">
        <v>453</v>
      </c>
      <c r="I66" s="230" t="s">
        <v>483</v>
      </c>
      <c r="J66" s="230" t="s">
        <v>484</v>
      </c>
      <c r="K66" s="721" t="s">
        <v>485</v>
      </c>
      <c r="L66" s="716"/>
      <c r="M66" s="722"/>
      <c r="N66" s="15"/>
      <c r="O66" s="16"/>
      <c r="P66" s="16"/>
      <c r="Q66" s="16"/>
      <c r="W66" s="16"/>
      <c r="X66" s="16"/>
      <c r="Y66" s="16"/>
      <c r="Z66" s="16"/>
      <c r="AA66" s="16"/>
      <c r="AB66" s="16"/>
    </row>
    <row r="67" spans="1:30" ht="15" customHeight="1" thickTop="1">
      <c r="A67" s="319" t="s">
        <v>1725</v>
      </c>
      <c r="B67" s="319" t="s">
        <v>287</v>
      </c>
      <c r="C67" s="261">
        <v>42</v>
      </c>
      <c r="D67" s="261">
        <v>1</v>
      </c>
      <c r="E67" s="261">
        <v>1.5</v>
      </c>
      <c r="F67" s="261">
        <f>Table_4168188[[#This Row],['# Weeks]]*Table_4168188[[#This Row],[Total hours/week]]</f>
        <v>63</v>
      </c>
      <c r="G67" s="384" t="s">
        <v>570</v>
      </c>
      <c r="H67" s="319" t="s">
        <v>55</v>
      </c>
      <c r="I67" s="331"/>
      <c r="J67" s="231"/>
      <c r="K67" s="564"/>
      <c r="L67" s="741"/>
      <c r="M67" s="742"/>
      <c r="N67" s="16"/>
      <c r="O67" s="16"/>
      <c r="P67" s="16"/>
      <c r="Q67" s="16"/>
      <c r="W67" s="16"/>
      <c r="X67" s="16"/>
      <c r="Y67" s="16"/>
      <c r="Z67" s="16"/>
      <c r="AA67" s="16"/>
      <c r="AB67" s="16"/>
    </row>
    <row r="68" spans="1:30" ht="15.75" customHeight="1">
      <c r="A68" s="231" t="s">
        <v>1726</v>
      </c>
      <c r="B68" s="319" t="s">
        <v>285</v>
      </c>
      <c r="C68" s="261">
        <v>42</v>
      </c>
      <c r="D68" s="261">
        <v>1</v>
      </c>
      <c r="E68" s="261">
        <v>1.5</v>
      </c>
      <c r="F68" s="261">
        <f>Table_4168188[[#This Row],['# Weeks]]*Table_4168188[[#This Row],[Total hours/week]]</f>
        <v>63</v>
      </c>
      <c r="G68" s="384" t="s">
        <v>1727</v>
      </c>
      <c r="H68" s="319" t="s">
        <v>57</v>
      </c>
      <c r="I68" s="331"/>
      <c r="J68" s="231"/>
      <c r="K68" s="749"/>
      <c r="L68" s="744"/>
      <c r="M68" s="745"/>
      <c r="N68" s="16"/>
      <c r="O68" s="16"/>
      <c r="P68" s="16"/>
      <c r="Q68" s="16"/>
      <c r="W68" s="16"/>
      <c r="X68" s="16"/>
      <c r="Y68" s="16"/>
      <c r="Z68" s="16"/>
      <c r="AA68" s="16"/>
      <c r="AB68" s="16"/>
    </row>
    <row r="69" spans="1:30" ht="14.25" customHeight="1">
      <c r="A69" s="319" t="s">
        <v>1728</v>
      </c>
      <c r="B69" s="319" t="s">
        <v>287</v>
      </c>
      <c r="C69" s="261">
        <v>42</v>
      </c>
      <c r="D69" s="261">
        <v>1</v>
      </c>
      <c r="E69" s="261">
        <v>2</v>
      </c>
      <c r="F69" s="261">
        <f>Table_4168188[[#This Row],['# Weeks]]*Table_4168188[[#This Row],[Total hours/week]]</f>
        <v>84</v>
      </c>
      <c r="G69" s="319" t="s">
        <v>570</v>
      </c>
      <c r="H69" s="319" t="s">
        <v>55</v>
      </c>
      <c r="I69" s="331"/>
      <c r="J69" s="231"/>
      <c r="K69" s="749"/>
      <c r="L69" s="744"/>
      <c r="M69" s="745"/>
      <c r="N69" s="16"/>
      <c r="O69" s="16"/>
      <c r="P69" s="16"/>
      <c r="Q69" s="16"/>
      <c r="W69" s="16"/>
      <c r="X69" s="16"/>
      <c r="Y69" s="16"/>
      <c r="Z69" s="16"/>
      <c r="AA69" s="16"/>
      <c r="AB69" s="16"/>
    </row>
    <row r="70" spans="1:30" ht="15.75" customHeight="1">
      <c r="A70" s="319" t="s">
        <v>1729</v>
      </c>
      <c r="B70" s="319" t="s">
        <v>285</v>
      </c>
      <c r="C70" s="261">
        <v>42</v>
      </c>
      <c r="D70" s="261">
        <v>1</v>
      </c>
      <c r="E70" s="261">
        <v>1.5</v>
      </c>
      <c r="F70" s="261">
        <f>Table_4168188[[#This Row],['# Weeks]]*Table_4168188[[#This Row],[Total hours/week]]</f>
        <v>63</v>
      </c>
      <c r="G70" s="319" t="s">
        <v>1727</v>
      </c>
      <c r="H70" s="319" t="s">
        <v>57</v>
      </c>
      <c r="I70" s="331"/>
      <c r="J70" s="231"/>
      <c r="K70" s="749"/>
      <c r="L70" s="744"/>
      <c r="M70" s="745"/>
      <c r="N70" s="16"/>
      <c r="O70" s="16"/>
      <c r="P70" s="16"/>
      <c r="Q70" s="16"/>
      <c r="W70" s="16"/>
      <c r="X70" s="16"/>
      <c r="Y70" s="16"/>
      <c r="Z70" s="16"/>
      <c r="AA70" s="16"/>
      <c r="AB70" s="16"/>
    </row>
    <row r="71" spans="1:30" ht="15.75" customHeight="1">
      <c r="A71" s="319" t="s">
        <v>1730</v>
      </c>
      <c r="B71" s="319" t="s">
        <v>287</v>
      </c>
      <c r="C71" s="261">
        <v>42</v>
      </c>
      <c r="D71" s="261">
        <v>1</v>
      </c>
      <c r="E71" s="261">
        <v>1.5</v>
      </c>
      <c r="F71" s="261">
        <f>Table_4168188[[#This Row],['# Weeks]]*Table_4168188[[#This Row],[Total hours/week]]</f>
        <v>63</v>
      </c>
      <c r="G71" s="319" t="s">
        <v>570</v>
      </c>
      <c r="H71" s="319" t="s">
        <v>55</v>
      </c>
      <c r="I71" s="331"/>
      <c r="J71" s="231"/>
      <c r="K71" s="749"/>
      <c r="L71" s="744"/>
      <c r="M71" s="745"/>
      <c r="N71" s="16"/>
      <c r="O71" s="16"/>
      <c r="P71" s="16"/>
      <c r="Q71" s="16"/>
      <c r="W71" s="16"/>
      <c r="X71" s="16"/>
      <c r="Y71" s="16"/>
      <c r="Z71" s="16"/>
      <c r="AA71" s="16"/>
      <c r="AB71" s="16"/>
    </row>
    <row r="72" spans="1:30" ht="15.75" customHeight="1">
      <c r="A72" s="231" t="s">
        <v>1731</v>
      </c>
      <c r="B72" s="319" t="s">
        <v>293</v>
      </c>
      <c r="C72" s="231"/>
      <c r="D72" s="231"/>
      <c r="E72" s="231"/>
      <c r="F72" s="231"/>
      <c r="G72" s="319"/>
      <c r="H72" s="319"/>
      <c r="I72" s="331">
        <v>855</v>
      </c>
      <c r="J72" s="231"/>
      <c r="K72" s="749"/>
      <c r="L72" s="744"/>
      <c r="M72" s="745"/>
      <c r="N72" s="16"/>
      <c r="O72" s="16"/>
      <c r="P72" s="16"/>
      <c r="Q72" s="16"/>
      <c r="W72" s="16"/>
      <c r="X72" s="16"/>
      <c r="Y72" s="16"/>
      <c r="Z72" s="16"/>
      <c r="AA72" s="16"/>
      <c r="AB72" s="16"/>
    </row>
    <row r="73" spans="1:30" ht="15.75" customHeight="1">
      <c r="A73" s="319"/>
      <c r="B73" s="319"/>
      <c r="C73" s="231"/>
      <c r="D73" s="231"/>
      <c r="E73" s="231"/>
      <c r="F73" s="231"/>
      <c r="G73" s="319"/>
      <c r="H73" s="319"/>
      <c r="I73" s="331"/>
      <c r="J73" s="231"/>
      <c r="K73" s="749"/>
      <c r="L73" s="744"/>
      <c r="M73" s="745"/>
      <c r="N73" s="16"/>
      <c r="O73" s="16"/>
      <c r="P73" s="16"/>
      <c r="Q73" s="16"/>
      <c r="W73" s="16"/>
      <c r="X73" s="16"/>
      <c r="Y73" s="16"/>
      <c r="Z73" s="16"/>
      <c r="AA73" s="16"/>
      <c r="AB73" s="16"/>
    </row>
    <row r="74" spans="1:30" ht="15.75" customHeight="1">
      <c r="A74" s="319"/>
      <c r="B74" s="319"/>
      <c r="C74" s="261"/>
      <c r="D74" s="261"/>
      <c r="E74" s="261"/>
      <c r="F74" s="262"/>
      <c r="G74" s="319"/>
      <c r="H74" s="319"/>
      <c r="I74" s="331"/>
      <c r="J74" s="231"/>
      <c r="K74" s="749"/>
      <c r="L74" s="744"/>
      <c r="M74" s="745"/>
      <c r="N74" s="16"/>
      <c r="O74" s="16"/>
      <c r="P74" s="16"/>
      <c r="Q74" s="16"/>
      <c r="W74" s="16"/>
      <c r="X74" s="16"/>
      <c r="Y74" s="16"/>
      <c r="Z74" s="16"/>
      <c r="AA74" s="16"/>
      <c r="AB74" s="16"/>
    </row>
    <row r="75" spans="1:30" ht="15.75" customHeight="1">
      <c r="A75" s="319"/>
      <c r="B75" s="319"/>
      <c r="C75" s="261"/>
      <c r="D75" s="261"/>
      <c r="E75" s="261"/>
      <c r="F75" s="262"/>
      <c r="G75" s="319"/>
      <c r="H75" s="319"/>
      <c r="I75" s="331"/>
      <c r="J75" s="231"/>
      <c r="K75" s="749"/>
      <c r="L75" s="744"/>
      <c r="M75" s="745"/>
      <c r="N75" s="16"/>
      <c r="O75" s="16"/>
      <c r="P75" s="16"/>
      <c r="Q75" s="16"/>
      <c r="W75" s="16"/>
      <c r="X75" s="16"/>
      <c r="Y75" s="16"/>
      <c r="Z75" s="16"/>
      <c r="AA75" s="16"/>
      <c r="AB75" s="16"/>
    </row>
    <row r="76" spans="1:30" ht="15.75" customHeight="1">
      <c r="A76" s="231"/>
      <c r="B76" s="319"/>
      <c r="C76" s="232"/>
      <c r="D76" s="232"/>
      <c r="E76" s="261"/>
      <c r="F76" s="262"/>
      <c r="G76" s="231"/>
      <c r="H76" s="319"/>
      <c r="I76" s="331"/>
      <c r="J76" s="231"/>
      <c r="K76" s="749"/>
      <c r="L76" s="744"/>
      <c r="M76" s="745"/>
      <c r="N76" s="16"/>
      <c r="O76" s="16"/>
      <c r="P76" s="16"/>
      <c r="Q76" s="16"/>
      <c r="W76" s="16"/>
      <c r="X76" s="16"/>
      <c r="Y76" s="16"/>
      <c r="Z76" s="16"/>
      <c r="AA76" s="16"/>
      <c r="AB76" s="16"/>
    </row>
    <row r="77" spans="1:30" ht="15.75" customHeight="1">
      <c r="A77" s="231"/>
      <c r="B77" s="319"/>
      <c r="C77" s="232"/>
      <c r="D77" s="232"/>
      <c r="E77" s="261"/>
      <c r="F77" s="262"/>
      <c r="G77" s="231"/>
      <c r="H77" s="319"/>
      <c r="I77" s="331"/>
      <c r="J77" s="231"/>
      <c r="K77" s="749"/>
      <c r="L77" s="744"/>
      <c r="M77" s="745"/>
      <c r="N77" s="16"/>
      <c r="O77" s="16"/>
      <c r="P77" s="16"/>
      <c r="Q77" s="16"/>
      <c r="W77" s="16"/>
      <c r="X77" s="16"/>
      <c r="Y77" s="16"/>
      <c r="Z77" s="16"/>
      <c r="AA77" s="16"/>
      <c r="AB77" s="16"/>
    </row>
    <row r="78" spans="1:30" ht="15.75" customHeight="1">
      <c r="A78" s="231"/>
      <c r="B78" s="319"/>
      <c r="C78" s="232"/>
      <c r="D78" s="232"/>
      <c r="E78" s="261"/>
      <c r="F78" s="262"/>
      <c r="G78" s="231"/>
      <c r="H78" s="319"/>
      <c r="I78" s="331"/>
      <c r="J78" s="231"/>
      <c r="K78" s="749"/>
      <c r="L78" s="744"/>
      <c r="M78" s="745"/>
      <c r="N78" s="16"/>
      <c r="O78" s="16"/>
      <c r="P78" s="16"/>
      <c r="Q78" s="16"/>
      <c r="W78" s="16"/>
      <c r="X78" s="16"/>
      <c r="Y78" s="16"/>
      <c r="Z78" s="16"/>
      <c r="AA78" s="16"/>
      <c r="AB78" s="16"/>
    </row>
    <row r="79" spans="1:30" ht="15.75" customHeight="1" thickBot="1">
      <c r="A79" s="231"/>
      <c r="B79" s="319"/>
      <c r="C79" s="245"/>
      <c r="D79" s="232"/>
      <c r="E79" s="261"/>
      <c r="F79" s="262"/>
      <c r="G79" s="263"/>
      <c r="H79" s="263"/>
      <c r="I79" s="264"/>
      <c r="J79" s="231"/>
      <c r="K79" s="746"/>
      <c r="L79" s="747"/>
      <c r="M79" s="748"/>
      <c r="N79" s="16"/>
      <c r="O79" s="16"/>
      <c r="P79" s="16"/>
      <c r="Q79" s="16"/>
      <c r="W79" s="16"/>
      <c r="X79" s="16"/>
      <c r="Y79" s="16"/>
      <c r="Z79" s="16"/>
      <c r="AA79" s="16"/>
      <c r="AB79" s="16"/>
    </row>
    <row r="80" spans="1:30" ht="15.75" customHeight="1" thickTop="1">
      <c r="A80" s="16"/>
      <c r="B80" s="16"/>
      <c r="C80" s="16"/>
      <c r="D80" s="16"/>
      <c r="E80" s="16"/>
      <c r="F80" s="16"/>
      <c r="G80" s="16"/>
      <c r="H80" s="16"/>
      <c r="I80" s="16"/>
      <c r="J80" s="16"/>
      <c r="K80" s="16"/>
      <c r="L80" s="16"/>
      <c r="M80" s="16"/>
      <c r="N80" s="16"/>
      <c r="O80" s="16"/>
      <c r="P80" s="16"/>
      <c r="Q80" s="16"/>
      <c r="W80" s="16"/>
      <c r="X80" s="16"/>
      <c r="Y80" s="16"/>
      <c r="Z80" s="16"/>
      <c r="AA80" s="16"/>
      <c r="AB80" s="16"/>
      <c r="AC80" s="16"/>
      <c r="AD80" s="16"/>
    </row>
    <row r="81" spans="1:30" ht="15.75" customHeight="1" thickBot="1">
      <c r="A81" s="186" t="s">
        <v>499</v>
      </c>
      <c r="B81" s="231"/>
      <c r="C81" s="231"/>
      <c r="D81" s="231"/>
      <c r="E81" s="231"/>
      <c r="F81" s="231"/>
      <c r="G81" s="231"/>
      <c r="H81" s="231"/>
      <c r="I81" s="231"/>
      <c r="J81" s="231"/>
      <c r="K81" s="123"/>
      <c r="L81" s="123"/>
      <c r="M81" s="16"/>
      <c r="N81" s="16"/>
      <c r="O81" s="16"/>
      <c r="P81" s="16"/>
      <c r="Q81" s="16"/>
      <c r="W81" s="16"/>
      <c r="X81" s="16"/>
      <c r="Y81" s="16"/>
      <c r="Z81" s="16"/>
      <c r="AA81" s="16"/>
      <c r="AB81" s="16"/>
      <c r="AC81" s="16"/>
      <c r="AD81" s="16"/>
    </row>
    <row r="82" spans="1:30" ht="15.75" customHeight="1" thickTop="1" thickBot="1">
      <c r="A82" s="230" t="s">
        <v>476</v>
      </c>
      <c r="B82" s="230" t="s">
        <v>500</v>
      </c>
      <c r="C82" s="230" t="s">
        <v>501</v>
      </c>
      <c r="D82" s="230" t="s">
        <v>502</v>
      </c>
      <c r="E82" s="230" t="s">
        <v>503</v>
      </c>
      <c r="F82" s="230" t="s">
        <v>504</v>
      </c>
      <c r="G82" s="230" t="s">
        <v>505</v>
      </c>
      <c r="H82" s="230" t="s">
        <v>506</v>
      </c>
      <c r="I82" s="230" t="s">
        <v>507</v>
      </c>
      <c r="J82" s="230" t="s">
        <v>508</v>
      </c>
      <c r="K82" s="561" t="s">
        <v>441</v>
      </c>
      <c r="L82" s="561"/>
      <c r="M82" s="561"/>
      <c r="N82" s="561"/>
      <c r="O82" s="570"/>
      <c r="P82" s="726" t="s">
        <v>434</v>
      </c>
      <c r="Q82" s="727"/>
      <c r="R82" s="16"/>
      <c r="S82" s="16"/>
      <c r="V82" s="16"/>
      <c r="W82" s="16"/>
      <c r="X82" s="16"/>
      <c r="Y82" s="16"/>
      <c r="Z82" s="16"/>
      <c r="AA82" s="16"/>
    </row>
    <row r="83" spans="1:30" ht="15.75" customHeight="1" thickTop="1">
      <c r="A83" s="319" t="s">
        <v>1732</v>
      </c>
      <c r="B83" s="231" t="s">
        <v>264</v>
      </c>
      <c r="C83" s="232" t="s">
        <v>515</v>
      </c>
      <c r="D83" s="261">
        <v>1.5</v>
      </c>
      <c r="E83" s="245">
        <v>42</v>
      </c>
      <c r="F83" s="326">
        <f>Tartaros!$D83*Tartaros!$E83</f>
        <v>63</v>
      </c>
      <c r="G83" s="245"/>
      <c r="H83" s="332">
        <f>IF($B83= "","-",IF($B83= "External","Specify location tariff", INDEX(Constants!$3:$3,MATCH($B83,Constants!$2:$2,0))))</f>
        <v>50</v>
      </c>
      <c r="I83" s="333">
        <f t="shared" ref="I83:I99" si="2">IF($H83="-","-",IF($H83="Specify location tariff","-",$H83*$F83))</f>
        <v>3150</v>
      </c>
      <c r="J83" s="247"/>
      <c r="K83" s="562"/>
      <c r="L83" s="562"/>
      <c r="M83" s="562"/>
      <c r="N83" s="562"/>
      <c r="O83" s="562"/>
      <c r="P83" s="564" t="s">
        <v>511</v>
      </c>
      <c r="Q83" s="565"/>
      <c r="R83" s="16"/>
      <c r="S83" s="16"/>
      <c r="V83" s="16"/>
      <c r="W83" s="16"/>
      <c r="X83" s="16"/>
      <c r="Y83" s="16"/>
      <c r="Z83" s="16"/>
      <c r="AA83" s="16"/>
    </row>
    <row r="84" spans="1:30" ht="15.75" customHeight="1">
      <c r="A84" s="231" t="s">
        <v>1733</v>
      </c>
      <c r="B84" s="231" t="s">
        <v>264</v>
      </c>
      <c r="C84" s="232" t="s">
        <v>513</v>
      </c>
      <c r="D84" s="261">
        <v>2</v>
      </c>
      <c r="E84" s="245">
        <v>42</v>
      </c>
      <c r="F84" s="326">
        <f>Tartaros!$D84*Tartaros!$E84</f>
        <v>84</v>
      </c>
      <c r="G84" s="245"/>
      <c r="H84" s="332">
        <f>IF($B84= "","-",IF($B84= "External","Specify location tariff", INDEX(Constants!$3:$3,MATCH($B84,Constants!$2:$2,0))))</f>
        <v>50</v>
      </c>
      <c r="I84" s="333">
        <f t="shared" si="2"/>
        <v>4200</v>
      </c>
      <c r="J84" s="247"/>
      <c r="K84" s="562"/>
      <c r="L84" s="562"/>
      <c r="M84" s="562"/>
      <c r="N84" s="562"/>
      <c r="O84" s="562"/>
      <c r="P84" s="566"/>
      <c r="Q84" s="567"/>
      <c r="R84" s="16"/>
      <c r="S84" s="16"/>
      <c r="V84" s="16"/>
      <c r="W84" s="16"/>
      <c r="X84" s="16"/>
      <c r="Y84" s="16"/>
      <c r="Z84" s="16"/>
      <c r="AA84" s="16"/>
    </row>
    <row r="85" spans="1:30" ht="15.75" customHeight="1">
      <c r="A85" s="231" t="s">
        <v>1734</v>
      </c>
      <c r="B85" s="231" t="s">
        <v>264</v>
      </c>
      <c r="C85" s="232" t="s">
        <v>516</v>
      </c>
      <c r="D85" s="261">
        <v>1.5</v>
      </c>
      <c r="E85" s="245">
        <v>42</v>
      </c>
      <c r="F85" s="326">
        <f>Tartaros!$D85*Tartaros!$E85</f>
        <v>63</v>
      </c>
      <c r="G85" s="245"/>
      <c r="H85" s="332">
        <f>IF($B85= "","-",IF($B85= "External","Specify location tariff", INDEX(Constants!$3:$3,MATCH($B85,Constants!$2:$2,0))))</f>
        <v>50</v>
      </c>
      <c r="I85" s="333">
        <f t="shared" si="2"/>
        <v>3150</v>
      </c>
      <c r="J85" s="247"/>
      <c r="K85" s="562"/>
      <c r="L85" s="562"/>
      <c r="M85" s="562"/>
      <c r="N85" s="562"/>
      <c r="O85" s="562"/>
      <c r="P85" s="566"/>
      <c r="Q85" s="567"/>
      <c r="R85" s="16"/>
      <c r="S85" s="16"/>
      <c r="V85" s="16"/>
      <c r="W85" s="16"/>
      <c r="X85" s="16"/>
      <c r="Y85" s="16"/>
      <c r="Z85" s="16"/>
      <c r="AA85" s="16"/>
    </row>
    <row r="86" spans="1:30" ht="15.75" customHeight="1">
      <c r="A86" s="231"/>
      <c r="B86" s="231"/>
      <c r="C86" s="232"/>
      <c r="D86" s="261"/>
      <c r="E86" s="245"/>
      <c r="F86" s="326">
        <f>Tartaros!$D86*Tartaros!$E86</f>
        <v>0</v>
      </c>
      <c r="G86" s="245"/>
      <c r="H86" s="332" t="str">
        <f>IF($B86= "","-",IF($B86= "External","Specify location tariff", INDEX(Constants!$3:$3,MATCH($B86,Constants!$2:$2,0))))</f>
        <v>-</v>
      </c>
      <c r="I86" s="333" t="str">
        <f t="shared" si="2"/>
        <v>-</v>
      </c>
      <c r="J86" s="247"/>
      <c r="K86" s="562"/>
      <c r="L86" s="562"/>
      <c r="M86" s="562"/>
      <c r="N86" s="562"/>
      <c r="O86" s="562"/>
      <c r="P86" s="566"/>
      <c r="Q86" s="567"/>
      <c r="R86" s="16"/>
      <c r="S86" s="16"/>
      <c r="V86" s="16"/>
      <c r="W86" s="16"/>
      <c r="X86" s="16"/>
      <c r="Y86" s="16"/>
      <c r="Z86" s="16"/>
      <c r="AA86" s="16"/>
    </row>
    <row r="87" spans="1:30" ht="15.75" customHeight="1">
      <c r="A87" s="231"/>
      <c r="B87" s="231"/>
      <c r="C87" s="232"/>
      <c r="D87" s="261"/>
      <c r="E87" s="245"/>
      <c r="F87" s="326">
        <f>Tartaros!$D87*Tartaros!$E87</f>
        <v>0</v>
      </c>
      <c r="G87" s="245"/>
      <c r="H87" s="332" t="str">
        <f>IF($B87= "","-",IF($B87= "External","Specify location tariff", INDEX(Constants!$3:$3,MATCH($B87,Constants!$2:$2,0))))</f>
        <v>-</v>
      </c>
      <c r="I87" s="333" t="str">
        <f t="shared" si="2"/>
        <v>-</v>
      </c>
      <c r="J87" s="247"/>
      <c r="K87" s="562"/>
      <c r="L87" s="562"/>
      <c r="M87" s="562"/>
      <c r="N87" s="562"/>
      <c r="O87" s="562"/>
      <c r="P87" s="566"/>
      <c r="Q87" s="567"/>
      <c r="R87" s="16"/>
      <c r="S87" s="16"/>
      <c r="V87" s="16"/>
      <c r="W87" s="16"/>
      <c r="X87" s="16"/>
      <c r="Y87" s="16"/>
      <c r="Z87" s="16"/>
      <c r="AA87" s="16"/>
    </row>
    <row r="88" spans="1:30" ht="15.75" customHeight="1">
      <c r="A88" s="231"/>
      <c r="B88" s="231"/>
      <c r="C88" s="232"/>
      <c r="D88" s="261"/>
      <c r="E88" s="245"/>
      <c r="F88" s="326">
        <f>Tartaros!$D88*Tartaros!$E88</f>
        <v>0</v>
      </c>
      <c r="G88" s="245"/>
      <c r="H88" s="332" t="str">
        <f>IF($B88= "","-",IF($B88= "External","Specify location tariff", INDEX(Constants!$3:$3,MATCH($B88,Constants!$2:$2,0))))</f>
        <v>-</v>
      </c>
      <c r="I88" s="333" t="str">
        <f t="shared" si="2"/>
        <v>-</v>
      </c>
      <c r="J88" s="247"/>
      <c r="K88" s="562"/>
      <c r="L88" s="562"/>
      <c r="M88" s="562"/>
      <c r="N88" s="562"/>
      <c r="O88" s="562"/>
      <c r="P88" s="566"/>
      <c r="Q88" s="567"/>
      <c r="R88" s="16"/>
      <c r="S88" s="16"/>
      <c r="V88" s="16"/>
      <c r="W88" s="16"/>
      <c r="X88" s="16"/>
      <c r="Y88" s="16"/>
      <c r="Z88" s="16"/>
      <c r="AA88" s="16"/>
    </row>
    <row r="89" spans="1:30" ht="15.75" customHeight="1">
      <c r="A89" s="231"/>
      <c r="B89" s="231"/>
      <c r="C89" s="232"/>
      <c r="D89" s="261"/>
      <c r="E89" s="245"/>
      <c r="F89" s="326">
        <f>Tartaros!$D89*Tartaros!$E89</f>
        <v>0</v>
      </c>
      <c r="G89" s="245"/>
      <c r="H89" s="332" t="str">
        <f>IF($B89= "","-",IF($B89= "External","Specify location tariff", INDEX(Constants!$3:$3,MATCH($B89,Constants!$2:$2,0))))</f>
        <v>-</v>
      </c>
      <c r="I89" s="333" t="str">
        <f t="shared" si="2"/>
        <v>-</v>
      </c>
      <c r="J89" s="247"/>
      <c r="K89" s="562"/>
      <c r="L89" s="562"/>
      <c r="M89" s="562"/>
      <c r="N89" s="562"/>
      <c r="O89" s="562"/>
      <c r="P89" s="566"/>
      <c r="Q89" s="567"/>
      <c r="R89" s="16"/>
      <c r="S89" s="16"/>
      <c r="V89" s="16"/>
      <c r="W89" s="16"/>
      <c r="X89" s="16"/>
      <c r="Y89" s="16"/>
      <c r="Z89" s="16"/>
      <c r="AA89" s="16"/>
    </row>
    <row r="90" spans="1:30" ht="15.75" customHeight="1">
      <c r="A90" s="231"/>
      <c r="B90" s="231"/>
      <c r="C90" s="232"/>
      <c r="D90" s="261"/>
      <c r="E90" s="245"/>
      <c r="F90" s="326">
        <f>Tartaros!$D90*Tartaros!$E90</f>
        <v>0</v>
      </c>
      <c r="G90" s="245"/>
      <c r="H90" s="332" t="str">
        <f>IF($B90= "","-",IF($B90= "External","Specify location tariff", INDEX(Constants!$3:$3,MATCH($B90,Constants!$2:$2,0))))</f>
        <v>-</v>
      </c>
      <c r="I90" s="333" t="str">
        <f t="shared" si="2"/>
        <v>-</v>
      </c>
      <c r="J90" s="247"/>
      <c r="K90" s="562"/>
      <c r="L90" s="562"/>
      <c r="M90" s="562"/>
      <c r="N90" s="562"/>
      <c r="O90" s="562"/>
      <c r="P90" s="566"/>
      <c r="Q90" s="567"/>
      <c r="R90" s="16"/>
      <c r="S90" s="16"/>
      <c r="V90" s="16"/>
      <c r="W90" s="16"/>
      <c r="X90" s="16"/>
      <c r="Y90" s="16"/>
      <c r="Z90" s="16"/>
      <c r="AA90" s="16"/>
    </row>
    <row r="91" spans="1:30" ht="15.75" customHeight="1">
      <c r="A91" s="231"/>
      <c r="B91" s="231"/>
      <c r="C91" s="232"/>
      <c r="D91" s="261"/>
      <c r="E91" s="245"/>
      <c r="F91" s="326">
        <f>Tartaros!$D91*Tartaros!$E91</f>
        <v>0</v>
      </c>
      <c r="G91" s="245"/>
      <c r="H91" s="332" t="str">
        <f>IF($B91= "","-",IF($B91= "External","Specify location tariff", INDEX(Constants!$3:$3,MATCH($B91,Constants!$2:$2,0))))</f>
        <v>-</v>
      </c>
      <c r="I91" s="333" t="str">
        <f t="shared" si="2"/>
        <v>-</v>
      </c>
      <c r="J91" s="247"/>
      <c r="K91" s="562"/>
      <c r="L91" s="562"/>
      <c r="M91" s="562"/>
      <c r="N91" s="562"/>
      <c r="O91" s="562"/>
      <c r="P91" s="566"/>
      <c r="Q91" s="567"/>
      <c r="R91" s="16"/>
      <c r="S91" s="16"/>
      <c r="V91" s="16"/>
      <c r="W91" s="16"/>
      <c r="X91" s="16"/>
      <c r="Y91" s="16"/>
      <c r="Z91" s="16"/>
      <c r="AA91" s="16"/>
    </row>
    <row r="92" spans="1:30" ht="15.75" customHeight="1">
      <c r="A92" s="231"/>
      <c r="B92" s="231"/>
      <c r="C92" s="232"/>
      <c r="D92" s="261"/>
      <c r="E92" s="245"/>
      <c r="F92" s="326">
        <f>Tartaros!$D92*Tartaros!$E92</f>
        <v>0</v>
      </c>
      <c r="G92" s="245"/>
      <c r="H92" s="332" t="str">
        <f>IF($B92= "","-",IF($B92= "External","Specify location tariff", INDEX(Constants!$3:$3,MATCH($B92,Constants!$2:$2,0))))</f>
        <v>-</v>
      </c>
      <c r="I92" s="333" t="str">
        <f t="shared" si="2"/>
        <v>-</v>
      </c>
      <c r="J92" s="247"/>
      <c r="K92" s="562"/>
      <c r="L92" s="562"/>
      <c r="M92" s="562"/>
      <c r="N92" s="562"/>
      <c r="O92" s="562"/>
      <c r="P92" s="566"/>
      <c r="Q92" s="567"/>
      <c r="R92" s="16"/>
      <c r="S92" s="16"/>
      <c r="V92" s="16"/>
      <c r="W92" s="16"/>
      <c r="X92" s="16"/>
      <c r="Y92" s="16"/>
      <c r="Z92" s="16"/>
      <c r="AA92" s="16"/>
    </row>
    <row r="93" spans="1:30" ht="15.75" customHeight="1">
      <c r="A93" s="231"/>
      <c r="B93" s="231"/>
      <c r="C93" s="232"/>
      <c r="D93" s="261"/>
      <c r="E93" s="245"/>
      <c r="F93" s="326">
        <f>Tartaros!$D93*Tartaros!$E93</f>
        <v>0</v>
      </c>
      <c r="G93" s="245"/>
      <c r="H93" s="332" t="str">
        <f>IF($B93= "","-",IF($B93= "External","Specify location tariff", INDEX(Constants!$3:$3,MATCH($B93,Constants!$2:$2,0))))</f>
        <v>-</v>
      </c>
      <c r="I93" s="333" t="str">
        <f t="shared" si="2"/>
        <v>-</v>
      </c>
      <c r="J93" s="247"/>
      <c r="K93" s="562"/>
      <c r="L93" s="562"/>
      <c r="M93" s="562"/>
      <c r="N93" s="562"/>
      <c r="O93" s="562"/>
      <c r="P93" s="566"/>
      <c r="Q93" s="567"/>
      <c r="R93" s="16"/>
      <c r="S93" s="16"/>
      <c r="V93" s="16"/>
      <c r="W93" s="16"/>
      <c r="X93" s="16"/>
      <c r="Y93" s="16"/>
      <c r="Z93" s="16"/>
      <c r="AA93" s="16"/>
    </row>
    <row r="94" spans="1:30" ht="15.75" customHeight="1">
      <c r="A94" s="231"/>
      <c r="B94" s="231"/>
      <c r="C94" s="232"/>
      <c r="D94" s="261"/>
      <c r="E94" s="245"/>
      <c r="F94" s="326">
        <f>Tartaros!$D94*Tartaros!$E94</f>
        <v>0</v>
      </c>
      <c r="G94" s="245"/>
      <c r="H94" s="332" t="str">
        <f>IF($B94= "","-",IF($B94= "External","Specify location tariff", INDEX(Constants!$3:$3,MATCH($B94,Constants!$2:$2,0))))</f>
        <v>-</v>
      </c>
      <c r="I94" s="333" t="str">
        <f t="shared" si="2"/>
        <v>-</v>
      </c>
      <c r="J94" s="247"/>
      <c r="K94" s="562"/>
      <c r="L94" s="562"/>
      <c r="M94" s="562"/>
      <c r="N94" s="562"/>
      <c r="O94" s="562"/>
      <c r="P94" s="566"/>
      <c r="Q94" s="567"/>
      <c r="R94" s="16"/>
      <c r="S94" s="16"/>
      <c r="V94" s="16"/>
      <c r="W94" s="16"/>
      <c r="X94" s="16"/>
      <c r="Y94" s="16"/>
      <c r="Z94" s="16"/>
      <c r="AA94" s="16"/>
    </row>
    <row r="95" spans="1:30" ht="15.75" customHeight="1">
      <c r="A95" s="231"/>
      <c r="B95" s="231"/>
      <c r="C95" s="232"/>
      <c r="D95" s="261"/>
      <c r="E95" s="245"/>
      <c r="F95" s="326">
        <f>Tartaros!$D95*Tartaros!$E95</f>
        <v>0</v>
      </c>
      <c r="G95" s="245"/>
      <c r="H95" s="332" t="str">
        <f>IF($B95= "","-",IF($B95= "External","Specify location tariff", INDEX(Constants!$3:$3,MATCH($B95,Constants!$2:$2,0))))</f>
        <v>-</v>
      </c>
      <c r="I95" s="333" t="str">
        <f t="shared" si="2"/>
        <v>-</v>
      </c>
      <c r="J95" s="247"/>
      <c r="K95" s="562"/>
      <c r="L95" s="562"/>
      <c r="M95" s="562"/>
      <c r="N95" s="562"/>
      <c r="O95" s="562"/>
      <c r="P95" s="566"/>
      <c r="Q95" s="567"/>
      <c r="R95" s="16"/>
      <c r="S95" s="16"/>
      <c r="V95" s="16"/>
      <c r="W95" s="16"/>
      <c r="X95" s="16"/>
      <c r="Y95" s="16"/>
      <c r="Z95" s="16"/>
      <c r="AA95" s="16"/>
    </row>
    <row r="96" spans="1:30" ht="15.75" customHeight="1">
      <c r="A96" s="231"/>
      <c r="B96" s="231"/>
      <c r="C96" s="232"/>
      <c r="D96" s="261"/>
      <c r="E96" s="245"/>
      <c r="F96" s="326">
        <f>Tartaros!$D96*Tartaros!$E96</f>
        <v>0</v>
      </c>
      <c r="G96" s="245"/>
      <c r="H96" s="332" t="str">
        <f>IF($B96= "","-",IF($B96= "External","Specify location tariff", INDEX(Constants!$3:$3,MATCH($B96,Constants!$2:$2,0))))</f>
        <v>-</v>
      </c>
      <c r="I96" s="333" t="str">
        <f t="shared" si="2"/>
        <v>-</v>
      </c>
      <c r="J96" s="247"/>
      <c r="K96" s="562"/>
      <c r="L96" s="562"/>
      <c r="M96" s="562"/>
      <c r="N96" s="562"/>
      <c r="O96" s="562"/>
      <c r="P96" s="566"/>
      <c r="Q96" s="567"/>
      <c r="R96" s="16"/>
      <c r="S96" s="16"/>
      <c r="V96" s="16"/>
      <c r="W96" s="16"/>
      <c r="X96" s="16"/>
      <c r="Y96" s="16"/>
      <c r="Z96" s="16"/>
      <c r="AA96" s="16"/>
    </row>
    <row r="97" spans="1:30" ht="15.75" customHeight="1">
      <c r="A97" s="231"/>
      <c r="B97" s="231"/>
      <c r="C97" s="232"/>
      <c r="D97" s="261"/>
      <c r="E97" s="245"/>
      <c r="F97" s="326">
        <f>Tartaros!$D97*Tartaros!$E97</f>
        <v>0</v>
      </c>
      <c r="G97" s="245"/>
      <c r="H97" s="332" t="str">
        <f>IF($B97= "","-",IF($B97= "External","Specify location tariff", INDEX(Constants!$3:$3,MATCH($B97,Constants!$2:$2,0))))</f>
        <v>-</v>
      </c>
      <c r="I97" s="333" t="str">
        <f t="shared" si="2"/>
        <v>-</v>
      </c>
      <c r="J97" s="247"/>
      <c r="K97" s="562"/>
      <c r="L97" s="562"/>
      <c r="M97" s="562"/>
      <c r="N97" s="562"/>
      <c r="O97" s="562"/>
      <c r="P97" s="566"/>
      <c r="Q97" s="567"/>
      <c r="R97" s="16"/>
      <c r="S97" s="16"/>
      <c r="V97" s="16"/>
      <c r="W97" s="16"/>
      <c r="X97" s="16"/>
      <c r="Y97" s="16"/>
      <c r="Z97" s="16"/>
      <c r="AA97" s="16"/>
    </row>
    <row r="98" spans="1:30" ht="15.75" customHeight="1">
      <c r="A98" s="231"/>
      <c r="B98" s="231"/>
      <c r="C98" s="232"/>
      <c r="D98" s="261"/>
      <c r="E98" s="245"/>
      <c r="F98" s="326">
        <f>Tartaros!$D98*Tartaros!$E98</f>
        <v>0</v>
      </c>
      <c r="G98" s="245"/>
      <c r="H98" s="332" t="str">
        <f>IF($B98= "","-",IF($B98= "External","Specify location tariff", INDEX(Constants!$3:$3,MATCH($B98,Constants!$2:$2,0))))</f>
        <v>-</v>
      </c>
      <c r="I98" s="333" t="str">
        <f t="shared" si="2"/>
        <v>-</v>
      </c>
      <c r="J98" s="247"/>
      <c r="K98" s="562"/>
      <c r="L98" s="562"/>
      <c r="M98" s="562"/>
      <c r="N98" s="562"/>
      <c r="O98" s="562"/>
      <c r="P98" s="566"/>
      <c r="Q98" s="567"/>
      <c r="R98" s="16"/>
      <c r="S98" s="16"/>
      <c r="V98" s="16"/>
      <c r="W98" s="16"/>
      <c r="X98" s="16"/>
      <c r="Y98" s="16"/>
      <c r="Z98" s="16"/>
      <c r="AA98" s="16"/>
    </row>
    <row r="99" spans="1:30" ht="15.75" customHeight="1" thickBot="1">
      <c r="A99" s="231"/>
      <c r="B99" s="231"/>
      <c r="C99" s="232"/>
      <c r="D99" s="261"/>
      <c r="E99" s="245"/>
      <c r="F99" s="326">
        <f>Tartaros!$D99*Tartaros!$E99</f>
        <v>0</v>
      </c>
      <c r="G99" s="245"/>
      <c r="H99" s="332" t="str">
        <f>IF($B99= "","-",IF($B99= "External","Specify location tariff", INDEX(Constants!$3:$3,MATCH($B99,Constants!$2:$2,0))))</f>
        <v>-</v>
      </c>
      <c r="I99" s="333" t="str">
        <f t="shared" si="2"/>
        <v>-</v>
      </c>
      <c r="J99" s="247"/>
      <c r="K99" s="563"/>
      <c r="L99" s="563"/>
      <c r="M99" s="563"/>
      <c r="N99" s="563"/>
      <c r="O99" s="563"/>
      <c r="P99" s="568"/>
      <c r="Q99" s="569"/>
      <c r="R99" s="16"/>
      <c r="S99" s="16"/>
      <c r="V99" s="16"/>
      <c r="W99" s="16"/>
      <c r="X99" s="16"/>
      <c r="Y99" s="16"/>
      <c r="Z99" s="16"/>
      <c r="AA99" s="16"/>
    </row>
    <row r="100" spans="1:30" ht="15.75" customHeight="1" thickTop="1">
      <c r="A100" s="15"/>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c r="AA100" s="16"/>
      <c r="AB100" s="16"/>
      <c r="AC100" s="16"/>
      <c r="AD100" s="16"/>
    </row>
    <row r="101" spans="1:30" ht="15.75" customHeight="1">
      <c r="A101" s="15"/>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c r="AA101" s="16"/>
      <c r="AB101" s="16"/>
      <c r="AC101" s="16"/>
      <c r="AD101" s="16"/>
    </row>
    <row r="102" spans="1:30" ht="15.75" customHeight="1" thickBot="1">
      <c r="A102" s="186" t="s">
        <v>519</v>
      </c>
      <c r="B102" s="16"/>
      <c r="C102" s="128"/>
      <c r="D102" s="51"/>
      <c r="E102" s="51"/>
      <c r="F102" s="51"/>
      <c r="G102" s="51"/>
      <c r="H102" s="51"/>
      <c r="I102" s="51"/>
      <c r="J102" s="51"/>
      <c r="K102" s="51"/>
      <c r="L102" s="232"/>
      <c r="M102" s="231"/>
      <c r="N102" s="16"/>
      <c r="O102" s="16"/>
      <c r="P102" s="16"/>
      <c r="Q102" s="16"/>
      <c r="R102" s="16"/>
      <c r="S102" s="16"/>
      <c r="T102" s="16"/>
      <c r="U102" s="16"/>
      <c r="V102" s="16"/>
      <c r="W102" s="16"/>
      <c r="X102" s="16"/>
      <c r="Y102" s="16"/>
      <c r="Z102" s="16"/>
      <c r="AA102" s="16"/>
      <c r="AB102" s="16"/>
      <c r="AC102" s="16"/>
      <c r="AD102" s="16"/>
    </row>
    <row r="103" spans="1:30" ht="15" customHeight="1" thickTop="1" thickBot="1">
      <c r="A103" s="230" t="s">
        <v>438</v>
      </c>
      <c r="B103" s="230" t="s">
        <v>439</v>
      </c>
      <c r="C103" s="230" t="s">
        <v>520</v>
      </c>
      <c r="D103" s="230" t="s">
        <v>521</v>
      </c>
      <c r="E103" s="230" t="s">
        <v>522</v>
      </c>
      <c r="F103" s="230" t="s">
        <v>523</v>
      </c>
      <c r="G103" s="230" t="s">
        <v>508</v>
      </c>
      <c r="H103" s="740" t="s">
        <v>441</v>
      </c>
      <c r="I103" s="737"/>
      <c r="J103" s="729" t="s">
        <v>434</v>
      </c>
      <c r="K103" s="730"/>
      <c r="L103" s="16"/>
      <c r="M103" s="16"/>
      <c r="N103" s="16"/>
      <c r="O103" s="16"/>
      <c r="P103" s="117"/>
      <c r="Q103" s="15"/>
      <c r="R103" s="16"/>
      <c r="S103" s="130"/>
      <c r="T103" s="16"/>
      <c r="U103" s="16"/>
      <c r="V103" s="16"/>
      <c r="W103" s="241"/>
      <c r="X103" s="16"/>
      <c r="Y103" s="16"/>
      <c r="Z103" s="16"/>
      <c r="AA103" s="16"/>
      <c r="AB103" s="16"/>
    </row>
    <row r="104" spans="1:30" ht="14.25" customHeight="1" thickTop="1">
      <c r="A104" s="231"/>
      <c r="B104" s="248"/>
      <c r="C104" s="246">
        <v>0</v>
      </c>
      <c r="D104" s="247"/>
      <c r="E104" s="245"/>
      <c r="F104" s="246">
        <v>0</v>
      </c>
      <c r="G104" s="247"/>
      <c r="H104" s="564"/>
      <c r="I104" s="750"/>
      <c r="J104" s="628" t="s">
        <v>526</v>
      </c>
      <c r="K104" s="730"/>
      <c r="L104" s="16"/>
      <c r="M104" s="16"/>
      <c r="N104" s="16"/>
      <c r="O104" s="16"/>
      <c r="P104" s="16"/>
      <c r="Q104" s="133"/>
      <c r="R104" s="16"/>
      <c r="S104" s="16"/>
      <c r="T104" s="16"/>
      <c r="U104" s="16"/>
      <c r="V104" s="16"/>
      <c r="W104" s="16"/>
      <c r="X104" s="16"/>
      <c r="Y104" s="16"/>
      <c r="Z104" s="16"/>
      <c r="AA104" s="16"/>
      <c r="AB104" s="16"/>
    </row>
    <row r="105" spans="1:30" ht="15.75" customHeight="1">
      <c r="A105" s="231"/>
      <c r="B105" s="248"/>
      <c r="C105" s="246">
        <v>0</v>
      </c>
      <c r="D105" s="247"/>
      <c r="E105" s="245"/>
      <c r="F105" s="246">
        <v>0</v>
      </c>
      <c r="G105" s="247"/>
      <c r="H105" s="743"/>
      <c r="I105" s="751"/>
      <c r="J105" s="702"/>
      <c r="K105" s="732"/>
      <c r="L105" s="16"/>
      <c r="M105" s="16"/>
      <c r="N105" s="16"/>
      <c r="O105" s="16"/>
      <c r="P105" s="16"/>
      <c r="Q105" s="16"/>
      <c r="R105" s="16"/>
      <c r="S105" s="16"/>
      <c r="T105" s="16"/>
      <c r="U105" s="16"/>
      <c r="V105" s="16"/>
      <c r="W105" s="16"/>
      <c r="X105" s="16"/>
      <c r="Y105" s="16"/>
      <c r="Z105" s="16"/>
      <c r="AA105" s="16"/>
      <c r="AB105" s="16"/>
    </row>
    <row r="106" spans="1:30" ht="15.75" customHeight="1">
      <c r="A106" s="231"/>
      <c r="B106" s="248"/>
      <c r="C106" s="246">
        <v>0</v>
      </c>
      <c r="D106" s="247"/>
      <c r="E106" s="245"/>
      <c r="F106" s="246">
        <v>0</v>
      </c>
      <c r="G106" s="247"/>
      <c r="H106" s="743"/>
      <c r="I106" s="751"/>
      <c r="J106" s="702"/>
      <c r="K106" s="732"/>
      <c r="L106" s="16"/>
      <c r="M106" s="16"/>
      <c r="N106" s="16"/>
      <c r="O106" s="16"/>
      <c r="P106" s="16"/>
      <c r="Q106" s="16"/>
      <c r="R106" s="16"/>
      <c r="S106" s="16"/>
      <c r="T106" s="16"/>
      <c r="U106" s="16"/>
      <c r="V106" s="16"/>
      <c r="W106" s="16"/>
      <c r="X106" s="16"/>
      <c r="Y106" s="16"/>
      <c r="Z106" s="16"/>
      <c r="AA106" s="16"/>
      <c r="AB106" s="16"/>
    </row>
    <row r="107" spans="1:30" ht="15.75" customHeight="1">
      <c r="A107" s="231"/>
      <c r="B107" s="248"/>
      <c r="C107" s="246">
        <v>0</v>
      </c>
      <c r="D107" s="247"/>
      <c r="E107" s="245"/>
      <c r="F107" s="246">
        <v>0</v>
      </c>
      <c r="G107" s="247"/>
      <c r="H107" s="743"/>
      <c r="I107" s="751"/>
      <c r="J107" s="702"/>
      <c r="K107" s="732"/>
      <c r="L107" s="16"/>
      <c r="M107" s="16"/>
      <c r="N107" s="16"/>
      <c r="O107" s="16"/>
      <c r="P107" s="16"/>
      <c r="Q107" s="16"/>
      <c r="R107" s="16"/>
      <c r="S107" s="16"/>
      <c r="T107" s="16"/>
      <c r="U107" s="16"/>
      <c r="V107" s="16"/>
      <c r="W107" s="16"/>
      <c r="X107" s="16"/>
      <c r="Y107" s="16"/>
      <c r="Z107" s="16"/>
      <c r="AA107" s="16"/>
      <c r="AB107" s="16"/>
    </row>
    <row r="108" spans="1:30" ht="15.75" customHeight="1">
      <c r="A108" s="231"/>
      <c r="B108" s="248"/>
      <c r="C108" s="246">
        <v>0</v>
      </c>
      <c r="D108" s="247"/>
      <c r="E108" s="245"/>
      <c r="F108" s="246">
        <v>0</v>
      </c>
      <c r="G108" s="247"/>
      <c r="H108" s="743"/>
      <c r="I108" s="751"/>
      <c r="J108" s="702"/>
      <c r="K108" s="732"/>
      <c r="L108" s="16"/>
      <c r="M108" s="16"/>
      <c r="N108" s="16"/>
      <c r="O108" s="16"/>
      <c r="P108" s="16"/>
      <c r="Q108" s="16"/>
      <c r="R108" s="16"/>
      <c r="S108" s="16"/>
      <c r="T108" s="16"/>
      <c r="U108" s="16"/>
      <c r="V108" s="16"/>
      <c r="W108" s="16"/>
      <c r="X108" s="16"/>
      <c r="Y108" s="16"/>
      <c r="Z108" s="16"/>
      <c r="AA108" s="16"/>
      <c r="AB108" s="16"/>
    </row>
    <row r="109" spans="1:30" ht="15.75" customHeight="1">
      <c r="A109" s="231"/>
      <c r="B109" s="248"/>
      <c r="C109" s="246">
        <v>0</v>
      </c>
      <c r="D109" s="247"/>
      <c r="E109" s="245"/>
      <c r="F109" s="246">
        <v>0</v>
      </c>
      <c r="G109" s="247"/>
      <c r="H109" s="743"/>
      <c r="I109" s="751"/>
      <c r="J109" s="702"/>
      <c r="K109" s="732"/>
      <c r="L109" s="16"/>
      <c r="M109" s="16"/>
      <c r="N109" s="16"/>
      <c r="O109" s="16"/>
      <c r="P109" s="16"/>
      <c r="Q109" s="16"/>
      <c r="R109" s="16"/>
      <c r="S109" s="16"/>
      <c r="T109" s="16"/>
      <c r="U109" s="16"/>
      <c r="V109" s="16"/>
      <c r="W109" s="16"/>
      <c r="X109" s="16"/>
      <c r="Y109" s="16"/>
      <c r="Z109" s="16"/>
      <c r="AA109" s="16"/>
      <c r="AB109" s="16"/>
    </row>
    <row r="110" spans="1:30" ht="15.75" customHeight="1">
      <c r="A110" s="231"/>
      <c r="B110" s="244"/>
      <c r="C110" s="246">
        <v>0</v>
      </c>
      <c r="D110" s="247"/>
      <c r="E110" s="245"/>
      <c r="F110" s="246">
        <v>0</v>
      </c>
      <c r="G110" s="247"/>
      <c r="H110" s="743"/>
      <c r="I110" s="751"/>
      <c r="J110" s="702"/>
      <c r="K110" s="732"/>
      <c r="L110" s="16"/>
      <c r="M110" s="16"/>
      <c r="N110" s="16"/>
      <c r="O110" s="16"/>
      <c r="P110" s="16"/>
      <c r="Q110" s="16"/>
      <c r="R110" s="16"/>
      <c r="S110" s="16"/>
      <c r="T110" s="16"/>
      <c r="U110" s="16"/>
      <c r="V110" s="16"/>
      <c r="W110" s="16"/>
      <c r="X110" s="16"/>
      <c r="Y110" s="16"/>
      <c r="Z110" s="16"/>
      <c r="AA110" s="16"/>
      <c r="AB110" s="16"/>
    </row>
    <row r="111" spans="1:30" ht="15.75" customHeight="1">
      <c r="A111" s="231"/>
      <c r="B111" s="244"/>
      <c r="C111" s="246">
        <v>0</v>
      </c>
      <c r="D111" s="247"/>
      <c r="E111" s="245"/>
      <c r="F111" s="246">
        <v>0</v>
      </c>
      <c r="G111" s="247"/>
      <c r="H111" s="743"/>
      <c r="I111" s="751"/>
      <c r="J111" s="702"/>
      <c r="K111" s="732"/>
      <c r="L111" s="16"/>
      <c r="M111" s="16"/>
      <c r="N111" s="16"/>
      <c r="O111" s="16"/>
      <c r="P111" s="16"/>
      <c r="Q111" s="16"/>
      <c r="R111" s="16"/>
      <c r="S111" s="16"/>
      <c r="T111" s="16"/>
      <c r="U111" s="16"/>
      <c r="V111" s="16"/>
      <c r="W111" s="16"/>
      <c r="X111" s="16"/>
      <c r="Y111" s="16"/>
      <c r="Z111" s="16"/>
      <c r="AA111" s="16"/>
      <c r="AB111" s="16"/>
    </row>
    <row r="112" spans="1:30" ht="15.75" customHeight="1">
      <c r="A112" s="231"/>
      <c r="B112" s="244"/>
      <c r="C112" s="246">
        <v>0</v>
      </c>
      <c r="D112" s="247"/>
      <c r="E112" s="245"/>
      <c r="F112" s="246">
        <v>0</v>
      </c>
      <c r="G112" s="247"/>
      <c r="H112" s="743"/>
      <c r="I112" s="751"/>
      <c r="J112" s="702"/>
      <c r="K112" s="732"/>
      <c r="L112" s="16"/>
      <c r="M112" s="16"/>
      <c r="N112" s="16"/>
      <c r="O112" s="16"/>
      <c r="P112" s="16"/>
      <c r="Q112" s="16"/>
      <c r="R112" s="16"/>
      <c r="S112" s="16"/>
      <c r="T112" s="16"/>
      <c r="U112" s="16"/>
      <c r="V112" s="16"/>
      <c r="W112" s="16"/>
      <c r="X112" s="16"/>
      <c r="Y112" s="16"/>
      <c r="Z112" s="16"/>
      <c r="AA112" s="16"/>
      <c r="AB112" s="16"/>
    </row>
    <row r="113" spans="1:30" ht="15.75" customHeight="1">
      <c r="A113" s="231"/>
      <c r="B113" s="244"/>
      <c r="C113" s="246">
        <v>0</v>
      </c>
      <c r="D113" s="247"/>
      <c r="E113" s="245"/>
      <c r="F113" s="246">
        <v>0</v>
      </c>
      <c r="G113" s="247"/>
      <c r="H113" s="743"/>
      <c r="I113" s="751"/>
      <c r="J113" s="702"/>
      <c r="K113" s="732"/>
      <c r="L113" s="16"/>
      <c r="M113" s="16"/>
      <c r="N113" s="16"/>
      <c r="O113" s="16"/>
      <c r="P113" s="16"/>
      <c r="Q113" s="16"/>
      <c r="R113" s="16"/>
      <c r="S113" s="16"/>
      <c r="T113" s="16"/>
      <c r="U113" s="16"/>
      <c r="V113" s="16"/>
      <c r="W113" s="16"/>
      <c r="X113" s="16"/>
      <c r="Y113" s="16"/>
      <c r="Z113" s="16"/>
      <c r="AA113" s="16"/>
      <c r="AB113" s="16"/>
    </row>
    <row r="114" spans="1:30" ht="15.75" customHeight="1">
      <c r="A114" s="231"/>
      <c r="B114" s="244"/>
      <c r="C114" s="246">
        <v>0</v>
      </c>
      <c r="D114" s="247"/>
      <c r="E114" s="245"/>
      <c r="F114" s="246">
        <v>0</v>
      </c>
      <c r="G114" s="247"/>
      <c r="H114" s="743"/>
      <c r="I114" s="751"/>
      <c r="J114" s="702"/>
      <c r="K114" s="732"/>
      <c r="L114" s="16"/>
      <c r="M114" s="16"/>
      <c r="N114" s="16"/>
      <c r="O114" s="16"/>
      <c r="P114" s="16"/>
      <c r="Q114" s="16"/>
      <c r="R114" s="16"/>
      <c r="S114" s="16"/>
      <c r="T114" s="16"/>
      <c r="U114" s="16"/>
      <c r="V114" s="16"/>
      <c r="W114" s="16"/>
      <c r="X114" s="16"/>
      <c r="Y114" s="16"/>
      <c r="Z114" s="16"/>
      <c r="AA114" s="16"/>
      <c r="AB114" s="16"/>
    </row>
    <row r="115" spans="1:30" ht="15.75" customHeight="1">
      <c r="A115" s="231"/>
      <c r="B115" s="244"/>
      <c r="C115" s="246">
        <v>0</v>
      </c>
      <c r="D115" s="247"/>
      <c r="E115" s="245"/>
      <c r="F115" s="246">
        <v>0</v>
      </c>
      <c r="G115" s="247"/>
      <c r="H115" s="743"/>
      <c r="I115" s="751"/>
      <c r="J115" s="702"/>
      <c r="K115" s="732"/>
      <c r="L115" s="16"/>
      <c r="M115" s="16"/>
      <c r="N115" s="16"/>
      <c r="O115" s="16"/>
      <c r="P115" s="16"/>
      <c r="Q115" s="16"/>
      <c r="R115" s="16"/>
      <c r="S115" s="16"/>
      <c r="T115" s="16"/>
      <c r="U115" s="16"/>
      <c r="V115" s="16"/>
      <c r="W115" s="16"/>
      <c r="X115" s="16"/>
      <c r="Y115" s="16"/>
      <c r="Z115" s="16"/>
      <c r="AA115" s="16"/>
      <c r="AB115" s="16"/>
    </row>
    <row r="116" spans="1:30" ht="15.75" customHeight="1">
      <c r="A116" s="231"/>
      <c r="B116" s="244"/>
      <c r="C116" s="246">
        <v>0</v>
      </c>
      <c r="D116" s="247"/>
      <c r="E116" s="245"/>
      <c r="F116" s="246">
        <v>0</v>
      </c>
      <c r="G116" s="247"/>
      <c r="H116" s="743"/>
      <c r="I116" s="751"/>
      <c r="J116" s="702"/>
      <c r="K116" s="732"/>
      <c r="L116" s="16"/>
      <c r="M116" s="16"/>
      <c r="N116" s="16"/>
      <c r="O116" s="16"/>
      <c r="P116" s="16"/>
      <c r="Q116" s="16"/>
      <c r="R116" s="16"/>
      <c r="S116" s="16"/>
      <c r="T116" s="16"/>
      <c r="U116" s="16"/>
      <c r="V116" s="16"/>
      <c r="W116" s="16"/>
      <c r="X116" s="16"/>
      <c r="Y116" s="16"/>
      <c r="Z116" s="16"/>
      <c r="AA116" s="16"/>
      <c r="AB116" s="16"/>
    </row>
    <row r="117" spans="1:30" ht="15.75" customHeight="1" thickBot="1">
      <c r="A117" s="231"/>
      <c r="B117" s="244"/>
      <c r="C117" s="246">
        <v>0</v>
      </c>
      <c r="D117" s="247"/>
      <c r="E117" s="245"/>
      <c r="F117" s="246">
        <v>0</v>
      </c>
      <c r="G117" s="247"/>
      <c r="H117" s="746"/>
      <c r="I117" s="748"/>
      <c r="J117" s="752"/>
      <c r="K117" s="734"/>
      <c r="L117" s="16"/>
      <c r="M117" s="16"/>
      <c r="N117" s="16"/>
      <c r="O117" s="16"/>
      <c r="P117" s="16"/>
      <c r="Q117" s="16"/>
      <c r="R117" s="16"/>
      <c r="S117" s="16"/>
      <c r="T117" s="16"/>
      <c r="U117" s="16"/>
      <c r="V117" s="16"/>
      <c r="W117" s="16"/>
      <c r="X117" s="16"/>
      <c r="Y117" s="16"/>
      <c r="Z117" s="16"/>
      <c r="AA117" s="16"/>
      <c r="AB117" s="16"/>
    </row>
    <row r="118" spans="1:30" ht="15.75" customHeight="1" thickTop="1">
      <c r="A118" s="15"/>
      <c r="B118" s="131"/>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c r="AA118" s="16"/>
      <c r="AB118" s="16"/>
      <c r="AC118" s="16"/>
      <c r="AD118" s="16"/>
    </row>
    <row r="119" spans="1:30" ht="15.75" customHeight="1">
      <c r="A119" s="15"/>
      <c r="B119" s="131"/>
      <c r="C119" s="16"/>
      <c r="D119" s="16"/>
      <c r="E119" s="16"/>
      <c r="F119" s="16"/>
      <c r="G119" s="16"/>
      <c r="I119" s="16"/>
      <c r="J119" s="16"/>
      <c r="K119" s="16"/>
      <c r="L119" s="16"/>
      <c r="M119" s="16"/>
      <c r="N119" s="16"/>
      <c r="O119" s="16"/>
      <c r="P119" s="16"/>
      <c r="Q119" s="16"/>
      <c r="R119" s="16"/>
      <c r="S119" s="16"/>
      <c r="T119" s="16"/>
      <c r="U119" s="16"/>
      <c r="V119" s="16"/>
      <c r="W119" s="16"/>
      <c r="X119" s="16"/>
      <c r="Y119" s="16"/>
      <c r="Z119" s="16"/>
      <c r="AA119" s="16"/>
      <c r="AB119" s="16"/>
      <c r="AC119" s="16"/>
      <c r="AD119" s="16"/>
    </row>
    <row r="120" spans="1:30" ht="15.75" customHeight="1">
      <c r="H120" s="51"/>
      <c r="I120" s="51"/>
      <c r="J120" s="51"/>
      <c r="K120" s="51"/>
      <c r="L120" s="16"/>
      <c r="M120" s="16"/>
      <c r="N120" s="16"/>
      <c r="O120" s="16"/>
      <c r="P120" s="16"/>
      <c r="Q120" s="16"/>
      <c r="R120" s="16"/>
      <c r="S120" s="16"/>
      <c r="T120" s="16"/>
      <c r="U120" s="16"/>
      <c r="V120" s="16"/>
      <c r="W120" s="16"/>
      <c r="X120" s="16"/>
      <c r="Y120" s="16"/>
      <c r="Z120" s="16"/>
      <c r="AA120" s="16"/>
      <c r="AB120" s="16"/>
      <c r="AC120" s="16"/>
      <c r="AD120" s="16"/>
    </row>
    <row r="121" spans="1:30" ht="15.75" customHeight="1">
      <c r="L121" s="16"/>
      <c r="M121" s="16"/>
      <c r="N121" s="16"/>
      <c r="O121" s="16"/>
      <c r="P121" s="16"/>
      <c r="Q121" s="16"/>
      <c r="R121" s="16"/>
      <c r="S121" s="16"/>
      <c r="T121" s="16"/>
      <c r="U121" s="16"/>
      <c r="V121" s="16"/>
      <c r="W121" s="16"/>
      <c r="X121" s="16"/>
      <c r="Y121" s="16"/>
      <c r="Z121" s="16"/>
      <c r="AA121" s="16"/>
      <c r="AB121" s="16"/>
      <c r="AC121" s="16"/>
      <c r="AD121" s="16"/>
    </row>
    <row r="122" spans="1:30" ht="15.75" customHeight="1">
      <c r="L122" s="16"/>
      <c r="M122" s="16"/>
      <c r="N122" s="16"/>
      <c r="O122" s="16"/>
      <c r="P122" s="16"/>
      <c r="Q122" s="16"/>
      <c r="R122" s="16"/>
      <c r="S122" s="16"/>
      <c r="T122" s="16"/>
      <c r="U122" s="16"/>
      <c r="V122" s="16"/>
      <c r="W122" s="16"/>
      <c r="X122" s="16"/>
      <c r="Y122" s="16"/>
      <c r="Z122" s="16"/>
      <c r="AA122" s="16"/>
      <c r="AB122" s="16"/>
      <c r="AC122" s="16"/>
      <c r="AD122" s="16"/>
    </row>
    <row r="123" spans="1:30" ht="15.75" customHeight="1">
      <c r="L123" s="16"/>
      <c r="M123" s="16"/>
      <c r="N123" s="16"/>
      <c r="O123" s="16"/>
      <c r="P123" s="16"/>
      <c r="Q123" s="16"/>
      <c r="R123" s="16"/>
      <c r="S123" s="16"/>
      <c r="T123" s="16"/>
      <c r="U123" s="16"/>
      <c r="V123" s="16"/>
      <c r="W123" s="16"/>
      <c r="X123" s="16"/>
      <c r="Y123" s="16"/>
      <c r="Z123" s="16"/>
      <c r="AA123" s="16"/>
      <c r="AB123" s="16"/>
      <c r="AC123" s="16"/>
      <c r="AD123" s="16"/>
    </row>
    <row r="124" spans="1:30" ht="15.75" customHeight="1">
      <c r="L124" s="16"/>
      <c r="M124" s="16"/>
      <c r="N124" s="16"/>
      <c r="O124" s="16"/>
      <c r="P124" s="16"/>
      <c r="Q124" s="16"/>
      <c r="R124" s="16"/>
      <c r="S124" s="16"/>
      <c r="T124" s="16"/>
      <c r="U124" s="16"/>
      <c r="V124" s="16"/>
      <c r="W124" s="16"/>
      <c r="X124" s="16"/>
      <c r="Y124" s="16"/>
      <c r="Z124" s="16"/>
      <c r="AA124" s="16"/>
      <c r="AB124" s="16"/>
      <c r="AC124" s="16"/>
      <c r="AD124" s="16"/>
    </row>
    <row r="125" spans="1:30" ht="15.75" customHeight="1">
      <c r="L125" s="16"/>
      <c r="M125" s="16"/>
      <c r="N125" s="16"/>
      <c r="O125" s="16"/>
      <c r="P125" s="16"/>
      <c r="Q125" s="16"/>
      <c r="R125" s="16"/>
      <c r="S125" s="16"/>
      <c r="T125" s="16"/>
      <c r="U125" s="16"/>
      <c r="V125" s="16"/>
      <c r="W125" s="16"/>
      <c r="X125" s="16"/>
      <c r="Y125" s="16"/>
      <c r="Z125" s="16"/>
      <c r="AA125" s="16"/>
      <c r="AB125" s="16"/>
      <c r="AC125" s="16"/>
      <c r="AD125" s="16"/>
    </row>
    <row r="126" spans="1:30" ht="15.75" customHeight="1">
      <c r="L126" s="16"/>
      <c r="M126" s="16"/>
      <c r="N126" s="16"/>
      <c r="O126" s="16"/>
      <c r="P126" s="16"/>
      <c r="Q126" s="16"/>
      <c r="R126" s="16"/>
      <c r="S126" s="16"/>
      <c r="T126" s="16"/>
      <c r="U126" s="16"/>
      <c r="V126" s="16"/>
      <c r="W126" s="16"/>
      <c r="X126" s="16"/>
      <c r="Y126" s="16"/>
      <c r="Z126" s="16"/>
      <c r="AA126" s="16"/>
      <c r="AB126" s="16"/>
      <c r="AC126" s="16"/>
      <c r="AD126" s="16"/>
    </row>
    <row r="127" spans="1:30" ht="15.75" customHeight="1">
      <c r="L127" s="16"/>
      <c r="M127" s="16"/>
      <c r="N127" s="16"/>
      <c r="O127" s="16"/>
      <c r="P127" s="735"/>
      <c r="Q127" s="696"/>
      <c r="R127" s="696"/>
      <c r="S127" s="16"/>
      <c r="T127" s="16"/>
      <c r="U127" s="16"/>
      <c r="V127" s="16"/>
      <c r="W127" s="16"/>
      <c r="X127" s="16"/>
      <c r="Y127" s="16"/>
      <c r="Z127" s="16"/>
      <c r="AA127" s="16"/>
      <c r="AB127" s="16"/>
      <c r="AC127" s="16"/>
      <c r="AD127" s="16"/>
    </row>
    <row r="128" spans="1:30" ht="15.75" customHeight="1">
      <c r="L128" s="16"/>
      <c r="M128" s="16"/>
      <c r="N128" s="16"/>
      <c r="O128" s="16"/>
      <c r="P128" s="735"/>
      <c r="Q128" s="696"/>
      <c r="R128" s="696"/>
      <c r="S128" s="16"/>
      <c r="T128" s="16"/>
      <c r="U128" s="16"/>
      <c r="V128" s="16"/>
      <c r="W128" s="16"/>
      <c r="X128" s="16"/>
      <c r="Y128" s="16"/>
      <c r="Z128" s="16"/>
      <c r="AA128" s="16"/>
      <c r="AB128" s="16"/>
      <c r="AC128" s="16"/>
      <c r="AD128" s="16"/>
    </row>
    <row r="129" spans="1:30" ht="15.75" customHeight="1">
      <c r="L129" s="16"/>
      <c r="M129" s="16"/>
      <c r="N129" s="16"/>
      <c r="O129" s="16"/>
      <c r="P129" s="735"/>
      <c r="Q129" s="696"/>
      <c r="R129" s="696"/>
      <c r="S129" s="16"/>
      <c r="T129" s="16"/>
      <c r="U129" s="16"/>
      <c r="V129" s="16"/>
      <c r="W129" s="16"/>
      <c r="X129" s="16"/>
      <c r="Y129" s="16"/>
      <c r="Z129" s="16"/>
      <c r="AA129" s="16"/>
      <c r="AB129" s="16"/>
      <c r="AC129" s="16"/>
      <c r="AD129" s="16"/>
    </row>
    <row r="130" spans="1:30" ht="15.75" customHeight="1">
      <c r="L130" s="16"/>
      <c r="M130" s="16"/>
      <c r="N130" s="16"/>
      <c r="O130" s="16"/>
      <c r="P130" s="735"/>
      <c r="Q130" s="696"/>
      <c r="R130" s="696"/>
      <c r="S130" s="16"/>
      <c r="T130" s="16"/>
      <c r="U130" s="16"/>
      <c r="V130" s="16"/>
      <c r="W130" s="16"/>
      <c r="X130" s="16"/>
      <c r="Y130" s="16"/>
      <c r="Z130" s="16"/>
      <c r="AA130" s="16"/>
      <c r="AB130" s="16"/>
      <c r="AC130" s="16"/>
      <c r="AD130" s="16"/>
    </row>
    <row r="131" spans="1:30" ht="15.75" customHeight="1">
      <c r="L131" s="16"/>
      <c r="M131" s="16"/>
      <c r="N131" s="16"/>
      <c r="O131" s="16"/>
      <c r="P131" s="735"/>
      <c r="Q131" s="696"/>
      <c r="R131" s="696"/>
      <c r="S131" s="16"/>
      <c r="T131" s="16"/>
      <c r="U131" s="16"/>
      <c r="V131" s="16"/>
      <c r="W131" s="16"/>
      <c r="X131" s="16"/>
      <c r="Y131" s="16"/>
      <c r="Z131" s="16"/>
      <c r="AA131" s="16"/>
      <c r="AB131" s="16"/>
      <c r="AC131" s="16"/>
      <c r="AD131" s="16"/>
    </row>
    <row r="132" spans="1:30" ht="15.75" customHeight="1">
      <c r="L132" s="16"/>
      <c r="M132" s="16"/>
      <c r="N132" s="16"/>
      <c r="O132" s="16"/>
      <c r="P132" s="735"/>
      <c r="Q132" s="696"/>
      <c r="R132" s="696"/>
      <c r="S132" s="16"/>
      <c r="T132" s="16"/>
      <c r="U132" s="16"/>
      <c r="V132" s="16"/>
      <c r="W132" s="16"/>
      <c r="X132" s="16"/>
      <c r="Y132" s="16"/>
      <c r="Z132" s="16"/>
      <c r="AA132" s="16"/>
      <c r="AB132" s="16"/>
      <c r="AC132" s="16"/>
      <c r="AD132" s="16"/>
    </row>
    <row r="133" spans="1:30" ht="15.75" customHeight="1">
      <c r="H133" s="248"/>
      <c r="I133" s="248"/>
      <c r="J133" s="228"/>
      <c r="K133" s="228"/>
      <c r="L133" s="16"/>
      <c r="M133" s="16"/>
      <c r="N133" s="16"/>
      <c r="O133" s="16"/>
      <c r="P133" s="735"/>
      <c r="Q133" s="696"/>
      <c r="R133" s="696"/>
      <c r="S133" s="16"/>
      <c r="T133" s="16"/>
      <c r="U133" s="16"/>
      <c r="V133" s="16"/>
      <c r="W133" s="16"/>
      <c r="X133" s="16"/>
      <c r="Y133" s="16"/>
      <c r="Z133" s="16"/>
      <c r="AA133" s="16"/>
      <c r="AB133" s="16"/>
      <c r="AC133" s="16"/>
      <c r="AD133" s="16"/>
    </row>
    <row r="134" spans="1:30" ht="15.75" customHeight="1">
      <c r="A134" s="231"/>
      <c r="B134" s="231"/>
      <c r="C134" s="246"/>
      <c r="D134" s="247"/>
      <c r="E134" s="245"/>
      <c r="F134" s="246"/>
      <c r="G134" s="247"/>
      <c r="H134" s="248"/>
      <c r="I134" s="248"/>
      <c r="J134" s="228"/>
      <c r="K134" s="228"/>
      <c r="L134" s="16"/>
      <c r="M134" s="16"/>
      <c r="N134" s="16"/>
      <c r="O134" s="16"/>
      <c r="P134" s="16"/>
      <c r="Q134" s="16"/>
      <c r="R134" s="16"/>
      <c r="S134" s="16"/>
      <c r="T134" s="16"/>
      <c r="U134" s="16"/>
      <c r="V134" s="16"/>
      <c r="W134" s="16"/>
      <c r="X134" s="16"/>
      <c r="Y134" s="16"/>
      <c r="Z134" s="16"/>
      <c r="AA134" s="16"/>
      <c r="AB134" s="16"/>
      <c r="AC134" s="16"/>
      <c r="AD134" s="16"/>
    </row>
    <row r="135" spans="1:30" ht="15.75" customHeight="1">
      <c r="A135" s="231"/>
      <c r="B135" s="16"/>
      <c r="C135" s="246"/>
      <c r="D135" s="247"/>
      <c r="E135" s="245"/>
      <c r="F135" s="246"/>
      <c r="G135" s="247"/>
      <c r="H135" s="228"/>
      <c r="I135" s="228"/>
      <c r="J135" s="228"/>
      <c r="K135" s="228"/>
      <c r="L135" s="16"/>
      <c r="M135" s="735"/>
      <c r="N135" s="696"/>
      <c r="O135" s="696"/>
      <c r="P135" s="735"/>
      <c r="Q135" s="696"/>
      <c r="R135" s="696"/>
      <c r="S135" s="696"/>
      <c r="T135" s="696"/>
      <c r="U135" s="16"/>
      <c r="V135" s="16"/>
      <c r="W135" s="16"/>
      <c r="X135" s="16"/>
      <c r="Y135" s="16"/>
      <c r="Z135" s="16"/>
      <c r="AA135" s="16"/>
      <c r="AB135" s="16"/>
      <c r="AC135" s="16"/>
      <c r="AD135" s="16"/>
    </row>
    <row r="136" spans="1:30" ht="15.75" customHeight="1">
      <c r="A136" s="16"/>
      <c r="B136" s="16"/>
      <c r="C136" s="16"/>
      <c r="D136" s="16"/>
      <c r="E136" s="16"/>
      <c r="F136" s="16"/>
      <c r="G136" s="16"/>
      <c r="H136" s="16"/>
      <c r="I136" s="16"/>
      <c r="J136" s="16"/>
      <c r="K136" s="16"/>
      <c r="L136" s="16"/>
      <c r="M136" s="735"/>
      <c r="N136" s="696"/>
      <c r="O136" s="696"/>
      <c r="P136" s="735"/>
      <c r="Q136" s="696"/>
      <c r="R136" s="696"/>
      <c r="S136" s="696"/>
      <c r="T136" s="696"/>
      <c r="U136" s="16"/>
      <c r="V136" s="16"/>
      <c r="W136" s="16"/>
      <c r="X136" s="16"/>
      <c r="Y136" s="16"/>
      <c r="Z136" s="16"/>
      <c r="AA136" s="16"/>
      <c r="AB136" s="16"/>
      <c r="AC136" s="16"/>
      <c r="AD136" s="16"/>
    </row>
    <row r="137" spans="1:30" ht="15.75" customHeight="1">
      <c r="A137" s="16"/>
      <c r="B137" s="16"/>
      <c r="C137" s="16"/>
      <c r="D137" s="16"/>
      <c r="E137" s="16"/>
      <c r="F137" s="16"/>
      <c r="G137" s="16"/>
      <c r="H137" s="16"/>
      <c r="I137" s="16"/>
      <c r="J137" s="16"/>
      <c r="K137" s="16"/>
      <c r="L137" s="16"/>
      <c r="M137" s="735"/>
      <c r="N137" s="696"/>
      <c r="O137" s="696"/>
      <c r="P137" s="696"/>
      <c r="Q137" s="696"/>
      <c r="R137" s="696"/>
      <c r="S137" s="696"/>
      <c r="T137" s="696"/>
      <c r="U137" s="16"/>
      <c r="V137" s="16"/>
      <c r="W137" s="16"/>
      <c r="X137" s="16"/>
      <c r="Y137" s="16"/>
      <c r="Z137" s="16"/>
      <c r="AA137" s="16"/>
      <c r="AB137" s="16"/>
      <c r="AC137" s="16"/>
      <c r="AD137" s="16"/>
    </row>
    <row r="138" spans="1:30" ht="15.75" customHeight="1">
      <c r="A138" s="16"/>
      <c r="B138" s="16"/>
      <c r="C138" s="16"/>
      <c r="D138" s="16"/>
      <c r="E138" s="16"/>
      <c r="F138" s="16"/>
      <c r="G138" s="16"/>
      <c r="H138" s="16"/>
      <c r="I138" s="16"/>
      <c r="J138" s="16"/>
      <c r="K138" s="16"/>
      <c r="L138" s="16"/>
      <c r="M138" s="735"/>
      <c r="N138" s="696"/>
      <c r="O138" s="696"/>
      <c r="P138" s="696"/>
      <c r="Q138" s="696"/>
      <c r="R138" s="696"/>
      <c r="S138" s="696"/>
      <c r="T138" s="696"/>
      <c r="U138" s="16"/>
      <c r="V138" s="16"/>
      <c r="W138" s="16"/>
      <c r="X138" s="16"/>
      <c r="Y138" s="16"/>
      <c r="Z138" s="16"/>
      <c r="AA138" s="16"/>
      <c r="AB138" s="16"/>
      <c r="AC138" s="16"/>
      <c r="AD138" s="16"/>
    </row>
    <row r="139" spans="1:30" ht="15.75" customHeight="1">
      <c r="A139" s="16"/>
      <c r="B139" s="16"/>
      <c r="C139" s="16"/>
      <c r="D139" s="16"/>
      <c r="E139" s="16"/>
      <c r="F139" s="16"/>
      <c r="G139" s="16"/>
      <c r="H139" s="16"/>
      <c r="I139" s="16"/>
      <c r="J139" s="16"/>
      <c r="K139" s="16"/>
      <c r="L139" s="16"/>
      <c r="M139" s="735"/>
      <c r="N139" s="696"/>
      <c r="O139" s="696"/>
      <c r="P139" s="696"/>
      <c r="Q139" s="696"/>
      <c r="R139" s="696"/>
      <c r="S139" s="696"/>
      <c r="T139" s="696"/>
      <c r="U139" s="16"/>
      <c r="V139" s="16"/>
      <c r="W139" s="16"/>
      <c r="X139" s="16"/>
      <c r="Y139" s="16"/>
      <c r="Z139" s="16"/>
      <c r="AA139" s="16"/>
      <c r="AB139" s="16"/>
      <c r="AC139" s="16"/>
      <c r="AD139" s="16"/>
    </row>
    <row r="140" spans="1:30" ht="15.75" customHeight="1">
      <c r="A140" s="16"/>
      <c r="B140" s="16"/>
      <c r="C140" s="16"/>
      <c r="D140" s="16"/>
      <c r="E140" s="16"/>
      <c r="F140" s="16"/>
      <c r="G140" s="16"/>
      <c r="H140" s="16"/>
      <c r="I140" s="16"/>
      <c r="J140" s="16"/>
      <c r="K140" s="16"/>
      <c r="L140" s="16"/>
      <c r="M140" s="735"/>
      <c r="N140" s="696"/>
      <c r="O140" s="696"/>
      <c r="P140" s="696"/>
      <c r="Q140" s="696"/>
      <c r="R140" s="696"/>
      <c r="S140" s="696"/>
      <c r="T140" s="696"/>
      <c r="U140" s="16"/>
      <c r="V140" s="16"/>
      <c r="W140" s="16"/>
      <c r="X140" s="16"/>
      <c r="Y140" s="16"/>
      <c r="Z140" s="16"/>
      <c r="AA140" s="16"/>
      <c r="AB140" s="16"/>
      <c r="AC140" s="16"/>
      <c r="AD140" s="16"/>
    </row>
    <row r="141" spans="1:30" ht="15.75" customHeight="1">
      <c r="A141" s="16"/>
      <c r="B141" s="16"/>
      <c r="C141" s="16"/>
      <c r="D141" s="16"/>
      <c r="E141" s="16"/>
      <c r="F141" s="16"/>
      <c r="G141" s="16"/>
      <c r="H141" s="16"/>
      <c r="I141" s="16"/>
      <c r="J141" s="16"/>
      <c r="K141" s="16"/>
      <c r="L141" s="16"/>
      <c r="M141" s="735"/>
      <c r="N141" s="696"/>
      <c r="O141" s="696"/>
      <c r="P141" s="696"/>
      <c r="Q141" s="696"/>
      <c r="R141" s="696"/>
      <c r="S141" s="696"/>
      <c r="T141" s="696"/>
      <c r="U141" s="16"/>
      <c r="V141" s="16"/>
      <c r="W141" s="16"/>
      <c r="X141" s="16"/>
      <c r="Y141" s="16"/>
      <c r="Z141" s="16"/>
      <c r="AA141" s="16"/>
      <c r="AB141" s="16"/>
      <c r="AC141" s="16"/>
      <c r="AD141" s="16"/>
    </row>
    <row r="142" spans="1:30" ht="15.75" customHeight="1">
      <c r="A142" s="16"/>
      <c r="B142" s="16"/>
      <c r="C142" s="16"/>
      <c r="D142" s="16"/>
      <c r="E142" s="16"/>
      <c r="F142" s="16"/>
      <c r="G142" s="16"/>
      <c r="H142" s="16"/>
      <c r="I142" s="16"/>
      <c r="J142" s="16"/>
      <c r="K142" s="16"/>
      <c r="L142" s="16"/>
      <c r="M142" s="735"/>
      <c r="N142" s="696"/>
      <c r="O142" s="696"/>
      <c r="P142" s="696"/>
      <c r="Q142" s="696"/>
      <c r="R142" s="696"/>
      <c r="S142" s="696"/>
      <c r="T142" s="696"/>
      <c r="U142" s="16"/>
      <c r="V142" s="16"/>
      <c r="W142" s="16"/>
      <c r="X142" s="16"/>
      <c r="Y142" s="16"/>
      <c r="Z142" s="16"/>
      <c r="AA142" s="16"/>
      <c r="AB142" s="16"/>
      <c r="AC142" s="16"/>
      <c r="AD142" s="16"/>
    </row>
    <row r="143" spans="1:30" ht="15.75" customHeight="1">
      <c r="A143" s="16"/>
      <c r="B143" s="16"/>
      <c r="C143" s="16"/>
      <c r="D143" s="16"/>
      <c r="E143" s="16"/>
      <c r="F143" s="16"/>
      <c r="G143" s="16"/>
      <c r="H143" s="16"/>
      <c r="I143" s="16"/>
      <c r="J143" s="16"/>
      <c r="K143" s="16"/>
      <c r="L143" s="16"/>
      <c r="M143" s="735"/>
      <c r="N143" s="696"/>
      <c r="O143" s="696"/>
      <c r="P143" s="696"/>
      <c r="Q143" s="696"/>
      <c r="R143" s="696"/>
      <c r="S143" s="696"/>
      <c r="T143" s="696"/>
      <c r="U143" s="16"/>
      <c r="V143" s="16"/>
      <c r="W143" s="16"/>
      <c r="X143" s="16"/>
      <c r="Y143" s="16"/>
      <c r="Z143" s="16"/>
      <c r="AA143" s="16"/>
      <c r="AB143" s="16"/>
      <c r="AC143" s="16"/>
      <c r="AD143" s="16"/>
    </row>
    <row r="144" spans="1:30" ht="15.75" customHeight="1">
      <c r="A144" s="16"/>
      <c r="B144" s="16"/>
      <c r="C144" s="16"/>
      <c r="D144" s="16"/>
      <c r="E144" s="16"/>
      <c r="F144" s="16"/>
      <c r="G144" s="16"/>
      <c r="H144" s="16"/>
      <c r="I144" s="16"/>
      <c r="J144" s="16"/>
      <c r="K144" s="16"/>
      <c r="L144" s="16"/>
      <c r="M144" s="735"/>
      <c r="N144" s="696"/>
      <c r="O144" s="696"/>
      <c r="P144" s="696"/>
      <c r="Q144" s="696"/>
      <c r="R144" s="696"/>
      <c r="S144" s="696"/>
      <c r="T144" s="696"/>
      <c r="U144" s="16"/>
      <c r="V144" s="16"/>
      <c r="W144" s="16"/>
      <c r="X144" s="16"/>
      <c r="Y144" s="16"/>
      <c r="Z144" s="16"/>
      <c r="AA144" s="16"/>
      <c r="AB144" s="16"/>
      <c r="AC144" s="16"/>
      <c r="AD144" s="16"/>
    </row>
    <row r="145" spans="1:30" ht="15.75" customHeight="1">
      <c r="A145" s="16"/>
      <c r="B145" s="16"/>
      <c r="C145" s="16"/>
      <c r="D145" s="16"/>
      <c r="E145" s="16"/>
      <c r="F145" s="16"/>
      <c r="G145" s="16"/>
      <c r="H145" s="16"/>
      <c r="I145" s="16"/>
      <c r="J145" s="16"/>
      <c r="K145" s="16"/>
      <c r="L145" s="16"/>
      <c r="M145" s="735"/>
      <c r="N145" s="696"/>
      <c r="O145" s="696"/>
      <c r="P145" s="696"/>
      <c r="Q145" s="696"/>
      <c r="R145" s="696"/>
      <c r="S145" s="696"/>
      <c r="T145" s="696"/>
      <c r="U145" s="16"/>
      <c r="V145" s="16"/>
      <c r="W145" s="16"/>
      <c r="X145" s="16"/>
      <c r="Y145" s="16"/>
      <c r="Z145" s="16"/>
      <c r="AA145" s="16"/>
      <c r="AB145" s="16"/>
      <c r="AC145" s="16"/>
      <c r="AD145" s="16"/>
    </row>
    <row r="146" spans="1:30" ht="15.75" customHeight="1">
      <c r="A146" s="16"/>
      <c r="B146" s="16"/>
      <c r="C146" s="16"/>
      <c r="D146" s="16"/>
      <c r="E146" s="16"/>
      <c r="F146" s="16"/>
      <c r="G146" s="16"/>
      <c r="H146" s="16"/>
      <c r="I146" s="16"/>
      <c r="J146" s="16"/>
      <c r="K146" s="16"/>
      <c r="L146" s="16"/>
      <c r="M146" s="735"/>
      <c r="N146" s="696"/>
      <c r="O146" s="696"/>
      <c r="P146" s="696"/>
      <c r="Q146" s="696"/>
      <c r="R146" s="696"/>
      <c r="S146" s="696"/>
      <c r="T146" s="696"/>
      <c r="U146" s="16"/>
      <c r="V146" s="16"/>
      <c r="W146" s="16"/>
      <c r="X146" s="16"/>
      <c r="Y146" s="16"/>
      <c r="Z146" s="16"/>
      <c r="AA146" s="16"/>
      <c r="AB146" s="16"/>
      <c r="AC146" s="16"/>
      <c r="AD146" s="16"/>
    </row>
    <row r="147" spans="1:30" ht="15.75" customHeight="1">
      <c r="A147" s="16"/>
      <c r="B147" s="16"/>
      <c r="C147" s="16"/>
      <c r="D147" s="16"/>
      <c r="E147" s="16"/>
      <c r="F147" s="16"/>
      <c r="G147" s="16"/>
      <c r="H147" s="16"/>
      <c r="I147" s="16"/>
      <c r="J147" s="16"/>
      <c r="K147" s="16"/>
      <c r="L147" s="16"/>
      <c r="M147" s="735"/>
      <c r="N147" s="696"/>
      <c r="O147" s="696"/>
      <c r="P147" s="696"/>
      <c r="Q147" s="696"/>
      <c r="R147" s="696"/>
      <c r="S147" s="696"/>
      <c r="T147" s="696"/>
      <c r="U147" s="16"/>
      <c r="V147" s="16"/>
      <c r="W147" s="16"/>
      <c r="X147" s="16"/>
      <c r="Y147" s="16"/>
      <c r="Z147" s="16"/>
      <c r="AA147" s="16"/>
      <c r="AB147" s="16"/>
      <c r="AC147" s="16"/>
      <c r="AD147" s="16"/>
    </row>
    <row r="148" spans="1:30" ht="15.75" customHeight="1">
      <c r="A148" s="1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c r="AA148" s="16"/>
      <c r="AB148" s="16"/>
      <c r="AC148" s="16"/>
      <c r="AD148" s="16"/>
    </row>
    <row r="149" spans="1:30" ht="15.75" customHeight="1">
      <c r="A149" s="16"/>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c r="AA149" s="16"/>
      <c r="AB149" s="16"/>
      <c r="AC149" s="16"/>
      <c r="AD149" s="16"/>
    </row>
    <row r="150" spans="1:30" ht="15.75" customHeight="1">
      <c r="A150" s="16"/>
      <c r="B150" s="16"/>
      <c r="C150" s="16"/>
      <c r="D150" s="16"/>
      <c r="E150" s="16"/>
      <c r="F150" s="16"/>
      <c r="G150" s="16"/>
      <c r="H150" s="16"/>
      <c r="I150" s="16"/>
      <c r="J150" s="16"/>
      <c r="K150" s="16"/>
      <c r="L150" s="16"/>
      <c r="M150" s="735"/>
      <c r="N150" s="696"/>
      <c r="O150" s="696"/>
      <c r="P150" s="735"/>
      <c r="Q150" s="696"/>
      <c r="R150" s="696"/>
      <c r="S150" s="696"/>
      <c r="T150" s="696"/>
      <c r="U150" s="16"/>
      <c r="V150" s="16"/>
      <c r="W150" s="16"/>
      <c r="X150" s="16"/>
      <c r="Y150" s="16"/>
      <c r="Z150" s="16"/>
      <c r="AA150" s="16"/>
      <c r="AB150" s="16"/>
      <c r="AC150" s="16"/>
      <c r="AD150" s="16"/>
    </row>
    <row r="151" spans="1:30" ht="15.75" customHeight="1">
      <c r="A151" s="16"/>
      <c r="B151" s="16"/>
      <c r="C151" s="16"/>
      <c r="D151" s="16"/>
      <c r="E151" s="16"/>
      <c r="F151" s="16"/>
      <c r="G151" s="16"/>
      <c r="H151" s="16"/>
      <c r="I151" s="16"/>
      <c r="J151" s="16"/>
      <c r="K151" s="16"/>
      <c r="L151" s="16"/>
      <c r="M151" s="735"/>
      <c r="N151" s="696"/>
      <c r="O151" s="696"/>
      <c r="P151" s="735"/>
      <c r="Q151" s="696"/>
      <c r="R151" s="696"/>
      <c r="S151" s="696"/>
      <c r="T151" s="696"/>
      <c r="U151" s="16"/>
      <c r="V151" s="16"/>
      <c r="W151" s="16"/>
      <c r="X151" s="16"/>
      <c r="Y151" s="16"/>
      <c r="Z151" s="16"/>
      <c r="AA151" s="16"/>
      <c r="AB151" s="16"/>
      <c r="AC151" s="16"/>
      <c r="AD151" s="16"/>
    </row>
    <row r="152" spans="1:30" ht="15.75" customHeight="1">
      <c r="A152" s="16"/>
      <c r="B152" s="16"/>
      <c r="C152" s="16"/>
      <c r="D152" s="16"/>
      <c r="E152" s="16"/>
      <c r="F152" s="16"/>
      <c r="G152" s="16"/>
      <c r="H152" s="16"/>
      <c r="I152" s="16"/>
      <c r="J152" s="16"/>
      <c r="K152" s="16"/>
      <c r="L152" s="16"/>
      <c r="M152" s="735"/>
      <c r="N152" s="696"/>
      <c r="O152" s="696"/>
      <c r="P152" s="696"/>
      <c r="Q152" s="696"/>
      <c r="R152" s="696"/>
      <c r="S152" s="696"/>
      <c r="T152" s="696"/>
      <c r="U152" s="16"/>
      <c r="V152" s="16"/>
      <c r="W152" s="16"/>
      <c r="X152" s="16"/>
      <c r="Y152" s="16"/>
      <c r="Z152" s="16"/>
      <c r="AA152" s="16"/>
      <c r="AB152" s="16"/>
      <c r="AC152" s="16"/>
      <c r="AD152" s="16"/>
    </row>
    <row r="153" spans="1:30" ht="15.75" customHeight="1">
      <c r="A153" s="16"/>
      <c r="B153" s="16"/>
      <c r="C153" s="16"/>
      <c r="D153" s="16"/>
      <c r="E153" s="16"/>
      <c r="F153" s="16"/>
      <c r="G153" s="16"/>
      <c r="H153" s="16"/>
      <c r="I153" s="16"/>
      <c r="J153" s="16"/>
      <c r="K153" s="16"/>
      <c r="L153" s="16"/>
      <c r="M153" s="735"/>
      <c r="N153" s="696"/>
      <c r="O153" s="696"/>
      <c r="P153" s="696"/>
      <c r="Q153" s="696"/>
      <c r="R153" s="696"/>
      <c r="S153" s="696"/>
      <c r="T153" s="696"/>
      <c r="U153" s="16"/>
      <c r="V153" s="16"/>
      <c r="W153" s="16"/>
      <c r="X153" s="16"/>
      <c r="Y153" s="16"/>
      <c r="Z153" s="16"/>
      <c r="AA153" s="16"/>
      <c r="AB153" s="16"/>
      <c r="AC153" s="16"/>
      <c r="AD153" s="16"/>
    </row>
    <row r="154" spans="1:30" ht="15.75" customHeight="1">
      <c r="A154" s="16"/>
      <c r="B154" s="16"/>
      <c r="C154" s="16"/>
      <c r="D154" s="16"/>
      <c r="E154" s="16"/>
      <c r="F154" s="16"/>
      <c r="G154" s="16"/>
      <c r="H154" s="16"/>
      <c r="I154" s="16"/>
      <c r="J154" s="16"/>
      <c r="K154" s="16"/>
      <c r="L154" s="16"/>
      <c r="M154" s="735"/>
      <c r="N154" s="696"/>
      <c r="O154" s="696"/>
      <c r="P154" s="696"/>
      <c r="Q154" s="696"/>
      <c r="R154" s="696"/>
      <c r="S154" s="696"/>
      <c r="T154" s="696"/>
      <c r="U154" s="16"/>
      <c r="V154" s="16"/>
      <c r="W154" s="16"/>
      <c r="X154" s="16"/>
      <c r="Y154" s="16"/>
      <c r="Z154" s="16"/>
      <c r="AA154" s="16"/>
      <c r="AB154" s="16"/>
      <c r="AC154" s="16"/>
      <c r="AD154" s="16"/>
    </row>
    <row r="155" spans="1:30" ht="15.75" customHeight="1">
      <c r="A155" s="16"/>
      <c r="B155" s="16"/>
      <c r="C155" s="16"/>
      <c r="D155" s="16"/>
      <c r="E155" s="16"/>
      <c r="F155" s="16"/>
      <c r="G155" s="16"/>
      <c r="H155" s="16"/>
      <c r="I155" s="16"/>
      <c r="J155" s="16"/>
      <c r="K155" s="16"/>
      <c r="L155" s="16"/>
      <c r="M155" s="735"/>
      <c r="N155" s="696"/>
      <c r="O155" s="696"/>
      <c r="P155" s="696"/>
      <c r="Q155" s="696"/>
      <c r="R155" s="696"/>
      <c r="S155" s="696"/>
      <c r="T155" s="696"/>
      <c r="U155" s="16"/>
      <c r="V155" s="16"/>
      <c r="W155" s="16"/>
      <c r="X155" s="16"/>
      <c r="Y155" s="16"/>
      <c r="Z155" s="16"/>
      <c r="AA155" s="16"/>
      <c r="AB155" s="16"/>
      <c r="AC155" s="16"/>
      <c r="AD155" s="16"/>
    </row>
    <row r="156" spans="1:30" ht="15.75" customHeight="1">
      <c r="A156" s="16"/>
      <c r="B156" s="16"/>
      <c r="C156" s="16"/>
      <c r="D156" s="16"/>
      <c r="E156" s="16"/>
      <c r="F156" s="16"/>
      <c r="G156" s="16"/>
      <c r="H156" s="16"/>
      <c r="I156" s="16"/>
      <c r="J156" s="16"/>
      <c r="K156" s="16"/>
      <c r="L156" s="16"/>
      <c r="M156" s="735"/>
      <c r="N156" s="696"/>
      <c r="O156" s="696"/>
      <c r="P156" s="696"/>
      <c r="Q156" s="696"/>
      <c r="R156" s="696"/>
      <c r="S156" s="696"/>
      <c r="T156" s="696"/>
      <c r="U156" s="16"/>
      <c r="V156" s="16"/>
      <c r="W156" s="16"/>
      <c r="X156" s="16"/>
      <c r="Y156" s="16"/>
      <c r="Z156" s="16"/>
      <c r="AA156" s="16"/>
      <c r="AB156" s="16"/>
      <c r="AC156" s="16"/>
      <c r="AD156" s="16"/>
    </row>
    <row r="157" spans="1:30" ht="15.75" customHeight="1">
      <c r="A157" s="16"/>
      <c r="B157" s="16"/>
      <c r="C157" s="16"/>
      <c r="D157" s="16"/>
      <c r="E157" s="16"/>
      <c r="F157" s="16"/>
      <c r="G157" s="16"/>
      <c r="H157" s="16"/>
      <c r="I157" s="16"/>
      <c r="J157" s="16"/>
      <c r="K157" s="16"/>
      <c r="L157" s="16"/>
      <c r="M157" s="735"/>
      <c r="N157" s="696"/>
      <c r="O157" s="696"/>
      <c r="P157" s="696"/>
      <c r="Q157" s="696"/>
      <c r="R157" s="696"/>
      <c r="S157" s="696"/>
      <c r="T157" s="696"/>
      <c r="U157" s="16"/>
      <c r="V157" s="16"/>
      <c r="W157" s="16"/>
      <c r="X157" s="16"/>
      <c r="Y157" s="16"/>
      <c r="Z157" s="16"/>
      <c r="AA157" s="16"/>
      <c r="AB157" s="16"/>
      <c r="AC157" s="16"/>
      <c r="AD157" s="16"/>
    </row>
    <row r="158" spans="1:30" ht="15.75" customHeight="1">
      <c r="A158" s="16"/>
      <c r="B158" s="16"/>
      <c r="C158" s="16"/>
      <c r="D158" s="16"/>
      <c r="E158" s="16"/>
      <c r="F158" s="16"/>
      <c r="G158" s="16"/>
      <c r="H158" s="16"/>
      <c r="I158" s="16"/>
      <c r="J158" s="16"/>
      <c r="K158" s="16"/>
      <c r="L158" s="16"/>
      <c r="M158" s="735"/>
      <c r="N158" s="696"/>
      <c r="O158" s="696"/>
      <c r="P158" s="696"/>
      <c r="Q158" s="696"/>
      <c r="R158" s="696"/>
      <c r="S158" s="696"/>
      <c r="T158" s="696"/>
      <c r="U158" s="16"/>
      <c r="V158" s="16"/>
      <c r="W158" s="16"/>
      <c r="X158" s="16"/>
      <c r="Y158" s="16"/>
      <c r="Z158" s="16"/>
      <c r="AA158" s="16"/>
      <c r="AB158" s="16"/>
      <c r="AC158" s="16"/>
      <c r="AD158" s="16"/>
    </row>
    <row r="159" spans="1:30" ht="15.75" customHeight="1">
      <c r="A159" s="16"/>
      <c r="B159" s="16"/>
      <c r="C159" s="16"/>
      <c r="D159" s="16"/>
      <c r="E159" s="16"/>
      <c r="F159" s="16"/>
      <c r="G159" s="16"/>
      <c r="H159" s="16"/>
      <c r="I159" s="16"/>
      <c r="J159" s="16"/>
      <c r="K159" s="16"/>
      <c r="L159" s="16"/>
      <c r="M159" s="735"/>
      <c r="N159" s="696"/>
      <c r="O159" s="696"/>
      <c r="P159" s="696"/>
      <c r="Q159" s="696"/>
      <c r="R159" s="696"/>
      <c r="S159" s="696"/>
      <c r="T159" s="696"/>
      <c r="U159" s="16"/>
      <c r="V159" s="16"/>
      <c r="W159" s="16"/>
      <c r="X159" s="16"/>
      <c r="Y159" s="16"/>
      <c r="Z159" s="16"/>
      <c r="AA159" s="16"/>
      <c r="AB159" s="16"/>
      <c r="AC159" s="16"/>
      <c r="AD159" s="16"/>
    </row>
    <row r="160" spans="1:30" ht="15.75" customHeight="1">
      <c r="A160" s="16"/>
      <c r="B160" s="16"/>
      <c r="C160" s="16"/>
      <c r="D160" s="16"/>
      <c r="E160" s="16"/>
      <c r="F160" s="16"/>
      <c r="G160" s="16"/>
      <c r="H160" s="16"/>
      <c r="I160" s="16"/>
      <c r="J160" s="16"/>
      <c r="K160" s="16"/>
      <c r="L160" s="16"/>
      <c r="M160" s="735"/>
      <c r="N160" s="696"/>
      <c r="O160" s="696"/>
      <c r="P160" s="696"/>
      <c r="Q160" s="696"/>
      <c r="R160" s="696"/>
      <c r="S160" s="696"/>
      <c r="T160" s="696"/>
      <c r="U160" s="16"/>
      <c r="V160" s="16"/>
      <c r="W160" s="16"/>
      <c r="X160" s="16"/>
      <c r="Y160" s="16"/>
      <c r="Z160" s="16"/>
      <c r="AA160" s="16"/>
      <c r="AB160" s="16"/>
      <c r="AC160" s="16"/>
      <c r="AD160" s="16"/>
    </row>
    <row r="161" spans="1:30" ht="15.75" customHeight="1">
      <c r="A161" s="16"/>
      <c r="B161" s="16"/>
      <c r="C161" s="16"/>
      <c r="D161" s="16"/>
      <c r="E161" s="16"/>
      <c r="F161" s="16"/>
      <c r="G161" s="16"/>
      <c r="H161" s="16"/>
      <c r="I161" s="16"/>
      <c r="J161" s="16"/>
      <c r="K161" s="16"/>
      <c r="L161" s="16"/>
      <c r="M161" s="735"/>
      <c r="N161" s="696"/>
      <c r="O161" s="696"/>
      <c r="P161" s="696"/>
      <c r="Q161" s="696"/>
      <c r="R161" s="696"/>
      <c r="S161" s="696"/>
      <c r="T161" s="696"/>
      <c r="U161" s="16"/>
      <c r="V161" s="16"/>
      <c r="W161" s="16"/>
      <c r="X161" s="16"/>
      <c r="Y161" s="16"/>
      <c r="Z161" s="16"/>
      <c r="AA161" s="16"/>
      <c r="AB161" s="16"/>
      <c r="AC161" s="16"/>
      <c r="AD161" s="16"/>
    </row>
    <row r="162" spans="1:30" ht="15.75" customHeight="1">
      <c r="A162" s="16"/>
      <c r="B162" s="16"/>
      <c r="C162" s="16"/>
      <c r="D162" s="16"/>
      <c r="E162" s="16"/>
      <c r="F162" s="16"/>
      <c r="G162" s="16"/>
      <c r="H162" s="16"/>
      <c r="I162" s="16"/>
      <c r="J162" s="16"/>
      <c r="K162" s="16"/>
      <c r="L162" s="16"/>
      <c r="M162" s="735"/>
      <c r="N162" s="696"/>
      <c r="O162" s="696"/>
      <c r="P162" s="696"/>
      <c r="Q162" s="696"/>
      <c r="R162" s="696"/>
      <c r="S162" s="696"/>
      <c r="T162" s="696"/>
      <c r="U162" s="16"/>
      <c r="V162" s="16"/>
      <c r="W162" s="16"/>
      <c r="X162" s="16"/>
      <c r="Y162" s="16"/>
      <c r="Z162" s="16"/>
      <c r="AA162" s="16"/>
      <c r="AB162" s="16"/>
      <c r="AC162" s="16"/>
      <c r="AD162" s="16"/>
    </row>
    <row r="163" spans="1:30" ht="15.75" customHeight="1">
      <c r="A163" s="16"/>
      <c r="B163" s="16"/>
      <c r="C163" s="16"/>
      <c r="D163" s="16"/>
      <c r="E163" s="16"/>
      <c r="F163" s="16"/>
      <c r="G163" s="16"/>
      <c r="H163" s="16"/>
      <c r="I163" s="16"/>
      <c r="J163" s="16"/>
      <c r="K163" s="16"/>
      <c r="L163" s="16"/>
      <c r="M163" s="735"/>
      <c r="N163" s="696"/>
      <c r="O163" s="696"/>
      <c r="P163" s="696"/>
      <c r="Q163" s="696"/>
      <c r="R163" s="696"/>
      <c r="S163" s="696"/>
      <c r="T163" s="696"/>
      <c r="U163" s="16"/>
      <c r="V163" s="16"/>
      <c r="W163" s="16"/>
      <c r="X163" s="16"/>
      <c r="Y163" s="16"/>
      <c r="Z163" s="16"/>
      <c r="AA163" s="16"/>
      <c r="AB163" s="16"/>
      <c r="AC163" s="16"/>
      <c r="AD163" s="16"/>
    </row>
    <row r="164" spans="1:30" ht="15.75" customHeight="1">
      <c r="A164" s="16"/>
      <c r="B164" s="16"/>
      <c r="C164" s="16"/>
      <c r="D164" s="16"/>
      <c r="E164" s="16"/>
      <c r="F164" s="16"/>
      <c r="G164" s="16"/>
      <c r="H164" s="16"/>
      <c r="I164" s="16"/>
      <c r="J164" s="16"/>
      <c r="K164" s="16"/>
      <c r="L164" s="16"/>
      <c r="M164" s="735"/>
      <c r="N164" s="696"/>
      <c r="O164" s="696"/>
      <c r="P164" s="696"/>
      <c r="Q164" s="696"/>
      <c r="R164" s="696"/>
      <c r="S164" s="696"/>
      <c r="T164" s="696"/>
      <c r="U164" s="16"/>
      <c r="V164" s="16"/>
      <c r="W164" s="16"/>
      <c r="X164" s="16"/>
      <c r="Y164" s="16"/>
      <c r="Z164" s="16"/>
      <c r="AA164" s="16"/>
      <c r="AB164" s="16"/>
      <c r="AC164" s="16"/>
      <c r="AD164" s="16"/>
    </row>
    <row r="165" spans="1:30" ht="15.75" customHeight="1">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row>
    <row r="166" spans="1:30" ht="15.75" customHeight="1">
      <c r="A166" s="1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c r="AA166" s="16"/>
      <c r="AB166" s="16"/>
      <c r="AC166" s="16"/>
      <c r="AD166" s="16"/>
    </row>
    <row r="167" spans="1:30" ht="15.75" customHeight="1">
      <c r="A167" s="16"/>
      <c r="B167" s="735"/>
      <c r="C167" s="696"/>
      <c r="D167" s="16"/>
      <c r="E167" s="16"/>
      <c r="F167" s="16"/>
      <c r="G167" s="16"/>
      <c r="H167" s="16"/>
      <c r="I167" s="16"/>
      <c r="J167" s="16"/>
      <c r="K167" s="16"/>
      <c r="L167" s="16"/>
      <c r="M167" s="735"/>
      <c r="N167" s="696"/>
      <c r="O167" s="696"/>
      <c r="P167" s="735"/>
      <c r="Q167" s="696"/>
      <c r="R167" s="696"/>
      <c r="S167" s="696"/>
      <c r="T167" s="696"/>
      <c r="U167" s="16"/>
      <c r="V167" s="16"/>
      <c r="W167" s="16"/>
      <c r="X167" s="16"/>
      <c r="Y167" s="16"/>
      <c r="Z167" s="16"/>
      <c r="AA167" s="16"/>
      <c r="AB167" s="16"/>
      <c r="AC167" s="16"/>
      <c r="AD167" s="16"/>
    </row>
    <row r="168" spans="1:30" ht="15.75" customHeight="1">
      <c r="A168" s="16"/>
      <c r="B168" s="735"/>
      <c r="C168" s="696"/>
      <c r="D168" s="16"/>
      <c r="E168" s="16"/>
      <c r="F168" s="16"/>
      <c r="G168" s="16"/>
      <c r="H168" s="16"/>
      <c r="I168" s="16"/>
      <c r="J168" s="16"/>
      <c r="K168" s="16"/>
      <c r="L168" s="16"/>
      <c r="M168" s="735"/>
      <c r="N168" s="696"/>
      <c r="O168" s="696"/>
      <c r="P168" s="735"/>
      <c r="Q168" s="696"/>
      <c r="R168" s="696"/>
      <c r="S168" s="696"/>
      <c r="T168" s="696"/>
      <c r="U168" s="16"/>
      <c r="V168" s="16"/>
      <c r="W168" s="16"/>
      <c r="X168" s="16"/>
      <c r="Y168" s="16"/>
      <c r="Z168" s="16"/>
      <c r="AA168" s="16"/>
      <c r="AB168" s="16"/>
      <c r="AC168" s="16"/>
      <c r="AD168" s="16"/>
    </row>
    <row r="169" spans="1:30" ht="15.75" customHeight="1">
      <c r="A169" s="16"/>
      <c r="B169" s="735"/>
      <c r="C169" s="696"/>
      <c r="D169" s="16"/>
      <c r="E169" s="16"/>
      <c r="F169" s="16"/>
      <c r="G169" s="16"/>
      <c r="H169" s="16"/>
      <c r="I169" s="16"/>
      <c r="J169" s="16"/>
      <c r="K169" s="16"/>
      <c r="L169" s="16"/>
      <c r="M169" s="735"/>
      <c r="N169" s="696"/>
      <c r="O169" s="696"/>
      <c r="P169" s="696"/>
      <c r="Q169" s="696"/>
      <c r="R169" s="696"/>
      <c r="S169" s="696"/>
      <c r="T169" s="696"/>
      <c r="U169" s="16"/>
      <c r="V169" s="16"/>
      <c r="W169" s="16"/>
      <c r="X169" s="16"/>
      <c r="Y169" s="16"/>
      <c r="Z169" s="16"/>
      <c r="AA169" s="16"/>
      <c r="AB169" s="16"/>
      <c r="AC169" s="16"/>
      <c r="AD169" s="16"/>
    </row>
    <row r="170" spans="1:30" ht="15.75" customHeight="1">
      <c r="A170" s="16"/>
      <c r="B170" s="735"/>
      <c r="C170" s="696"/>
      <c r="D170" s="16"/>
      <c r="E170" s="16"/>
      <c r="F170" s="16"/>
      <c r="G170" s="16"/>
      <c r="H170" s="16"/>
      <c r="I170" s="16"/>
      <c r="J170" s="16"/>
      <c r="K170" s="16"/>
      <c r="L170" s="16"/>
      <c r="M170" s="735"/>
      <c r="N170" s="696"/>
      <c r="O170" s="696"/>
      <c r="P170" s="696"/>
      <c r="Q170" s="696"/>
      <c r="R170" s="696"/>
      <c r="S170" s="696"/>
      <c r="T170" s="696"/>
      <c r="U170" s="16"/>
      <c r="V170" s="16"/>
      <c r="W170" s="16"/>
      <c r="X170" s="16"/>
      <c r="Y170" s="16"/>
      <c r="Z170" s="16"/>
      <c r="AA170" s="16"/>
      <c r="AB170" s="16"/>
      <c r="AC170" s="16"/>
      <c r="AD170" s="16"/>
    </row>
    <row r="171" spans="1:30" ht="15.75" customHeight="1">
      <c r="A171" s="16"/>
      <c r="B171" s="735"/>
      <c r="C171" s="696"/>
      <c r="D171" s="16"/>
      <c r="E171" s="16"/>
      <c r="F171" s="16"/>
      <c r="G171" s="16"/>
      <c r="H171" s="16"/>
      <c r="I171" s="16"/>
      <c r="J171" s="16"/>
      <c r="K171" s="16"/>
      <c r="L171" s="16"/>
      <c r="M171" s="735"/>
      <c r="N171" s="696"/>
      <c r="O171" s="696"/>
      <c r="P171" s="696"/>
      <c r="Q171" s="696"/>
      <c r="R171" s="696"/>
      <c r="S171" s="696"/>
      <c r="T171" s="696"/>
      <c r="U171" s="16"/>
      <c r="V171" s="16"/>
      <c r="W171" s="16"/>
      <c r="X171" s="16"/>
      <c r="Y171" s="16"/>
      <c r="Z171" s="16"/>
      <c r="AA171" s="16"/>
      <c r="AB171" s="16"/>
      <c r="AC171" s="16"/>
      <c r="AD171" s="16"/>
    </row>
    <row r="172" spans="1:30" ht="15.75" customHeight="1">
      <c r="A172" s="16"/>
      <c r="B172" s="735"/>
      <c r="C172" s="696"/>
      <c r="D172" s="16"/>
      <c r="E172" s="16"/>
      <c r="F172" s="16"/>
      <c r="G172" s="16"/>
      <c r="H172" s="16"/>
      <c r="I172" s="16"/>
      <c r="J172" s="16"/>
      <c r="K172" s="16"/>
      <c r="L172" s="16"/>
      <c r="M172" s="735"/>
      <c r="N172" s="696"/>
      <c r="O172" s="696"/>
      <c r="P172" s="696"/>
      <c r="Q172" s="696"/>
      <c r="R172" s="696"/>
      <c r="S172" s="696"/>
      <c r="T172" s="696"/>
      <c r="U172" s="16"/>
      <c r="V172" s="16"/>
      <c r="W172" s="16"/>
      <c r="X172" s="16"/>
      <c r="Y172" s="16"/>
      <c r="Z172" s="16"/>
      <c r="AA172" s="16"/>
      <c r="AB172" s="16"/>
      <c r="AC172" s="16"/>
      <c r="AD172" s="16"/>
    </row>
    <row r="173" spans="1:30" ht="15.75" customHeight="1">
      <c r="A173" s="16"/>
      <c r="B173" s="735"/>
      <c r="C173" s="696"/>
      <c r="D173" s="16"/>
      <c r="E173" s="16"/>
      <c r="F173" s="16"/>
      <c r="G173" s="16"/>
      <c r="H173" s="16"/>
      <c r="I173" s="16"/>
      <c r="J173" s="16"/>
      <c r="K173" s="16"/>
      <c r="L173" s="16"/>
      <c r="M173" s="735"/>
      <c r="N173" s="696"/>
      <c r="O173" s="696"/>
      <c r="P173" s="696"/>
      <c r="Q173" s="696"/>
      <c r="R173" s="696"/>
      <c r="S173" s="696"/>
      <c r="T173" s="696"/>
      <c r="U173" s="16"/>
      <c r="V173" s="16"/>
      <c r="W173" s="16"/>
      <c r="X173" s="16"/>
      <c r="Y173" s="16"/>
      <c r="Z173" s="16"/>
      <c r="AA173" s="16"/>
      <c r="AB173" s="16"/>
      <c r="AC173" s="16"/>
      <c r="AD173" s="16"/>
    </row>
    <row r="174" spans="1:30" ht="15.75" customHeight="1">
      <c r="A174" s="16"/>
      <c r="B174" s="735"/>
      <c r="C174" s="696"/>
      <c r="D174" s="16"/>
      <c r="E174" s="16"/>
      <c r="F174" s="16"/>
      <c r="G174" s="16"/>
      <c r="H174" s="16"/>
      <c r="I174" s="16"/>
      <c r="J174" s="16"/>
      <c r="K174" s="16"/>
      <c r="L174" s="16"/>
      <c r="M174" s="735"/>
      <c r="N174" s="696"/>
      <c r="O174" s="696"/>
      <c r="P174" s="696"/>
      <c r="Q174" s="696"/>
      <c r="R174" s="696"/>
      <c r="S174" s="696"/>
      <c r="T174" s="696"/>
      <c r="U174" s="16"/>
      <c r="V174" s="16"/>
      <c r="W174" s="16"/>
      <c r="X174" s="16"/>
      <c r="Y174" s="16"/>
      <c r="Z174" s="16"/>
      <c r="AA174" s="16"/>
      <c r="AB174" s="16"/>
      <c r="AC174" s="16"/>
      <c r="AD174" s="16"/>
    </row>
    <row r="175" spans="1:30" ht="15.75" customHeight="1">
      <c r="A175" s="16"/>
      <c r="B175" s="735"/>
      <c r="C175" s="696"/>
      <c r="D175" s="16"/>
      <c r="E175" s="16"/>
      <c r="F175" s="16"/>
      <c r="G175" s="16"/>
      <c r="H175" s="16"/>
      <c r="I175" s="16"/>
      <c r="J175" s="16"/>
      <c r="K175" s="16"/>
      <c r="L175" s="16"/>
      <c r="M175" s="735"/>
      <c r="N175" s="696"/>
      <c r="O175" s="696"/>
      <c r="P175" s="696"/>
      <c r="Q175" s="696"/>
      <c r="R175" s="696"/>
      <c r="S175" s="696"/>
      <c r="T175" s="696"/>
      <c r="U175" s="16"/>
      <c r="V175" s="16"/>
      <c r="W175" s="16"/>
      <c r="X175" s="16"/>
      <c r="Y175" s="16"/>
      <c r="Z175" s="16"/>
      <c r="AA175" s="16"/>
      <c r="AB175" s="16"/>
      <c r="AC175" s="16"/>
      <c r="AD175" s="16"/>
    </row>
    <row r="176" spans="1:30" ht="15.75" customHeight="1">
      <c r="A176" s="16"/>
      <c r="B176" s="735"/>
      <c r="C176" s="696"/>
      <c r="D176" s="16"/>
      <c r="E176" s="16"/>
      <c r="F176" s="16"/>
      <c r="G176" s="16"/>
      <c r="H176" s="16"/>
      <c r="I176" s="16"/>
      <c r="J176" s="16"/>
      <c r="K176" s="16"/>
      <c r="L176" s="16"/>
      <c r="M176" s="735"/>
      <c r="N176" s="696"/>
      <c r="O176" s="696"/>
      <c r="P176" s="696"/>
      <c r="Q176" s="696"/>
      <c r="R176" s="696"/>
      <c r="S176" s="696"/>
      <c r="T176" s="696"/>
      <c r="U176" s="16"/>
      <c r="V176" s="16"/>
      <c r="W176" s="16"/>
      <c r="X176" s="16"/>
      <c r="Y176" s="16"/>
      <c r="Z176" s="16"/>
      <c r="AA176" s="16"/>
      <c r="AB176" s="16"/>
      <c r="AC176" s="16"/>
      <c r="AD176" s="16"/>
    </row>
    <row r="177" spans="1:30" ht="15.75" customHeight="1">
      <c r="A177" s="16"/>
      <c r="B177" s="735"/>
      <c r="C177" s="696"/>
      <c r="D177" s="16"/>
      <c r="E177" s="16"/>
      <c r="F177" s="16"/>
      <c r="G177" s="16"/>
      <c r="H177" s="16"/>
      <c r="I177" s="16"/>
      <c r="J177" s="16"/>
      <c r="K177" s="16"/>
      <c r="L177" s="16"/>
      <c r="M177" s="735"/>
      <c r="N177" s="696"/>
      <c r="O177" s="696"/>
      <c r="P177" s="696"/>
      <c r="Q177" s="696"/>
      <c r="R177" s="696"/>
      <c r="S177" s="696"/>
      <c r="T177" s="696"/>
      <c r="U177" s="16"/>
      <c r="V177" s="16"/>
      <c r="W177" s="16"/>
      <c r="X177" s="16"/>
      <c r="Y177" s="16"/>
      <c r="Z177" s="16"/>
      <c r="AA177" s="16"/>
      <c r="AB177" s="16"/>
      <c r="AC177" s="16"/>
      <c r="AD177" s="16"/>
    </row>
    <row r="178" spans="1:30" ht="15.75" customHeight="1">
      <c r="A178" s="16"/>
      <c r="B178" s="735"/>
      <c r="C178" s="696"/>
      <c r="D178" s="16"/>
      <c r="E178" s="16"/>
      <c r="F178" s="16"/>
      <c r="G178" s="16"/>
      <c r="H178" s="16"/>
      <c r="I178" s="16"/>
      <c r="J178" s="16"/>
      <c r="K178" s="16"/>
      <c r="L178" s="16"/>
      <c r="M178" s="735"/>
      <c r="N178" s="696"/>
      <c r="O178" s="696"/>
      <c r="P178" s="696"/>
      <c r="Q178" s="696"/>
      <c r="R178" s="696"/>
      <c r="S178" s="696"/>
      <c r="T178" s="696"/>
      <c r="U178" s="16"/>
      <c r="V178" s="16"/>
      <c r="W178" s="16"/>
      <c r="X178" s="16"/>
      <c r="Y178" s="16"/>
      <c r="Z178" s="16"/>
      <c r="AA178" s="16"/>
      <c r="AB178" s="16"/>
      <c r="AC178" s="16"/>
      <c r="AD178" s="16"/>
    </row>
    <row r="179" spans="1:30" ht="15.75" customHeight="1">
      <c r="A179" s="16"/>
      <c r="B179" s="735"/>
      <c r="C179" s="696"/>
      <c r="D179" s="16"/>
      <c r="E179" s="16"/>
      <c r="F179" s="16"/>
      <c r="G179" s="16"/>
      <c r="H179" s="16"/>
      <c r="I179" s="16"/>
      <c r="J179" s="16"/>
      <c r="K179" s="16"/>
      <c r="L179" s="16"/>
      <c r="M179" s="735"/>
      <c r="N179" s="696"/>
      <c r="O179" s="696"/>
      <c r="P179" s="696"/>
      <c r="Q179" s="696"/>
      <c r="R179" s="696"/>
      <c r="S179" s="696"/>
      <c r="T179" s="696"/>
      <c r="U179" s="16"/>
      <c r="V179" s="16"/>
      <c r="W179" s="16"/>
      <c r="X179" s="16"/>
      <c r="Y179" s="16"/>
      <c r="Z179" s="16"/>
      <c r="AA179" s="16"/>
      <c r="AB179" s="16"/>
      <c r="AC179" s="16"/>
      <c r="AD179" s="16"/>
    </row>
    <row r="180" spans="1:30" ht="15.75" customHeight="1">
      <c r="A180" s="16"/>
      <c r="B180" s="735"/>
      <c r="C180" s="696"/>
      <c r="D180" s="16"/>
      <c r="E180" s="16"/>
      <c r="F180" s="16"/>
      <c r="G180" s="16"/>
      <c r="H180" s="16"/>
      <c r="I180" s="16"/>
      <c r="J180" s="16"/>
      <c r="K180" s="16"/>
      <c r="L180" s="16"/>
      <c r="M180" s="735"/>
      <c r="N180" s="696"/>
      <c r="O180" s="696"/>
      <c r="P180" s="696"/>
      <c r="Q180" s="696"/>
      <c r="R180" s="696"/>
      <c r="S180" s="696"/>
      <c r="T180" s="696"/>
      <c r="U180" s="16"/>
      <c r="V180" s="16"/>
      <c r="W180" s="16"/>
      <c r="X180" s="16"/>
      <c r="Y180" s="16"/>
      <c r="Z180" s="16"/>
      <c r="AA180" s="16"/>
      <c r="AB180" s="16"/>
      <c r="AC180" s="16"/>
      <c r="AD180" s="16"/>
    </row>
    <row r="181" spans="1:30" ht="15.75" customHeight="1">
      <c r="A181" s="16"/>
      <c r="B181" s="735"/>
      <c r="C181" s="696"/>
      <c r="D181" s="16"/>
      <c r="E181" s="16"/>
      <c r="F181" s="16"/>
      <c r="G181" s="16"/>
      <c r="H181" s="16"/>
      <c r="I181" s="16"/>
      <c r="J181" s="16"/>
      <c r="K181" s="16"/>
      <c r="L181" s="16"/>
      <c r="M181" s="735"/>
      <c r="N181" s="696"/>
      <c r="O181" s="696"/>
      <c r="P181" s="696"/>
      <c r="Q181" s="696"/>
      <c r="R181" s="696"/>
      <c r="S181" s="696"/>
      <c r="T181" s="696"/>
      <c r="U181" s="16"/>
      <c r="V181" s="16"/>
      <c r="W181" s="16"/>
      <c r="X181" s="16"/>
      <c r="Y181" s="16"/>
      <c r="Z181" s="16"/>
      <c r="AA181" s="16"/>
      <c r="AB181" s="16"/>
      <c r="AC181" s="16"/>
      <c r="AD181" s="16"/>
    </row>
    <row r="182" spans="1:30" ht="15.75" customHeight="1">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c r="AD182" s="16"/>
    </row>
    <row r="183" spans="1:30" ht="15.75" customHeight="1">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c r="AD183" s="16"/>
    </row>
    <row r="184" spans="1:30" ht="15.75" customHeight="1">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c r="AD184" s="16"/>
    </row>
    <row r="185" spans="1:30" ht="15.75" customHeight="1">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c r="AD185" s="16"/>
    </row>
    <row r="186" spans="1:30" ht="15.75" customHeight="1">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c r="AD186" s="16"/>
    </row>
    <row r="187" spans="1:30" ht="15.75" customHeight="1">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16"/>
      <c r="AB187" s="16"/>
      <c r="AC187" s="16"/>
      <c r="AD187" s="16"/>
    </row>
    <row r="188" spans="1:30" ht="15.75" customHeight="1">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c r="AD188" s="16"/>
    </row>
    <row r="189" spans="1:30" ht="15.75" customHeight="1">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c r="AD189" s="16"/>
    </row>
    <row r="190" spans="1:30" ht="15.75" customHeight="1">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c r="AD190" s="16"/>
    </row>
    <row r="191" spans="1:30" ht="15.75" customHeight="1">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c r="AD191" s="16"/>
    </row>
    <row r="192" spans="1:30" ht="15.75" customHeight="1">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c r="AD192" s="16"/>
    </row>
    <row r="193" spans="1:30" ht="15.75" customHeight="1">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c r="AA193" s="16"/>
      <c r="AB193" s="16"/>
      <c r="AC193" s="16"/>
      <c r="AD193" s="16"/>
    </row>
    <row r="194" spans="1:30" ht="15.75" customHeight="1">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c r="AA194" s="16"/>
      <c r="AB194" s="16"/>
      <c r="AC194" s="16"/>
      <c r="AD194" s="16"/>
    </row>
    <row r="195" spans="1:30" ht="15.75" customHeight="1">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c r="AA195" s="16"/>
      <c r="AB195" s="16"/>
      <c r="AC195" s="16"/>
      <c r="AD195" s="16"/>
    </row>
    <row r="196" spans="1:30" ht="15.75" customHeight="1">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c r="AA196" s="16"/>
      <c r="AB196" s="16"/>
      <c r="AC196" s="16"/>
      <c r="AD196" s="16"/>
    </row>
    <row r="197" spans="1:30" ht="15.75" customHeight="1">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c r="AD197" s="16"/>
    </row>
    <row r="198" spans="1:30" ht="15.75" customHeight="1">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c r="AD198" s="16"/>
    </row>
    <row r="199" spans="1:30" ht="15.75" customHeight="1">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c r="AA199" s="16"/>
      <c r="AB199" s="16"/>
      <c r="AC199" s="16"/>
      <c r="AD199" s="16"/>
    </row>
    <row r="200" spans="1:30" ht="15.75" customHeight="1">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c r="AA200" s="16"/>
      <c r="AB200" s="16"/>
      <c r="AC200" s="16"/>
      <c r="AD200" s="16"/>
    </row>
    <row r="201" spans="1:30" ht="15.75" customHeight="1">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c r="AD201" s="16"/>
    </row>
    <row r="202" spans="1:30" ht="15.75" customHeight="1">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c r="AD202" s="16"/>
    </row>
    <row r="203" spans="1:30" ht="15.75" customHeight="1">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c r="AA203" s="16"/>
      <c r="AB203" s="16"/>
      <c r="AC203" s="16"/>
      <c r="AD203" s="16"/>
    </row>
    <row r="204" spans="1:30" ht="15.75" customHeight="1">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c r="AA204" s="16"/>
      <c r="AB204" s="16"/>
      <c r="AC204" s="16"/>
      <c r="AD204" s="16"/>
    </row>
    <row r="205" spans="1:30" ht="15.75" customHeight="1">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c r="AD205" s="16"/>
    </row>
    <row r="206" spans="1:30" ht="15.75" customHeight="1">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row>
    <row r="207" spans="1:30" ht="15.75" customHeight="1">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c r="AD207" s="16"/>
    </row>
    <row r="208" spans="1:30" ht="15.75" customHeight="1">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c r="AD208" s="16"/>
    </row>
    <row r="209" spans="1:30" ht="15.75" customHeight="1">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c r="AD209" s="16"/>
    </row>
    <row r="210" spans="1:30" ht="15.75" customHeight="1">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c r="AD210" s="16"/>
    </row>
    <row r="211" spans="1:30" ht="15.75" customHeight="1">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row>
    <row r="212" spans="1:30" ht="15.75" customHeight="1">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c r="AD212" s="16"/>
    </row>
    <row r="213" spans="1:30" ht="15.75" customHeight="1">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c r="AD213" s="16"/>
    </row>
    <row r="214" spans="1:30" ht="15.75" customHeight="1">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row>
    <row r="215" spans="1:30" ht="15.75" customHeight="1">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c r="AD215" s="16"/>
    </row>
    <row r="216" spans="1:30" ht="15.75" customHeight="1">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c r="AD216" s="16"/>
    </row>
    <row r="217" spans="1:30" ht="15.75" customHeight="1">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c r="AD217" s="16"/>
    </row>
    <row r="218" spans="1:30" ht="15.75" customHeight="1">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c r="AD218" s="16"/>
    </row>
    <row r="219" spans="1:30" ht="15.75" customHeight="1">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c r="AD219" s="16"/>
    </row>
    <row r="220" spans="1:30" ht="15.75" customHeight="1">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c r="AD220" s="16"/>
    </row>
    <row r="221" spans="1:30" ht="15.75" customHeight="1">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row>
    <row r="222" spans="1:30" ht="15.75" customHeight="1">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row>
    <row r="223" spans="1:30" ht="15.75" customHeight="1">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c r="AD223" s="16"/>
    </row>
    <row r="224" spans="1:30" ht="15.75" customHeight="1">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c r="AD224" s="16"/>
    </row>
    <row r="225" spans="1:30" ht="15.75" customHeight="1">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16"/>
    </row>
    <row r="226" spans="1:30" ht="15.75" customHeight="1">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row>
    <row r="227" spans="1:30" ht="15.75" customHeight="1">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16"/>
    </row>
    <row r="228" spans="1:30" ht="15.75" customHeight="1">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c r="AD228" s="16"/>
    </row>
    <row r="229" spans="1:30" ht="15.75" customHeight="1">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c r="AD229" s="16"/>
    </row>
    <row r="230" spans="1:30" ht="15.75" customHeight="1">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row>
    <row r="231" spans="1:30" ht="15.75" customHeight="1">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c r="AD231" s="16"/>
    </row>
    <row r="232" spans="1:30" ht="15.75" customHeight="1">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c r="AD232" s="16"/>
    </row>
    <row r="233" spans="1:30" ht="15.75" customHeight="1">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c r="AD233" s="16"/>
    </row>
    <row r="234" spans="1:30" ht="15.75" customHeight="1">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c r="AD234" s="16"/>
    </row>
    <row r="235" spans="1:30" ht="15.75" customHeight="1">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row>
    <row r="236" spans="1:30" ht="15.75" customHeight="1">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c r="AD236" s="16"/>
    </row>
    <row r="237" spans="1:30" ht="15.75" customHeight="1">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c r="AD237" s="16"/>
    </row>
    <row r="238" spans="1:30" ht="15.75" customHeight="1">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c r="AD238" s="16"/>
    </row>
    <row r="239" spans="1:30" ht="15.75" customHeight="1">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c r="AD239" s="16"/>
    </row>
    <row r="240" spans="1:30" ht="15.75" customHeight="1">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c r="AD240" s="16"/>
    </row>
    <row r="241" spans="1:30" ht="15.75" customHeight="1">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c r="AD241" s="16"/>
    </row>
    <row r="242" spans="1:30" ht="15.75" customHeight="1">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c r="AD242" s="16"/>
    </row>
    <row r="243" spans="1:30" ht="15.75" customHeight="1">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c r="AD243" s="16"/>
    </row>
    <row r="244" spans="1:30" ht="15.75" customHeight="1">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16"/>
    </row>
    <row r="245" spans="1:30" ht="15.75" customHeight="1">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c r="AD245" s="16"/>
    </row>
    <row r="246" spans="1:30" ht="15.75" customHeight="1">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row>
    <row r="247" spans="1:30" ht="15.75" customHeight="1">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c r="AD247" s="16"/>
    </row>
    <row r="248" spans="1:30" ht="15.75" customHeight="1">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row>
    <row r="249" spans="1:30" ht="15.75" customHeight="1">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row>
    <row r="250" spans="1:30" ht="15.75" customHeight="1">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c r="AD250" s="16"/>
    </row>
    <row r="251" spans="1:30" ht="15.75" customHeight="1">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row>
    <row r="252" spans="1:30" ht="15.75" customHeight="1">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16"/>
    </row>
    <row r="253" spans="1:30" ht="15.75" customHeight="1">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c r="AD253" s="16"/>
    </row>
    <row r="254" spans="1:30" ht="15.75" customHeight="1">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row>
    <row r="255" spans="1:30" ht="15.75" customHeight="1">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c r="AD255" s="16"/>
    </row>
    <row r="256" spans="1:30" ht="15.75" customHeight="1">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row>
    <row r="257" spans="1:30" ht="15.75" customHeight="1">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c r="AD257" s="16"/>
    </row>
    <row r="258" spans="1:30" ht="15.75" customHeight="1">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c r="AD258" s="16"/>
    </row>
    <row r="259" spans="1:30" ht="15.75" customHeight="1">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row>
    <row r="260" spans="1:30" ht="15.75" customHeight="1">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row>
    <row r="261" spans="1:30" ht="15.75" customHeight="1">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c r="AD261" s="16"/>
    </row>
    <row r="262" spans="1:30" ht="15.75" customHeight="1">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row>
    <row r="263" spans="1:30" ht="15.75" customHeight="1">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row>
    <row r="264" spans="1:30" ht="15.75" customHeight="1">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c r="AD264" s="16"/>
    </row>
    <row r="265" spans="1:30" ht="15.75" customHeight="1">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row>
    <row r="266" spans="1:30" ht="15.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row>
    <row r="267" spans="1:30" ht="15.75" customHeight="1">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row>
    <row r="268" spans="1:30" ht="15.75" customHeight="1">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c r="AD268" s="16"/>
    </row>
    <row r="269" spans="1:30" ht="15.75" customHeight="1">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row>
    <row r="270" spans="1:30" ht="15.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row>
    <row r="271" spans="1:30" ht="15.75" customHeight="1">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c r="AD271" s="16"/>
    </row>
    <row r="272" spans="1:30" ht="15.75" customHeight="1">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c r="AD272" s="16"/>
    </row>
    <row r="273" spans="1:30" ht="15.75" customHeight="1">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c r="AD273" s="16"/>
    </row>
    <row r="274" spans="1:30" ht="15.75" customHeight="1">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c r="AD274" s="16"/>
    </row>
    <row r="275" spans="1:30" ht="15.75" customHeight="1">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c r="AD275" s="16"/>
    </row>
    <row r="276" spans="1:30" ht="15.75" customHeight="1">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row>
    <row r="277" spans="1:30" ht="15.75" customHeight="1">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16"/>
    </row>
    <row r="278" spans="1:30" ht="15.75" customHeight="1">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row>
    <row r="279" spans="1:30" ht="15.75" customHeight="1">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16"/>
    </row>
    <row r="280" spans="1:30" ht="15.75" customHeight="1">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c r="AD280" s="16"/>
    </row>
    <row r="281" spans="1:30" ht="15.75" customHeight="1">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c r="AD281" s="16"/>
    </row>
    <row r="282" spans="1:30" ht="15.75" customHeight="1">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c r="AD282" s="16"/>
    </row>
    <row r="283" spans="1:30" ht="15.75" customHeight="1">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c r="AD283" s="16"/>
    </row>
    <row r="284" spans="1:30" ht="15.75" customHeight="1">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c r="AD284" s="16"/>
    </row>
    <row r="285" spans="1:30" ht="15.75" customHeight="1">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c r="AD285" s="16"/>
    </row>
    <row r="286" spans="1:30" ht="15.75" customHeight="1">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row>
    <row r="287" spans="1:30" ht="15.75" customHeight="1">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row>
    <row r="288" spans="1:30" ht="15.75" customHeight="1">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row>
    <row r="289" spans="1:30" ht="15.75" customHeight="1">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row>
    <row r="290" spans="1:30" ht="15.75" customHeight="1">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row>
    <row r="291" spans="1:30" ht="15.75" customHeight="1">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c r="AD291" s="16"/>
    </row>
    <row r="292" spans="1:30" ht="15.75" customHeight="1">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row>
    <row r="293" spans="1:30" ht="15.75" customHeight="1">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row>
    <row r="294" spans="1:30" ht="15.75" customHeight="1">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row>
    <row r="295" spans="1:30" ht="15.75" customHeight="1">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row>
    <row r="296" spans="1:30" ht="15.75" customHeight="1">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row>
    <row r="297" spans="1:30" ht="15.75" customHeight="1">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row>
    <row r="298" spans="1:30" ht="15.75" customHeight="1">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row>
    <row r="299" spans="1:30" ht="15.75" customHeight="1">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row>
    <row r="300" spans="1:30" ht="15.75" customHeight="1">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row>
    <row r="301" spans="1:30" ht="15.75" customHeight="1">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c r="AD301" s="16"/>
    </row>
    <row r="302" spans="1:30" ht="15.75" customHeight="1">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c r="AD302" s="16"/>
    </row>
    <row r="303" spans="1:30" ht="15.75" customHeight="1">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row>
    <row r="304" spans="1:30" ht="15.75" customHeight="1">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c r="AD304" s="16"/>
    </row>
    <row r="305" spans="1:30" ht="15.75" customHeight="1">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c r="AD305" s="16"/>
    </row>
    <row r="306" spans="1:30" ht="15.75" customHeight="1">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c r="AA306" s="16"/>
      <c r="AB306" s="16"/>
      <c r="AC306" s="16"/>
      <c r="AD306" s="16"/>
    </row>
    <row r="307" spans="1:30" ht="15.75" customHeight="1">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c r="AA307" s="16"/>
      <c r="AB307" s="16"/>
      <c r="AC307" s="16"/>
      <c r="AD307" s="16"/>
    </row>
    <row r="308" spans="1:30" ht="15.75" customHeight="1">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c r="AA308" s="16"/>
      <c r="AB308" s="16"/>
      <c r="AC308" s="16"/>
      <c r="AD308" s="16"/>
    </row>
    <row r="309" spans="1:30" ht="15.75" customHeight="1">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c r="AA309" s="16"/>
      <c r="AB309" s="16"/>
      <c r="AC309" s="16"/>
      <c r="AD309" s="16"/>
    </row>
    <row r="310" spans="1:30" ht="15.75" customHeight="1">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c r="AA310" s="16"/>
      <c r="AB310" s="16"/>
      <c r="AC310" s="16"/>
      <c r="AD310" s="16"/>
    </row>
    <row r="311" spans="1:30" ht="15.75" customHeight="1">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c r="AA311" s="16"/>
      <c r="AB311" s="16"/>
      <c r="AC311" s="16"/>
      <c r="AD311" s="16"/>
    </row>
    <row r="312" spans="1:30" ht="15.75" customHeight="1">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c r="AA312" s="16"/>
      <c r="AB312" s="16"/>
      <c r="AC312" s="16"/>
      <c r="AD312" s="16"/>
    </row>
    <row r="313" spans="1:30" ht="15.75" customHeight="1">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c r="AA313" s="16"/>
      <c r="AB313" s="16"/>
      <c r="AC313" s="16"/>
      <c r="AD313" s="16"/>
    </row>
    <row r="314" spans="1:30" ht="15.75" customHeight="1">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c r="AA314" s="16"/>
      <c r="AB314" s="16"/>
      <c r="AC314" s="16"/>
      <c r="AD314" s="16"/>
    </row>
    <row r="315" spans="1:30" ht="15.75" customHeight="1">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c r="AA315" s="16"/>
      <c r="AB315" s="16"/>
      <c r="AC315" s="16"/>
      <c r="AD315" s="16"/>
    </row>
    <row r="316" spans="1:30" ht="15.75" customHeight="1">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c r="AA316" s="16"/>
      <c r="AB316" s="16"/>
      <c r="AC316" s="16"/>
      <c r="AD316" s="16"/>
    </row>
    <row r="317" spans="1:30" ht="15.75" customHeight="1">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c r="AA317" s="16"/>
      <c r="AB317" s="16"/>
      <c r="AC317" s="16"/>
      <c r="AD317" s="16"/>
    </row>
    <row r="318" spans="1:30" ht="15.75" customHeight="1"/>
    <row r="319" spans="1:30" ht="15.75" customHeight="1"/>
    <row r="320" spans="1:3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sheetData>
  <mergeCells count="99">
    <mergeCell ref="H38:J54"/>
    <mergeCell ref="A29:F29"/>
    <mergeCell ref="A1:C1"/>
    <mergeCell ref="E1:H1"/>
    <mergeCell ref="D7:I7"/>
    <mergeCell ref="D8:I8"/>
    <mergeCell ref="A28:F28"/>
    <mergeCell ref="A30:F30"/>
    <mergeCell ref="A31:F31"/>
    <mergeCell ref="A32:F32"/>
    <mergeCell ref="A34:F34"/>
    <mergeCell ref="H37:J37"/>
    <mergeCell ref="I57:K57"/>
    <mergeCell ref="I58:K62"/>
    <mergeCell ref="K66:M66"/>
    <mergeCell ref="K67:M79"/>
    <mergeCell ref="K82:O82"/>
    <mergeCell ref="K83:O99"/>
    <mergeCell ref="P83:Q99"/>
    <mergeCell ref="H103:I103"/>
    <mergeCell ref="J103:K103"/>
    <mergeCell ref="H104:I117"/>
    <mergeCell ref="J104:K117"/>
    <mergeCell ref="AG29:AH29"/>
    <mergeCell ref="AI29:AJ29"/>
    <mergeCell ref="AG30:AH40"/>
    <mergeCell ref="AI30:AJ40"/>
    <mergeCell ref="P127:R127"/>
    <mergeCell ref="P82:Q82"/>
    <mergeCell ref="P128:R128"/>
    <mergeCell ref="P129:R129"/>
    <mergeCell ref="P130:R130"/>
    <mergeCell ref="P131:R131"/>
    <mergeCell ref="P132:R132"/>
    <mergeCell ref="M147:O147"/>
    <mergeCell ref="P133:R133"/>
    <mergeCell ref="M135:O135"/>
    <mergeCell ref="P135:T135"/>
    <mergeCell ref="M136:O136"/>
    <mergeCell ref="P136:T147"/>
    <mergeCell ref="M137:O137"/>
    <mergeCell ref="M138:O138"/>
    <mergeCell ref="M139:O139"/>
    <mergeCell ref="M140:O140"/>
    <mergeCell ref="M141:O141"/>
    <mergeCell ref="M142:O142"/>
    <mergeCell ref="M143:O143"/>
    <mergeCell ref="M144:O144"/>
    <mergeCell ref="M145:O145"/>
    <mergeCell ref="M146:O146"/>
    <mergeCell ref="M163:O163"/>
    <mergeCell ref="M150:O150"/>
    <mergeCell ref="P150:T150"/>
    <mergeCell ref="M151:O151"/>
    <mergeCell ref="P151:T164"/>
    <mergeCell ref="M152:O152"/>
    <mergeCell ref="M153:O153"/>
    <mergeCell ref="M154:O154"/>
    <mergeCell ref="M155:O155"/>
    <mergeCell ref="M156:O156"/>
    <mergeCell ref="M157:O157"/>
    <mergeCell ref="M158:O158"/>
    <mergeCell ref="M159:O159"/>
    <mergeCell ref="M160:O160"/>
    <mergeCell ref="M161:O161"/>
    <mergeCell ref="M162:O162"/>
    <mergeCell ref="P167:T167"/>
    <mergeCell ref="B168:C168"/>
    <mergeCell ref="M168:O168"/>
    <mergeCell ref="P168:T181"/>
    <mergeCell ref="B169:C169"/>
    <mergeCell ref="M169:O169"/>
    <mergeCell ref="B170:C170"/>
    <mergeCell ref="B173:C173"/>
    <mergeCell ref="M173:O173"/>
    <mergeCell ref="B172:C172"/>
    <mergeCell ref="M172:O172"/>
    <mergeCell ref="B174:C174"/>
    <mergeCell ref="M174:O174"/>
    <mergeCell ref="B175:C175"/>
    <mergeCell ref="M175:O175"/>
    <mergeCell ref="B176:C176"/>
    <mergeCell ref="M164:O164"/>
    <mergeCell ref="B167:C167"/>
    <mergeCell ref="M167:O167"/>
    <mergeCell ref="M170:O170"/>
    <mergeCell ref="B171:C171"/>
    <mergeCell ref="M171:O171"/>
    <mergeCell ref="M176:O176"/>
    <mergeCell ref="B180:C180"/>
    <mergeCell ref="M180:O180"/>
    <mergeCell ref="B181:C181"/>
    <mergeCell ref="M181:O181"/>
    <mergeCell ref="B177:C177"/>
    <mergeCell ref="M177:O177"/>
    <mergeCell ref="B178:C178"/>
    <mergeCell ref="M178:O178"/>
    <mergeCell ref="B179:C179"/>
    <mergeCell ref="M179:O179"/>
  </mergeCells>
  <phoneticPr fontId="31" type="noConversion"/>
  <conditionalFormatting sqref="I67:I78">
    <cfRule type="containsText" dxfId="196" priority="1" operator="containsText" text="5">
      <formula>NOT(ISERROR(SEARCH(("5"),(I67))))</formula>
    </cfRule>
    <cfRule type="containsText" dxfId="195" priority="2" operator="containsText" text="42">
      <formula>NOT(ISERROR(SEARCH(("42"),(I67))))</formula>
    </cfRule>
    <cfRule type="containsText" dxfId="194" priority="3" operator="containsText" text="Please fill in">
      <formula>NOT(ISERROR(SEARCH(("Please fill in"),(I67))))</formula>
    </cfRule>
  </conditionalFormatting>
  <dataValidations count="4">
    <dataValidation type="list" allowBlank="1" showErrorMessage="1" sqref="H67:H79 D60:D62" xr:uid="{97FC99A7-CFE8-4175-8924-5FD7613FFCD2}">
      <formula1>Tartaros!TypesOfTrainers</formula1>
    </dataValidation>
    <dataValidation type="list" allowBlank="1" showErrorMessage="1" sqref="B9" xr:uid="{13077D18-37CC-4A0B-9696-4E8BF4F60147}">
      <formula1>"yes,no,partial"</formula1>
    </dataValidation>
    <dataValidation type="list" allowBlank="1" sqref="G58:G62" xr:uid="{BF6F4511-B85E-4BA3-82B7-BF76E40C8DBD}">
      <formula1>"yes,no"</formula1>
    </dataValidation>
    <dataValidation type="list" allowBlank="1" showErrorMessage="1" sqref="D59" xr:uid="{4E520FBF-95C5-4959-BB04-DF4AD84F03FC}">
      <formula1>'https://universiteittwente.sharepoint.com/sites/SportsCoordinatorsSUT/Gedeelde documenten/General/(WIP) FAM Sheets - Regulations 2025-28 - Version April 2025.xlsx'!TypesOfTrainers</formula1>
    </dataValidation>
  </dataValidations>
  <pageMargins left="0.7" right="0.7" top="0.75" bottom="0.75" header="0" footer="0"/>
  <pageSetup paperSize="9" orientation="portrait"/>
  <drawing r:id="rId1"/>
  <legacyDrawing r:id="rId2"/>
  <tableParts count="6">
    <tablePart r:id="rId3"/>
    <tablePart r:id="rId4"/>
    <tablePart r:id="rId5"/>
    <tablePart r:id="rId6"/>
    <tablePart r:id="rId7"/>
    <tablePart r:id="rId8"/>
  </tableParts>
  <extLst>
    <ext xmlns:x14="http://schemas.microsoft.com/office/spreadsheetml/2009/9/main" uri="{CCE6A557-97BC-4b89-ADB6-D9C93CAAB3DF}">
      <x14:dataValidations xmlns:xm="http://schemas.microsoft.com/office/excel/2006/main" count="4">
        <x14:dataValidation type="list" allowBlank="1" showInputMessage="1" showErrorMessage="1" xr:uid="{DF4F69B2-04CD-4995-A6D8-5CE74D3C5CBC}">
          <x14:formula1>
            <xm:f>Constants!$M$6:$M$7</xm:f>
          </x14:formula1>
          <xm:sqref>B104:B119</xm:sqref>
        </x14:dataValidation>
        <x14:dataValidation type="list" allowBlank="1" showInputMessage="1" showErrorMessage="1" xr:uid="{F3244DC6-A5A5-43C1-9055-D8655B17E0AB}">
          <x14:formula1>
            <xm:f>Constants!$C$55:$C$56</xm:f>
          </x14:formula1>
          <xm:sqref>B12</xm:sqref>
        </x14:dataValidation>
        <x14:dataValidation type="list" allowBlank="1" showErrorMessage="1" xr:uid="{2B26F656-59A4-4514-8128-6F7F0A50E788}">
          <x14:formula1>
            <xm:f>Constants!$H$6:$H$13</xm:f>
          </x14:formula1>
          <xm:sqref>B67:B79</xm:sqref>
        </x14:dataValidation>
        <x14:dataValidation type="list" allowBlank="1" showErrorMessage="1" xr:uid="{0E3F42FD-73DE-484C-861F-4DDC5F67747A}">
          <x14:formula1>
            <xm:f>Constants!$A$2:$AD$2</xm:f>
          </x14:formula1>
          <xm:sqref>B83:B99</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3236C-4174-4A22-AE25-8D00DBFBD9EC}">
  <dimension ref="A1:BG1003"/>
  <sheetViews>
    <sheetView topLeftCell="W18" workbookViewId="0">
      <selection activeCell="AF30" sqref="AF30"/>
    </sheetView>
  </sheetViews>
  <sheetFormatPr defaultColWidth="12.625" defaultRowHeight="15" customHeight="1"/>
  <cols>
    <col min="1" max="1" width="36.625" customWidth="1"/>
    <col min="2" max="2" width="28.125" customWidth="1"/>
    <col min="3" max="3" width="21" customWidth="1"/>
    <col min="4" max="4" width="17.5" customWidth="1"/>
    <col min="5" max="5" width="16.125" customWidth="1"/>
    <col min="6" max="6" width="21.5" customWidth="1"/>
    <col min="7" max="7" width="22.625" customWidth="1"/>
    <col min="8" max="8" width="18.625" customWidth="1"/>
    <col min="9" max="9" width="19.625" customWidth="1"/>
    <col min="10" max="10" width="18.875" customWidth="1"/>
    <col min="11" max="11" width="21.625" customWidth="1"/>
    <col min="12" max="12" width="17.375" customWidth="1"/>
    <col min="13" max="13" width="15.125" customWidth="1"/>
    <col min="14" max="14" width="15.625" customWidth="1"/>
    <col min="15" max="15" width="28.5" customWidth="1"/>
    <col min="16" max="16" width="13.125" customWidth="1"/>
    <col min="17" max="17" width="21.875" customWidth="1"/>
    <col min="18" max="18" width="27" customWidth="1"/>
    <col min="19" max="19" width="20.5" customWidth="1"/>
    <col min="20" max="22" width="7.625" customWidth="1"/>
    <col min="23" max="23" width="31.875" customWidth="1"/>
    <col min="24" max="24" width="7.625" customWidth="1"/>
    <col min="25" max="25" width="8.375" customWidth="1"/>
    <col min="26" max="26" width="21.625" customWidth="1"/>
    <col min="27" max="27" width="12" customWidth="1"/>
    <col min="28" max="28" width="16.5" customWidth="1"/>
    <col min="29" max="29" width="6" customWidth="1"/>
    <col min="30" max="30" width="13.625" customWidth="1"/>
  </cols>
  <sheetData>
    <row r="1" spans="1:59" ht="171" customHeight="1">
      <c r="A1" s="703"/>
      <c r="B1" s="704"/>
      <c r="C1" s="705"/>
      <c r="D1" s="16"/>
      <c r="E1" s="572" t="s">
        <v>1735</v>
      </c>
      <c r="F1" s="704"/>
      <c r="G1" s="704"/>
      <c r="H1" s="705"/>
      <c r="I1" s="16"/>
      <c r="J1" s="16"/>
      <c r="K1" s="16"/>
      <c r="L1" s="16"/>
      <c r="M1" s="16"/>
      <c r="N1" s="16"/>
      <c r="O1" s="16"/>
      <c r="P1" s="16"/>
      <c r="Q1" s="16"/>
      <c r="R1" s="16"/>
      <c r="S1" s="16"/>
      <c r="T1" s="16"/>
      <c r="U1" s="16"/>
      <c r="V1" s="16"/>
      <c r="W1" s="16"/>
      <c r="X1" s="16"/>
      <c r="Y1" s="16"/>
      <c r="Z1" s="16"/>
      <c r="AA1" s="16"/>
      <c r="AB1" s="16"/>
      <c r="AC1" s="16"/>
      <c r="AD1" s="16"/>
    </row>
    <row r="2" spans="1:59">
      <c r="A2" s="58" t="s">
        <v>404</v>
      </c>
      <c r="B2" s="152" t="s">
        <v>175</v>
      </c>
      <c r="C2" s="59"/>
      <c r="D2" s="16"/>
      <c r="E2" s="60" t="s">
        <v>406</v>
      </c>
      <c r="F2" s="153"/>
      <c r="G2" s="154"/>
      <c r="H2" s="61"/>
      <c r="I2" s="16"/>
      <c r="J2" s="16"/>
      <c r="K2" s="16"/>
      <c r="L2" s="16"/>
      <c r="M2" s="16"/>
      <c r="N2" s="16"/>
      <c r="O2" s="16"/>
      <c r="P2" s="16"/>
      <c r="Q2" s="16"/>
      <c r="R2" s="16"/>
      <c r="S2" s="16"/>
      <c r="T2" s="16"/>
      <c r="U2" s="16"/>
      <c r="V2" s="16"/>
      <c r="W2" s="16"/>
      <c r="X2" s="16"/>
      <c r="Y2" s="16"/>
      <c r="Z2" s="15"/>
      <c r="AA2" s="15"/>
      <c r="AB2" s="15"/>
      <c r="AC2" s="15"/>
      <c r="AD2" s="16"/>
      <c r="AE2" s="16"/>
      <c r="AF2" s="16"/>
      <c r="AG2" s="16"/>
      <c r="AH2" s="16"/>
      <c r="AI2" s="17"/>
      <c r="AJ2" s="17"/>
      <c r="AK2" s="17"/>
      <c r="AL2" s="17"/>
      <c r="AM2" s="17"/>
      <c r="AN2" s="17"/>
      <c r="AO2" s="17"/>
      <c r="AP2" s="17"/>
      <c r="AQ2" s="17"/>
      <c r="AR2" s="18"/>
      <c r="AS2" s="17"/>
      <c r="AT2" s="17"/>
      <c r="AU2" s="16"/>
      <c r="AV2" s="16"/>
      <c r="AW2" s="16"/>
      <c r="AX2" s="16"/>
      <c r="AY2" s="16"/>
      <c r="AZ2" s="16"/>
      <c r="BA2" s="16"/>
    </row>
    <row r="3" spans="1:59">
      <c r="A3" s="62" t="s">
        <v>408</v>
      </c>
      <c r="B3" s="155">
        <v>3</v>
      </c>
      <c r="C3" s="156"/>
      <c r="D3" s="16"/>
      <c r="E3" s="63" t="s">
        <v>409</v>
      </c>
      <c r="F3" s="157"/>
      <c r="G3" s="158"/>
      <c r="H3" s="159"/>
      <c r="I3" s="16"/>
      <c r="J3" s="16"/>
      <c r="K3" s="16"/>
      <c r="L3" s="16"/>
      <c r="M3" s="16"/>
      <c r="N3" s="16"/>
      <c r="O3" s="16"/>
      <c r="P3" s="16"/>
      <c r="Q3" s="16"/>
      <c r="R3" s="16"/>
      <c r="S3" s="16"/>
      <c r="T3" s="16"/>
      <c r="U3" s="16"/>
      <c r="V3" s="16"/>
      <c r="W3" s="16"/>
      <c r="X3" s="16"/>
      <c r="Y3" s="16"/>
      <c r="Z3" s="16"/>
      <c r="AA3" s="16"/>
      <c r="AB3" s="16"/>
      <c r="AC3" s="16"/>
      <c r="AD3" s="16"/>
    </row>
    <row r="4" spans="1:59">
      <c r="A4" s="160" t="s">
        <v>410</v>
      </c>
      <c r="B4" s="161">
        <v>45812</v>
      </c>
      <c r="C4" s="162"/>
      <c r="D4" s="16"/>
      <c r="E4" s="163"/>
      <c r="F4" s="164"/>
      <c r="G4" s="165"/>
      <c r="H4" s="166"/>
      <c r="I4" s="16"/>
      <c r="J4" s="16"/>
      <c r="K4" s="16"/>
      <c r="L4" s="16"/>
      <c r="M4" s="16"/>
      <c r="N4" s="16"/>
      <c r="O4" s="16"/>
      <c r="P4" s="16"/>
      <c r="Q4" s="16"/>
      <c r="R4" s="16"/>
      <c r="S4" s="16"/>
      <c r="T4" s="16"/>
      <c r="U4" s="16"/>
      <c r="V4" s="16"/>
      <c r="W4" s="16"/>
      <c r="X4" s="16"/>
      <c r="Y4" s="16"/>
      <c r="Z4" s="16"/>
      <c r="AA4" s="16"/>
      <c r="AB4" s="16"/>
      <c r="AC4" s="16"/>
      <c r="AD4" s="16"/>
    </row>
    <row r="5" spans="1:59">
      <c r="A5" s="167" t="s">
        <v>411</v>
      </c>
      <c r="B5" s="168"/>
      <c r="C5" s="167"/>
      <c r="D5" s="16"/>
      <c r="E5" s="169" t="s">
        <v>412</v>
      </c>
      <c r="F5" s="169"/>
      <c r="G5" s="158"/>
      <c r="H5" s="169"/>
      <c r="I5" s="16"/>
      <c r="J5" s="16"/>
      <c r="K5" s="16"/>
      <c r="L5" s="16"/>
      <c r="M5" s="16"/>
      <c r="N5" s="16"/>
      <c r="O5" s="16"/>
      <c r="P5" s="16"/>
      <c r="Q5" s="16"/>
      <c r="R5" s="16"/>
      <c r="S5" s="16"/>
      <c r="T5" s="16"/>
      <c r="U5" s="16"/>
      <c r="V5" s="16"/>
      <c r="W5" s="16"/>
      <c r="X5" s="16"/>
      <c r="Y5" s="16"/>
      <c r="Z5" s="16"/>
      <c r="AA5" s="16"/>
      <c r="AB5" s="16"/>
      <c r="AC5" s="16"/>
      <c r="AD5" s="16"/>
    </row>
    <row r="6" spans="1:59">
      <c r="A6" s="15"/>
      <c r="B6" s="64"/>
      <c r="C6" s="16"/>
      <c r="D6" s="16"/>
      <c r="E6" s="16"/>
      <c r="F6" s="16"/>
      <c r="G6" s="16"/>
      <c r="H6" s="16"/>
      <c r="I6" s="16"/>
      <c r="J6" s="64"/>
      <c r="K6" s="16"/>
      <c r="L6" s="16"/>
      <c r="M6" s="16"/>
      <c r="N6" s="16"/>
      <c r="O6" s="16"/>
      <c r="P6" s="16"/>
      <c r="Q6" s="16"/>
      <c r="R6" s="16"/>
      <c r="S6" s="16"/>
      <c r="T6" s="16"/>
      <c r="U6" s="16"/>
      <c r="V6" s="16"/>
      <c r="W6" s="16"/>
      <c r="X6" s="16"/>
      <c r="Y6" s="16"/>
      <c r="Z6" s="16"/>
      <c r="AA6" s="16"/>
      <c r="AB6" s="16"/>
      <c r="AC6" s="16"/>
      <c r="AD6" s="16"/>
    </row>
    <row r="7" spans="1:59">
      <c r="A7" s="170" t="s">
        <v>413</v>
      </c>
      <c r="B7" s="59">
        <v>27</v>
      </c>
      <c r="C7" s="16"/>
      <c r="D7" s="573" t="s">
        <v>414</v>
      </c>
      <c r="E7" s="701"/>
      <c r="F7" s="701"/>
      <c r="G7" s="701"/>
      <c r="H7" s="701"/>
      <c r="I7" s="701"/>
      <c r="J7" s="16"/>
      <c r="K7" s="16"/>
      <c r="L7" s="16"/>
      <c r="M7" s="16"/>
      <c r="N7" s="16"/>
      <c r="O7" s="16"/>
      <c r="P7" s="16"/>
      <c r="Q7" s="16"/>
      <c r="R7" s="16"/>
      <c r="S7" s="16"/>
      <c r="T7" s="16"/>
      <c r="U7" s="16"/>
      <c r="V7" s="16"/>
      <c r="W7" s="16"/>
      <c r="X7" s="16"/>
      <c r="Y7" s="16"/>
      <c r="Z7" s="16"/>
      <c r="AA7" s="16"/>
      <c r="AB7" s="16"/>
      <c r="AC7" s="16"/>
      <c r="AD7" s="16"/>
    </row>
    <row r="8" spans="1:59" ht="14.25" customHeight="1">
      <c r="A8" s="171" t="s">
        <v>415</v>
      </c>
      <c r="B8" s="172">
        <f ca="1">M21-M17</f>
        <v>2558.7179172211863</v>
      </c>
      <c r="C8" s="16" t="s">
        <v>416</v>
      </c>
      <c r="D8" s="574" t="s">
        <v>417</v>
      </c>
      <c r="E8" s="704"/>
      <c r="F8" s="704"/>
      <c r="G8" s="704"/>
      <c r="H8" s="704"/>
      <c r="I8" s="704"/>
      <c r="J8" s="16"/>
      <c r="K8" s="16"/>
      <c r="L8" s="16"/>
      <c r="M8" s="16"/>
      <c r="N8" s="16"/>
      <c r="O8" s="16"/>
      <c r="P8" s="16"/>
      <c r="Q8" s="16"/>
      <c r="R8" s="16"/>
      <c r="S8" s="16"/>
      <c r="T8" s="16"/>
      <c r="U8" s="16"/>
      <c r="V8" s="16"/>
      <c r="W8" s="16"/>
      <c r="X8" s="16"/>
      <c r="Y8" s="16"/>
      <c r="Z8" s="16"/>
      <c r="AA8" s="16"/>
      <c r="AB8" s="16"/>
      <c r="AC8" s="16"/>
    </row>
    <row r="9" spans="1:59">
      <c r="A9" s="65" t="s">
        <v>418</v>
      </c>
      <c r="B9" s="173" t="s">
        <v>419</v>
      </c>
      <c r="C9" s="16"/>
      <c r="D9" s="16"/>
      <c r="E9" s="17"/>
      <c r="F9" s="17"/>
      <c r="G9" s="17"/>
      <c r="H9" s="17"/>
      <c r="I9" s="17"/>
      <c r="J9" s="17"/>
      <c r="K9" s="17"/>
      <c r="L9" s="17"/>
      <c r="M9" s="17"/>
      <c r="N9" s="17"/>
      <c r="O9" s="17"/>
      <c r="P9" s="17"/>
      <c r="Q9" s="16"/>
      <c r="R9" s="17"/>
      <c r="S9" s="17"/>
      <c r="T9" s="17"/>
      <c r="U9" s="17"/>
      <c r="V9" s="17"/>
      <c r="W9" s="17"/>
      <c r="X9" s="17"/>
      <c r="Y9" s="17"/>
      <c r="Z9" s="17"/>
      <c r="AA9" s="17"/>
      <c r="AB9" s="17"/>
      <c r="AC9" s="17"/>
      <c r="AD9" s="18" t="s">
        <v>242</v>
      </c>
    </row>
    <row r="10" spans="1:59">
      <c r="A10" s="174" t="s">
        <v>420</v>
      </c>
      <c r="B10" s="66">
        <f>COUNTA(A38:A42)</f>
        <v>2</v>
      </c>
      <c r="C10" s="16"/>
      <c r="D10" s="16"/>
      <c r="E10" s="17"/>
      <c r="F10" s="17"/>
      <c r="G10" s="17"/>
      <c r="H10" s="17"/>
      <c r="I10" s="17"/>
      <c r="J10" s="17"/>
      <c r="K10" s="17"/>
      <c r="L10" s="17"/>
      <c r="M10" s="17"/>
      <c r="N10" s="17"/>
      <c r="O10" s="17"/>
      <c r="P10" s="17"/>
      <c r="Q10" s="16"/>
      <c r="R10" s="17"/>
      <c r="S10" s="17"/>
      <c r="T10" s="17"/>
      <c r="U10" s="17"/>
      <c r="V10" s="17"/>
      <c r="W10" s="17"/>
      <c r="X10" s="17"/>
      <c r="Y10" s="17"/>
      <c r="Z10" s="17"/>
      <c r="AA10" s="17"/>
      <c r="AB10" s="17"/>
      <c r="AC10" s="17"/>
      <c r="AD10" s="18"/>
    </row>
    <row r="11" spans="1:59">
      <c r="A11" s="171" t="s">
        <v>421</v>
      </c>
      <c r="B11" s="238">
        <f>SUM(B38:B42)</f>
        <v>35</v>
      </c>
      <c r="C11" s="16"/>
      <c r="D11" s="16"/>
      <c r="E11" s="17"/>
      <c r="F11" s="17"/>
      <c r="G11" s="17"/>
      <c r="H11" s="17"/>
      <c r="I11" s="17"/>
      <c r="J11" s="17"/>
      <c r="K11" s="17"/>
      <c r="L11" s="17"/>
      <c r="M11" s="17"/>
      <c r="N11" s="17"/>
      <c r="O11" s="17"/>
      <c r="P11" s="17"/>
      <c r="Q11" s="16"/>
      <c r="R11" s="17"/>
      <c r="S11" s="17"/>
      <c r="T11" s="17"/>
      <c r="U11" s="17"/>
      <c r="V11" s="17"/>
      <c r="W11" s="17"/>
      <c r="X11" s="17"/>
      <c r="Y11" s="17"/>
      <c r="Z11" s="17"/>
      <c r="AA11" s="17"/>
      <c r="AB11" s="17"/>
      <c r="AC11" s="17"/>
      <c r="AD11" s="18"/>
    </row>
    <row r="12" spans="1:59">
      <c r="A12" s="239" t="s">
        <v>422</v>
      </c>
      <c r="B12" s="240" t="s">
        <v>317</v>
      </c>
      <c r="C12" s="16"/>
      <c r="D12" s="16"/>
      <c r="E12" s="17"/>
      <c r="F12" s="17"/>
      <c r="G12" s="17"/>
      <c r="H12" s="17"/>
      <c r="I12" s="17"/>
      <c r="J12" s="17"/>
      <c r="K12" s="17"/>
      <c r="L12" s="17"/>
      <c r="M12" s="17"/>
      <c r="N12" s="17"/>
      <c r="O12" s="17"/>
      <c r="P12" s="17"/>
      <c r="Q12" s="16"/>
      <c r="R12" s="17"/>
      <c r="S12" s="17"/>
      <c r="T12" s="17"/>
      <c r="U12" s="17"/>
      <c r="V12" s="17"/>
      <c r="W12" s="17"/>
      <c r="X12" s="17"/>
      <c r="Y12" s="17"/>
      <c r="Z12" s="17"/>
      <c r="AA12" s="17"/>
      <c r="AB12" s="17"/>
      <c r="AC12" s="17"/>
      <c r="AD12" s="18"/>
    </row>
    <row r="13" spans="1:59">
      <c r="A13" s="16"/>
      <c r="B13" s="16"/>
      <c r="C13" s="16"/>
      <c r="D13" s="16"/>
      <c r="E13" s="17"/>
      <c r="F13" s="17"/>
      <c r="G13" s="17"/>
      <c r="H13" s="17"/>
      <c r="I13" s="17"/>
      <c r="J13" s="17"/>
      <c r="K13" s="17"/>
      <c r="L13" s="17"/>
      <c r="M13" s="17"/>
      <c r="N13" s="17"/>
      <c r="O13" s="17"/>
      <c r="P13" s="17"/>
      <c r="Q13" s="16"/>
      <c r="R13" s="17"/>
      <c r="S13" s="17"/>
      <c r="T13" s="17"/>
      <c r="U13" s="17"/>
      <c r="V13" s="17"/>
      <c r="W13" s="17"/>
      <c r="X13" s="17"/>
      <c r="Y13" s="17"/>
      <c r="Z13" s="17"/>
      <c r="AA13" s="17"/>
      <c r="AB13" s="17"/>
      <c r="AC13" s="17"/>
      <c r="AD13" s="17" t="str" cm="1">
        <f t="array" ref="AD13:BF14">Constants!A2:AC3</f>
        <v>SC1</v>
      </c>
      <c r="AE13" s="17" t="str">
        <v>SC1 - Half</v>
      </c>
      <c r="AF13" s="17" t="str">
        <v>SC2</v>
      </c>
      <c r="AG13" s="17" t="str">
        <v>SC2 - Half</v>
      </c>
      <c r="AH13" s="17" t="str">
        <v>SC3</v>
      </c>
      <c r="AI13" s="17" t="str">
        <v>SC4</v>
      </c>
      <c r="AJ13" s="17" t="str">
        <v>SC5</v>
      </c>
      <c r="AK13" s="17" t="str">
        <v>SC6</v>
      </c>
      <c r="AL13" s="17" t="str">
        <v>Dojo</v>
      </c>
      <c r="AM13" s="17" t="str">
        <v>Boulder Wall</v>
      </c>
      <c r="AN13" s="17" t="str">
        <v>Climbing Wall</v>
      </c>
      <c r="AO13" s="17" t="str">
        <v>Artificial Hockey field</v>
      </c>
      <c r="AP13" s="17" t="str">
        <v>Artificial Hockey field - Half</v>
      </c>
      <c r="AQ13" s="17" t="str">
        <v>Artificial Soccer field</v>
      </c>
      <c r="AR13" s="17" t="str">
        <v>Artificial Soccer field - Half</v>
      </c>
      <c r="AS13" s="17" t="str">
        <v>Basketball</v>
      </c>
      <c r="AT13" s="17" t="str">
        <v>Bastille field</v>
      </c>
      <c r="AU13" s="17" t="str">
        <v>Beach fields</v>
      </c>
      <c r="AV13" s="17" t="str">
        <v>Shooting range</v>
      </c>
      <c r="AW13" s="17" t="str">
        <v>Multi/Lacrosse field</v>
      </c>
      <c r="AX13" s="17" t="str">
        <v>Multi/Lacrosse field - Half</v>
      </c>
      <c r="AY13" s="17" t="str">
        <v>Bootcamp field</v>
      </c>
      <c r="AZ13" s="17" t="str">
        <v>Multi/Baseball field</v>
      </c>
      <c r="BA13" s="17" t="str">
        <v>Tennis court</v>
      </c>
      <c r="BB13" s="17" t="str">
        <v>Utrack</v>
      </c>
      <c r="BC13" s="22" t="str">
        <v>Verreveld</v>
      </c>
      <c r="BD13" s="22" t="str">
        <v>Wsc</v>
      </c>
      <c r="BE13" s="22" t="str">
        <v>Indoor pool</v>
      </c>
      <c r="BF13" s="22" t="str">
        <v>Outdoor pool</v>
      </c>
      <c r="BG13" s="22"/>
    </row>
    <row r="14" spans="1:59" ht="15.95" thickBot="1">
      <c r="A14" s="175" t="s">
        <v>423</v>
      </c>
      <c r="B14" s="16"/>
      <c r="C14" s="16"/>
      <c r="D14" s="16"/>
      <c r="E14" s="16"/>
      <c r="F14" s="16"/>
      <c r="G14" s="175" t="s">
        <v>424</v>
      </c>
      <c r="I14" s="17"/>
      <c r="J14" s="17"/>
      <c r="K14" s="176" t="s">
        <v>425</v>
      </c>
      <c r="L14" s="17"/>
      <c r="M14" s="176" t="s">
        <v>426</v>
      </c>
      <c r="N14" s="17"/>
      <c r="O14" s="17"/>
      <c r="P14" s="17"/>
      <c r="Q14" s="17"/>
      <c r="R14" s="17"/>
      <c r="S14" s="16"/>
      <c r="T14" s="17"/>
      <c r="U14" s="17"/>
      <c r="V14" s="17"/>
      <c r="W14" s="17"/>
      <c r="X14" s="17"/>
      <c r="Y14" s="17"/>
      <c r="Z14" s="17"/>
      <c r="AA14" s="17"/>
      <c r="AB14" s="17"/>
      <c r="AC14" s="17"/>
      <c r="AD14" s="19">
        <v>67.5</v>
      </c>
      <c r="AE14" s="19">
        <v>35</v>
      </c>
      <c r="AF14" s="19">
        <v>67.5</v>
      </c>
      <c r="AG14" s="19">
        <v>35</v>
      </c>
      <c r="AH14" s="19">
        <v>40</v>
      </c>
      <c r="AI14" s="19">
        <v>40</v>
      </c>
      <c r="AJ14" s="19">
        <v>35</v>
      </c>
      <c r="AK14" s="19">
        <v>35</v>
      </c>
      <c r="AL14" s="19">
        <v>40</v>
      </c>
      <c r="AM14" s="19">
        <v>27.5</v>
      </c>
      <c r="AN14" s="19">
        <v>45</v>
      </c>
      <c r="AO14" s="19">
        <v>75</v>
      </c>
      <c r="AP14" s="19">
        <v>40</v>
      </c>
      <c r="AQ14" s="19">
        <v>75</v>
      </c>
      <c r="AR14" s="19">
        <v>40</v>
      </c>
      <c r="AS14" s="19">
        <v>30</v>
      </c>
      <c r="AT14" s="19">
        <v>50</v>
      </c>
      <c r="AU14" s="19">
        <v>75</v>
      </c>
      <c r="AV14" s="19">
        <v>40</v>
      </c>
      <c r="AW14" s="19">
        <v>75</v>
      </c>
      <c r="AX14" s="19">
        <v>40</v>
      </c>
      <c r="AY14" s="19">
        <v>50</v>
      </c>
      <c r="AZ14" s="19">
        <v>65</v>
      </c>
      <c r="BA14" s="19">
        <v>35</v>
      </c>
      <c r="BB14" s="19">
        <v>45</v>
      </c>
      <c r="BC14" s="19">
        <v>50</v>
      </c>
      <c r="BD14" s="19">
        <v>0</v>
      </c>
      <c r="BE14" s="19">
        <v>65</v>
      </c>
      <c r="BF14" s="20">
        <v>70</v>
      </c>
      <c r="BG14" s="20"/>
    </row>
    <row r="15" spans="1:59" ht="15.95" thickTop="1">
      <c r="A15" s="67"/>
      <c r="B15" s="68" t="str">
        <f>Constants!H6</f>
        <v>Performance training</v>
      </c>
      <c r="C15" s="68" t="str">
        <f>Constants!H7</f>
        <v>Performance coaching</v>
      </c>
      <c r="D15" s="68" t="str">
        <f>Constants!H8</f>
        <v>Dangerous</v>
      </c>
      <c r="E15" s="69" t="str">
        <f>Constants!H9</f>
        <v>Recreational</v>
      </c>
      <c r="F15" s="69" t="s">
        <v>290</v>
      </c>
      <c r="G15" s="70"/>
      <c r="H15" s="71" t="s">
        <v>427</v>
      </c>
      <c r="I15" s="72" t="s">
        <v>272</v>
      </c>
      <c r="J15" s="70" t="s">
        <v>5</v>
      </c>
      <c r="K15" s="72" t="s">
        <v>428</v>
      </c>
      <c r="L15" s="70" t="s">
        <v>429</v>
      </c>
      <c r="M15" s="73">
        <v>666.66</v>
      </c>
      <c r="N15" s="17" t="s">
        <v>1736</v>
      </c>
      <c r="O15" s="17"/>
      <c r="P15" s="17"/>
      <c r="Q15" s="17"/>
      <c r="R15" s="16"/>
      <c r="S15" s="17"/>
      <c r="T15" s="17"/>
      <c r="U15" s="17"/>
      <c r="V15" s="17"/>
      <c r="W15" s="17"/>
      <c r="X15" s="17"/>
      <c r="Y15" s="17"/>
      <c r="Z15" s="17"/>
      <c r="AA15" s="17"/>
      <c r="AB15" s="17"/>
      <c r="AC15" s="17"/>
      <c r="AD15" s="16">
        <f t="shared" ref="AD15:BF15" si="0">SUMIF($B$71:$B$88,AD13,$F$71:$F$88)</f>
        <v>0</v>
      </c>
      <c r="AE15" s="16">
        <f t="shared" si="0"/>
        <v>0</v>
      </c>
      <c r="AF15" s="16">
        <f t="shared" si="0"/>
        <v>0</v>
      </c>
      <c r="AG15" s="16">
        <f t="shared" si="0"/>
        <v>0</v>
      </c>
      <c r="AH15" s="16">
        <f t="shared" si="0"/>
        <v>0</v>
      </c>
      <c r="AI15" s="16">
        <f t="shared" si="0"/>
        <v>0</v>
      </c>
      <c r="AJ15" s="16">
        <f t="shared" si="0"/>
        <v>0</v>
      </c>
      <c r="AK15" s="16">
        <f t="shared" si="0"/>
        <v>168</v>
      </c>
      <c r="AL15" s="16">
        <f t="shared" si="0"/>
        <v>0</v>
      </c>
      <c r="AM15" s="16">
        <f t="shared" si="0"/>
        <v>0</v>
      </c>
      <c r="AN15" s="16">
        <f t="shared" si="0"/>
        <v>0</v>
      </c>
      <c r="AO15" s="16">
        <f t="shared" si="0"/>
        <v>0</v>
      </c>
      <c r="AP15" s="16">
        <f t="shared" si="0"/>
        <v>0</v>
      </c>
      <c r="AQ15" s="16">
        <f t="shared" si="0"/>
        <v>0</v>
      </c>
      <c r="AR15" s="16">
        <f t="shared" si="0"/>
        <v>0</v>
      </c>
      <c r="AS15" s="16">
        <f t="shared" si="0"/>
        <v>0</v>
      </c>
      <c r="AT15" s="16">
        <f t="shared" si="0"/>
        <v>0</v>
      </c>
      <c r="AU15" s="16">
        <f t="shared" si="0"/>
        <v>0</v>
      </c>
      <c r="AV15" s="16">
        <f t="shared" si="0"/>
        <v>0</v>
      </c>
      <c r="AW15" s="16">
        <f t="shared" si="0"/>
        <v>0</v>
      </c>
      <c r="AX15" s="16">
        <f t="shared" si="0"/>
        <v>0</v>
      </c>
      <c r="AY15" s="16">
        <f t="shared" si="0"/>
        <v>0</v>
      </c>
      <c r="AZ15" s="16">
        <f t="shared" si="0"/>
        <v>0</v>
      </c>
      <c r="BA15" s="16">
        <f t="shared" si="0"/>
        <v>0</v>
      </c>
      <c r="BB15" s="16">
        <f t="shared" si="0"/>
        <v>0</v>
      </c>
      <c r="BC15" s="16">
        <f t="shared" si="0"/>
        <v>0</v>
      </c>
      <c r="BD15" s="16">
        <f t="shared" si="0"/>
        <v>0</v>
      </c>
      <c r="BE15" s="16">
        <f t="shared" si="0"/>
        <v>0</v>
      </c>
      <c r="BF15" s="16">
        <f t="shared" si="0"/>
        <v>0</v>
      </c>
    </row>
    <row r="16" spans="1:59">
      <c r="A16" s="74" t="str">
        <f>Constants!E6</f>
        <v>PT</v>
      </c>
      <c r="B16" s="16">
        <f>SUMIFS(Thibats!$F$55:$F$67,Thibats!$B$55:$B$67, B$15,Thibats!$H$55:$H$67,$A16)*(1+Constants!$B$7)</f>
        <v>192</v>
      </c>
      <c r="C16" s="16">
        <f>SUMIFS(Thibats!$F$55:$F$67,Thibats!$B$55:$B$67, C$15,Thibats!$H$55:$H$67,$A16)</f>
        <v>0</v>
      </c>
      <c r="D16" s="16">
        <f>SUMIFS(Thibats!$F$55:$F$67,Thibats!$B$55:$B$67, D$15,Thibats!$H$55:$H$67,$A16)*(1+Constants!$B$7)</f>
        <v>0</v>
      </c>
      <c r="E16" s="16">
        <f>SUMIFS(Thibats!$F$55:$F$67,Thibats!$B$55:$B$67, E$15,Thibats!$H$55:$H$67,$A16)*(1+Constants!$B$7)</f>
        <v>0</v>
      </c>
      <c r="F16" s="16">
        <f>SUMIFS(Thibats!$F$55:$F$67,Thibats!$B$55:$B$67, F$15,Thibats!$H$55:$H$67,$A16)*(1+Constants!$B$7)</f>
        <v>0</v>
      </c>
      <c r="G16" s="74" t="s">
        <v>430</v>
      </c>
      <c r="H16" s="16">
        <f>SUMIF(Thibats!$B$71:$B$89,"&lt;&gt;External",Thibats!$F$71:$F$89)</f>
        <v>168</v>
      </c>
      <c r="I16" s="75">
        <f>SUMIF(Thibats!$B$71:$B$89,"External",Thibats!$F$71:$F$89)</f>
        <v>0</v>
      </c>
      <c r="J16" s="234">
        <f>SUM($F$92:$F$105)</f>
        <v>240.3</v>
      </c>
      <c r="K16" s="76">
        <f>IF(OR(ISBLANK(B7),ISBLANK(B9)), "ERROR",MAX(MIN(J16,B7*Constants!B15)-Constants!B14*B7,0)*IF(B9="yes",Constants!B16,IF(B9="no",Constants!B17,0)))</f>
        <v>0</v>
      </c>
      <c r="L16" s="77" t="s">
        <v>360</v>
      </c>
      <c r="M16" s="76">
        <f>E16*Constants!B6+E17*Constants!B8+E22+E21</f>
        <v>0</v>
      </c>
      <c r="N16" s="17"/>
      <c r="O16" s="17"/>
      <c r="P16" s="17"/>
      <c r="Q16" s="17"/>
      <c r="R16" s="16"/>
      <c r="S16" s="17"/>
      <c r="T16" s="17"/>
      <c r="U16" s="17"/>
      <c r="V16" s="17"/>
      <c r="W16" s="17"/>
      <c r="X16" s="17"/>
      <c r="Y16" s="17"/>
      <c r="Z16" s="17"/>
      <c r="AA16" s="17"/>
      <c r="AB16" s="17"/>
      <c r="AC16" s="17"/>
      <c r="AD16" s="19">
        <f t="shared" ref="AD16:BF16" si="1">AD14*AD15</f>
        <v>0</v>
      </c>
      <c r="AE16" s="19">
        <f t="shared" si="1"/>
        <v>0</v>
      </c>
      <c r="AF16" s="19">
        <f t="shared" si="1"/>
        <v>0</v>
      </c>
      <c r="AG16" s="19">
        <f t="shared" si="1"/>
        <v>0</v>
      </c>
      <c r="AH16" s="19">
        <f t="shared" si="1"/>
        <v>0</v>
      </c>
      <c r="AI16" s="19">
        <f t="shared" si="1"/>
        <v>0</v>
      </c>
      <c r="AJ16" s="19">
        <f t="shared" si="1"/>
        <v>0</v>
      </c>
      <c r="AK16" s="19">
        <f t="shared" si="1"/>
        <v>5880</v>
      </c>
      <c r="AL16" s="19">
        <f t="shared" si="1"/>
        <v>0</v>
      </c>
      <c r="AM16" s="19">
        <f t="shared" si="1"/>
        <v>0</v>
      </c>
      <c r="AN16" s="19">
        <f t="shared" si="1"/>
        <v>0</v>
      </c>
      <c r="AO16" s="19">
        <f t="shared" si="1"/>
        <v>0</v>
      </c>
      <c r="AP16" s="19">
        <f t="shared" si="1"/>
        <v>0</v>
      </c>
      <c r="AQ16" s="19">
        <f t="shared" si="1"/>
        <v>0</v>
      </c>
      <c r="AR16" s="19">
        <f t="shared" si="1"/>
        <v>0</v>
      </c>
      <c r="AS16" s="19">
        <f t="shared" si="1"/>
        <v>0</v>
      </c>
      <c r="AT16" s="19">
        <f t="shared" si="1"/>
        <v>0</v>
      </c>
      <c r="AU16" s="19">
        <f t="shared" si="1"/>
        <v>0</v>
      </c>
      <c r="AV16" s="19">
        <f t="shared" si="1"/>
        <v>0</v>
      </c>
      <c r="AW16" s="19">
        <f t="shared" si="1"/>
        <v>0</v>
      </c>
      <c r="AX16" s="19">
        <f t="shared" si="1"/>
        <v>0</v>
      </c>
      <c r="AY16" s="19">
        <f t="shared" si="1"/>
        <v>0</v>
      </c>
      <c r="AZ16" s="19">
        <f t="shared" si="1"/>
        <v>0</v>
      </c>
      <c r="BA16" s="19">
        <f t="shared" si="1"/>
        <v>0</v>
      </c>
      <c r="BB16" s="19">
        <f t="shared" si="1"/>
        <v>0</v>
      </c>
      <c r="BC16" s="19">
        <f t="shared" si="1"/>
        <v>0</v>
      </c>
      <c r="BD16" s="19">
        <f t="shared" si="1"/>
        <v>0</v>
      </c>
      <c r="BE16" s="19">
        <f t="shared" si="1"/>
        <v>0</v>
      </c>
      <c r="BF16" s="19">
        <f t="shared" si="1"/>
        <v>0</v>
      </c>
    </row>
    <row r="17" spans="1:36">
      <c r="A17" s="74" t="str">
        <f>Constants!E7</f>
        <v>PT-V</v>
      </c>
      <c r="B17" s="16">
        <f>SUMIFS(Thibats!$F$55:$F$67,Thibats!$B$55:$B$67, B$15,Thibats!$H$55:$H$67,$A17)*(1+Constants!$B$9)</f>
        <v>0</v>
      </c>
      <c r="C17" s="16">
        <f>SUMIFS(Thibats!$F$55:$F$67,Thibats!$B$55:$B$67, C$15,Thibats!$H$55:$H$67,$A17)</f>
        <v>0</v>
      </c>
      <c r="D17" s="16">
        <f>SUMIFS(Thibats!$F$55:$F$67,Thibats!$B$55:$B$67, D$15,Thibats!$H$55:$H$67,$A17)*(1+Constants!$B$9)</f>
        <v>0</v>
      </c>
      <c r="E17" s="16">
        <f>SUMIFS(Thibats!$F$55:$F$67,Thibats!$B$55:$B$67, E$15,Thibats!$H$55:$H$67,$A17)*(1+Constants!$B$9)</f>
        <v>0</v>
      </c>
      <c r="F17" s="16">
        <f>SUMIFS(Thibats!$F$55:$F$67,Thibats!$B$55:$B$67, F$15,Thibats!$H$55:$H$67,$A17)</f>
        <v>0</v>
      </c>
      <c r="G17" s="74" t="s">
        <v>38</v>
      </c>
      <c r="H17" s="78">
        <f>SUM(AD16:BZ16)</f>
        <v>5880</v>
      </c>
      <c r="I17" s="76" cm="1">
        <f t="array" ref="I17">SUM(IF($B$71:$B$87="External",$F$71:$F$87*$H$71:$H$87,0))</f>
        <v>0</v>
      </c>
      <c r="J17" s="79"/>
      <c r="K17" s="80"/>
      <c r="L17" s="77" t="s">
        <v>63</v>
      </c>
      <c r="M17" s="76">
        <f>J16-K16</f>
        <v>240.3</v>
      </c>
      <c r="N17" s="17"/>
      <c r="O17" s="17"/>
      <c r="P17" s="17"/>
      <c r="Q17" s="17"/>
      <c r="R17" s="16"/>
      <c r="S17" s="17"/>
      <c r="T17" s="17"/>
      <c r="U17" s="17"/>
      <c r="V17" s="17"/>
      <c r="W17" s="17"/>
      <c r="X17" s="17"/>
      <c r="Y17" s="17"/>
      <c r="Z17" s="17"/>
      <c r="AA17" s="17"/>
      <c r="AB17" s="17"/>
      <c r="AC17" s="17"/>
      <c r="AD17" s="17"/>
      <c r="AE17" s="17"/>
    </row>
    <row r="18" spans="1:36">
      <c r="A18" s="74" t="str">
        <f>Constants!E8</f>
        <v>PT-ZZP</v>
      </c>
      <c r="B18" s="16">
        <f>SUMIFS(Thibats!$F$55:$F$67,Thibats!$B$55:$B$67, B$15,Thibats!$H$55:$H$67,$A18)*(1+Constants!$B$7)</f>
        <v>0</v>
      </c>
      <c r="C18" s="16">
        <f>SUMIFS(Thibats!$F$55:$F$67,Thibats!$B$55:$B$67, C$15,Thibats!$H$55:$H$67,$A18)</f>
        <v>0</v>
      </c>
      <c r="D18" s="16">
        <f>SUMIFS(Thibats!$F$55:$F$67,Thibats!$B$55:$B$67, D$15,Thibats!$H$55:$H$67,$A18)*(1+Constants!$B$7)</f>
        <v>0</v>
      </c>
      <c r="E18" s="16">
        <f>SUMIFS(Thibats!$F$55:$F$67,Thibats!$B$55:$B$67, E$15,Thibats!$H$55:$H$67,$A18)*(1+Constants!$B$7)</f>
        <v>0</v>
      </c>
      <c r="F18" s="16">
        <f>SUMIFS(Thibats!$F$55:$F$67,Thibats!$B$55:$B$67, F$15,Thibats!$H$55:$H$67,$A18)*(1+Constants!$B$7)</f>
        <v>0</v>
      </c>
      <c r="G18" s="74"/>
      <c r="H18" s="78"/>
      <c r="I18" s="76"/>
      <c r="J18" s="79"/>
      <c r="K18" s="80"/>
      <c r="L18" s="77" t="s">
        <v>60</v>
      </c>
      <c r="M18" s="76" t="str">
        <f>IF(I17-Constants!I17*$B$7&gt;0,$I$17-Constants!I17*$B$7,"-")</f>
        <v>-</v>
      </c>
      <c r="N18" s="17"/>
      <c r="O18" s="17"/>
      <c r="P18" s="17"/>
      <c r="Q18" s="17"/>
      <c r="R18" s="16"/>
      <c r="S18" s="17"/>
      <c r="T18" s="17"/>
      <c r="U18" s="17"/>
      <c r="V18" s="17"/>
      <c r="W18" s="17"/>
      <c r="X18" s="17"/>
      <c r="Y18" s="17"/>
      <c r="Z18" s="17"/>
      <c r="AA18" s="17"/>
      <c r="AB18" s="17"/>
      <c r="AC18" s="17"/>
      <c r="AD18" s="17"/>
      <c r="AE18" s="17"/>
    </row>
    <row r="19" spans="1:36">
      <c r="A19" s="74" t="str">
        <f>Constants!E9</f>
        <v>RT</v>
      </c>
      <c r="B19" s="16">
        <f>SUMIFS(Thibats!$F$55:$F$67,Thibats!$B$55:$B$67, B$15,Thibats!$H$55:$H$67,$A19)</f>
        <v>0</v>
      </c>
      <c r="C19" s="16">
        <f>SUMIFS(Thibats!$F$55:$F$67,Thibats!$B$55:$B$67, C$15,Thibats!$H$55:$H$67,$A19)</f>
        <v>0</v>
      </c>
      <c r="D19" s="16">
        <f>SUMIFS(Thibats!$F$55:$F$67,Thibats!$B$55:$B$67, D$15,Thibats!$H$55:$H$67,$A19)</f>
        <v>0</v>
      </c>
      <c r="E19" s="16">
        <f>SUMIFS(Thibats!$F$55:$F$67,Thibats!$B$55:$B$67, E$15,Thibats!$H$55:$H$67,$A19)</f>
        <v>0</v>
      </c>
      <c r="F19" s="16">
        <f>SUMIFS(Thibats!$F$55:$F$67,Thibats!$B$55:$B$67, F$15,Thibats!$H$55:$H$67,$A19)</f>
        <v>0</v>
      </c>
      <c r="G19" s="74" t="s">
        <v>396</v>
      </c>
      <c r="H19" s="78"/>
      <c r="I19" s="76">
        <f>IF(B7*Constants!I17&lt;I17,B7*Constants!I17,I17)</f>
        <v>0</v>
      </c>
      <c r="J19" s="79"/>
      <c r="K19" s="80"/>
      <c r="L19" s="77" t="s">
        <v>431</v>
      </c>
      <c r="M19" s="255">
        <f ca="1">Constants!C31*B7+Data!L32</f>
        <v>1892.0579172211862</v>
      </c>
      <c r="N19" s="17"/>
      <c r="O19" s="17"/>
      <c r="P19" s="17"/>
      <c r="Q19" s="17"/>
      <c r="R19" s="16"/>
      <c r="S19" s="17"/>
      <c r="T19" s="17"/>
      <c r="U19" s="17"/>
      <c r="V19" s="17"/>
      <c r="W19" s="17"/>
      <c r="X19" s="17"/>
      <c r="Y19" s="17"/>
      <c r="Z19" s="17"/>
      <c r="AA19" s="17"/>
      <c r="AB19" s="17"/>
      <c r="AC19" s="17"/>
      <c r="AD19" s="17"/>
      <c r="AE19" s="17"/>
    </row>
    <row r="20" spans="1:36">
      <c r="A20" s="74" t="str">
        <f>Constants!E10</f>
        <v>Extern</v>
      </c>
      <c r="B20" s="16">
        <f>SUMIFS(Thibats!$F$55:$F$67,Thibats!$B$55:$B$67, B$15,Thibats!$H$55:$H$67,$A20)</f>
        <v>0</v>
      </c>
      <c r="C20" s="16">
        <f>SUMIFS(Thibats!$F$55:$F$67,Thibats!$B$55:$B$67, C$15,Thibats!$H$55:$H$67,$A20)</f>
        <v>0</v>
      </c>
      <c r="D20" s="16">
        <f>SUMIFS(Thibats!$F$55:$F$67,Thibats!$B$55:$B$67, D$15,Thibats!$H$55:$H$67,$A20)</f>
        <v>0</v>
      </c>
      <c r="E20" s="16">
        <f>SUMIFS(Thibats!$F$55:$F$67,Thibats!$B$55:$B$67, E$15,Thibats!$H$55:$H$67,$A20)</f>
        <v>0</v>
      </c>
      <c r="F20" s="16">
        <f>SUMIFS(Thibats!$F$55:$F$67,Thibats!$B$55:$B$67, F$15,Thibats!$H$55:$H$67,$A20)</f>
        <v>0</v>
      </c>
      <c r="G20" s="81"/>
      <c r="H20" s="16"/>
      <c r="I20" s="75"/>
      <c r="J20" s="79"/>
      <c r="K20" s="82"/>
      <c r="L20" s="83"/>
      <c r="M20" s="84"/>
      <c r="N20" s="17"/>
      <c r="O20" s="17"/>
      <c r="P20" s="17"/>
      <c r="Q20" s="17"/>
      <c r="R20" s="16"/>
      <c r="S20" s="17"/>
      <c r="T20" s="17"/>
      <c r="U20" s="17"/>
      <c r="V20" s="17"/>
      <c r="W20" s="17"/>
      <c r="X20" s="17"/>
      <c r="Y20" s="17"/>
      <c r="Z20" s="17"/>
      <c r="AA20" s="17"/>
      <c r="AB20" s="17"/>
      <c r="AC20" s="17"/>
      <c r="AD20" s="17"/>
      <c r="AE20" s="17"/>
    </row>
    <row r="21" spans="1:36">
      <c r="A21" s="74" t="str">
        <f>CONCATENATE(A18," Costs")</f>
        <v>PT-ZZP Costs</v>
      </c>
      <c r="B21" s="78">
        <f t="array" ref="B21">SUM(IF(Thibats!$B$55:$B$67=B$15,IF(Thibats!$H$55:$H$67="PT-ZZP",Thibats!$F$55:$F$67*Thibats!$I$55:$I$67*(1+Constants!$B$7),0),0))</f>
        <v>0</v>
      </c>
      <c r="C21" s="78">
        <f t="array" ref="C21">SUM(IF(Thibats!$B$55:$B$67=C$15,IF(Thibats!$H$55:$H$67="PT-ZZP",Thibats!$F$55:$F$67*Thibats!$I$55:$I$67,0),0))</f>
        <v>0</v>
      </c>
      <c r="D21" s="78">
        <f t="array" ref="D21">SUM(IF(Thibats!$B$55:$B$67=D$15,IF(Thibats!$H$55:$H$67="PT-ZZP",Thibats!$F$55:$F$67*Thibats!$I$55:$I$67*(1+Constants!$B$7),0),0))</f>
        <v>0</v>
      </c>
      <c r="E21" s="78">
        <f t="array" ref="E21">SUM(IF(Thibats!$B$55:$B$67=E$15,IF(Thibats!$H$55:$H$67="PT-ZZP",Thibats!$F$55:$F$67*Thibats!$I$55:$I$67*(1+Constants!$B$7),0),0))</f>
        <v>0</v>
      </c>
      <c r="F21" s="78">
        <f t="array" ref="F21">SUM(IF(Thibats!$B$55:$B$67=F$15,IF(Thibats!$H$55:$H$67="PT-ZZP",Thibats!$F$55:$F$67*Thibats!$I$55:$I$67*(1+Constants!$B$7),0),0))</f>
        <v>0</v>
      </c>
      <c r="G21" s="81"/>
      <c r="H21" s="16"/>
      <c r="I21" s="75"/>
      <c r="J21" s="79"/>
      <c r="K21" s="82"/>
      <c r="L21" s="77" t="s">
        <v>5</v>
      </c>
      <c r="M21" s="76">
        <f ca="1">SUM(M15:M20)</f>
        <v>2799.0179172211865</v>
      </c>
      <c r="N21" s="17"/>
      <c r="O21" s="17"/>
      <c r="P21" s="17"/>
      <c r="Q21" s="17"/>
      <c r="R21" s="16"/>
      <c r="S21" s="17"/>
      <c r="T21" s="17"/>
      <c r="U21" s="17"/>
      <c r="V21" s="17"/>
      <c r="W21" s="17"/>
      <c r="X21" s="17"/>
      <c r="Y21" s="17"/>
      <c r="Z21" s="17"/>
      <c r="AA21" s="17"/>
      <c r="AB21" s="17"/>
      <c r="AC21" s="17"/>
      <c r="AD21" s="17"/>
      <c r="AE21" s="17"/>
    </row>
    <row r="22" spans="1:36" ht="15.75" customHeight="1" thickBot="1">
      <c r="A22" s="74" t="str">
        <f>CONCATENATE(A20," Costs")</f>
        <v>Extern Costs</v>
      </c>
      <c r="B22" s="78">
        <f t="array" ref="B22">SUM(IF(Thibats!$B$55:$B$67=B$15,IF(Thibats!$H$55:$H$67="Extern",Thibats!$F$55:$F$67*Thibats!$I$55:$I$67,0),0))</f>
        <v>0</v>
      </c>
      <c r="C22" s="78">
        <f t="array" ref="C22">SUM(IF(Thibats!$B$55:$B$67=C$15,IF(Thibats!$H$55:$H$67="Extern",Thibats!$F$55:$F$67*Thibats!$I$55:$I$67,0),0))</f>
        <v>0</v>
      </c>
      <c r="D22" s="78">
        <f t="array" ref="D22">SUM(IF(Thibats!$B$55:$B$67=D$15,IF(Thibats!$H$55:$H$67="Extern",Thibats!$F$55:$F$67*Thibats!$I$55:$I$67,0),0))</f>
        <v>0</v>
      </c>
      <c r="E22" s="78">
        <f t="array" ref="E22">SUM(IF(Thibats!$B$55:$B$67=E$15,IF(Thibats!$H$55:$H$67="Extern",Thibats!$F$55:$F$67*Thibats!$I$55:$I$67,0),0))</f>
        <v>0</v>
      </c>
      <c r="F22" s="76">
        <f t="array" ref="F22">SUM(IF(Thibats!$B$55:$B$67=F$15,IF(Thibats!$H$55:$H$67="Extern",Thibats!$F$55:$F$67*Thibats!$I$55:$I$67,0),0))</f>
        <v>0</v>
      </c>
      <c r="G22" s="85"/>
      <c r="H22" s="177"/>
      <c r="I22" s="86"/>
      <c r="J22" s="87"/>
      <c r="K22" s="88"/>
      <c r="L22" s="87"/>
      <c r="M22" s="88"/>
      <c r="N22" s="17"/>
      <c r="O22" s="17"/>
      <c r="P22" s="17"/>
      <c r="Q22" s="17"/>
      <c r="R22" s="16"/>
      <c r="S22" s="17"/>
      <c r="T22" s="17"/>
      <c r="U22" s="17"/>
      <c r="V22" s="17"/>
      <c r="W22" s="17"/>
      <c r="X22" s="17"/>
      <c r="Y22" s="17"/>
      <c r="Z22" s="17"/>
      <c r="AA22" s="17"/>
      <c r="AB22" s="17"/>
      <c r="AC22" s="17"/>
      <c r="AD22" s="17"/>
      <c r="AE22" s="17"/>
    </row>
    <row r="23" spans="1:36" ht="15" customHeight="1" thickTop="1">
      <c r="A23" s="74" t="s">
        <v>432</v>
      </c>
      <c r="B23" s="78"/>
      <c r="C23" s="78"/>
      <c r="D23" s="78"/>
      <c r="E23" s="78"/>
      <c r="F23" s="76">
        <f t="array" ref="F23">SUMIFS(Thibats!$F$55:$F$67,Thibats!$B$55:$B$67,"Mentorship",Thibats!$H$55:$H$67,"PT-V")*Constants!B8+SUMIFS(Thibats!$F$55:$F$67,Thibats!$B$55:$B$67,"Mentorship",Thibats!$H$55:$H$67,"PT")*Constants!B6+SUMPRODUCT(IF(Thibats!$B$55:$B$67="Mentorship",IF(Thibats!$H$55:$H$67="PT-ZZP",Thibats!$F$55:$F$67*Thibats!$I$55:$I$67,0)))</f>
        <v>0</v>
      </c>
    </row>
    <row r="24" spans="1:36" ht="15" customHeight="1" thickBot="1">
      <c r="A24" s="89" t="s">
        <v>433</v>
      </c>
      <c r="B24" s="178"/>
      <c r="C24" s="178"/>
      <c r="D24" s="178"/>
      <c r="E24" s="178">
        <f>SUMIF(Thibats!$B$55:$B$67,"External Trainer Course",Thibats!$I$55:$I$67)</f>
        <v>0</v>
      </c>
      <c r="F24" s="90"/>
    </row>
    <row r="25" spans="1:36" ht="15.75" customHeight="1" thickTop="1">
      <c r="A25" s="16"/>
      <c r="B25" s="16"/>
      <c r="C25" s="16"/>
      <c r="D25" s="16"/>
      <c r="E25" s="17"/>
      <c r="F25" s="17"/>
      <c r="G25" s="17"/>
      <c r="H25" s="17"/>
      <c r="I25" s="17"/>
      <c r="J25" s="17"/>
      <c r="K25" s="17"/>
      <c r="L25" s="17"/>
      <c r="M25" s="17"/>
      <c r="N25" s="17"/>
      <c r="O25" s="17"/>
      <c r="P25" s="17"/>
      <c r="Q25" s="16"/>
      <c r="R25" s="17"/>
      <c r="S25" s="17"/>
      <c r="T25" s="17"/>
      <c r="U25" s="17"/>
      <c r="V25" s="17"/>
      <c r="W25" s="17"/>
      <c r="X25" s="17"/>
      <c r="Y25" s="17"/>
      <c r="Z25" s="17"/>
      <c r="AA25" s="17"/>
      <c r="AB25" s="17"/>
      <c r="AC25" s="17"/>
      <c r="AD25" s="17"/>
    </row>
    <row r="26" spans="1:36" ht="15.75" customHeight="1">
      <c r="A26" s="16"/>
      <c r="B26" s="16"/>
      <c r="C26" s="16"/>
      <c r="D26" s="16"/>
      <c r="E26" s="17"/>
      <c r="F26" s="17"/>
      <c r="G26" s="17"/>
      <c r="H26" s="17"/>
      <c r="I26" s="17"/>
      <c r="J26" s="17"/>
      <c r="K26" s="17"/>
      <c r="L26" s="17"/>
      <c r="M26" s="17"/>
      <c r="N26" s="17"/>
      <c r="O26" s="17"/>
      <c r="P26" s="17"/>
      <c r="Q26" s="16"/>
      <c r="R26" s="17"/>
      <c r="S26" s="17"/>
      <c r="T26" s="17"/>
      <c r="U26" s="17"/>
      <c r="V26" s="17"/>
      <c r="W26" s="17"/>
      <c r="X26" s="17"/>
      <c r="Y26" s="17"/>
      <c r="Z26" s="17"/>
      <c r="AA26" s="17"/>
      <c r="AB26" s="17"/>
      <c r="AC26" s="17"/>
      <c r="AD26" s="17"/>
    </row>
    <row r="27" spans="1:36" ht="15.75" customHeight="1" thickBot="1">
      <c r="A27" s="91" t="s">
        <v>434</v>
      </c>
      <c r="B27" s="17"/>
      <c r="C27" s="17"/>
      <c r="D27" s="17"/>
      <c r="E27" s="17"/>
      <c r="F27" s="17"/>
      <c r="G27" s="92"/>
      <c r="H27" s="19"/>
      <c r="I27" s="17"/>
      <c r="J27" s="17"/>
      <c r="K27" s="17"/>
      <c r="L27" s="17"/>
      <c r="M27" s="17"/>
      <c r="N27" s="17"/>
      <c r="O27" s="17"/>
      <c r="P27" s="17"/>
      <c r="Q27" s="16"/>
      <c r="R27" s="17"/>
      <c r="S27" s="17"/>
      <c r="T27" s="17"/>
      <c r="U27" s="17"/>
      <c r="V27" s="17"/>
      <c r="W27" s="17"/>
      <c r="X27" s="17"/>
      <c r="Y27" s="17"/>
      <c r="Z27" s="17"/>
      <c r="AA27" s="17"/>
      <c r="AB27" s="17"/>
      <c r="AC27" s="17"/>
      <c r="AD27" s="17"/>
    </row>
    <row r="28" spans="1:36" ht="15.75" customHeight="1" thickTop="1" thickBot="1">
      <c r="A28" s="706" t="s">
        <v>435</v>
      </c>
      <c r="B28" s="707"/>
      <c r="C28" s="707"/>
      <c r="D28" s="707"/>
      <c r="E28" s="707"/>
      <c r="F28" s="708"/>
      <c r="G28" s="15"/>
      <c r="H28" s="17"/>
      <c r="I28" s="17"/>
      <c r="J28" s="17"/>
      <c r="K28" s="17"/>
      <c r="L28" s="17"/>
      <c r="M28" s="17"/>
      <c r="N28" s="17"/>
      <c r="O28" s="17"/>
      <c r="P28" s="17"/>
      <c r="Q28" s="16"/>
      <c r="R28" s="17"/>
      <c r="S28" s="17"/>
      <c r="T28" s="17"/>
      <c r="U28" s="17"/>
      <c r="V28" s="17"/>
      <c r="W28" s="17"/>
      <c r="X28" s="17"/>
      <c r="Y28" s="17"/>
      <c r="Z28" s="17"/>
      <c r="AA28" s="17"/>
      <c r="AB28" s="17"/>
      <c r="AC28" s="17"/>
      <c r="AD28" s="242" t="s">
        <v>436</v>
      </c>
      <c r="AE28" s="16"/>
      <c r="AF28" s="128"/>
      <c r="AG28" s="51"/>
      <c r="AH28" s="51"/>
      <c r="AI28" s="51"/>
      <c r="AJ28" s="51"/>
    </row>
    <row r="29" spans="1:36" ht="15.75" customHeight="1" thickBot="1">
      <c r="A29" s="709" t="s">
        <v>437</v>
      </c>
      <c r="B29" s="696"/>
      <c r="C29" s="696"/>
      <c r="D29" s="696"/>
      <c r="E29" s="696"/>
      <c r="F29" s="710"/>
      <c r="G29" s="17"/>
      <c r="H29" s="17"/>
      <c r="I29" s="17"/>
      <c r="J29" s="17"/>
      <c r="K29" s="17"/>
      <c r="L29" s="17"/>
      <c r="M29" s="17"/>
      <c r="N29" s="17"/>
      <c r="O29" s="17"/>
      <c r="P29" s="17"/>
      <c r="Q29" s="16"/>
      <c r="R29" s="17"/>
      <c r="S29" s="17"/>
      <c r="T29" s="17"/>
      <c r="U29" s="17"/>
      <c r="V29" s="17"/>
      <c r="W29" s="17"/>
      <c r="X29" s="17"/>
      <c r="Y29" s="17"/>
      <c r="Z29" s="17"/>
      <c r="AA29" s="17"/>
      <c r="AB29" s="17"/>
      <c r="AC29" s="17"/>
      <c r="AD29" s="243" t="s">
        <v>438</v>
      </c>
      <c r="AE29" s="243" t="s">
        <v>439</v>
      </c>
      <c r="AF29" s="243" t="s">
        <v>440</v>
      </c>
      <c r="AG29" s="711" t="s">
        <v>441</v>
      </c>
      <c r="AH29" s="712"/>
      <c r="AI29" s="711" t="s">
        <v>434</v>
      </c>
      <c r="AJ29" s="712"/>
    </row>
    <row r="30" spans="1:36" ht="15.75" customHeight="1" thickBot="1">
      <c r="A30" s="709" t="s">
        <v>442</v>
      </c>
      <c r="B30" s="696"/>
      <c r="C30" s="696"/>
      <c r="D30" s="696"/>
      <c r="E30" s="696"/>
      <c r="F30" s="710"/>
      <c r="G30" s="17"/>
      <c r="H30" s="17"/>
      <c r="I30" s="17"/>
      <c r="J30" s="17"/>
      <c r="K30" s="17"/>
      <c r="L30" s="17"/>
      <c r="M30" s="17"/>
      <c r="N30" s="17"/>
      <c r="O30" s="17"/>
      <c r="P30" s="17"/>
      <c r="Q30" s="16"/>
      <c r="R30" s="17"/>
      <c r="S30" s="17"/>
      <c r="T30" s="17"/>
      <c r="U30" s="17"/>
      <c r="V30" s="17"/>
      <c r="W30" s="17"/>
      <c r="X30" s="17"/>
      <c r="Y30" s="17"/>
      <c r="Z30" s="17"/>
      <c r="AA30" s="17"/>
      <c r="AB30" s="17"/>
      <c r="AC30" s="17"/>
      <c r="AD30" s="244" t="str">
        <f>IF($B$12="individual",Constants!F55,Constants!L55)</f>
        <v>member count</v>
      </c>
      <c r="AE30" s="244">
        <f>B7</f>
        <v>27</v>
      </c>
      <c r="AF30" s="269">
        <f>IF(AE30&gt;=301,5,IF(AE30&gt;=176,4,IF(AE30&gt;=101,3,IF(AE30&gt;=51,2,1))))</f>
        <v>1</v>
      </c>
      <c r="AG30" s="560"/>
      <c r="AH30" s="560"/>
      <c r="AI30" s="560" t="s">
        <v>443</v>
      </c>
      <c r="AJ30" s="560"/>
    </row>
    <row r="31" spans="1:36" ht="15" customHeight="1" thickBot="1">
      <c r="A31" s="709" t="s">
        <v>444</v>
      </c>
      <c r="B31" s="696"/>
      <c r="C31" s="696"/>
      <c r="D31" s="696"/>
      <c r="E31" s="696"/>
      <c r="F31" s="710"/>
      <c r="G31" s="17"/>
      <c r="H31" s="17"/>
      <c r="I31" s="17"/>
      <c r="J31" s="17"/>
      <c r="K31" s="17"/>
      <c r="L31" s="17"/>
      <c r="M31" s="17"/>
      <c r="N31" s="17"/>
      <c r="O31" s="17"/>
      <c r="P31" s="17"/>
      <c r="Q31" s="16"/>
      <c r="R31" s="17"/>
      <c r="S31" s="17"/>
      <c r="T31" s="17"/>
      <c r="U31" s="17"/>
      <c r="V31" s="17"/>
      <c r="W31" s="17"/>
      <c r="X31" s="17"/>
      <c r="Y31" s="17"/>
      <c r="Z31" s="17"/>
      <c r="AA31" s="17"/>
      <c r="AB31" s="17"/>
      <c r="AC31" s="17"/>
      <c r="AD31" s="244" t="str">
        <f>IF($B$12="individual",Constants!F56,Constants!L56)</f>
        <v>number of trainings per week</v>
      </c>
      <c r="AE31" s="244" cm="1">
        <f t="array" ref="AE31">SUMPRODUCT(C55:C67*D55:D67)/42</f>
        <v>1.9047619047619047</v>
      </c>
      <c r="AF31" s="270">
        <f>IF(AE31&gt;=4,3,IF(AE31&gt;=3,2,IF(AE31&gt;=2,1,0)))</f>
        <v>0</v>
      </c>
      <c r="AG31" s="560"/>
      <c r="AH31" s="560"/>
      <c r="AI31" s="560"/>
      <c r="AJ31" s="560"/>
    </row>
    <row r="32" spans="1:36" ht="15.75" customHeight="1" thickBot="1">
      <c r="A32" s="709" t="s">
        <v>445</v>
      </c>
      <c r="B32" s="696"/>
      <c r="C32" s="696"/>
      <c r="D32" s="696"/>
      <c r="E32" s="696"/>
      <c r="F32" s="710"/>
      <c r="G32" s="17"/>
      <c r="H32" s="16"/>
      <c r="I32" s="16"/>
      <c r="J32" s="16"/>
      <c r="K32" s="17"/>
      <c r="L32" s="17"/>
      <c r="M32" s="17"/>
      <c r="N32" s="17"/>
      <c r="O32" s="17"/>
      <c r="P32" s="17"/>
      <c r="Q32" s="16"/>
      <c r="R32" s="17"/>
      <c r="S32" s="17"/>
      <c r="T32" s="17"/>
      <c r="U32" s="17"/>
      <c r="V32" s="17"/>
      <c r="W32" s="17"/>
      <c r="X32" s="17"/>
      <c r="Y32" s="17"/>
      <c r="Z32" s="17"/>
      <c r="AA32" s="17"/>
      <c r="AB32" s="17"/>
      <c r="AC32" s="17"/>
      <c r="AD32" s="244" t="str">
        <f>IF($B$12="individual",Constants!F57,Constants!L57)</f>
        <v>number of trainings weeks per year</v>
      </c>
      <c r="AE32" s="252">
        <v>42</v>
      </c>
      <c r="AF32" s="250">
        <f>IF(AE32&gt;=40,3,IF(AE32&gt;=35,2,1))</f>
        <v>3</v>
      </c>
      <c r="AG32" s="560"/>
      <c r="AH32" s="560"/>
      <c r="AI32" s="560"/>
      <c r="AJ32" s="560"/>
    </row>
    <row r="33" spans="1:58" ht="15.75" customHeight="1" thickBot="1">
      <c r="A33" s="93" t="s">
        <v>446</v>
      </c>
      <c r="F33" s="94"/>
      <c r="G33" s="17"/>
      <c r="H33" s="16"/>
      <c r="I33" s="16"/>
      <c r="J33" s="16"/>
      <c r="K33" s="17"/>
      <c r="L33" s="17"/>
      <c r="M33" s="17"/>
      <c r="N33" s="17"/>
      <c r="O33" s="17"/>
      <c r="P33" s="17"/>
      <c r="Q33" s="16"/>
      <c r="R33" s="17"/>
      <c r="S33" s="17"/>
      <c r="T33" s="17"/>
      <c r="U33" s="17"/>
      <c r="V33" s="17"/>
      <c r="W33" s="17"/>
      <c r="X33" s="17"/>
      <c r="Y33" s="17"/>
      <c r="Z33" s="17"/>
      <c r="AA33" s="17"/>
      <c r="AB33" s="17"/>
      <c r="AC33" s="17"/>
      <c r="AD33" s="244" t="str">
        <f>IF($B$12="individual",Constants!F58,Constants!L58)</f>
        <v>number of training hours by RT / PT-V</v>
      </c>
      <c r="AE33" s="251">
        <f>(SUMIF(H55:H67,"RT",F55:F67)+SUMIF(H55:H67,"PT-V",F55:F67))/SUM(F55:F67)</f>
        <v>0</v>
      </c>
      <c r="AF33" s="270">
        <f>IF(AE33&gt;0.9,3,IF(AE33&gt;0.6,2,IF(AE33&gt;0.3,1,0)))</f>
        <v>0</v>
      </c>
      <c r="AG33" s="560"/>
      <c r="AH33" s="560"/>
      <c r="AI33" s="560"/>
      <c r="AJ33" s="560"/>
    </row>
    <row r="34" spans="1:58" ht="15.75" customHeight="1" thickBot="1">
      <c r="A34" s="713" t="s">
        <v>447</v>
      </c>
      <c r="B34" s="714"/>
      <c r="C34" s="714"/>
      <c r="D34" s="714"/>
      <c r="E34" s="714"/>
      <c r="F34" s="715"/>
      <c r="G34" s="17"/>
      <c r="H34" s="16"/>
      <c r="I34" s="16"/>
      <c r="J34" s="16"/>
      <c r="K34" s="17"/>
      <c r="L34" s="17"/>
      <c r="M34" s="17"/>
      <c r="N34" s="17"/>
      <c r="O34" s="17"/>
      <c r="P34" s="17"/>
      <c r="Q34" s="16"/>
      <c r="R34" s="17"/>
      <c r="S34" s="17"/>
      <c r="T34" s="17"/>
      <c r="U34" s="17"/>
      <c r="V34" s="17"/>
      <c r="W34" s="17"/>
      <c r="X34" s="17"/>
      <c r="Y34" s="17"/>
      <c r="Z34" s="17"/>
      <c r="AA34" s="17"/>
      <c r="AB34" s="17"/>
      <c r="AC34" s="17"/>
      <c r="AD34" s="244" t="str">
        <f>IF($B$12="individual",Constants!F59,Constants!L59)</f>
        <v>number of training groups / teams</v>
      </c>
      <c r="AE34" s="244">
        <f>B10</f>
        <v>2</v>
      </c>
      <c r="AF34" s="271">
        <f>IF(AE34&gt;9,3,IF(AE34&gt;4,2,IF(AE34&gt;2,1,0)))</f>
        <v>0</v>
      </c>
      <c r="AG34" s="560"/>
      <c r="AH34" s="560"/>
      <c r="AI34" s="560"/>
      <c r="AJ34" s="560"/>
    </row>
    <row r="35" spans="1:58" ht="15.75" customHeight="1" thickTop="1" thickBot="1">
      <c r="A35" s="16"/>
      <c r="G35" s="17"/>
      <c r="H35" s="16"/>
      <c r="I35" s="16"/>
      <c r="J35" s="16"/>
      <c r="K35" s="17"/>
      <c r="L35" s="17"/>
      <c r="M35" s="17"/>
      <c r="N35" s="17"/>
      <c r="O35" s="17"/>
      <c r="P35" s="17"/>
      <c r="Q35" s="16"/>
      <c r="R35" s="17"/>
      <c r="S35" s="17"/>
      <c r="T35" s="17"/>
      <c r="U35" s="17"/>
      <c r="V35" s="17"/>
      <c r="W35" s="17"/>
      <c r="X35" s="17"/>
      <c r="Y35" s="17"/>
      <c r="Z35" s="17"/>
      <c r="AA35" s="17"/>
      <c r="AB35" s="17"/>
      <c r="AC35" s="17"/>
      <c r="AD35" s="244" t="str">
        <f>IF($B$12="individual",Constants!F60,Constants!L60)</f>
        <v>number of competitions organised</v>
      </c>
      <c r="AE35" s="249">
        <v>0</v>
      </c>
      <c r="AF35" s="271">
        <f>IF(AE35&gt;=4,5,IF(AE35&gt;=2,3,IF(AE35&gt;=1,1,0)))</f>
        <v>0</v>
      </c>
      <c r="AG35" s="560"/>
      <c r="AH35" s="560"/>
      <c r="AI35" s="560"/>
      <c r="AJ35" s="560"/>
    </row>
    <row r="36" spans="1:58" ht="15.75" customHeight="1" thickBot="1">
      <c r="A36" s="179" t="s">
        <v>448</v>
      </c>
      <c r="B36" s="16"/>
      <c r="C36" s="16"/>
      <c r="D36" s="16"/>
      <c r="E36" s="16"/>
      <c r="F36" s="16"/>
      <c r="G36" s="16"/>
      <c r="H36" s="16"/>
      <c r="I36" s="16"/>
      <c r="J36" s="16"/>
      <c r="K36" s="16"/>
      <c r="L36" s="16"/>
      <c r="M36" s="16"/>
      <c r="N36" s="16"/>
      <c r="O36" s="16"/>
      <c r="P36" s="16"/>
      <c r="Q36" s="16"/>
      <c r="R36" s="16"/>
      <c r="S36" s="16"/>
      <c r="T36" s="16"/>
      <c r="U36" s="16"/>
      <c r="V36" s="16"/>
      <c r="W36" s="16"/>
      <c r="X36" s="16"/>
      <c r="Y36" s="16"/>
      <c r="Z36" s="16"/>
      <c r="AA36" s="16"/>
      <c r="AB36" s="18"/>
      <c r="AC36" s="16"/>
      <c r="AD36" s="244" t="str">
        <f>IF($B$12="individual",Constants!F61,Constants!L61)</f>
        <v>number of social activities</v>
      </c>
      <c r="AE36" s="249">
        <v>5</v>
      </c>
      <c r="AF36" s="271">
        <f>IF(AE36&gt;=20,2,IF(AE36&gt;=10,1,0))</f>
        <v>0</v>
      </c>
      <c r="AG36" s="560"/>
      <c r="AH36" s="560"/>
      <c r="AI36" s="560"/>
      <c r="AJ36" s="560"/>
    </row>
    <row r="37" spans="1:58" ht="15" customHeight="1" thickTop="1" thickBot="1">
      <c r="A37" s="258" t="s">
        <v>449</v>
      </c>
      <c r="B37" s="259" t="s">
        <v>450</v>
      </c>
      <c r="C37" s="258" t="s">
        <v>451</v>
      </c>
      <c r="D37" s="258" t="s">
        <v>452</v>
      </c>
      <c r="E37" s="258" t="s">
        <v>453</v>
      </c>
      <c r="F37" s="258" t="s">
        <v>454</v>
      </c>
      <c r="G37" s="259" t="s">
        <v>455</v>
      </c>
      <c r="H37" s="561" t="s">
        <v>456</v>
      </c>
      <c r="I37" s="716"/>
      <c r="J37" s="717"/>
      <c r="K37" s="98"/>
      <c r="L37" s="98"/>
      <c r="M37" s="98"/>
      <c r="N37" s="98"/>
      <c r="O37" s="98"/>
      <c r="P37" s="98"/>
      <c r="Q37" s="98"/>
      <c r="R37" s="98"/>
      <c r="S37" s="98"/>
      <c r="T37" s="98"/>
      <c r="U37" s="96"/>
      <c r="V37" s="96"/>
      <c r="W37" s="96"/>
      <c r="X37" s="96"/>
      <c r="Y37" s="99"/>
      <c r="Z37" s="96"/>
      <c r="AA37" s="96"/>
      <c r="AB37" s="100"/>
      <c r="AC37" s="100"/>
      <c r="AD37" s="244" t="str">
        <f>IF($B$12="individual",Constants!F62,Constants!L62)</f>
        <v>number of bar days</v>
      </c>
      <c r="AE37" s="249">
        <v>8</v>
      </c>
      <c r="AF37" s="271">
        <f>IF(AE37&gt;=15,2,IF(AE37&gt;=8,1,0))</f>
        <v>1</v>
      </c>
      <c r="AG37" s="560"/>
      <c r="AH37" s="560"/>
      <c r="AI37" s="560"/>
      <c r="AJ37" s="560"/>
      <c r="AK37" s="100"/>
      <c r="AL37" s="100"/>
      <c r="AM37" s="100"/>
      <c r="AN37" s="100"/>
      <c r="AO37" s="100"/>
      <c r="AP37" s="100"/>
      <c r="AQ37" s="100"/>
      <c r="AR37" s="100"/>
      <c r="AS37" s="100"/>
      <c r="AT37" s="100"/>
      <c r="AU37" s="100"/>
      <c r="AV37" s="100"/>
      <c r="AW37" s="100"/>
      <c r="AX37" s="100"/>
      <c r="AY37" s="100"/>
      <c r="AZ37" s="100"/>
      <c r="BA37" s="100"/>
      <c r="BB37" s="100"/>
      <c r="BC37" s="100"/>
      <c r="BD37" s="100"/>
      <c r="BE37" s="100"/>
      <c r="BF37" s="100"/>
    </row>
    <row r="38" spans="1:58" ht="14.25" customHeight="1" thickTop="1" thickBot="1">
      <c r="A38" s="458" t="s">
        <v>1273</v>
      </c>
      <c r="B38" s="459">
        <v>20</v>
      </c>
      <c r="C38" s="460">
        <v>1</v>
      </c>
      <c r="D38" s="460">
        <v>42</v>
      </c>
      <c r="E38" s="458" t="s">
        <v>57</v>
      </c>
      <c r="F38" s="461" t="s">
        <v>1273</v>
      </c>
      <c r="G38" s="323"/>
      <c r="H38" s="618"/>
      <c r="I38" s="741"/>
      <c r="J38" s="742"/>
      <c r="K38" s="16"/>
      <c r="L38" s="16"/>
      <c r="M38" s="16"/>
      <c r="N38" s="16"/>
      <c r="O38" s="16"/>
      <c r="P38" s="16"/>
      <c r="Q38" s="16"/>
      <c r="R38" s="16"/>
      <c r="S38" s="16"/>
      <c r="T38" s="16"/>
      <c r="U38" s="16"/>
      <c r="V38" s="16"/>
      <c r="W38" s="16"/>
      <c r="X38" s="16"/>
      <c r="Y38" s="17"/>
      <c r="Z38" s="16"/>
      <c r="AA38" s="16"/>
      <c r="AD38" s="244" t="str">
        <f>IF($B$12="individual",Constants!F63,Constants!L63)</f>
        <v>own bar / extra location</v>
      </c>
      <c r="AE38" s="249">
        <v>0</v>
      </c>
      <c r="AF38" s="271">
        <f>IF(AE38&gt;=15,2,IF(AE38&gt;=8,1,0))</f>
        <v>0</v>
      </c>
      <c r="AG38" s="560"/>
      <c r="AH38" s="560"/>
      <c r="AI38" s="560"/>
      <c r="AJ38" s="560"/>
    </row>
    <row r="39" spans="1:58" ht="14.25" customHeight="1" thickBot="1">
      <c r="A39" s="462" t="s">
        <v>583</v>
      </c>
      <c r="B39" s="463">
        <v>15</v>
      </c>
      <c r="C39" s="464">
        <v>1</v>
      </c>
      <c r="D39" s="464">
        <v>42</v>
      </c>
      <c r="E39" s="465" t="s">
        <v>57</v>
      </c>
      <c r="F39" s="466" t="s">
        <v>1737</v>
      </c>
      <c r="G39" s="325"/>
      <c r="H39" s="743"/>
      <c r="I39" s="744"/>
      <c r="J39" s="745"/>
      <c r="K39" s="16"/>
      <c r="L39" s="16"/>
      <c r="M39" s="16"/>
      <c r="N39" s="16"/>
      <c r="O39" s="16"/>
      <c r="P39" s="16"/>
      <c r="Q39" s="16"/>
      <c r="R39" s="16"/>
      <c r="S39" s="16"/>
      <c r="T39" s="16"/>
      <c r="U39" s="16"/>
      <c r="V39" s="16"/>
      <c r="W39" s="16"/>
      <c r="X39" s="16"/>
      <c r="Y39" s="17"/>
      <c r="Z39" s="16"/>
      <c r="AA39" s="16"/>
      <c r="AD39" s="244" t="str">
        <f>IF($B$12="individual",Constants!F65,Constants!L64)</f>
        <v>number of competitions attended</v>
      </c>
      <c r="AE39" s="249">
        <v>2</v>
      </c>
      <c r="AF39" s="273">
        <f>IF(B12="individual", IF(AE39&gt;10, 5, IF(AE39&gt;6, 3, IF(AE39&gt;2, 1, 0))), IF(AE39&gt;3, 3, IF(AE39&gt;1, 2, 1)))</f>
        <v>0</v>
      </c>
      <c r="AG39" s="560"/>
      <c r="AH39" s="560"/>
      <c r="AI39" s="560"/>
      <c r="AJ39" s="560"/>
    </row>
    <row r="40" spans="1:58" ht="15.75" customHeight="1" thickBot="1">
      <c r="A40" s="231"/>
      <c r="B40" s="232"/>
      <c r="C40" s="231"/>
      <c r="D40" s="232"/>
      <c r="E40" s="245"/>
      <c r="F40" s="261"/>
      <c r="G40" s="231"/>
      <c r="H40" s="743"/>
      <c r="I40" s="744"/>
      <c r="J40" s="745"/>
      <c r="K40" s="16"/>
      <c r="L40" s="16"/>
      <c r="M40" s="16"/>
      <c r="N40" s="16"/>
      <c r="O40" s="16"/>
      <c r="P40" s="16"/>
      <c r="Q40" s="16"/>
      <c r="R40" s="16"/>
      <c r="S40" s="16"/>
      <c r="T40" s="16"/>
      <c r="U40" s="16"/>
      <c r="V40" s="16"/>
      <c r="W40" s="16"/>
      <c r="X40" s="16"/>
      <c r="Y40" s="16"/>
      <c r="Z40" s="16"/>
      <c r="AA40" s="16"/>
      <c r="AD40" s="231" t="str">
        <f>IF($B$12="individual",Constants!F64,Constants!L65)</f>
        <v>n/a</v>
      </c>
      <c r="AE40" s="231" t="str">
        <f>IF(AD40="n/a","",COUNTA(A46:A50)/COUNTA(A38:A42))</f>
        <v/>
      </c>
      <c r="AF40" s="272" t="str">
        <f>IF(B12="group", IF(AE40&gt;0.15, 5, IF(AE40&gt;0.1, 3, IF(AE40&gt;0.05, 1, 0))), " ")</f>
        <v xml:space="preserve"> </v>
      </c>
      <c r="AG40" s="560"/>
      <c r="AH40" s="560"/>
      <c r="AI40" s="560"/>
      <c r="AJ40" s="560"/>
    </row>
    <row r="41" spans="1:58" ht="15.75" customHeight="1" thickBot="1">
      <c r="A41" s="231"/>
      <c r="B41" s="232"/>
      <c r="C41" s="231"/>
      <c r="D41" s="232"/>
      <c r="E41" s="245"/>
      <c r="F41" s="261"/>
      <c r="G41" s="231"/>
      <c r="H41" s="743"/>
      <c r="I41" s="744"/>
      <c r="J41" s="745"/>
      <c r="K41" s="16"/>
      <c r="L41" s="16"/>
      <c r="M41" s="16"/>
      <c r="N41" s="16"/>
      <c r="O41" s="16"/>
      <c r="P41" s="16"/>
      <c r="Q41" s="16"/>
      <c r="R41" s="16"/>
      <c r="S41" s="16"/>
      <c r="T41" s="16"/>
      <c r="U41" s="16"/>
      <c r="V41" s="16"/>
      <c r="W41" s="16"/>
      <c r="X41" s="16"/>
      <c r="Y41" s="16"/>
      <c r="Z41" s="16"/>
      <c r="AA41" s="16"/>
      <c r="AD41" s="16"/>
      <c r="AE41" s="275" t="s">
        <v>461</v>
      </c>
      <c r="AF41" s="277">
        <f>SUM(AF30:AF40)</f>
        <v>5</v>
      </c>
      <c r="AG41" s="247"/>
      <c r="AH41" s="245"/>
      <c r="AI41" s="246"/>
      <c r="AJ41" s="247"/>
    </row>
    <row r="42" spans="1:58" ht="15.75" customHeight="1" thickBot="1">
      <c r="A42" s="231"/>
      <c r="B42" s="326"/>
      <c r="C42" s="245"/>
      <c r="D42" s="232"/>
      <c r="E42" s="261"/>
      <c r="F42" s="261"/>
      <c r="G42" s="231"/>
      <c r="H42" s="746"/>
      <c r="I42" s="747"/>
      <c r="J42" s="748"/>
      <c r="K42" s="16"/>
      <c r="L42" s="16"/>
      <c r="M42" s="16"/>
      <c r="N42" s="16"/>
      <c r="O42" s="16"/>
      <c r="P42" s="16"/>
      <c r="Q42" s="16"/>
      <c r="R42" s="16"/>
      <c r="S42" s="16"/>
      <c r="T42" s="16"/>
      <c r="U42" s="16"/>
      <c r="V42" s="16"/>
      <c r="W42" s="16"/>
      <c r="X42" s="16"/>
      <c r="Y42" s="16"/>
      <c r="Z42" s="16"/>
      <c r="AA42" s="16"/>
    </row>
    <row r="43" spans="1:58" ht="15.75" customHeight="1" thickTop="1">
      <c r="A43" s="18"/>
      <c r="B43" s="18"/>
      <c r="C43" s="18"/>
      <c r="D43" s="18"/>
      <c r="E43" s="18"/>
      <c r="F43" s="18"/>
      <c r="G43" s="17"/>
      <c r="H43" s="17"/>
      <c r="I43" s="17"/>
      <c r="J43" s="17"/>
      <c r="K43" s="17"/>
      <c r="L43" s="17"/>
      <c r="M43" s="17"/>
      <c r="N43" s="17"/>
      <c r="O43" s="17"/>
      <c r="P43" s="17"/>
      <c r="Q43" s="16"/>
      <c r="R43" s="17"/>
      <c r="S43" s="17"/>
      <c r="T43" s="17"/>
      <c r="U43" s="17"/>
      <c r="V43" s="17"/>
      <c r="W43" s="17"/>
      <c r="X43" s="17"/>
      <c r="Y43" s="17"/>
      <c r="Z43" s="17"/>
      <c r="AA43" s="17"/>
      <c r="AB43" s="17"/>
      <c r="AC43" s="17"/>
      <c r="AD43" s="17"/>
    </row>
    <row r="44" spans="1:58" ht="15.75" customHeight="1" thickBot="1">
      <c r="A44" s="179" t="s">
        <v>462</v>
      </c>
      <c r="B44" s="169"/>
      <c r="C44" s="16"/>
      <c r="D44" s="16"/>
      <c r="E44" s="16"/>
      <c r="F44" s="16"/>
      <c r="G44" s="16"/>
      <c r="H44" s="16"/>
      <c r="I44" s="16"/>
      <c r="J44" s="16"/>
      <c r="K44" s="16"/>
      <c r="L44" s="16"/>
      <c r="M44" s="16"/>
      <c r="N44" s="16"/>
      <c r="O44" s="16"/>
      <c r="P44" s="16"/>
      <c r="Q44" s="16"/>
      <c r="R44" s="16"/>
      <c r="S44" s="16"/>
      <c r="T44" s="16"/>
      <c r="U44" s="16"/>
      <c r="V44" s="16"/>
      <c r="W44" s="16"/>
      <c r="X44" s="16"/>
      <c r="Y44" s="16"/>
      <c r="Z44" s="16"/>
      <c r="AA44" s="16"/>
      <c r="AB44" s="18"/>
      <c r="AC44" s="16"/>
      <c r="AD44" s="16"/>
    </row>
    <row r="45" spans="1:58" ht="15" customHeight="1" thickTop="1" thickBot="1">
      <c r="A45" s="258" t="s">
        <v>449</v>
      </c>
      <c r="B45" s="259" t="s">
        <v>450</v>
      </c>
      <c r="C45" s="258" t="s">
        <v>463</v>
      </c>
      <c r="D45" s="258" t="s">
        <v>464</v>
      </c>
      <c r="E45" s="258" t="s">
        <v>465</v>
      </c>
      <c r="F45" s="258" t="s">
        <v>466</v>
      </c>
      <c r="G45" s="258" t="s">
        <v>467</v>
      </c>
      <c r="H45" s="259" t="s">
        <v>455</v>
      </c>
      <c r="I45" s="561" t="s">
        <v>456</v>
      </c>
      <c r="J45" s="716"/>
      <c r="K45" s="717"/>
      <c r="L45" s="98"/>
      <c r="M45" s="98"/>
      <c r="N45" s="98"/>
      <c r="O45" s="98"/>
      <c r="P45" s="98"/>
      <c r="Q45" s="98"/>
      <c r="R45" s="98"/>
      <c r="S45" s="98"/>
      <c r="T45" s="98"/>
      <c r="U45" s="98"/>
      <c r="V45" s="96"/>
      <c r="W45" s="96"/>
      <c r="X45" s="96"/>
      <c r="Y45" s="96"/>
      <c r="Z45" s="99"/>
      <c r="AA45" s="96"/>
      <c r="AB45" s="96"/>
      <c r="AC45" s="100"/>
      <c r="AD45" s="100"/>
      <c r="AE45" s="100"/>
      <c r="AF45" s="100"/>
      <c r="AG45" s="100"/>
      <c r="AH45" s="100"/>
      <c r="AI45" s="100"/>
      <c r="AJ45" s="100"/>
      <c r="AK45" s="100"/>
      <c r="AL45" s="100"/>
      <c r="AM45" s="100"/>
      <c r="AN45" s="100"/>
      <c r="AO45" s="100"/>
      <c r="AP45" s="100"/>
      <c r="AQ45" s="100"/>
      <c r="AR45" s="100"/>
      <c r="AS45" s="100"/>
      <c r="AT45" s="100"/>
      <c r="AU45" s="100"/>
      <c r="AV45" s="100"/>
      <c r="AW45" s="100"/>
      <c r="AX45" s="100"/>
      <c r="AY45" s="100"/>
      <c r="AZ45" s="100"/>
      <c r="BA45" s="100"/>
      <c r="BB45" s="100"/>
      <c r="BC45" s="100"/>
      <c r="BD45" s="100"/>
      <c r="BE45" s="100"/>
      <c r="BF45" s="100"/>
    </row>
    <row r="46" spans="1:58" ht="14.25" customHeight="1" thickTop="1">
      <c r="A46" s="467" t="s">
        <v>583</v>
      </c>
      <c r="B46" s="468">
        <v>15</v>
      </c>
      <c r="C46" s="467"/>
      <c r="D46" s="269" t="s">
        <v>57</v>
      </c>
      <c r="E46" s="468">
        <v>1</v>
      </c>
      <c r="F46" s="469">
        <v>2</v>
      </c>
      <c r="G46" s="467" t="s">
        <v>471</v>
      </c>
      <c r="H46" s="323"/>
      <c r="I46" s="618"/>
      <c r="J46" s="741"/>
      <c r="K46" s="742"/>
      <c r="L46" s="16"/>
      <c r="M46" s="16"/>
      <c r="N46" s="16"/>
      <c r="O46" s="16"/>
      <c r="P46" s="16"/>
      <c r="Q46" s="16"/>
      <c r="R46" s="16"/>
      <c r="S46" s="16"/>
      <c r="T46" s="16"/>
      <c r="U46" s="16"/>
      <c r="V46" s="16"/>
      <c r="W46" s="16"/>
      <c r="X46" s="16"/>
      <c r="Y46" s="16"/>
      <c r="Z46" s="17"/>
      <c r="AA46" s="16"/>
      <c r="AB46" s="16"/>
    </row>
    <row r="47" spans="1:58" ht="14.25" customHeight="1">
      <c r="A47" s="312"/>
      <c r="B47" s="323"/>
      <c r="C47" s="312"/>
      <c r="D47" s="312"/>
      <c r="E47" s="328"/>
      <c r="F47" s="327"/>
      <c r="G47" s="323"/>
      <c r="H47" s="323"/>
      <c r="I47" s="743"/>
      <c r="J47" s="744"/>
      <c r="K47" s="745"/>
      <c r="L47" s="16"/>
      <c r="M47" s="16"/>
      <c r="N47" s="16"/>
      <c r="O47" s="16"/>
      <c r="P47" s="16"/>
      <c r="Q47" s="16"/>
      <c r="R47" s="16"/>
      <c r="S47" s="16"/>
      <c r="T47" s="16"/>
      <c r="U47" s="16"/>
      <c r="V47" s="16"/>
      <c r="W47" s="16"/>
      <c r="X47" s="16"/>
      <c r="Y47" s="16"/>
      <c r="Z47" s="17"/>
      <c r="AA47" s="16"/>
      <c r="AB47" s="16"/>
    </row>
    <row r="48" spans="1:58" ht="15.75" customHeight="1">
      <c r="A48" s="323"/>
      <c r="B48" s="323"/>
      <c r="C48" s="323"/>
      <c r="D48" s="312"/>
      <c r="E48" s="328"/>
      <c r="F48" s="327"/>
      <c r="G48" s="329"/>
      <c r="H48" s="323"/>
      <c r="I48" s="743"/>
      <c r="J48" s="744"/>
      <c r="K48" s="745"/>
      <c r="L48" s="16"/>
      <c r="M48" s="16"/>
      <c r="N48" s="16"/>
      <c r="O48" s="16"/>
      <c r="P48" s="16"/>
      <c r="Q48" s="16"/>
      <c r="R48" s="16"/>
      <c r="S48" s="16"/>
      <c r="T48" s="16"/>
      <c r="U48" s="16"/>
      <c r="V48" s="16"/>
      <c r="W48" s="16"/>
      <c r="X48" s="16"/>
      <c r="Y48" s="16"/>
      <c r="Z48" s="16"/>
      <c r="AA48" s="16"/>
      <c r="AB48" s="16"/>
    </row>
    <row r="49" spans="1:30" ht="15.75" customHeight="1">
      <c r="A49" s="231"/>
      <c r="B49" s="232"/>
      <c r="C49" s="231"/>
      <c r="D49" s="269"/>
      <c r="E49" s="245"/>
      <c r="F49" s="261"/>
      <c r="G49" s="263"/>
      <c r="H49" s="231"/>
      <c r="I49" s="743"/>
      <c r="J49" s="744"/>
      <c r="K49" s="745"/>
      <c r="L49" s="16"/>
      <c r="M49" s="16"/>
      <c r="N49" s="16"/>
      <c r="O49" s="16"/>
      <c r="P49" s="16"/>
      <c r="Q49" s="16"/>
      <c r="R49" s="16"/>
      <c r="S49" s="16"/>
      <c r="T49" s="16"/>
      <c r="U49" s="16"/>
      <c r="V49" s="16"/>
      <c r="W49" s="16"/>
      <c r="X49" s="16"/>
      <c r="Y49" s="16"/>
      <c r="Z49" s="16"/>
      <c r="AA49" s="16"/>
      <c r="AB49" s="16"/>
    </row>
    <row r="50" spans="1:30" ht="15.75" customHeight="1" thickBot="1">
      <c r="A50" s="231"/>
      <c r="B50" s="326"/>
      <c r="C50" s="245"/>
      <c r="D50" s="245"/>
      <c r="E50" s="261"/>
      <c r="F50" s="261"/>
      <c r="G50" s="263"/>
      <c r="H50" s="231"/>
      <c r="I50" s="746"/>
      <c r="J50" s="747"/>
      <c r="K50" s="748"/>
      <c r="L50" s="16"/>
      <c r="M50" s="16"/>
      <c r="N50" s="16"/>
      <c r="O50" s="16"/>
      <c r="P50" s="16"/>
      <c r="Q50" s="16"/>
      <c r="R50" s="16"/>
      <c r="S50" s="16"/>
      <c r="T50" s="16"/>
      <c r="U50" s="16"/>
      <c r="V50" s="16"/>
      <c r="W50" s="16"/>
      <c r="X50" s="16"/>
      <c r="Y50" s="16"/>
      <c r="Z50" s="16"/>
      <c r="AA50" s="16"/>
      <c r="AB50" s="16"/>
    </row>
    <row r="51" spans="1:30" ht="15.75" customHeight="1" thickTop="1">
      <c r="A51" s="15"/>
      <c r="B51" s="16"/>
      <c r="C51" s="16"/>
      <c r="D51" s="16"/>
      <c r="E51" s="16"/>
      <c r="F51" s="16"/>
      <c r="G51" s="16"/>
      <c r="H51" s="16"/>
      <c r="I51" s="16"/>
      <c r="J51" s="16"/>
      <c r="K51" s="16"/>
      <c r="L51" s="16"/>
      <c r="M51" s="16"/>
      <c r="N51" s="16"/>
      <c r="O51" s="16"/>
      <c r="P51" s="16"/>
      <c r="Q51" s="16"/>
      <c r="R51" s="16"/>
      <c r="S51" s="16"/>
      <c r="T51" s="16"/>
      <c r="U51" s="16"/>
      <c r="V51" s="16"/>
      <c r="W51" s="16"/>
      <c r="X51" s="16"/>
      <c r="Y51" s="16"/>
      <c r="Z51" s="16"/>
      <c r="AA51" s="16"/>
      <c r="AB51" s="16"/>
      <c r="AC51" s="16"/>
      <c r="AD51" s="16"/>
    </row>
    <row r="52" spans="1:30" ht="15.75" customHeight="1">
      <c r="A52" s="15"/>
      <c r="B52" s="16"/>
      <c r="C52" s="16"/>
      <c r="D52" s="16"/>
      <c r="E52" s="16"/>
      <c r="F52" s="16"/>
      <c r="G52" s="16"/>
      <c r="H52" s="16"/>
      <c r="I52" s="16"/>
      <c r="J52" s="16"/>
      <c r="K52" s="16"/>
      <c r="L52" s="16"/>
      <c r="M52" s="16"/>
      <c r="N52" s="16"/>
      <c r="O52" s="16"/>
      <c r="P52" s="16"/>
      <c r="Q52" s="16"/>
      <c r="W52" s="16"/>
      <c r="X52" s="16"/>
      <c r="Y52" s="16"/>
      <c r="Z52" s="16"/>
      <c r="AA52" s="16"/>
      <c r="AB52" s="16"/>
      <c r="AC52" s="16"/>
      <c r="AD52" s="16"/>
    </row>
    <row r="53" spans="1:30" ht="15.75" customHeight="1" thickBot="1">
      <c r="A53" s="186" t="s">
        <v>475</v>
      </c>
      <c r="B53" s="231"/>
      <c r="C53" s="231"/>
      <c r="D53" s="231"/>
      <c r="E53" s="231"/>
      <c r="F53" s="231"/>
      <c r="G53" s="231"/>
      <c r="H53" s="231"/>
      <c r="I53" s="231"/>
      <c r="J53" s="231"/>
      <c r="K53" s="16"/>
      <c r="L53" s="16"/>
      <c r="M53" s="16"/>
      <c r="N53" s="16"/>
      <c r="O53" s="16"/>
      <c r="P53" s="16"/>
      <c r="Q53" s="16"/>
      <c r="W53" s="16"/>
      <c r="X53" s="16"/>
      <c r="Y53" s="16"/>
      <c r="Z53" s="16"/>
      <c r="AA53" s="16"/>
      <c r="AB53" s="16"/>
      <c r="AC53" s="16"/>
      <c r="AD53" s="16"/>
    </row>
    <row r="54" spans="1:30" ht="15.75" customHeight="1" thickTop="1" thickBot="1">
      <c r="A54" s="230" t="s">
        <v>476</v>
      </c>
      <c r="B54" s="230" t="s">
        <v>477</v>
      </c>
      <c r="C54" s="230" t="s">
        <v>478</v>
      </c>
      <c r="D54" s="230" t="s">
        <v>479</v>
      </c>
      <c r="E54" s="230" t="s">
        <v>480</v>
      </c>
      <c r="F54" s="230" t="s">
        <v>481</v>
      </c>
      <c r="G54" s="230" t="s">
        <v>482</v>
      </c>
      <c r="H54" s="230" t="s">
        <v>453</v>
      </c>
      <c r="I54" s="230" t="s">
        <v>483</v>
      </c>
      <c r="J54" s="230" t="s">
        <v>484</v>
      </c>
      <c r="K54" s="721" t="s">
        <v>485</v>
      </c>
      <c r="L54" s="716"/>
      <c r="M54" s="722"/>
      <c r="N54" s="15"/>
      <c r="O54" s="16"/>
      <c r="P54" s="16"/>
      <c r="Q54" s="16"/>
      <c r="W54" s="16"/>
      <c r="X54" s="16"/>
      <c r="Y54" s="16"/>
      <c r="Z54" s="16"/>
      <c r="AA54" s="16"/>
      <c r="AB54" s="16"/>
    </row>
    <row r="55" spans="1:30" ht="15" customHeight="1" thickTop="1">
      <c r="A55" s="430" t="s">
        <v>1273</v>
      </c>
      <c r="B55" s="327" t="s">
        <v>278</v>
      </c>
      <c r="C55" s="470">
        <v>40</v>
      </c>
      <c r="D55" s="470">
        <v>1</v>
      </c>
      <c r="E55" s="471">
        <v>2</v>
      </c>
      <c r="F55" s="471">
        <f>Table_416871[[#This Row],['# Weeks]]*Table_416871[[#This Row],[Total hours/week]]</f>
        <v>80</v>
      </c>
      <c r="G55" s="432" t="s">
        <v>1738</v>
      </c>
      <c r="H55" s="327" t="s">
        <v>57</v>
      </c>
      <c r="I55" s="472" t="s">
        <v>1739</v>
      </c>
      <c r="J55" s="467" t="s">
        <v>582</v>
      </c>
      <c r="K55" s="564"/>
      <c r="L55" s="741"/>
      <c r="M55" s="742"/>
      <c r="N55" s="16"/>
      <c r="O55" s="16"/>
      <c r="P55" s="16"/>
      <c r="Q55" s="16"/>
      <c r="W55" s="16"/>
      <c r="X55" s="16"/>
      <c r="Y55" s="16"/>
      <c r="Z55" s="16"/>
      <c r="AA55" s="16"/>
      <c r="AB55" s="16"/>
    </row>
    <row r="56" spans="1:30" ht="15.75" customHeight="1">
      <c r="A56" s="334" t="s">
        <v>583</v>
      </c>
      <c r="B56" s="327" t="s">
        <v>278</v>
      </c>
      <c r="C56" s="473">
        <v>40</v>
      </c>
      <c r="D56" s="473">
        <v>1</v>
      </c>
      <c r="E56" s="474">
        <v>2</v>
      </c>
      <c r="F56" s="471">
        <f>Table_416871[[#This Row],['# Weeks]]*Table_416871[[#This Row],[Total hours/week]]</f>
        <v>80</v>
      </c>
      <c r="G56" s="434" t="s">
        <v>1738</v>
      </c>
      <c r="H56" s="327" t="s">
        <v>57</v>
      </c>
      <c r="I56" s="475" t="s">
        <v>1739</v>
      </c>
      <c r="J56" s="476" t="s">
        <v>583</v>
      </c>
      <c r="K56" s="749"/>
      <c r="L56" s="744"/>
      <c r="M56" s="745"/>
      <c r="N56" s="16"/>
      <c r="O56" s="16"/>
      <c r="P56" s="16"/>
      <c r="Q56" s="16"/>
      <c r="W56" s="16"/>
      <c r="X56" s="16"/>
      <c r="Y56" s="16"/>
      <c r="Z56" s="16"/>
      <c r="AA56" s="16"/>
      <c r="AB56" s="16"/>
    </row>
    <row r="57" spans="1:30" ht="14.25" customHeight="1">
      <c r="A57" s="231"/>
      <c r="B57" s="319"/>
      <c r="C57" s="231"/>
      <c r="D57" s="231"/>
      <c r="E57" s="231"/>
      <c r="F57" s="231"/>
      <c r="G57" s="248"/>
      <c r="H57" s="319"/>
      <c r="I57" s="331"/>
      <c r="J57" s="231"/>
      <c r="K57" s="749"/>
      <c r="L57" s="744"/>
      <c r="M57" s="745"/>
      <c r="N57" s="16"/>
      <c r="O57" s="16"/>
      <c r="P57" s="16"/>
      <c r="Q57" s="16"/>
      <c r="W57" s="16"/>
      <c r="X57" s="16"/>
      <c r="Y57" s="16"/>
      <c r="Z57" s="16"/>
      <c r="AA57" s="16"/>
      <c r="AB57" s="16"/>
    </row>
    <row r="58" spans="1:30" ht="15.75" customHeight="1">
      <c r="A58" s="319"/>
      <c r="B58" s="319"/>
      <c r="C58" s="231"/>
      <c r="D58" s="231"/>
      <c r="E58" s="231"/>
      <c r="F58" s="231"/>
      <c r="G58" s="231"/>
      <c r="H58" s="319"/>
      <c r="I58" s="331"/>
      <c r="J58" s="231"/>
      <c r="K58" s="749"/>
      <c r="L58" s="744"/>
      <c r="M58" s="745"/>
      <c r="N58" s="16"/>
      <c r="O58" s="16"/>
      <c r="P58" s="16"/>
      <c r="Q58" s="16"/>
      <c r="W58" s="16"/>
      <c r="X58" s="16"/>
      <c r="Y58" s="16"/>
      <c r="Z58" s="16"/>
      <c r="AA58" s="16"/>
      <c r="AB58" s="16"/>
    </row>
    <row r="59" spans="1:30" ht="15.75" customHeight="1">
      <c r="A59" s="319"/>
      <c r="B59" s="319"/>
      <c r="C59" s="231"/>
      <c r="D59" s="231"/>
      <c r="E59" s="231"/>
      <c r="F59" s="231"/>
      <c r="G59" s="231"/>
      <c r="H59" s="319"/>
      <c r="I59" s="331"/>
      <c r="J59" s="231"/>
      <c r="K59" s="749"/>
      <c r="L59" s="744"/>
      <c r="M59" s="745"/>
      <c r="N59" s="16"/>
      <c r="O59" s="16"/>
      <c r="P59" s="16"/>
      <c r="Q59" s="16"/>
      <c r="W59" s="16"/>
      <c r="X59" s="16"/>
      <c r="Y59" s="16"/>
      <c r="Z59" s="16"/>
      <c r="AA59" s="16"/>
      <c r="AB59" s="16"/>
    </row>
    <row r="60" spans="1:30" ht="15.75" customHeight="1">
      <c r="A60" s="319"/>
      <c r="B60" s="319"/>
      <c r="C60" s="231"/>
      <c r="D60" s="231"/>
      <c r="E60" s="231"/>
      <c r="F60" s="231"/>
      <c r="G60" s="319"/>
      <c r="H60" s="319"/>
      <c r="I60" s="331"/>
      <c r="J60" s="231"/>
      <c r="K60" s="749"/>
      <c r="L60" s="744"/>
      <c r="M60" s="745"/>
      <c r="N60" s="16"/>
      <c r="O60" s="16"/>
      <c r="P60" s="16"/>
      <c r="Q60" s="16"/>
      <c r="W60" s="16"/>
      <c r="X60" s="16"/>
      <c r="Y60" s="16"/>
      <c r="Z60" s="16"/>
      <c r="AA60" s="16"/>
      <c r="AB60" s="16"/>
    </row>
    <row r="61" spans="1:30" ht="15.75" customHeight="1">
      <c r="A61" s="319"/>
      <c r="B61" s="319"/>
      <c r="C61" s="231"/>
      <c r="D61" s="231"/>
      <c r="E61" s="231"/>
      <c r="F61" s="231"/>
      <c r="G61" s="319"/>
      <c r="H61" s="319"/>
      <c r="I61" s="331"/>
      <c r="J61" s="231"/>
      <c r="K61" s="749"/>
      <c r="L61" s="744"/>
      <c r="M61" s="745"/>
      <c r="N61" s="16"/>
      <c r="O61" s="16"/>
      <c r="P61" s="16"/>
      <c r="Q61" s="16"/>
      <c r="W61" s="16"/>
      <c r="X61" s="16"/>
      <c r="Y61" s="16"/>
      <c r="Z61" s="16"/>
      <c r="AA61" s="16"/>
      <c r="AB61" s="16"/>
    </row>
    <row r="62" spans="1:30" ht="15.75" customHeight="1">
      <c r="A62" s="319"/>
      <c r="B62" s="319"/>
      <c r="C62" s="261"/>
      <c r="D62" s="261"/>
      <c r="E62" s="261"/>
      <c r="F62" s="262"/>
      <c r="G62" s="319"/>
      <c r="H62" s="319"/>
      <c r="I62" s="331"/>
      <c r="J62" s="231"/>
      <c r="K62" s="749"/>
      <c r="L62" s="744"/>
      <c r="M62" s="745"/>
      <c r="N62" s="16"/>
      <c r="O62" s="16"/>
      <c r="P62" s="16"/>
      <c r="Q62" s="16"/>
      <c r="W62" s="16"/>
      <c r="X62" s="16"/>
      <c r="Y62" s="16"/>
      <c r="Z62" s="16"/>
      <c r="AA62" s="16"/>
      <c r="AB62" s="16"/>
    </row>
    <row r="63" spans="1:30" ht="15.75" customHeight="1">
      <c r="A63" s="319"/>
      <c r="B63" s="319"/>
      <c r="C63" s="261"/>
      <c r="D63" s="261"/>
      <c r="E63" s="261"/>
      <c r="F63" s="262"/>
      <c r="G63" s="319"/>
      <c r="H63" s="319"/>
      <c r="I63" s="331"/>
      <c r="J63" s="231"/>
      <c r="K63" s="749"/>
      <c r="L63" s="744"/>
      <c r="M63" s="745"/>
      <c r="N63" s="16"/>
      <c r="O63" s="16"/>
      <c r="P63" s="16"/>
      <c r="Q63" s="16"/>
      <c r="W63" s="16"/>
      <c r="X63" s="16"/>
      <c r="Y63" s="16"/>
      <c r="Z63" s="16"/>
      <c r="AA63" s="16"/>
      <c r="AB63" s="16"/>
    </row>
    <row r="64" spans="1:30" ht="15.75" customHeight="1">
      <c r="A64" s="231"/>
      <c r="B64" s="319"/>
      <c r="C64" s="232"/>
      <c r="D64" s="232"/>
      <c r="E64" s="261"/>
      <c r="F64" s="262"/>
      <c r="G64" s="231"/>
      <c r="H64" s="319"/>
      <c r="I64" s="331"/>
      <c r="J64" s="231"/>
      <c r="K64" s="749"/>
      <c r="L64" s="744"/>
      <c r="M64" s="745"/>
      <c r="N64" s="16"/>
      <c r="O64" s="16"/>
      <c r="P64" s="16"/>
      <c r="Q64" s="16"/>
      <c r="W64" s="16"/>
      <c r="X64" s="16"/>
      <c r="Y64" s="16"/>
      <c r="Z64" s="16"/>
      <c r="AA64" s="16"/>
      <c r="AB64" s="16"/>
    </row>
    <row r="65" spans="1:30" ht="15.75" customHeight="1">
      <c r="A65" s="231"/>
      <c r="B65" s="319"/>
      <c r="C65" s="232"/>
      <c r="D65" s="232"/>
      <c r="E65" s="261"/>
      <c r="F65" s="262"/>
      <c r="G65" s="231"/>
      <c r="H65" s="319"/>
      <c r="I65" s="331"/>
      <c r="J65" s="231"/>
      <c r="K65" s="749"/>
      <c r="L65" s="744"/>
      <c r="M65" s="745"/>
      <c r="N65" s="16"/>
      <c r="O65" s="16"/>
      <c r="P65" s="16"/>
      <c r="Q65" s="16"/>
      <c r="W65" s="16"/>
      <c r="X65" s="16"/>
      <c r="Y65" s="16"/>
      <c r="Z65" s="16"/>
      <c r="AA65" s="16"/>
      <c r="AB65" s="16"/>
    </row>
    <row r="66" spans="1:30" ht="15.75" customHeight="1">
      <c r="A66" s="231"/>
      <c r="B66" s="319"/>
      <c r="C66" s="232"/>
      <c r="D66" s="232"/>
      <c r="E66" s="261"/>
      <c r="F66" s="262"/>
      <c r="G66" s="231"/>
      <c r="H66" s="319"/>
      <c r="I66" s="331"/>
      <c r="J66" s="231"/>
      <c r="K66" s="749"/>
      <c r="L66" s="744"/>
      <c r="M66" s="745"/>
      <c r="N66" s="16"/>
      <c r="O66" s="16"/>
      <c r="P66" s="16"/>
      <c r="Q66" s="16"/>
      <c r="W66" s="16"/>
      <c r="X66" s="16"/>
      <c r="Y66" s="16"/>
      <c r="Z66" s="16"/>
      <c r="AA66" s="16"/>
      <c r="AB66" s="16"/>
    </row>
    <row r="67" spans="1:30" ht="15.75" customHeight="1" thickBot="1">
      <c r="A67" s="231"/>
      <c r="B67" s="319"/>
      <c r="C67" s="245"/>
      <c r="D67" s="232"/>
      <c r="E67" s="261"/>
      <c r="F67" s="262"/>
      <c r="G67" s="263"/>
      <c r="H67" s="263"/>
      <c r="I67" s="264"/>
      <c r="J67" s="231"/>
      <c r="K67" s="746"/>
      <c r="L67" s="747"/>
      <c r="M67" s="748"/>
      <c r="N67" s="16"/>
      <c r="O67" s="16"/>
      <c r="P67" s="16"/>
      <c r="Q67" s="16"/>
      <c r="W67" s="16"/>
      <c r="X67" s="16"/>
      <c r="Y67" s="16"/>
      <c r="Z67" s="16"/>
      <c r="AA67" s="16"/>
      <c r="AB67" s="16"/>
    </row>
    <row r="68" spans="1:30" ht="15.75" customHeight="1" thickTop="1">
      <c r="A68" s="16"/>
      <c r="B68" s="16"/>
      <c r="C68" s="16"/>
      <c r="D68" s="16"/>
      <c r="E68" s="16"/>
      <c r="F68" s="16"/>
      <c r="G68" s="16"/>
      <c r="H68" s="16"/>
      <c r="I68" s="16"/>
      <c r="J68" s="16"/>
      <c r="K68" s="16"/>
      <c r="L68" s="16"/>
      <c r="M68" s="16"/>
      <c r="N68" s="16"/>
      <c r="O68" s="16"/>
      <c r="P68" s="16"/>
      <c r="Q68" s="16"/>
      <c r="W68" s="16"/>
      <c r="X68" s="16"/>
      <c r="Y68" s="16"/>
      <c r="Z68" s="16"/>
      <c r="AA68" s="16"/>
      <c r="AB68" s="16"/>
      <c r="AC68" s="16"/>
      <c r="AD68" s="16"/>
    </row>
    <row r="69" spans="1:30" ht="15.75" customHeight="1" thickBot="1">
      <c r="A69" s="186" t="s">
        <v>499</v>
      </c>
      <c r="B69" s="231"/>
      <c r="C69" s="231"/>
      <c r="D69" s="231"/>
      <c r="E69" s="231"/>
      <c r="F69" s="231"/>
      <c r="G69" s="231"/>
      <c r="H69" s="231"/>
      <c r="I69" s="231"/>
      <c r="J69" s="231"/>
      <c r="K69" s="123"/>
      <c r="L69" s="123"/>
      <c r="M69" s="16"/>
      <c r="N69" s="16"/>
      <c r="O69" s="16"/>
      <c r="P69" s="16"/>
      <c r="Q69" s="16"/>
      <c r="W69" s="16"/>
      <c r="X69" s="16"/>
      <c r="Y69" s="16"/>
      <c r="Z69" s="16"/>
      <c r="AA69" s="16"/>
      <c r="AB69" s="16"/>
      <c r="AC69" s="16"/>
      <c r="AD69" s="16"/>
    </row>
    <row r="70" spans="1:30" ht="15.75" customHeight="1" thickTop="1" thickBot="1">
      <c r="A70" s="230" t="s">
        <v>476</v>
      </c>
      <c r="B70" s="230" t="s">
        <v>500</v>
      </c>
      <c r="C70" s="230" t="s">
        <v>501</v>
      </c>
      <c r="D70" s="230" t="s">
        <v>502</v>
      </c>
      <c r="E70" s="230" t="s">
        <v>503</v>
      </c>
      <c r="F70" s="230" t="s">
        <v>504</v>
      </c>
      <c r="G70" s="230" t="s">
        <v>505</v>
      </c>
      <c r="H70" s="230" t="s">
        <v>506</v>
      </c>
      <c r="I70" s="230" t="s">
        <v>507</v>
      </c>
      <c r="J70" s="230" t="s">
        <v>508</v>
      </c>
      <c r="K70" s="561" t="s">
        <v>441</v>
      </c>
      <c r="L70" s="561"/>
      <c r="M70" s="561"/>
      <c r="N70" s="561"/>
      <c r="O70" s="570"/>
      <c r="P70" s="726" t="s">
        <v>434</v>
      </c>
      <c r="Q70" s="727"/>
      <c r="R70" s="16"/>
      <c r="S70" s="16"/>
      <c r="V70" s="16"/>
      <c r="W70" s="16"/>
      <c r="X70" s="16"/>
      <c r="Y70" s="16"/>
      <c r="Z70" s="16"/>
      <c r="AA70" s="16"/>
    </row>
    <row r="71" spans="1:30" ht="15.75" customHeight="1" thickTop="1">
      <c r="A71" s="327" t="s">
        <v>577</v>
      </c>
      <c r="B71" s="323" t="s">
        <v>250</v>
      </c>
      <c r="C71" s="323" t="s">
        <v>512</v>
      </c>
      <c r="D71" s="327">
        <v>2</v>
      </c>
      <c r="E71" s="328">
        <v>42</v>
      </c>
      <c r="F71" s="326">
        <f>Thibats!$D71*Thibats!$E71</f>
        <v>84</v>
      </c>
      <c r="G71" s="245">
        <v>1</v>
      </c>
      <c r="H71" s="332">
        <f>IF($B71= "","-",IF($B71= "External","Specify location tariff", INDEX(Constants!$3:$3,MATCH($B71,Constants!$2:$2,0))))</f>
        <v>35</v>
      </c>
      <c r="I71" s="333">
        <f t="shared" ref="I71:I87" si="2">IF($H71="-","-",IF($H71="Specify location tariff","-",$H71*$F71))</f>
        <v>2940</v>
      </c>
      <c r="J71" s="247"/>
      <c r="K71" s="610"/>
      <c r="L71" s="611"/>
      <c r="M71" s="611"/>
      <c r="N71" s="611"/>
      <c r="O71" s="612"/>
      <c r="P71" s="564" t="s">
        <v>511</v>
      </c>
      <c r="Q71" s="565"/>
      <c r="R71" s="16"/>
      <c r="S71" s="16"/>
      <c r="V71" s="16"/>
      <c r="W71" s="16"/>
      <c r="X71" s="16"/>
      <c r="Y71" s="16"/>
      <c r="Z71" s="16"/>
      <c r="AA71" s="16"/>
    </row>
    <row r="72" spans="1:30" ht="15.75" customHeight="1">
      <c r="A72" s="323" t="s">
        <v>1740</v>
      </c>
      <c r="B72" s="323" t="s">
        <v>250</v>
      </c>
      <c r="C72" s="323" t="s">
        <v>515</v>
      </c>
      <c r="D72" s="327">
        <v>2</v>
      </c>
      <c r="E72" s="328">
        <v>42</v>
      </c>
      <c r="F72" s="326">
        <f>Thibats!$D72*Thibats!$E72</f>
        <v>84</v>
      </c>
      <c r="G72" s="245">
        <v>2</v>
      </c>
      <c r="H72" s="332">
        <f>IF($B72= "","-",IF($B72= "External","Specify location tariff", INDEX(Constants!$3:$3,MATCH($B72,Constants!$2:$2,0))))</f>
        <v>35</v>
      </c>
      <c r="I72" s="333">
        <f t="shared" si="2"/>
        <v>2940</v>
      </c>
      <c r="J72" s="247"/>
      <c r="K72" s="613"/>
      <c r="L72" s="562"/>
      <c r="M72" s="562"/>
      <c r="N72" s="562"/>
      <c r="O72" s="614"/>
      <c r="P72" s="566"/>
      <c r="Q72" s="567"/>
      <c r="R72" s="16"/>
      <c r="S72" s="16"/>
      <c r="V72" s="16"/>
      <c r="W72" s="16"/>
      <c r="X72" s="16"/>
      <c r="Y72" s="16"/>
      <c r="Z72" s="16"/>
      <c r="AA72" s="16"/>
    </row>
    <row r="73" spans="1:30" ht="15.75" customHeight="1">
      <c r="A73" s="231"/>
      <c r="B73" s="231"/>
      <c r="C73" s="232"/>
      <c r="D73" s="261"/>
      <c r="E73" s="245"/>
      <c r="F73" s="326">
        <f>Thibats!$D73*Thibats!$E73</f>
        <v>0</v>
      </c>
      <c r="G73" s="245"/>
      <c r="H73" s="332" t="str">
        <f>IF($B73= "","-",IF($B73= "External","Specify location tariff", INDEX(Constants!$3:$3,MATCH($B73,Constants!$2:$2,0))))</f>
        <v>-</v>
      </c>
      <c r="I73" s="333" t="str">
        <f t="shared" si="2"/>
        <v>-</v>
      </c>
      <c r="J73" s="247"/>
      <c r="K73" s="613"/>
      <c r="L73" s="562"/>
      <c r="M73" s="562"/>
      <c r="N73" s="562"/>
      <c r="O73" s="614"/>
      <c r="P73" s="566"/>
      <c r="Q73" s="567"/>
      <c r="R73" s="16"/>
      <c r="S73" s="16"/>
      <c r="V73" s="16"/>
      <c r="W73" s="16"/>
      <c r="X73" s="16"/>
      <c r="Y73" s="16"/>
      <c r="Z73" s="16"/>
      <c r="AA73" s="16"/>
    </row>
    <row r="74" spans="1:30" ht="15.75" customHeight="1">
      <c r="A74" s="231"/>
      <c r="B74" s="231"/>
      <c r="C74" s="232"/>
      <c r="D74" s="261"/>
      <c r="E74" s="245"/>
      <c r="F74" s="326">
        <f>Thibats!$D74*Thibats!$E74</f>
        <v>0</v>
      </c>
      <c r="G74" s="245"/>
      <c r="H74" s="332" t="str">
        <f>IF($B74= "","-",IF($B74= "External","Specify location tariff", INDEX(Constants!$3:$3,MATCH($B74,Constants!$2:$2,0))))</f>
        <v>-</v>
      </c>
      <c r="I74" s="333" t="str">
        <f t="shared" si="2"/>
        <v>-</v>
      </c>
      <c r="J74" s="247"/>
      <c r="K74" s="613"/>
      <c r="L74" s="562"/>
      <c r="M74" s="562"/>
      <c r="N74" s="562"/>
      <c r="O74" s="614"/>
      <c r="P74" s="566"/>
      <c r="Q74" s="567"/>
      <c r="R74" s="16"/>
      <c r="S74" s="16"/>
      <c r="V74" s="16"/>
      <c r="W74" s="16"/>
      <c r="X74" s="16"/>
      <c r="Y74" s="16"/>
      <c r="Z74" s="16"/>
      <c r="AA74" s="16"/>
    </row>
    <row r="75" spans="1:30" ht="15.75" customHeight="1">
      <c r="A75" s="231"/>
      <c r="B75" s="231"/>
      <c r="C75" s="232"/>
      <c r="D75" s="261"/>
      <c r="E75" s="245"/>
      <c r="F75" s="326">
        <f>Thibats!$D75*Thibats!$E75</f>
        <v>0</v>
      </c>
      <c r="G75" s="245"/>
      <c r="H75" s="332" t="str">
        <f>IF($B75= "","-",IF($B75= "External","Specify location tariff", INDEX(Constants!$3:$3,MATCH($B75,Constants!$2:$2,0))))</f>
        <v>-</v>
      </c>
      <c r="I75" s="333" t="str">
        <f t="shared" si="2"/>
        <v>-</v>
      </c>
      <c r="J75" s="247"/>
      <c r="K75" s="613"/>
      <c r="L75" s="562"/>
      <c r="M75" s="562"/>
      <c r="N75" s="562"/>
      <c r="O75" s="614"/>
      <c r="P75" s="566"/>
      <c r="Q75" s="567"/>
      <c r="R75" s="16"/>
      <c r="S75" s="16"/>
      <c r="V75" s="16"/>
      <c r="W75" s="16"/>
      <c r="X75" s="16"/>
      <c r="Y75" s="16"/>
      <c r="Z75" s="16"/>
      <c r="AA75" s="16"/>
    </row>
    <row r="76" spans="1:30" ht="15.75" customHeight="1">
      <c r="A76" s="231"/>
      <c r="B76" s="231"/>
      <c r="C76" s="232"/>
      <c r="D76" s="261"/>
      <c r="E76" s="245"/>
      <c r="F76" s="326">
        <f>Thibats!$D76*Thibats!$E76</f>
        <v>0</v>
      </c>
      <c r="G76" s="245"/>
      <c r="H76" s="332" t="str">
        <f>IF($B76= "","-",IF($B76= "External","Specify location tariff", INDEX(Constants!$3:$3,MATCH($B76,Constants!$2:$2,0))))</f>
        <v>-</v>
      </c>
      <c r="I76" s="333" t="str">
        <f t="shared" si="2"/>
        <v>-</v>
      </c>
      <c r="J76" s="247"/>
      <c r="K76" s="613"/>
      <c r="L76" s="562"/>
      <c r="M76" s="562"/>
      <c r="N76" s="562"/>
      <c r="O76" s="614"/>
      <c r="P76" s="566"/>
      <c r="Q76" s="567"/>
      <c r="R76" s="16"/>
      <c r="S76" s="16"/>
      <c r="V76" s="16"/>
      <c r="W76" s="16"/>
      <c r="X76" s="16"/>
      <c r="Y76" s="16"/>
      <c r="Z76" s="16"/>
      <c r="AA76" s="16"/>
    </row>
    <row r="77" spans="1:30" ht="15.75" customHeight="1">
      <c r="A77" s="231"/>
      <c r="B77" s="231"/>
      <c r="C77" s="232"/>
      <c r="D77" s="261"/>
      <c r="E77" s="245"/>
      <c r="F77" s="326">
        <f>Thibats!$D77*Thibats!$E77</f>
        <v>0</v>
      </c>
      <c r="G77" s="245"/>
      <c r="H77" s="332" t="str">
        <f>IF($B77= "","-",IF($B77= "External","Specify location tariff", INDEX(Constants!$3:$3,MATCH($B77,Constants!$2:$2,0))))</f>
        <v>-</v>
      </c>
      <c r="I77" s="333" t="str">
        <f t="shared" si="2"/>
        <v>-</v>
      </c>
      <c r="J77" s="247"/>
      <c r="K77" s="613"/>
      <c r="L77" s="562"/>
      <c r="M77" s="562"/>
      <c r="N77" s="562"/>
      <c r="O77" s="614"/>
      <c r="P77" s="566"/>
      <c r="Q77" s="567"/>
      <c r="R77" s="16"/>
      <c r="S77" s="16"/>
      <c r="V77" s="16"/>
      <c r="W77" s="16"/>
      <c r="X77" s="16"/>
      <c r="Y77" s="16"/>
      <c r="Z77" s="16"/>
      <c r="AA77" s="16"/>
    </row>
    <row r="78" spans="1:30" ht="15.75" customHeight="1">
      <c r="A78" s="231"/>
      <c r="B78" s="231"/>
      <c r="C78" s="232"/>
      <c r="D78" s="261"/>
      <c r="E78" s="245"/>
      <c r="F78" s="326">
        <f>Thibats!$D78*Thibats!$E78</f>
        <v>0</v>
      </c>
      <c r="G78" s="245"/>
      <c r="H78" s="332" t="str">
        <f>IF($B78= "","-",IF($B78= "External","Specify location tariff", INDEX(Constants!$3:$3,MATCH($B78,Constants!$2:$2,0))))</f>
        <v>-</v>
      </c>
      <c r="I78" s="333" t="str">
        <f t="shared" si="2"/>
        <v>-</v>
      </c>
      <c r="J78" s="247"/>
      <c r="K78" s="613"/>
      <c r="L78" s="562"/>
      <c r="M78" s="562"/>
      <c r="N78" s="562"/>
      <c r="O78" s="614"/>
      <c r="P78" s="566"/>
      <c r="Q78" s="567"/>
      <c r="R78" s="16"/>
      <c r="S78" s="16"/>
      <c r="V78" s="16"/>
      <c r="W78" s="16"/>
      <c r="X78" s="16"/>
      <c r="Y78" s="16"/>
      <c r="Z78" s="16"/>
      <c r="AA78" s="16"/>
    </row>
    <row r="79" spans="1:30" ht="15.75" customHeight="1">
      <c r="A79" s="231"/>
      <c r="B79" s="231"/>
      <c r="C79" s="232"/>
      <c r="D79" s="261"/>
      <c r="E79" s="245"/>
      <c r="F79" s="326">
        <f>Thibats!$D79*Thibats!$E79</f>
        <v>0</v>
      </c>
      <c r="G79" s="245"/>
      <c r="H79" s="332" t="str">
        <f>IF($B79= "","-",IF($B79= "External","Specify location tariff", INDEX(Constants!$3:$3,MATCH($B79,Constants!$2:$2,0))))</f>
        <v>-</v>
      </c>
      <c r="I79" s="333" t="str">
        <f t="shared" si="2"/>
        <v>-</v>
      </c>
      <c r="J79" s="247"/>
      <c r="K79" s="613"/>
      <c r="L79" s="562"/>
      <c r="M79" s="562"/>
      <c r="N79" s="562"/>
      <c r="O79" s="614"/>
      <c r="P79" s="566"/>
      <c r="Q79" s="567"/>
      <c r="R79" s="16"/>
      <c r="S79" s="16"/>
      <c r="V79" s="16"/>
      <c r="W79" s="16"/>
      <c r="X79" s="16"/>
      <c r="Y79" s="16"/>
      <c r="Z79" s="16"/>
      <c r="AA79" s="16"/>
    </row>
    <row r="80" spans="1:30" ht="15.75" customHeight="1">
      <c r="A80" s="231"/>
      <c r="B80" s="231"/>
      <c r="C80" s="232"/>
      <c r="D80" s="261"/>
      <c r="E80" s="245"/>
      <c r="F80" s="326">
        <f>Thibats!$D80*Thibats!$E80</f>
        <v>0</v>
      </c>
      <c r="G80" s="245"/>
      <c r="H80" s="332" t="str">
        <f>IF($B80= "","-",IF($B80= "External","Specify location tariff", INDEX(Constants!$3:$3,MATCH($B80,Constants!$2:$2,0))))</f>
        <v>-</v>
      </c>
      <c r="I80" s="333" t="str">
        <f t="shared" si="2"/>
        <v>-</v>
      </c>
      <c r="J80" s="247"/>
      <c r="K80" s="613"/>
      <c r="L80" s="562"/>
      <c r="M80" s="562"/>
      <c r="N80" s="562"/>
      <c r="O80" s="614"/>
      <c r="P80" s="566"/>
      <c r="Q80" s="567"/>
      <c r="R80" s="16"/>
      <c r="S80" s="16"/>
      <c r="V80" s="16"/>
      <c r="W80" s="16"/>
      <c r="X80" s="16"/>
      <c r="Y80" s="16"/>
      <c r="Z80" s="16"/>
      <c r="AA80" s="16"/>
    </row>
    <row r="81" spans="1:30" ht="15.75" customHeight="1">
      <c r="A81" s="231"/>
      <c r="B81" s="231"/>
      <c r="C81" s="232"/>
      <c r="D81" s="261"/>
      <c r="E81" s="245"/>
      <c r="F81" s="326">
        <f>Thibats!$D81*Thibats!$E81</f>
        <v>0</v>
      </c>
      <c r="G81" s="245"/>
      <c r="H81" s="332" t="str">
        <f>IF($B81= "","-",IF($B81= "External","Specify location tariff", INDEX(Constants!$3:$3,MATCH($B81,Constants!$2:$2,0))))</f>
        <v>-</v>
      </c>
      <c r="I81" s="333" t="str">
        <f t="shared" si="2"/>
        <v>-</v>
      </c>
      <c r="J81" s="247"/>
      <c r="K81" s="613"/>
      <c r="L81" s="562"/>
      <c r="M81" s="562"/>
      <c r="N81" s="562"/>
      <c r="O81" s="614"/>
      <c r="P81" s="566"/>
      <c r="Q81" s="567"/>
      <c r="R81" s="16"/>
      <c r="S81" s="16"/>
      <c r="V81" s="16"/>
      <c r="W81" s="16"/>
      <c r="X81" s="16"/>
      <c r="Y81" s="16"/>
      <c r="Z81" s="16"/>
      <c r="AA81" s="16"/>
    </row>
    <row r="82" spans="1:30" ht="15.75" customHeight="1">
      <c r="A82" s="231"/>
      <c r="B82" s="231"/>
      <c r="C82" s="232"/>
      <c r="D82" s="261"/>
      <c r="E82" s="245"/>
      <c r="F82" s="326">
        <f>Thibats!$D82*Thibats!$E82</f>
        <v>0</v>
      </c>
      <c r="G82" s="245"/>
      <c r="H82" s="332" t="str">
        <f>IF($B82= "","-",IF($B82= "External","Specify location tariff", INDEX(Constants!$3:$3,MATCH($B82,Constants!$2:$2,0))))</f>
        <v>-</v>
      </c>
      <c r="I82" s="333" t="str">
        <f t="shared" si="2"/>
        <v>-</v>
      </c>
      <c r="J82" s="247"/>
      <c r="K82" s="613"/>
      <c r="L82" s="562"/>
      <c r="M82" s="562"/>
      <c r="N82" s="562"/>
      <c r="O82" s="614"/>
      <c r="P82" s="566"/>
      <c r="Q82" s="567"/>
      <c r="R82" s="16"/>
      <c r="S82" s="16"/>
      <c r="V82" s="16"/>
      <c r="W82" s="16"/>
      <c r="X82" s="16"/>
      <c r="Y82" s="16"/>
      <c r="Z82" s="16"/>
      <c r="AA82" s="16"/>
    </row>
    <row r="83" spans="1:30" ht="15.75" customHeight="1">
      <c r="A83" s="231"/>
      <c r="B83" s="231"/>
      <c r="C83" s="232"/>
      <c r="D83" s="261"/>
      <c r="E83" s="245"/>
      <c r="F83" s="326">
        <f>Thibats!$D83*Thibats!$E83</f>
        <v>0</v>
      </c>
      <c r="G83" s="245"/>
      <c r="H83" s="332" t="str">
        <f>IF($B83= "","-",IF($B83= "External","Specify location tariff", INDEX(Constants!$3:$3,MATCH($B83,Constants!$2:$2,0))))</f>
        <v>-</v>
      </c>
      <c r="I83" s="333" t="str">
        <f t="shared" si="2"/>
        <v>-</v>
      </c>
      <c r="J83" s="247"/>
      <c r="K83" s="613"/>
      <c r="L83" s="562"/>
      <c r="M83" s="562"/>
      <c r="N83" s="562"/>
      <c r="O83" s="614"/>
      <c r="P83" s="566"/>
      <c r="Q83" s="567"/>
      <c r="R83" s="16"/>
      <c r="S83" s="16"/>
      <c r="V83" s="16"/>
      <c r="W83" s="16"/>
      <c r="X83" s="16"/>
      <c r="Y83" s="16"/>
      <c r="Z83" s="16"/>
      <c r="AA83" s="16"/>
    </row>
    <row r="84" spans="1:30" ht="15.75" customHeight="1">
      <c r="A84" s="231"/>
      <c r="B84" s="231"/>
      <c r="C84" s="232"/>
      <c r="D84" s="261"/>
      <c r="E84" s="245"/>
      <c r="F84" s="326">
        <f>Thibats!$D84*Thibats!$E84</f>
        <v>0</v>
      </c>
      <c r="G84" s="245"/>
      <c r="H84" s="332" t="str">
        <f>IF($B84= "","-",IF($B84= "External","Specify location tariff", INDEX(Constants!$3:$3,MATCH($B84,Constants!$2:$2,0))))</f>
        <v>-</v>
      </c>
      <c r="I84" s="333" t="str">
        <f t="shared" si="2"/>
        <v>-</v>
      </c>
      <c r="J84" s="247"/>
      <c r="K84" s="613"/>
      <c r="L84" s="562"/>
      <c r="M84" s="562"/>
      <c r="N84" s="562"/>
      <c r="O84" s="614"/>
      <c r="P84" s="566"/>
      <c r="Q84" s="567"/>
      <c r="R84" s="16"/>
      <c r="S84" s="16"/>
      <c r="V84" s="16"/>
      <c r="W84" s="16"/>
      <c r="X84" s="16"/>
      <c r="Y84" s="16"/>
      <c r="Z84" s="16"/>
      <c r="AA84" s="16"/>
    </row>
    <row r="85" spans="1:30" ht="15.75" customHeight="1">
      <c r="A85" s="231"/>
      <c r="B85" s="231"/>
      <c r="C85" s="232"/>
      <c r="D85" s="261"/>
      <c r="E85" s="245"/>
      <c r="F85" s="326">
        <f>Thibats!$D85*Thibats!$E85</f>
        <v>0</v>
      </c>
      <c r="G85" s="245"/>
      <c r="H85" s="332" t="str">
        <f>IF($B85= "","-",IF($B85= "External","Specify location tariff", INDEX(Constants!$3:$3,MATCH($B85,Constants!$2:$2,0))))</f>
        <v>-</v>
      </c>
      <c r="I85" s="333" t="str">
        <f t="shared" si="2"/>
        <v>-</v>
      </c>
      <c r="J85" s="247"/>
      <c r="K85" s="613"/>
      <c r="L85" s="562"/>
      <c r="M85" s="562"/>
      <c r="N85" s="562"/>
      <c r="O85" s="614"/>
      <c r="P85" s="566"/>
      <c r="Q85" s="567"/>
      <c r="R85" s="16"/>
      <c r="S85" s="16"/>
      <c r="V85" s="16"/>
      <c r="W85" s="16"/>
      <c r="X85" s="16"/>
      <c r="Y85" s="16"/>
      <c r="Z85" s="16"/>
      <c r="AA85" s="16"/>
    </row>
    <row r="86" spans="1:30" ht="15.75" customHeight="1">
      <c r="A86" s="231"/>
      <c r="B86" s="231"/>
      <c r="C86" s="232"/>
      <c r="D86" s="261"/>
      <c r="E86" s="245"/>
      <c r="F86" s="326">
        <f>Thibats!$D86*Thibats!$E86</f>
        <v>0</v>
      </c>
      <c r="G86" s="245"/>
      <c r="H86" s="332" t="str">
        <f>IF($B86= "","-",IF($B86= "External","Specify location tariff", INDEX(Constants!$3:$3,MATCH($B86,Constants!$2:$2,0))))</f>
        <v>-</v>
      </c>
      <c r="I86" s="333" t="str">
        <f t="shared" si="2"/>
        <v>-</v>
      </c>
      <c r="J86" s="247"/>
      <c r="K86" s="613"/>
      <c r="L86" s="562"/>
      <c r="M86" s="562"/>
      <c r="N86" s="562"/>
      <c r="O86" s="614"/>
      <c r="P86" s="566"/>
      <c r="Q86" s="567"/>
      <c r="R86" s="16"/>
      <c r="S86" s="16"/>
      <c r="V86" s="16"/>
      <c r="W86" s="16"/>
      <c r="X86" s="16"/>
      <c r="Y86" s="16"/>
      <c r="Z86" s="16"/>
      <c r="AA86" s="16"/>
    </row>
    <row r="87" spans="1:30" ht="15.75" customHeight="1" thickBot="1">
      <c r="A87" s="231"/>
      <c r="B87" s="231"/>
      <c r="C87" s="232"/>
      <c r="D87" s="261"/>
      <c r="E87" s="245"/>
      <c r="F87" s="326">
        <f>Thibats!$D87*Thibats!$E87</f>
        <v>0</v>
      </c>
      <c r="G87" s="245"/>
      <c r="H87" s="332" t="str">
        <f>IF($B87= "","-",IF($B87= "External","Specify location tariff", INDEX(Constants!$3:$3,MATCH($B87,Constants!$2:$2,0))))</f>
        <v>-</v>
      </c>
      <c r="I87" s="333" t="str">
        <f t="shared" si="2"/>
        <v>-</v>
      </c>
      <c r="J87" s="247"/>
      <c r="K87" s="615"/>
      <c r="L87" s="616"/>
      <c r="M87" s="616"/>
      <c r="N87" s="616"/>
      <c r="O87" s="617"/>
      <c r="P87" s="568"/>
      <c r="Q87" s="569"/>
      <c r="R87" s="16"/>
      <c r="S87" s="16"/>
      <c r="V87" s="16"/>
      <c r="W87" s="16"/>
      <c r="X87" s="16"/>
      <c r="Y87" s="16"/>
      <c r="Z87" s="16"/>
      <c r="AA87" s="16"/>
    </row>
    <row r="88" spans="1:30" ht="15.75" customHeight="1" thickTop="1">
      <c r="A88" s="15"/>
      <c r="B88" s="16"/>
      <c r="C88" s="16"/>
      <c r="D88" s="16"/>
      <c r="E88" s="16"/>
      <c r="F88" s="16"/>
      <c r="G88" s="16"/>
      <c r="H88" s="16"/>
      <c r="I88" s="16"/>
      <c r="J88" s="16"/>
      <c r="K88" s="16"/>
      <c r="L88" s="16"/>
      <c r="M88" s="16"/>
      <c r="N88" s="16"/>
      <c r="O88" s="16"/>
      <c r="P88" s="16"/>
      <c r="Q88" s="16"/>
      <c r="R88" s="16"/>
      <c r="S88" s="16"/>
      <c r="T88" s="16"/>
      <c r="U88" s="16"/>
      <c r="V88" s="16"/>
      <c r="W88" s="16"/>
      <c r="X88" s="16"/>
      <c r="Y88" s="16"/>
      <c r="Z88" s="16"/>
      <c r="AA88" s="16"/>
      <c r="AB88" s="16"/>
      <c r="AC88" s="16"/>
      <c r="AD88" s="16"/>
    </row>
    <row r="89" spans="1:30" ht="15.75" customHeight="1">
      <c r="A89" s="15"/>
      <c r="B89" s="16"/>
      <c r="C89" s="280"/>
      <c r="D89" s="16"/>
      <c r="E89" s="16"/>
      <c r="F89" s="16"/>
      <c r="G89" s="16"/>
      <c r="H89" s="16"/>
      <c r="I89" s="16"/>
      <c r="J89" s="16"/>
      <c r="K89" s="16"/>
      <c r="L89" s="16"/>
      <c r="M89" s="16"/>
      <c r="N89" s="16"/>
      <c r="O89" s="16"/>
      <c r="P89" s="16"/>
      <c r="Q89" s="16"/>
      <c r="R89" s="16"/>
      <c r="S89" s="16"/>
      <c r="T89" s="16"/>
      <c r="U89" s="16"/>
      <c r="V89" s="16"/>
      <c r="W89" s="16"/>
      <c r="X89" s="16"/>
      <c r="Y89" s="16"/>
      <c r="Z89" s="16"/>
      <c r="AA89" s="16"/>
      <c r="AB89" s="16"/>
      <c r="AC89" s="16"/>
      <c r="AD89" s="16"/>
    </row>
    <row r="90" spans="1:30" ht="15.75" customHeight="1" thickBot="1">
      <c r="A90" s="186" t="s">
        <v>519</v>
      </c>
      <c r="B90" s="16"/>
      <c r="C90" s="128"/>
      <c r="D90" s="51"/>
      <c r="E90" s="51"/>
      <c r="F90" s="51"/>
      <c r="G90" s="51"/>
      <c r="H90" s="51"/>
      <c r="I90" s="51"/>
      <c r="J90" s="51"/>
      <c r="K90" s="51"/>
      <c r="L90" s="232"/>
      <c r="M90" s="231"/>
      <c r="N90" s="16"/>
      <c r="O90" s="16"/>
      <c r="P90" s="16"/>
      <c r="Q90" s="16"/>
      <c r="R90" s="16"/>
      <c r="S90" s="16"/>
      <c r="T90" s="16"/>
      <c r="U90" s="16"/>
      <c r="V90" s="16"/>
      <c r="W90" s="16"/>
      <c r="X90" s="16"/>
      <c r="Y90" s="16"/>
      <c r="Z90" s="16"/>
      <c r="AA90" s="16"/>
      <c r="AB90" s="16"/>
      <c r="AC90" s="16"/>
      <c r="AD90" s="16"/>
    </row>
    <row r="91" spans="1:30" ht="15" customHeight="1" thickTop="1" thickBot="1">
      <c r="A91" s="230" t="s">
        <v>438</v>
      </c>
      <c r="B91" s="230" t="s">
        <v>439</v>
      </c>
      <c r="C91" s="230" t="s">
        <v>520</v>
      </c>
      <c r="D91" s="230" t="s">
        <v>521</v>
      </c>
      <c r="E91" s="230" t="s">
        <v>522</v>
      </c>
      <c r="F91" s="230" t="s">
        <v>523</v>
      </c>
      <c r="G91" s="230" t="s">
        <v>508</v>
      </c>
      <c r="H91" s="721" t="s">
        <v>441</v>
      </c>
      <c r="I91" s="728"/>
      <c r="J91" s="729" t="s">
        <v>434</v>
      </c>
      <c r="K91" s="730"/>
      <c r="L91" s="16"/>
      <c r="M91" s="16"/>
      <c r="N91" s="16"/>
      <c r="O91" s="16"/>
      <c r="P91" s="117"/>
      <c r="Q91" s="15"/>
      <c r="R91" s="16"/>
      <c r="S91" s="130"/>
      <c r="T91" s="16"/>
      <c r="U91" s="16"/>
      <c r="V91" s="16"/>
      <c r="W91" s="241"/>
      <c r="X91" s="16"/>
      <c r="Y91" s="16"/>
      <c r="Z91" s="16"/>
      <c r="AA91" s="16"/>
      <c r="AB91" s="16"/>
    </row>
    <row r="92" spans="1:30" ht="73.349999999999994" customHeight="1" thickTop="1">
      <c r="A92" s="477" t="s">
        <v>1741</v>
      </c>
      <c r="B92" s="478" t="s">
        <v>279</v>
      </c>
      <c r="C92" s="479">
        <v>0.44900000000000001</v>
      </c>
      <c r="D92" s="480">
        <v>1</v>
      </c>
      <c r="E92" s="481">
        <v>300</v>
      </c>
      <c r="F92" s="479">
        <f>IF(Table_617078[[#This Row],[Item]]="",0,Table_617078[[#This Row],[Amount]]*Table_617078[[#This Row],[Purchase / Running costs]]/Table_617078[[#This Row],[Depreciation period]])</f>
        <v>134.70000000000002</v>
      </c>
      <c r="G92" s="482" t="s">
        <v>1742</v>
      </c>
      <c r="H92" s="653" t="s">
        <v>1743</v>
      </c>
      <c r="I92" s="750"/>
      <c r="J92" s="628" t="s">
        <v>526</v>
      </c>
      <c r="K92" s="730"/>
      <c r="L92" s="16"/>
      <c r="M92" s="16"/>
      <c r="N92" s="16"/>
      <c r="O92" s="16"/>
      <c r="P92" s="16"/>
      <c r="Q92" s="133"/>
      <c r="R92" s="16"/>
      <c r="S92" s="16"/>
      <c r="T92" s="16"/>
      <c r="U92" s="16"/>
      <c r="V92" s="16"/>
      <c r="W92" s="16"/>
      <c r="X92" s="16"/>
      <c r="Y92" s="16"/>
      <c r="Z92" s="16"/>
      <c r="AA92" s="16"/>
      <c r="AB92" s="16"/>
    </row>
    <row r="93" spans="1:30" ht="89.1" customHeight="1">
      <c r="A93" s="483" t="s">
        <v>1744</v>
      </c>
      <c r="B93" s="478" t="s">
        <v>279</v>
      </c>
      <c r="C93" s="479">
        <v>1.19</v>
      </c>
      <c r="D93" s="480">
        <v>1</v>
      </c>
      <c r="E93" s="481">
        <v>30</v>
      </c>
      <c r="F93" s="479">
        <f>IF(Table_617078[[#This Row],[Item]]="",0,Table_617078[[#This Row],[Amount]]*Table_617078[[#This Row],[Purchase / Running costs]]/Table_617078[[#This Row],[Depreciation period]])</f>
        <v>35.699999999999996</v>
      </c>
      <c r="G93" s="482" t="s">
        <v>1745</v>
      </c>
      <c r="H93" s="744"/>
      <c r="I93" s="751"/>
      <c r="J93" s="702"/>
      <c r="K93" s="732"/>
      <c r="L93" s="16"/>
      <c r="M93" s="16"/>
      <c r="N93" s="16"/>
      <c r="O93" s="16"/>
      <c r="P93" s="16"/>
      <c r="Q93" s="16"/>
      <c r="R93" s="16"/>
      <c r="S93" s="16"/>
      <c r="T93" s="16"/>
      <c r="U93" s="16"/>
      <c r="V93" s="16"/>
      <c r="W93" s="16"/>
      <c r="X93" s="16"/>
      <c r="Y93" s="16"/>
      <c r="Z93" s="16"/>
      <c r="AA93" s="16"/>
      <c r="AB93" s="16"/>
    </row>
    <row r="94" spans="1:30" ht="159.6" customHeight="1">
      <c r="A94" s="483" t="s">
        <v>1746</v>
      </c>
      <c r="B94" s="478" t="s">
        <v>279</v>
      </c>
      <c r="C94" s="479">
        <v>69.900000000000006</v>
      </c>
      <c r="D94" s="480">
        <v>6</v>
      </c>
      <c r="E94" s="481">
        <v>6</v>
      </c>
      <c r="F94" s="479">
        <f>IF(Table_617078[[#This Row],[Item]]="",0,Table_617078[[#This Row],[Amount]]*Table_617078[[#This Row],[Purchase / Running costs]]/Table_617078[[#This Row],[Depreciation period]])</f>
        <v>69.900000000000006</v>
      </c>
      <c r="G94" s="482" t="s">
        <v>1747</v>
      </c>
      <c r="H94" s="744"/>
      <c r="I94" s="751"/>
      <c r="J94" s="702"/>
      <c r="K94" s="732"/>
      <c r="L94" s="16"/>
      <c r="M94" s="16"/>
      <c r="N94" s="16"/>
      <c r="O94" s="16"/>
      <c r="P94" s="16"/>
      <c r="Q94" s="16"/>
      <c r="R94" s="16"/>
      <c r="S94" s="16"/>
      <c r="T94" s="16"/>
      <c r="U94" s="16"/>
      <c r="V94" s="16"/>
      <c r="W94" s="16"/>
      <c r="X94" s="16"/>
      <c r="Y94" s="16"/>
      <c r="Z94" s="16"/>
      <c r="AA94" s="16"/>
      <c r="AB94" s="16"/>
    </row>
    <row r="95" spans="1:30" ht="15.75" customHeight="1">
      <c r="A95" s="231"/>
      <c r="B95" s="248"/>
      <c r="C95" s="246">
        <v>0</v>
      </c>
      <c r="D95" s="247"/>
      <c r="E95" s="245"/>
      <c r="F95" s="246">
        <f>IF(Table_617078[[#This Row],[Item]]="",0,Table_617078[[#This Row],[Amount]]*Table_617078[[#This Row],[Purchase / Running costs]]/Table_617078[[#This Row],[Depreciation period]])</f>
        <v>0</v>
      </c>
      <c r="G95" s="247"/>
      <c r="H95" s="744"/>
      <c r="I95" s="751"/>
      <c r="J95" s="702"/>
      <c r="K95" s="732"/>
      <c r="L95" s="16"/>
      <c r="M95" s="16"/>
      <c r="N95" s="16"/>
      <c r="O95" s="16"/>
      <c r="P95" s="16"/>
      <c r="Q95" s="16"/>
      <c r="R95" s="16"/>
      <c r="S95" s="16"/>
      <c r="T95" s="16"/>
      <c r="U95" s="16"/>
      <c r="V95" s="16"/>
      <c r="W95" s="16"/>
      <c r="X95" s="16"/>
      <c r="Y95" s="16"/>
      <c r="Z95" s="16"/>
      <c r="AA95" s="16"/>
      <c r="AB95" s="16"/>
    </row>
    <row r="96" spans="1:30" ht="15.75" customHeight="1">
      <c r="A96" s="231"/>
      <c r="B96" s="248"/>
      <c r="C96" s="246">
        <v>0</v>
      </c>
      <c r="D96" s="247"/>
      <c r="E96" s="245"/>
      <c r="F96" s="246">
        <f>IF(Table_617078[[#This Row],[Item]]="",0,Table_617078[[#This Row],[Amount]]*Table_617078[[#This Row],[Purchase / Running costs]]/Table_617078[[#This Row],[Depreciation period]])</f>
        <v>0</v>
      </c>
      <c r="G96" s="247"/>
      <c r="H96" s="744"/>
      <c r="I96" s="751"/>
      <c r="J96" s="702"/>
      <c r="K96" s="732"/>
      <c r="L96" s="16"/>
      <c r="M96" s="16"/>
      <c r="N96" s="16"/>
      <c r="O96" s="16"/>
      <c r="P96" s="16"/>
      <c r="Q96" s="16"/>
      <c r="R96" s="16"/>
      <c r="S96" s="16"/>
      <c r="T96" s="16"/>
      <c r="U96" s="16"/>
      <c r="V96" s="16"/>
      <c r="W96" s="16"/>
      <c r="X96" s="16"/>
      <c r="Y96" s="16"/>
      <c r="Z96" s="16"/>
      <c r="AA96" s="16"/>
      <c r="AB96" s="16"/>
    </row>
    <row r="97" spans="1:30" ht="15.75" customHeight="1">
      <c r="A97" s="231"/>
      <c r="B97" s="248"/>
      <c r="C97" s="246">
        <v>0</v>
      </c>
      <c r="D97" s="247"/>
      <c r="E97" s="245"/>
      <c r="F97" s="246">
        <f>IF(Table_617078[[#This Row],[Item]]="",0,Table_617078[[#This Row],[Amount]]*Table_617078[[#This Row],[Purchase / Running costs]]/Table_617078[[#This Row],[Depreciation period]])</f>
        <v>0</v>
      </c>
      <c r="G97" s="247"/>
      <c r="H97" s="744"/>
      <c r="I97" s="751"/>
      <c r="J97" s="702"/>
      <c r="K97" s="732"/>
      <c r="L97" s="16"/>
      <c r="M97" s="16"/>
      <c r="N97" s="16"/>
      <c r="O97" s="16"/>
      <c r="P97" s="16"/>
      <c r="Q97" s="16"/>
      <c r="R97" s="16"/>
      <c r="S97" s="16"/>
      <c r="T97" s="16"/>
      <c r="U97" s="16"/>
      <c r="V97" s="16"/>
      <c r="W97" s="16"/>
      <c r="X97" s="16"/>
      <c r="Y97" s="16"/>
      <c r="Z97" s="16"/>
      <c r="AA97" s="16"/>
      <c r="AB97" s="16"/>
    </row>
    <row r="98" spans="1:30" ht="15.75" customHeight="1">
      <c r="A98" s="231"/>
      <c r="B98" s="244"/>
      <c r="C98" s="246">
        <v>0</v>
      </c>
      <c r="D98" s="247"/>
      <c r="E98" s="245"/>
      <c r="F98" s="246">
        <f>IF(Table_617078[[#This Row],[Item]]="",0,Table_617078[[#This Row],[Amount]]*Table_617078[[#This Row],[Purchase / Running costs]]/Table_617078[[#This Row],[Depreciation period]])</f>
        <v>0</v>
      </c>
      <c r="G98" s="247"/>
      <c r="H98" s="744"/>
      <c r="I98" s="751"/>
      <c r="J98" s="702"/>
      <c r="K98" s="732"/>
      <c r="L98" s="16"/>
      <c r="M98" s="16"/>
      <c r="N98" s="16"/>
      <c r="O98" s="16"/>
      <c r="P98" s="16"/>
      <c r="Q98" s="16"/>
      <c r="R98" s="16"/>
      <c r="S98" s="16"/>
      <c r="T98" s="16"/>
      <c r="U98" s="16"/>
      <c r="V98" s="16"/>
      <c r="W98" s="16"/>
      <c r="X98" s="16"/>
      <c r="Y98" s="16"/>
      <c r="Z98" s="16"/>
      <c r="AA98" s="16"/>
      <c r="AB98" s="16"/>
    </row>
    <row r="99" spans="1:30" ht="15.75" customHeight="1">
      <c r="A99" s="231"/>
      <c r="B99" s="244"/>
      <c r="C99" s="246">
        <v>0</v>
      </c>
      <c r="D99" s="247"/>
      <c r="E99" s="245"/>
      <c r="F99" s="246">
        <f>IF(Table_617078[[#This Row],[Item]]="",0,Table_617078[[#This Row],[Amount]]*Table_617078[[#This Row],[Purchase / Running costs]]/Table_617078[[#This Row],[Depreciation period]])</f>
        <v>0</v>
      </c>
      <c r="G99" s="247"/>
      <c r="H99" s="744"/>
      <c r="I99" s="751"/>
      <c r="J99" s="702"/>
      <c r="K99" s="732"/>
      <c r="L99" s="16"/>
      <c r="M99" s="16"/>
      <c r="N99" s="16"/>
      <c r="O99" s="16"/>
      <c r="P99" s="16"/>
      <c r="Q99" s="16"/>
      <c r="R99" s="16"/>
      <c r="S99" s="16"/>
      <c r="T99" s="16"/>
      <c r="U99" s="16"/>
      <c r="V99" s="16"/>
      <c r="W99" s="16"/>
      <c r="X99" s="16"/>
      <c r="Y99" s="16"/>
      <c r="Z99" s="16"/>
      <c r="AA99" s="16"/>
      <c r="AB99" s="16"/>
    </row>
    <row r="100" spans="1:30" ht="15.75" customHeight="1">
      <c r="A100" s="231"/>
      <c r="B100" s="244"/>
      <c r="C100" s="246">
        <v>0</v>
      </c>
      <c r="D100" s="247"/>
      <c r="E100" s="245"/>
      <c r="F100" s="246">
        <f>IF(Table_617078[[#This Row],[Item]]="",0,Table_617078[[#This Row],[Amount]]*Table_617078[[#This Row],[Purchase / Running costs]]/Table_617078[[#This Row],[Depreciation period]])</f>
        <v>0</v>
      </c>
      <c r="G100" s="247"/>
      <c r="H100" s="744"/>
      <c r="I100" s="751"/>
      <c r="J100" s="702"/>
      <c r="K100" s="732"/>
      <c r="L100" s="16"/>
      <c r="M100" s="16"/>
      <c r="N100" s="16"/>
      <c r="O100" s="16"/>
      <c r="P100" s="16"/>
      <c r="Q100" s="16"/>
      <c r="R100" s="16"/>
      <c r="S100" s="16"/>
      <c r="T100" s="16"/>
      <c r="U100" s="16"/>
      <c r="V100" s="16"/>
      <c r="W100" s="16"/>
      <c r="X100" s="16"/>
      <c r="Y100" s="16"/>
      <c r="Z100" s="16"/>
      <c r="AA100" s="16"/>
      <c r="AB100" s="16"/>
    </row>
    <row r="101" spans="1:30" ht="15.75" customHeight="1">
      <c r="A101" s="231"/>
      <c r="B101" s="244"/>
      <c r="C101" s="246">
        <v>0</v>
      </c>
      <c r="D101" s="247"/>
      <c r="E101" s="245"/>
      <c r="F101" s="246">
        <f>IF(Table_617078[[#This Row],[Item]]="",0,Table_617078[[#This Row],[Amount]]*Table_617078[[#This Row],[Purchase / Running costs]]/Table_617078[[#This Row],[Depreciation period]])</f>
        <v>0</v>
      </c>
      <c r="G101" s="247"/>
      <c r="H101" s="744"/>
      <c r="I101" s="751"/>
      <c r="J101" s="702"/>
      <c r="K101" s="732"/>
      <c r="L101" s="16"/>
      <c r="M101" s="16"/>
      <c r="N101" s="16"/>
      <c r="O101" s="16"/>
      <c r="P101" s="16"/>
      <c r="Q101" s="16"/>
      <c r="R101" s="16"/>
      <c r="S101" s="16"/>
      <c r="T101" s="16"/>
      <c r="U101" s="16"/>
      <c r="V101" s="16"/>
      <c r="W101" s="16"/>
      <c r="X101" s="16"/>
      <c r="Y101" s="16"/>
      <c r="Z101" s="16"/>
      <c r="AA101" s="16"/>
      <c r="AB101" s="16"/>
    </row>
    <row r="102" spans="1:30" ht="15.75" customHeight="1">
      <c r="A102" s="231"/>
      <c r="B102" s="244"/>
      <c r="C102" s="246">
        <v>0</v>
      </c>
      <c r="D102" s="247"/>
      <c r="E102" s="245"/>
      <c r="F102" s="246">
        <f>IF(Table_617078[[#This Row],[Item]]="",0,Table_617078[[#This Row],[Amount]]*Table_617078[[#This Row],[Purchase / Running costs]]/Table_617078[[#This Row],[Depreciation period]])</f>
        <v>0</v>
      </c>
      <c r="G102" s="247"/>
      <c r="H102" s="744"/>
      <c r="I102" s="751"/>
      <c r="J102" s="702"/>
      <c r="K102" s="732"/>
      <c r="L102" s="16"/>
      <c r="M102" s="16"/>
      <c r="N102" s="16"/>
      <c r="O102" s="16"/>
      <c r="P102" s="16"/>
      <c r="Q102" s="16"/>
      <c r="R102" s="16"/>
      <c r="S102" s="16"/>
      <c r="T102" s="16"/>
      <c r="U102" s="16"/>
      <c r="V102" s="16"/>
      <c r="W102" s="16"/>
      <c r="X102" s="16"/>
      <c r="Y102" s="16"/>
      <c r="Z102" s="16"/>
      <c r="AA102" s="16"/>
      <c r="AB102" s="16"/>
    </row>
    <row r="103" spans="1:30" ht="15.75" customHeight="1">
      <c r="A103" s="231"/>
      <c r="B103" s="244"/>
      <c r="C103" s="246">
        <v>0</v>
      </c>
      <c r="D103" s="247"/>
      <c r="E103" s="245"/>
      <c r="F103" s="246">
        <f>IF(Table_617078[[#This Row],[Item]]="",0,Table_617078[[#This Row],[Amount]]*Table_617078[[#This Row],[Purchase / Running costs]]/Table_617078[[#This Row],[Depreciation period]])</f>
        <v>0</v>
      </c>
      <c r="G103" s="247"/>
      <c r="H103" s="744"/>
      <c r="I103" s="751"/>
      <c r="J103" s="702"/>
      <c r="K103" s="732"/>
      <c r="L103" s="16"/>
      <c r="M103" s="16"/>
      <c r="N103" s="16"/>
      <c r="O103" s="16"/>
      <c r="P103" s="16"/>
      <c r="Q103" s="16"/>
      <c r="R103" s="16"/>
      <c r="S103" s="16"/>
      <c r="T103" s="16"/>
      <c r="U103" s="16"/>
      <c r="V103" s="16"/>
      <c r="W103" s="16"/>
      <c r="X103" s="16"/>
      <c r="Y103" s="16"/>
      <c r="Z103" s="16"/>
      <c r="AA103" s="16"/>
      <c r="AB103" s="16"/>
    </row>
    <row r="104" spans="1:30" ht="15.75" customHeight="1">
      <c r="A104" s="231"/>
      <c r="B104" s="244"/>
      <c r="C104" s="246">
        <v>0</v>
      </c>
      <c r="D104" s="247"/>
      <c r="E104" s="245"/>
      <c r="F104" s="246">
        <f>IF(Table_617078[[#This Row],[Item]]="",0,Table_617078[[#This Row],[Amount]]*Table_617078[[#This Row],[Purchase / Running costs]]/Table_617078[[#This Row],[Depreciation period]])</f>
        <v>0</v>
      </c>
      <c r="G104" s="247"/>
      <c r="H104" s="744"/>
      <c r="I104" s="751"/>
      <c r="J104" s="702"/>
      <c r="K104" s="732"/>
      <c r="L104" s="16"/>
      <c r="M104" s="16"/>
      <c r="N104" s="16"/>
      <c r="O104" s="16"/>
      <c r="P104" s="16"/>
      <c r="Q104" s="16"/>
      <c r="R104" s="16"/>
      <c r="S104" s="16"/>
      <c r="T104" s="16"/>
      <c r="U104" s="16"/>
      <c r="V104" s="16"/>
      <c r="W104" s="16"/>
      <c r="X104" s="16"/>
      <c r="Y104" s="16"/>
      <c r="Z104" s="16"/>
      <c r="AA104" s="16"/>
      <c r="AB104" s="16"/>
    </row>
    <row r="105" spans="1:30" ht="15.75" customHeight="1" thickBot="1">
      <c r="A105" s="231"/>
      <c r="B105" s="244"/>
      <c r="C105" s="246">
        <v>0</v>
      </c>
      <c r="D105" s="247"/>
      <c r="E105" s="245"/>
      <c r="F105" s="246">
        <f>IF(Table_617078[[#This Row],[Item]]="",0,Table_617078[[#This Row],[Amount]]*Table_617078[[#This Row],[Purchase / Running costs]]/Table_617078[[#This Row],[Depreciation period]])</f>
        <v>0</v>
      </c>
      <c r="G105" s="247"/>
      <c r="H105" s="747"/>
      <c r="I105" s="748"/>
      <c r="J105" s="752"/>
      <c r="K105" s="734"/>
      <c r="L105" s="16"/>
      <c r="M105" s="16"/>
      <c r="N105" s="16"/>
      <c r="O105" s="16"/>
      <c r="P105" s="16"/>
      <c r="Q105" s="16"/>
      <c r="R105" s="16"/>
      <c r="S105" s="16"/>
      <c r="T105" s="16"/>
      <c r="U105" s="16"/>
      <c r="V105" s="16"/>
      <c r="W105" s="16"/>
      <c r="X105" s="16"/>
      <c r="Y105" s="16"/>
      <c r="Z105" s="16"/>
      <c r="AA105" s="16"/>
      <c r="AB105" s="16"/>
    </row>
    <row r="106" spans="1:30" ht="15.75" customHeight="1" thickTop="1">
      <c r="A106" s="15"/>
      <c r="B106" s="131"/>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c r="AD106" s="16"/>
    </row>
    <row r="107" spans="1:30" ht="15.75" customHeight="1">
      <c r="A107" s="15"/>
      <c r="B107" s="131"/>
      <c r="C107" s="16"/>
      <c r="D107" s="16"/>
      <c r="E107" s="16"/>
      <c r="F107" s="16"/>
      <c r="G107" s="16"/>
      <c r="I107" s="16"/>
      <c r="J107" s="16"/>
      <c r="K107" s="16"/>
      <c r="L107" s="16"/>
      <c r="M107" s="16"/>
      <c r="N107" s="16"/>
      <c r="O107" s="16"/>
      <c r="P107" s="16"/>
      <c r="Q107" s="16"/>
      <c r="R107" s="16"/>
      <c r="S107" s="16"/>
      <c r="T107" s="16"/>
      <c r="U107" s="16"/>
      <c r="V107" s="16"/>
      <c r="W107" s="16"/>
      <c r="X107" s="16"/>
      <c r="Y107" s="16"/>
      <c r="Z107" s="16"/>
      <c r="AA107" s="16"/>
      <c r="AB107" s="16"/>
      <c r="AC107" s="16"/>
      <c r="AD107" s="16"/>
    </row>
    <row r="108" spans="1:30" ht="15.75" customHeight="1">
      <c r="H108" s="51"/>
      <c r="I108" s="51"/>
      <c r="J108" s="51"/>
      <c r="K108" s="51"/>
      <c r="L108" s="16"/>
      <c r="M108" s="16"/>
      <c r="N108" s="16"/>
      <c r="O108" s="16"/>
      <c r="P108" s="16"/>
      <c r="Q108" s="16"/>
      <c r="R108" s="16"/>
      <c r="S108" s="16"/>
      <c r="T108" s="16"/>
      <c r="U108" s="16"/>
      <c r="V108" s="16"/>
      <c r="W108" s="16"/>
      <c r="X108" s="16"/>
      <c r="Y108" s="16"/>
      <c r="Z108" s="16"/>
      <c r="AA108" s="16"/>
      <c r="AB108" s="16"/>
      <c r="AC108" s="16"/>
      <c r="AD108" s="16"/>
    </row>
    <row r="109" spans="1:30" ht="15.75" customHeight="1">
      <c r="L109" s="16"/>
      <c r="M109" s="16"/>
      <c r="N109" s="16"/>
      <c r="O109" s="16"/>
      <c r="P109" s="16"/>
      <c r="Q109" s="16"/>
      <c r="R109" s="16"/>
      <c r="S109" s="16"/>
      <c r="T109" s="16"/>
      <c r="U109" s="16"/>
      <c r="V109" s="16"/>
      <c r="W109" s="16"/>
      <c r="X109" s="16"/>
      <c r="Y109" s="16"/>
      <c r="Z109" s="16"/>
      <c r="AA109" s="16"/>
      <c r="AB109" s="16"/>
      <c r="AC109" s="16"/>
      <c r="AD109" s="16"/>
    </row>
    <row r="110" spans="1:30" ht="15.75" customHeight="1">
      <c r="L110" s="16"/>
      <c r="M110" s="16"/>
      <c r="N110" s="16"/>
      <c r="O110" s="16"/>
      <c r="P110" s="16"/>
      <c r="Q110" s="16"/>
      <c r="R110" s="16"/>
      <c r="S110" s="16"/>
      <c r="T110" s="16"/>
      <c r="U110" s="16"/>
      <c r="V110" s="16"/>
      <c r="W110" s="16"/>
      <c r="X110" s="16"/>
      <c r="Y110" s="16"/>
      <c r="Z110" s="16"/>
      <c r="AA110" s="16"/>
      <c r="AB110" s="16"/>
      <c r="AC110" s="16"/>
      <c r="AD110" s="16"/>
    </row>
    <row r="111" spans="1:30" ht="15.75" customHeight="1">
      <c r="L111" s="16"/>
      <c r="M111" s="16"/>
      <c r="N111" s="16"/>
      <c r="O111" s="16"/>
      <c r="P111" s="16"/>
      <c r="Q111" s="16"/>
      <c r="R111" s="16"/>
      <c r="S111" s="16"/>
      <c r="T111" s="16"/>
      <c r="U111" s="16"/>
      <c r="V111" s="16"/>
      <c r="W111" s="16"/>
      <c r="X111" s="16"/>
      <c r="Y111" s="16"/>
      <c r="Z111" s="16"/>
      <c r="AA111" s="16"/>
      <c r="AB111" s="16"/>
      <c r="AC111" s="16"/>
      <c r="AD111" s="16"/>
    </row>
    <row r="112" spans="1:30" ht="15.75" customHeight="1">
      <c r="L112" s="16"/>
      <c r="M112" s="16"/>
      <c r="N112" s="16"/>
      <c r="O112" s="16"/>
      <c r="P112" s="16"/>
      <c r="Q112" s="16"/>
      <c r="R112" s="16"/>
      <c r="S112" s="16"/>
      <c r="T112" s="16"/>
      <c r="U112" s="16"/>
      <c r="V112" s="16"/>
      <c r="W112" s="16"/>
      <c r="X112" s="16"/>
      <c r="Y112" s="16"/>
      <c r="Z112" s="16"/>
      <c r="AA112" s="16"/>
      <c r="AB112" s="16"/>
      <c r="AC112" s="16"/>
      <c r="AD112" s="16"/>
    </row>
    <row r="113" spans="1:30" ht="15.75" customHeight="1">
      <c r="L113" s="16"/>
      <c r="M113" s="16"/>
      <c r="N113" s="16"/>
      <c r="O113" s="16"/>
      <c r="P113" s="16"/>
      <c r="Q113" s="16"/>
      <c r="R113" s="16"/>
      <c r="S113" s="16"/>
      <c r="T113" s="16"/>
      <c r="U113" s="16"/>
      <c r="V113" s="16"/>
      <c r="W113" s="16"/>
      <c r="X113" s="16"/>
      <c r="Y113" s="16"/>
      <c r="Z113" s="16"/>
      <c r="AA113" s="16"/>
      <c r="AB113" s="16"/>
      <c r="AC113" s="16"/>
      <c r="AD113" s="16"/>
    </row>
    <row r="114" spans="1:30" ht="15.75" customHeight="1">
      <c r="L114" s="16"/>
      <c r="M114" s="16"/>
      <c r="N114" s="16"/>
      <c r="O114" s="16"/>
      <c r="P114" s="16"/>
      <c r="Q114" s="16"/>
      <c r="R114" s="16"/>
      <c r="S114" s="16"/>
      <c r="T114" s="16"/>
      <c r="U114" s="16"/>
      <c r="V114" s="16"/>
      <c r="W114" s="16"/>
      <c r="X114" s="16"/>
      <c r="Y114" s="16"/>
      <c r="Z114" s="16"/>
      <c r="AA114" s="16"/>
      <c r="AB114" s="16"/>
      <c r="AC114" s="16"/>
      <c r="AD114" s="16"/>
    </row>
    <row r="115" spans="1:30" ht="15.75" customHeight="1">
      <c r="L115" s="16"/>
      <c r="M115" s="16"/>
      <c r="N115" s="16"/>
      <c r="O115" s="16"/>
      <c r="P115" s="735"/>
      <c r="Q115" s="696"/>
      <c r="R115" s="696"/>
      <c r="S115" s="16"/>
      <c r="T115" s="16"/>
      <c r="U115" s="16"/>
      <c r="V115" s="16"/>
      <c r="W115" s="16"/>
      <c r="X115" s="16"/>
      <c r="Y115" s="16"/>
      <c r="Z115" s="16"/>
      <c r="AA115" s="16"/>
      <c r="AB115" s="16"/>
      <c r="AC115" s="16"/>
      <c r="AD115" s="16"/>
    </row>
    <row r="116" spans="1:30" ht="15.75" customHeight="1">
      <c r="L116" s="16"/>
      <c r="M116" s="16"/>
      <c r="N116" s="16"/>
      <c r="O116" s="16"/>
      <c r="P116" s="735"/>
      <c r="Q116" s="696"/>
      <c r="R116" s="696"/>
      <c r="S116" s="16"/>
      <c r="T116" s="16"/>
      <c r="U116" s="16"/>
      <c r="V116" s="16"/>
      <c r="W116" s="16"/>
      <c r="X116" s="16"/>
      <c r="Y116" s="16"/>
      <c r="Z116" s="16"/>
      <c r="AA116" s="16"/>
      <c r="AB116" s="16"/>
      <c r="AC116" s="16"/>
      <c r="AD116" s="16"/>
    </row>
    <row r="117" spans="1:30" ht="15.75" customHeight="1">
      <c r="L117" s="16"/>
      <c r="M117" s="16"/>
      <c r="N117" s="16"/>
      <c r="O117" s="16"/>
      <c r="P117" s="735"/>
      <c r="Q117" s="696"/>
      <c r="R117" s="696"/>
      <c r="S117" s="16"/>
      <c r="T117" s="16"/>
      <c r="U117" s="16"/>
      <c r="V117" s="16"/>
      <c r="W117" s="16"/>
      <c r="X117" s="16"/>
      <c r="Y117" s="16"/>
      <c r="Z117" s="16"/>
      <c r="AA117" s="16"/>
      <c r="AB117" s="16"/>
      <c r="AC117" s="16"/>
      <c r="AD117" s="16"/>
    </row>
    <row r="118" spans="1:30" ht="15.75" customHeight="1">
      <c r="L118" s="16"/>
      <c r="M118" s="16"/>
      <c r="N118" s="16"/>
      <c r="O118" s="16"/>
      <c r="P118" s="735"/>
      <c r="Q118" s="696"/>
      <c r="R118" s="696"/>
      <c r="S118" s="16"/>
      <c r="T118" s="16"/>
      <c r="U118" s="16"/>
      <c r="V118" s="16"/>
      <c r="W118" s="16"/>
      <c r="X118" s="16"/>
      <c r="Y118" s="16"/>
      <c r="Z118" s="16"/>
      <c r="AA118" s="16"/>
      <c r="AB118" s="16"/>
      <c r="AC118" s="16"/>
      <c r="AD118" s="16"/>
    </row>
    <row r="119" spans="1:30" ht="15.75" customHeight="1">
      <c r="L119" s="16"/>
      <c r="M119" s="16"/>
      <c r="N119" s="16"/>
      <c r="O119" s="16"/>
      <c r="P119" s="735"/>
      <c r="Q119" s="696"/>
      <c r="R119" s="696"/>
      <c r="S119" s="16"/>
      <c r="T119" s="16"/>
      <c r="U119" s="16"/>
      <c r="V119" s="16"/>
      <c r="W119" s="16"/>
      <c r="X119" s="16"/>
      <c r="Y119" s="16"/>
      <c r="Z119" s="16"/>
      <c r="AA119" s="16"/>
      <c r="AB119" s="16"/>
      <c r="AC119" s="16"/>
      <c r="AD119" s="16"/>
    </row>
    <row r="120" spans="1:30" ht="15.75" customHeight="1">
      <c r="L120" s="16"/>
      <c r="M120" s="16"/>
      <c r="N120" s="16"/>
      <c r="O120" s="16"/>
      <c r="P120" s="735"/>
      <c r="Q120" s="696"/>
      <c r="R120" s="696"/>
      <c r="S120" s="16"/>
      <c r="T120" s="16"/>
      <c r="U120" s="16"/>
      <c r="V120" s="16"/>
      <c r="W120" s="16"/>
      <c r="X120" s="16"/>
      <c r="Y120" s="16"/>
      <c r="Z120" s="16"/>
      <c r="AA120" s="16"/>
      <c r="AB120" s="16"/>
      <c r="AC120" s="16"/>
      <c r="AD120" s="16"/>
    </row>
    <row r="121" spans="1:30" ht="15.75" customHeight="1">
      <c r="H121" s="248"/>
      <c r="I121" s="248"/>
      <c r="J121" s="228"/>
      <c r="K121" s="228"/>
      <c r="L121" s="16"/>
      <c r="M121" s="16"/>
      <c r="N121" s="16"/>
      <c r="O121" s="16"/>
      <c r="P121" s="735"/>
      <c r="Q121" s="696"/>
      <c r="R121" s="696"/>
      <c r="S121" s="16"/>
      <c r="T121" s="16"/>
      <c r="U121" s="16"/>
      <c r="V121" s="16"/>
      <c r="W121" s="16"/>
      <c r="X121" s="16"/>
      <c r="Y121" s="16"/>
      <c r="Z121" s="16"/>
      <c r="AA121" s="16"/>
      <c r="AB121" s="16"/>
      <c r="AC121" s="16"/>
      <c r="AD121" s="16"/>
    </row>
    <row r="122" spans="1:30" ht="15.75" customHeight="1">
      <c r="A122" s="231"/>
      <c r="B122" s="231"/>
      <c r="C122" s="246"/>
      <c r="D122" s="247"/>
      <c r="E122" s="245"/>
      <c r="F122" s="246"/>
      <c r="G122" s="247"/>
      <c r="H122" s="248"/>
      <c r="I122" s="248"/>
      <c r="J122" s="228"/>
      <c r="K122" s="228"/>
      <c r="L122" s="16"/>
      <c r="M122" s="16"/>
      <c r="N122" s="16"/>
      <c r="O122" s="16"/>
      <c r="P122" s="16"/>
      <c r="Q122" s="16"/>
      <c r="R122" s="16"/>
      <c r="S122" s="16"/>
      <c r="T122" s="16"/>
      <c r="U122" s="16"/>
      <c r="V122" s="16"/>
      <c r="W122" s="16"/>
      <c r="X122" s="16"/>
      <c r="Y122" s="16"/>
      <c r="Z122" s="16"/>
      <c r="AA122" s="16"/>
      <c r="AB122" s="16"/>
      <c r="AC122" s="16"/>
      <c r="AD122" s="16"/>
    </row>
    <row r="123" spans="1:30" ht="15.75" customHeight="1">
      <c r="A123" s="231"/>
      <c r="B123" s="16"/>
      <c r="C123" s="246"/>
      <c r="D123" s="247"/>
      <c r="E123" s="245"/>
      <c r="F123" s="246"/>
      <c r="G123" s="247"/>
      <c r="H123" s="228"/>
      <c r="I123" s="228"/>
      <c r="J123" s="228"/>
      <c r="K123" s="228"/>
      <c r="L123" s="16"/>
      <c r="M123" s="735"/>
      <c r="N123" s="696"/>
      <c r="O123" s="696"/>
      <c r="P123" s="735"/>
      <c r="Q123" s="696"/>
      <c r="R123" s="696"/>
      <c r="S123" s="696"/>
      <c r="T123" s="696"/>
      <c r="U123" s="16"/>
      <c r="V123" s="16"/>
      <c r="W123" s="16"/>
      <c r="X123" s="16"/>
      <c r="Y123" s="16"/>
      <c r="Z123" s="16"/>
      <c r="AA123" s="16"/>
      <c r="AB123" s="16"/>
      <c r="AC123" s="16"/>
      <c r="AD123" s="16"/>
    </row>
    <row r="124" spans="1:30" ht="15.75" customHeight="1">
      <c r="A124" s="16"/>
      <c r="B124" s="16"/>
      <c r="C124" s="16"/>
      <c r="D124" s="16"/>
      <c r="E124" s="16"/>
      <c r="F124" s="16"/>
      <c r="G124" s="16"/>
      <c r="H124" s="16"/>
      <c r="I124" s="16"/>
      <c r="J124" s="16"/>
      <c r="K124" s="16"/>
      <c r="L124" s="16"/>
      <c r="M124" s="735"/>
      <c r="N124" s="696"/>
      <c r="O124" s="696"/>
      <c r="P124" s="735"/>
      <c r="Q124" s="696"/>
      <c r="R124" s="696"/>
      <c r="S124" s="696"/>
      <c r="T124" s="696"/>
      <c r="U124" s="16"/>
      <c r="V124" s="16"/>
      <c r="W124" s="16"/>
      <c r="X124" s="16"/>
      <c r="Y124" s="16"/>
      <c r="Z124" s="16"/>
      <c r="AA124" s="16"/>
      <c r="AB124" s="16"/>
      <c r="AC124" s="16"/>
      <c r="AD124" s="16"/>
    </row>
    <row r="125" spans="1:30" ht="15.75" customHeight="1">
      <c r="A125" s="16"/>
      <c r="B125" s="16"/>
      <c r="C125" s="16"/>
      <c r="D125" s="16"/>
      <c r="E125" s="16"/>
      <c r="F125" s="16"/>
      <c r="G125" s="16"/>
      <c r="H125" s="16"/>
      <c r="I125" s="16"/>
      <c r="J125" s="16"/>
      <c r="K125" s="16"/>
      <c r="L125" s="16"/>
      <c r="M125" s="735"/>
      <c r="N125" s="696"/>
      <c r="O125" s="696"/>
      <c r="P125" s="696"/>
      <c r="Q125" s="696"/>
      <c r="R125" s="696"/>
      <c r="S125" s="696"/>
      <c r="T125" s="696"/>
      <c r="U125" s="16"/>
      <c r="V125" s="16"/>
      <c r="W125" s="16"/>
      <c r="X125" s="16"/>
      <c r="Y125" s="16"/>
      <c r="Z125" s="16"/>
      <c r="AA125" s="16"/>
      <c r="AB125" s="16"/>
      <c r="AC125" s="16"/>
      <c r="AD125" s="16"/>
    </row>
    <row r="126" spans="1:30" ht="15.75" customHeight="1">
      <c r="A126" s="16"/>
      <c r="B126" s="16"/>
      <c r="C126" s="16"/>
      <c r="D126" s="16"/>
      <c r="E126" s="16"/>
      <c r="F126" s="16"/>
      <c r="G126" s="16"/>
      <c r="H126" s="16"/>
      <c r="I126" s="16"/>
      <c r="J126" s="16"/>
      <c r="K126" s="16"/>
      <c r="L126" s="16"/>
      <c r="M126" s="735"/>
      <c r="N126" s="696"/>
      <c r="O126" s="696"/>
      <c r="P126" s="696"/>
      <c r="Q126" s="696"/>
      <c r="R126" s="696"/>
      <c r="S126" s="696"/>
      <c r="T126" s="696"/>
      <c r="U126" s="16"/>
      <c r="V126" s="16"/>
      <c r="W126" s="16"/>
      <c r="X126" s="16"/>
      <c r="Y126" s="16"/>
      <c r="Z126" s="16"/>
      <c r="AA126" s="16"/>
      <c r="AB126" s="16"/>
      <c r="AC126" s="16"/>
      <c r="AD126" s="16"/>
    </row>
    <row r="127" spans="1:30" ht="15.75" customHeight="1">
      <c r="A127" s="16"/>
      <c r="B127" s="16"/>
      <c r="C127" s="16"/>
      <c r="D127" s="16"/>
      <c r="E127" s="16"/>
      <c r="F127" s="16"/>
      <c r="G127" s="16"/>
      <c r="H127" s="16"/>
      <c r="I127" s="16"/>
      <c r="J127" s="16"/>
      <c r="K127" s="16"/>
      <c r="L127" s="16"/>
      <c r="M127" s="735"/>
      <c r="N127" s="696"/>
      <c r="O127" s="696"/>
      <c r="P127" s="696"/>
      <c r="Q127" s="696"/>
      <c r="R127" s="696"/>
      <c r="S127" s="696"/>
      <c r="T127" s="696"/>
      <c r="U127" s="16"/>
      <c r="V127" s="16"/>
      <c r="W127" s="16"/>
      <c r="X127" s="16"/>
      <c r="Y127" s="16"/>
      <c r="Z127" s="16"/>
      <c r="AA127" s="16"/>
      <c r="AB127" s="16"/>
      <c r="AC127" s="16"/>
      <c r="AD127" s="16"/>
    </row>
    <row r="128" spans="1:30" ht="15.75" customHeight="1">
      <c r="A128" s="16"/>
      <c r="B128" s="16"/>
      <c r="C128" s="16"/>
      <c r="D128" s="16"/>
      <c r="E128" s="16"/>
      <c r="F128" s="16"/>
      <c r="G128" s="16"/>
      <c r="H128" s="16"/>
      <c r="I128" s="16"/>
      <c r="J128" s="16"/>
      <c r="K128" s="16"/>
      <c r="L128" s="16"/>
      <c r="M128" s="735"/>
      <c r="N128" s="696"/>
      <c r="O128" s="696"/>
      <c r="P128" s="696"/>
      <c r="Q128" s="696"/>
      <c r="R128" s="696"/>
      <c r="S128" s="696"/>
      <c r="T128" s="696"/>
      <c r="U128" s="16"/>
      <c r="V128" s="16"/>
      <c r="W128" s="16"/>
      <c r="X128" s="16"/>
      <c r="Y128" s="16"/>
      <c r="Z128" s="16"/>
      <c r="AA128" s="16"/>
      <c r="AB128" s="16"/>
      <c r="AC128" s="16"/>
      <c r="AD128" s="16"/>
    </row>
    <row r="129" spans="1:30" ht="15.75" customHeight="1">
      <c r="A129" s="16"/>
      <c r="B129" s="16"/>
      <c r="C129" s="16"/>
      <c r="D129" s="16"/>
      <c r="E129" s="16"/>
      <c r="F129" s="16"/>
      <c r="G129" s="16"/>
      <c r="H129" s="16"/>
      <c r="I129" s="16"/>
      <c r="J129" s="16"/>
      <c r="K129" s="16"/>
      <c r="L129" s="16"/>
      <c r="M129" s="735"/>
      <c r="N129" s="696"/>
      <c r="O129" s="696"/>
      <c r="P129" s="696"/>
      <c r="Q129" s="696"/>
      <c r="R129" s="696"/>
      <c r="S129" s="696"/>
      <c r="T129" s="696"/>
      <c r="U129" s="16"/>
      <c r="V129" s="16"/>
      <c r="W129" s="16"/>
      <c r="X129" s="16"/>
      <c r="Y129" s="16"/>
      <c r="Z129" s="16"/>
      <c r="AA129" s="16"/>
      <c r="AB129" s="16"/>
      <c r="AC129" s="16"/>
      <c r="AD129" s="16"/>
    </row>
    <row r="130" spans="1:30" ht="15.75" customHeight="1">
      <c r="A130" s="16"/>
      <c r="B130" s="16"/>
      <c r="C130" s="16"/>
      <c r="D130" s="16"/>
      <c r="E130" s="16"/>
      <c r="F130" s="16"/>
      <c r="G130" s="16"/>
      <c r="H130" s="16"/>
      <c r="I130" s="16"/>
      <c r="J130" s="16"/>
      <c r="K130" s="16"/>
      <c r="L130" s="16"/>
      <c r="M130" s="735"/>
      <c r="N130" s="696"/>
      <c r="O130" s="696"/>
      <c r="P130" s="696"/>
      <c r="Q130" s="696"/>
      <c r="R130" s="696"/>
      <c r="S130" s="696"/>
      <c r="T130" s="696"/>
      <c r="U130" s="16"/>
      <c r="V130" s="16"/>
      <c r="W130" s="16"/>
      <c r="X130" s="16"/>
      <c r="Y130" s="16"/>
      <c r="Z130" s="16"/>
      <c r="AA130" s="16"/>
      <c r="AB130" s="16"/>
      <c r="AC130" s="16"/>
      <c r="AD130" s="16"/>
    </row>
    <row r="131" spans="1:30" ht="15.75" customHeight="1">
      <c r="A131" s="16"/>
      <c r="B131" s="16"/>
      <c r="C131" s="16"/>
      <c r="D131" s="16"/>
      <c r="E131" s="16"/>
      <c r="F131" s="16"/>
      <c r="G131" s="16"/>
      <c r="H131" s="16"/>
      <c r="I131" s="16"/>
      <c r="J131" s="16"/>
      <c r="K131" s="16"/>
      <c r="L131" s="16"/>
      <c r="M131" s="735"/>
      <c r="N131" s="696"/>
      <c r="O131" s="696"/>
      <c r="P131" s="696"/>
      <c r="Q131" s="696"/>
      <c r="R131" s="696"/>
      <c r="S131" s="696"/>
      <c r="T131" s="696"/>
      <c r="U131" s="16"/>
      <c r="V131" s="16"/>
      <c r="W131" s="16"/>
      <c r="X131" s="16"/>
      <c r="Y131" s="16"/>
      <c r="Z131" s="16"/>
      <c r="AA131" s="16"/>
      <c r="AB131" s="16"/>
      <c r="AC131" s="16"/>
      <c r="AD131" s="16"/>
    </row>
    <row r="132" spans="1:30" ht="15.75" customHeight="1">
      <c r="A132" s="16"/>
      <c r="B132" s="16"/>
      <c r="C132" s="16"/>
      <c r="D132" s="16"/>
      <c r="E132" s="16"/>
      <c r="F132" s="16"/>
      <c r="G132" s="16"/>
      <c r="H132" s="16"/>
      <c r="I132" s="16"/>
      <c r="J132" s="16"/>
      <c r="K132" s="16"/>
      <c r="L132" s="16"/>
      <c r="M132" s="735"/>
      <c r="N132" s="696"/>
      <c r="O132" s="696"/>
      <c r="P132" s="696"/>
      <c r="Q132" s="696"/>
      <c r="R132" s="696"/>
      <c r="S132" s="696"/>
      <c r="T132" s="696"/>
      <c r="U132" s="16"/>
      <c r="V132" s="16"/>
      <c r="W132" s="16"/>
      <c r="X132" s="16"/>
      <c r="Y132" s="16"/>
      <c r="Z132" s="16"/>
      <c r="AA132" s="16"/>
      <c r="AB132" s="16"/>
      <c r="AC132" s="16"/>
      <c r="AD132" s="16"/>
    </row>
    <row r="133" spans="1:30" ht="15.75" customHeight="1">
      <c r="A133" s="16"/>
      <c r="B133" s="16"/>
      <c r="C133" s="16"/>
      <c r="D133" s="16"/>
      <c r="E133" s="16"/>
      <c r="F133" s="16"/>
      <c r="G133" s="16"/>
      <c r="H133" s="16"/>
      <c r="I133" s="16"/>
      <c r="J133" s="16"/>
      <c r="K133" s="16"/>
      <c r="L133" s="16"/>
      <c r="M133" s="735"/>
      <c r="N133" s="696"/>
      <c r="O133" s="696"/>
      <c r="P133" s="696"/>
      <c r="Q133" s="696"/>
      <c r="R133" s="696"/>
      <c r="S133" s="696"/>
      <c r="T133" s="696"/>
      <c r="U133" s="16"/>
      <c r="V133" s="16"/>
      <c r="W133" s="16"/>
      <c r="X133" s="16"/>
      <c r="Y133" s="16"/>
      <c r="Z133" s="16"/>
      <c r="AA133" s="16"/>
      <c r="AB133" s="16"/>
      <c r="AC133" s="16"/>
      <c r="AD133" s="16"/>
    </row>
    <row r="134" spans="1:30" ht="15.75" customHeight="1">
      <c r="A134" s="16"/>
      <c r="B134" s="16"/>
      <c r="C134" s="16"/>
      <c r="D134" s="16"/>
      <c r="E134" s="16"/>
      <c r="F134" s="16"/>
      <c r="G134" s="16"/>
      <c r="H134" s="16"/>
      <c r="I134" s="16"/>
      <c r="J134" s="16"/>
      <c r="K134" s="16"/>
      <c r="L134" s="16"/>
      <c r="M134" s="735"/>
      <c r="N134" s="696"/>
      <c r="O134" s="696"/>
      <c r="P134" s="696"/>
      <c r="Q134" s="696"/>
      <c r="R134" s="696"/>
      <c r="S134" s="696"/>
      <c r="T134" s="696"/>
      <c r="U134" s="16"/>
      <c r="V134" s="16"/>
      <c r="W134" s="16"/>
      <c r="X134" s="16"/>
      <c r="Y134" s="16"/>
      <c r="Z134" s="16"/>
      <c r="AA134" s="16"/>
      <c r="AB134" s="16"/>
      <c r="AC134" s="16"/>
      <c r="AD134" s="16"/>
    </row>
    <row r="135" spans="1:30" ht="15.75" customHeight="1">
      <c r="A135" s="16"/>
      <c r="B135" s="16"/>
      <c r="C135" s="16"/>
      <c r="D135" s="16"/>
      <c r="E135" s="16"/>
      <c r="F135" s="16"/>
      <c r="G135" s="16"/>
      <c r="H135" s="16"/>
      <c r="I135" s="16"/>
      <c r="J135" s="16"/>
      <c r="K135" s="16"/>
      <c r="L135" s="16"/>
      <c r="M135" s="735"/>
      <c r="N135" s="696"/>
      <c r="O135" s="696"/>
      <c r="P135" s="696"/>
      <c r="Q135" s="696"/>
      <c r="R135" s="696"/>
      <c r="S135" s="696"/>
      <c r="T135" s="696"/>
      <c r="U135" s="16"/>
      <c r="V135" s="16"/>
      <c r="W135" s="16"/>
      <c r="X135" s="16"/>
      <c r="Y135" s="16"/>
      <c r="Z135" s="16"/>
      <c r="AA135" s="16"/>
      <c r="AB135" s="16"/>
      <c r="AC135" s="16"/>
      <c r="AD135" s="16"/>
    </row>
    <row r="136" spans="1:30" ht="15.75" customHeight="1">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c r="AA136" s="16"/>
      <c r="AB136" s="16"/>
      <c r="AC136" s="16"/>
      <c r="AD136" s="16"/>
    </row>
    <row r="137" spans="1:30" ht="15.75" customHeight="1">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c r="AA137" s="16"/>
      <c r="AB137" s="16"/>
      <c r="AC137" s="16"/>
      <c r="AD137" s="16"/>
    </row>
    <row r="138" spans="1:30" ht="15.75" customHeight="1">
      <c r="A138" s="16"/>
      <c r="B138" s="16"/>
      <c r="C138" s="16"/>
      <c r="D138" s="16"/>
      <c r="E138" s="16"/>
      <c r="F138" s="16"/>
      <c r="G138" s="16"/>
      <c r="H138" s="16"/>
      <c r="I138" s="16"/>
      <c r="J138" s="16"/>
      <c r="K138" s="16"/>
      <c r="L138" s="16"/>
      <c r="M138" s="735"/>
      <c r="N138" s="696"/>
      <c r="O138" s="696"/>
      <c r="P138" s="735"/>
      <c r="Q138" s="696"/>
      <c r="R138" s="696"/>
      <c r="S138" s="696"/>
      <c r="T138" s="696"/>
      <c r="U138" s="16"/>
      <c r="V138" s="16"/>
      <c r="W138" s="16"/>
      <c r="X138" s="16"/>
      <c r="Y138" s="16"/>
      <c r="Z138" s="16"/>
      <c r="AA138" s="16"/>
      <c r="AB138" s="16"/>
      <c r="AC138" s="16"/>
      <c r="AD138" s="16"/>
    </row>
    <row r="139" spans="1:30" ht="15.75" customHeight="1">
      <c r="A139" s="16"/>
      <c r="B139" s="16"/>
      <c r="C139" s="16"/>
      <c r="D139" s="16"/>
      <c r="E139" s="16"/>
      <c r="F139" s="16"/>
      <c r="G139" s="16"/>
      <c r="H139" s="16"/>
      <c r="I139" s="16"/>
      <c r="J139" s="16"/>
      <c r="K139" s="16"/>
      <c r="L139" s="16"/>
      <c r="M139" s="735"/>
      <c r="N139" s="696"/>
      <c r="O139" s="696"/>
      <c r="P139" s="735"/>
      <c r="Q139" s="696"/>
      <c r="R139" s="696"/>
      <c r="S139" s="696"/>
      <c r="T139" s="696"/>
      <c r="U139" s="16"/>
      <c r="V139" s="16"/>
      <c r="W139" s="16"/>
      <c r="X139" s="16"/>
      <c r="Y139" s="16"/>
      <c r="Z139" s="16"/>
      <c r="AA139" s="16"/>
      <c r="AB139" s="16"/>
      <c r="AC139" s="16"/>
      <c r="AD139" s="16"/>
    </row>
    <row r="140" spans="1:30" ht="15.75" customHeight="1">
      <c r="A140" s="16"/>
      <c r="B140" s="16"/>
      <c r="C140" s="16"/>
      <c r="D140" s="16"/>
      <c r="E140" s="16"/>
      <c r="F140" s="16"/>
      <c r="G140" s="16"/>
      <c r="H140" s="16"/>
      <c r="I140" s="16"/>
      <c r="J140" s="16"/>
      <c r="K140" s="16"/>
      <c r="L140" s="16"/>
      <c r="M140" s="735"/>
      <c r="N140" s="696"/>
      <c r="O140" s="696"/>
      <c r="P140" s="696"/>
      <c r="Q140" s="696"/>
      <c r="R140" s="696"/>
      <c r="S140" s="696"/>
      <c r="T140" s="696"/>
      <c r="U140" s="16"/>
      <c r="V140" s="16"/>
      <c r="W140" s="16"/>
      <c r="X140" s="16"/>
      <c r="Y140" s="16"/>
      <c r="Z140" s="16"/>
      <c r="AA140" s="16"/>
      <c r="AB140" s="16"/>
      <c r="AC140" s="16"/>
      <c r="AD140" s="16"/>
    </row>
    <row r="141" spans="1:30" ht="15.75" customHeight="1">
      <c r="A141" s="16"/>
      <c r="B141" s="16"/>
      <c r="C141" s="16"/>
      <c r="D141" s="16"/>
      <c r="E141" s="16"/>
      <c r="F141" s="16"/>
      <c r="G141" s="16"/>
      <c r="H141" s="16"/>
      <c r="I141" s="16"/>
      <c r="J141" s="16"/>
      <c r="K141" s="16"/>
      <c r="L141" s="16"/>
      <c r="M141" s="735"/>
      <c r="N141" s="696"/>
      <c r="O141" s="696"/>
      <c r="P141" s="696"/>
      <c r="Q141" s="696"/>
      <c r="R141" s="696"/>
      <c r="S141" s="696"/>
      <c r="T141" s="696"/>
      <c r="U141" s="16"/>
      <c r="V141" s="16"/>
      <c r="W141" s="16"/>
      <c r="X141" s="16"/>
      <c r="Y141" s="16"/>
      <c r="Z141" s="16"/>
      <c r="AA141" s="16"/>
      <c r="AB141" s="16"/>
      <c r="AC141" s="16"/>
      <c r="AD141" s="16"/>
    </row>
    <row r="142" spans="1:30" ht="15.75" customHeight="1">
      <c r="A142" s="16"/>
      <c r="B142" s="16"/>
      <c r="C142" s="16"/>
      <c r="D142" s="16"/>
      <c r="E142" s="16"/>
      <c r="F142" s="16"/>
      <c r="G142" s="16"/>
      <c r="H142" s="16"/>
      <c r="I142" s="16"/>
      <c r="J142" s="16"/>
      <c r="K142" s="16"/>
      <c r="L142" s="16"/>
      <c r="M142" s="735"/>
      <c r="N142" s="696"/>
      <c r="O142" s="696"/>
      <c r="P142" s="696"/>
      <c r="Q142" s="696"/>
      <c r="R142" s="696"/>
      <c r="S142" s="696"/>
      <c r="T142" s="696"/>
      <c r="U142" s="16"/>
      <c r="V142" s="16"/>
      <c r="W142" s="16"/>
      <c r="X142" s="16"/>
      <c r="Y142" s="16"/>
      <c r="Z142" s="16"/>
      <c r="AA142" s="16"/>
      <c r="AB142" s="16"/>
      <c r="AC142" s="16"/>
      <c r="AD142" s="16"/>
    </row>
    <row r="143" spans="1:30" ht="15.75" customHeight="1">
      <c r="A143" s="16"/>
      <c r="B143" s="16"/>
      <c r="C143" s="16"/>
      <c r="D143" s="16"/>
      <c r="E143" s="16"/>
      <c r="F143" s="16"/>
      <c r="G143" s="16"/>
      <c r="H143" s="16"/>
      <c r="I143" s="16"/>
      <c r="J143" s="16"/>
      <c r="K143" s="16"/>
      <c r="L143" s="16"/>
      <c r="M143" s="735"/>
      <c r="N143" s="696"/>
      <c r="O143" s="696"/>
      <c r="P143" s="696"/>
      <c r="Q143" s="696"/>
      <c r="R143" s="696"/>
      <c r="S143" s="696"/>
      <c r="T143" s="696"/>
      <c r="U143" s="16"/>
      <c r="V143" s="16"/>
      <c r="W143" s="16"/>
      <c r="X143" s="16"/>
      <c r="Y143" s="16"/>
      <c r="Z143" s="16"/>
      <c r="AA143" s="16"/>
      <c r="AB143" s="16"/>
      <c r="AC143" s="16"/>
      <c r="AD143" s="16"/>
    </row>
    <row r="144" spans="1:30" ht="15.75" customHeight="1">
      <c r="A144" s="16"/>
      <c r="B144" s="16"/>
      <c r="C144" s="16"/>
      <c r="D144" s="16"/>
      <c r="E144" s="16"/>
      <c r="F144" s="16"/>
      <c r="G144" s="16"/>
      <c r="H144" s="16"/>
      <c r="I144" s="16"/>
      <c r="J144" s="16"/>
      <c r="K144" s="16"/>
      <c r="L144" s="16"/>
      <c r="M144" s="735"/>
      <c r="N144" s="696"/>
      <c r="O144" s="696"/>
      <c r="P144" s="696"/>
      <c r="Q144" s="696"/>
      <c r="R144" s="696"/>
      <c r="S144" s="696"/>
      <c r="T144" s="696"/>
      <c r="U144" s="16"/>
      <c r="V144" s="16"/>
      <c r="W144" s="16"/>
      <c r="X144" s="16"/>
      <c r="Y144" s="16"/>
      <c r="Z144" s="16"/>
      <c r="AA144" s="16"/>
      <c r="AB144" s="16"/>
      <c r="AC144" s="16"/>
      <c r="AD144" s="16"/>
    </row>
    <row r="145" spans="1:30" ht="15.75" customHeight="1">
      <c r="A145" s="16"/>
      <c r="B145" s="16"/>
      <c r="C145" s="16"/>
      <c r="D145" s="16"/>
      <c r="E145" s="16"/>
      <c r="F145" s="16"/>
      <c r="G145" s="16"/>
      <c r="H145" s="16"/>
      <c r="I145" s="16"/>
      <c r="J145" s="16"/>
      <c r="K145" s="16"/>
      <c r="L145" s="16"/>
      <c r="M145" s="735"/>
      <c r="N145" s="696"/>
      <c r="O145" s="696"/>
      <c r="P145" s="696"/>
      <c r="Q145" s="696"/>
      <c r="R145" s="696"/>
      <c r="S145" s="696"/>
      <c r="T145" s="696"/>
      <c r="U145" s="16"/>
      <c r="V145" s="16"/>
      <c r="W145" s="16"/>
      <c r="X145" s="16"/>
      <c r="Y145" s="16"/>
      <c r="Z145" s="16"/>
      <c r="AA145" s="16"/>
      <c r="AB145" s="16"/>
      <c r="AC145" s="16"/>
      <c r="AD145" s="16"/>
    </row>
    <row r="146" spans="1:30" ht="15.75" customHeight="1">
      <c r="A146" s="16"/>
      <c r="B146" s="16"/>
      <c r="C146" s="16"/>
      <c r="D146" s="16"/>
      <c r="E146" s="16"/>
      <c r="F146" s="16"/>
      <c r="G146" s="16"/>
      <c r="H146" s="16"/>
      <c r="I146" s="16"/>
      <c r="J146" s="16"/>
      <c r="K146" s="16"/>
      <c r="L146" s="16"/>
      <c r="M146" s="735"/>
      <c r="N146" s="696"/>
      <c r="O146" s="696"/>
      <c r="P146" s="696"/>
      <c r="Q146" s="696"/>
      <c r="R146" s="696"/>
      <c r="S146" s="696"/>
      <c r="T146" s="696"/>
      <c r="U146" s="16"/>
      <c r="V146" s="16"/>
      <c r="W146" s="16"/>
      <c r="X146" s="16"/>
      <c r="Y146" s="16"/>
      <c r="Z146" s="16"/>
      <c r="AA146" s="16"/>
      <c r="AB146" s="16"/>
      <c r="AC146" s="16"/>
      <c r="AD146" s="16"/>
    </row>
    <row r="147" spans="1:30" ht="15.75" customHeight="1">
      <c r="A147" s="16"/>
      <c r="B147" s="16"/>
      <c r="C147" s="16"/>
      <c r="D147" s="16"/>
      <c r="E147" s="16"/>
      <c r="F147" s="16"/>
      <c r="G147" s="16"/>
      <c r="H147" s="16"/>
      <c r="I147" s="16"/>
      <c r="J147" s="16"/>
      <c r="K147" s="16"/>
      <c r="L147" s="16"/>
      <c r="M147" s="735"/>
      <c r="N147" s="696"/>
      <c r="O147" s="696"/>
      <c r="P147" s="696"/>
      <c r="Q147" s="696"/>
      <c r="R147" s="696"/>
      <c r="S147" s="696"/>
      <c r="T147" s="696"/>
      <c r="U147" s="16"/>
      <c r="V147" s="16"/>
      <c r="W147" s="16"/>
      <c r="X147" s="16"/>
      <c r="Y147" s="16"/>
      <c r="Z147" s="16"/>
      <c r="AA147" s="16"/>
      <c r="AB147" s="16"/>
      <c r="AC147" s="16"/>
      <c r="AD147" s="16"/>
    </row>
    <row r="148" spans="1:30" ht="15.75" customHeight="1">
      <c r="A148" s="16"/>
      <c r="B148" s="16"/>
      <c r="C148" s="16"/>
      <c r="D148" s="16"/>
      <c r="E148" s="16"/>
      <c r="F148" s="16"/>
      <c r="G148" s="16"/>
      <c r="H148" s="16"/>
      <c r="I148" s="16"/>
      <c r="J148" s="16"/>
      <c r="K148" s="16"/>
      <c r="L148" s="16"/>
      <c r="M148" s="735"/>
      <c r="N148" s="696"/>
      <c r="O148" s="696"/>
      <c r="P148" s="696"/>
      <c r="Q148" s="696"/>
      <c r="R148" s="696"/>
      <c r="S148" s="696"/>
      <c r="T148" s="696"/>
      <c r="U148" s="16"/>
      <c r="V148" s="16"/>
      <c r="W148" s="16"/>
      <c r="X148" s="16"/>
      <c r="Y148" s="16"/>
      <c r="Z148" s="16"/>
      <c r="AA148" s="16"/>
      <c r="AB148" s="16"/>
      <c r="AC148" s="16"/>
      <c r="AD148" s="16"/>
    </row>
    <row r="149" spans="1:30" ht="15.75" customHeight="1">
      <c r="A149" s="16"/>
      <c r="B149" s="16"/>
      <c r="C149" s="16"/>
      <c r="D149" s="16"/>
      <c r="E149" s="16"/>
      <c r="F149" s="16"/>
      <c r="G149" s="16"/>
      <c r="H149" s="16"/>
      <c r="I149" s="16"/>
      <c r="J149" s="16"/>
      <c r="K149" s="16"/>
      <c r="L149" s="16"/>
      <c r="M149" s="735"/>
      <c r="N149" s="696"/>
      <c r="O149" s="696"/>
      <c r="P149" s="696"/>
      <c r="Q149" s="696"/>
      <c r="R149" s="696"/>
      <c r="S149" s="696"/>
      <c r="T149" s="696"/>
      <c r="U149" s="16"/>
      <c r="V149" s="16"/>
      <c r="W149" s="16"/>
      <c r="X149" s="16"/>
      <c r="Y149" s="16"/>
      <c r="Z149" s="16"/>
      <c r="AA149" s="16"/>
      <c r="AB149" s="16"/>
      <c r="AC149" s="16"/>
      <c r="AD149" s="16"/>
    </row>
    <row r="150" spans="1:30" ht="15.75" customHeight="1">
      <c r="A150" s="16"/>
      <c r="B150" s="16"/>
      <c r="C150" s="16"/>
      <c r="D150" s="16"/>
      <c r="E150" s="16"/>
      <c r="F150" s="16"/>
      <c r="G150" s="16"/>
      <c r="H150" s="16"/>
      <c r="I150" s="16"/>
      <c r="J150" s="16"/>
      <c r="K150" s="16"/>
      <c r="L150" s="16"/>
      <c r="M150" s="735"/>
      <c r="N150" s="696"/>
      <c r="O150" s="696"/>
      <c r="P150" s="696"/>
      <c r="Q150" s="696"/>
      <c r="R150" s="696"/>
      <c r="S150" s="696"/>
      <c r="T150" s="696"/>
      <c r="U150" s="16"/>
      <c r="V150" s="16"/>
      <c r="W150" s="16"/>
      <c r="X150" s="16"/>
      <c r="Y150" s="16"/>
      <c r="Z150" s="16"/>
      <c r="AA150" s="16"/>
      <c r="AB150" s="16"/>
      <c r="AC150" s="16"/>
      <c r="AD150" s="16"/>
    </row>
    <row r="151" spans="1:30" ht="15.75" customHeight="1">
      <c r="A151" s="16"/>
      <c r="B151" s="16"/>
      <c r="C151" s="16"/>
      <c r="D151" s="16"/>
      <c r="E151" s="16"/>
      <c r="F151" s="16"/>
      <c r="G151" s="16"/>
      <c r="H151" s="16"/>
      <c r="I151" s="16"/>
      <c r="J151" s="16"/>
      <c r="K151" s="16"/>
      <c r="L151" s="16"/>
      <c r="M151" s="735"/>
      <c r="N151" s="696"/>
      <c r="O151" s="696"/>
      <c r="P151" s="696"/>
      <c r="Q151" s="696"/>
      <c r="R151" s="696"/>
      <c r="S151" s="696"/>
      <c r="T151" s="696"/>
      <c r="U151" s="16"/>
      <c r="V151" s="16"/>
      <c r="W151" s="16"/>
      <c r="X151" s="16"/>
      <c r="Y151" s="16"/>
      <c r="Z151" s="16"/>
      <c r="AA151" s="16"/>
      <c r="AB151" s="16"/>
      <c r="AC151" s="16"/>
      <c r="AD151" s="16"/>
    </row>
    <row r="152" spans="1:30" ht="15.75" customHeight="1">
      <c r="A152" s="16"/>
      <c r="B152" s="16"/>
      <c r="C152" s="16"/>
      <c r="D152" s="16"/>
      <c r="E152" s="16"/>
      <c r="F152" s="16"/>
      <c r="G152" s="16"/>
      <c r="H152" s="16"/>
      <c r="I152" s="16"/>
      <c r="J152" s="16"/>
      <c r="K152" s="16"/>
      <c r="L152" s="16"/>
      <c r="M152" s="735"/>
      <c r="N152" s="696"/>
      <c r="O152" s="696"/>
      <c r="P152" s="696"/>
      <c r="Q152" s="696"/>
      <c r="R152" s="696"/>
      <c r="S152" s="696"/>
      <c r="T152" s="696"/>
      <c r="U152" s="16"/>
      <c r="V152" s="16"/>
      <c r="W152" s="16"/>
      <c r="X152" s="16"/>
      <c r="Y152" s="16"/>
      <c r="Z152" s="16"/>
      <c r="AA152" s="16"/>
      <c r="AB152" s="16"/>
      <c r="AC152" s="16"/>
      <c r="AD152" s="16"/>
    </row>
    <row r="153" spans="1:30" ht="15.75" customHeight="1">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c r="AA153" s="16"/>
      <c r="AB153" s="16"/>
      <c r="AC153" s="16"/>
      <c r="AD153" s="16"/>
    </row>
    <row r="154" spans="1:30" ht="15.75" customHeight="1">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c r="AA154" s="16"/>
      <c r="AB154" s="16"/>
      <c r="AC154" s="16"/>
      <c r="AD154" s="16"/>
    </row>
    <row r="155" spans="1:30" ht="15.75" customHeight="1">
      <c r="A155" s="16"/>
      <c r="B155" s="735"/>
      <c r="C155" s="696"/>
      <c r="D155" s="16"/>
      <c r="E155" s="16"/>
      <c r="F155" s="16"/>
      <c r="G155" s="16"/>
      <c r="H155" s="16"/>
      <c r="I155" s="16"/>
      <c r="J155" s="16"/>
      <c r="K155" s="16"/>
      <c r="L155" s="16"/>
      <c r="M155" s="735"/>
      <c r="N155" s="696"/>
      <c r="O155" s="696"/>
      <c r="P155" s="735"/>
      <c r="Q155" s="696"/>
      <c r="R155" s="696"/>
      <c r="S155" s="696"/>
      <c r="T155" s="696"/>
      <c r="U155" s="16"/>
      <c r="V155" s="16"/>
      <c r="W155" s="16"/>
      <c r="X155" s="16"/>
      <c r="Y155" s="16"/>
      <c r="Z155" s="16"/>
      <c r="AA155" s="16"/>
      <c r="AB155" s="16"/>
      <c r="AC155" s="16"/>
      <c r="AD155" s="16"/>
    </row>
    <row r="156" spans="1:30" ht="15.75" customHeight="1">
      <c r="A156" s="16"/>
      <c r="B156" s="735"/>
      <c r="C156" s="696"/>
      <c r="D156" s="16"/>
      <c r="E156" s="16"/>
      <c r="F156" s="16"/>
      <c r="G156" s="16"/>
      <c r="H156" s="16"/>
      <c r="I156" s="16"/>
      <c r="J156" s="16"/>
      <c r="K156" s="16"/>
      <c r="L156" s="16"/>
      <c r="M156" s="735"/>
      <c r="N156" s="696"/>
      <c r="O156" s="696"/>
      <c r="P156" s="735"/>
      <c r="Q156" s="696"/>
      <c r="R156" s="696"/>
      <c r="S156" s="696"/>
      <c r="T156" s="696"/>
      <c r="U156" s="16"/>
      <c r="V156" s="16"/>
      <c r="W156" s="16"/>
      <c r="X156" s="16"/>
      <c r="Y156" s="16"/>
      <c r="Z156" s="16"/>
      <c r="AA156" s="16"/>
      <c r="AB156" s="16"/>
      <c r="AC156" s="16"/>
      <c r="AD156" s="16"/>
    </row>
    <row r="157" spans="1:30" ht="15.75" customHeight="1">
      <c r="A157" s="16"/>
      <c r="B157" s="735"/>
      <c r="C157" s="696"/>
      <c r="D157" s="16"/>
      <c r="E157" s="16"/>
      <c r="F157" s="16"/>
      <c r="G157" s="16"/>
      <c r="H157" s="16"/>
      <c r="I157" s="16"/>
      <c r="J157" s="16"/>
      <c r="K157" s="16"/>
      <c r="L157" s="16"/>
      <c r="M157" s="735"/>
      <c r="N157" s="696"/>
      <c r="O157" s="696"/>
      <c r="P157" s="696"/>
      <c r="Q157" s="696"/>
      <c r="R157" s="696"/>
      <c r="S157" s="696"/>
      <c r="T157" s="696"/>
      <c r="U157" s="16"/>
      <c r="V157" s="16"/>
      <c r="W157" s="16"/>
      <c r="X157" s="16"/>
      <c r="Y157" s="16"/>
      <c r="Z157" s="16"/>
      <c r="AA157" s="16"/>
      <c r="AB157" s="16"/>
      <c r="AC157" s="16"/>
      <c r="AD157" s="16"/>
    </row>
    <row r="158" spans="1:30" ht="15.75" customHeight="1">
      <c r="A158" s="16"/>
      <c r="B158" s="735"/>
      <c r="C158" s="696"/>
      <c r="D158" s="16"/>
      <c r="E158" s="16"/>
      <c r="F158" s="16"/>
      <c r="G158" s="16"/>
      <c r="H158" s="16"/>
      <c r="I158" s="16"/>
      <c r="J158" s="16"/>
      <c r="K158" s="16"/>
      <c r="L158" s="16"/>
      <c r="M158" s="735"/>
      <c r="N158" s="696"/>
      <c r="O158" s="696"/>
      <c r="P158" s="696"/>
      <c r="Q158" s="696"/>
      <c r="R158" s="696"/>
      <c r="S158" s="696"/>
      <c r="T158" s="696"/>
      <c r="U158" s="16"/>
      <c r="V158" s="16"/>
      <c r="W158" s="16"/>
      <c r="X158" s="16"/>
      <c r="Y158" s="16"/>
      <c r="Z158" s="16"/>
      <c r="AA158" s="16"/>
      <c r="AB158" s="16"/>
      <c r="AC158" s="16"/>
      <c r="AD158" s="16"/>
    </row>
    <row r="159" spans="1:30" ht="15.75" customHeight="1">
      <c r="A159" s="16"/>
      <c r="B159" s="735"/>
      <c r="C159" s="696"/>
      <c r="D159" s="16"/>
      <c r="E159" s="16"/>
      <c r="F159" s="16"/>
      <c r="G159" s="16"/>
      <c r="H159" s="16"/>
      <c r="I159" s="16"/>
      <c r="J159" s="16"/>
      <c r="K159" s="16"/>
      <c r="L159" s="16"/>
      <c r="M159" s="735"/>
      <c r="N159" s="696"/>
      <c r="O159" s="696"/>
      <c r="P159" s="696"/>
      <c r="Q159" s="696"/>
      <c r="R159" s="696"/>
      <c r="S159" s="696"/>
      <c r="T159" s="696"/>
      <c r="U159" s="16"/>
      <c r="V159" s="16"/>
      <c r="W159" s="16"/>
      <c r="X159" s="16"/>
      <c r="Y159" s="16"/>
      <c r="Z159" s="16"/>
      <c r="AA159" s="16"/>
      <c r="AB159" s="16"/>
      <c r="AC159" s="16"/>
      <c r="AD159" s="16"/>
    </row>
    <row r="160" spans="1:30" ht="15.75" customHeight="1">
      <c r="A160" s="16"/>
      <c r="B160" s="735"/>
      <c r="C160" s="696"/>
      <c r="D160" s="16"/>
      <c r="E160" s="16"/>
      <c r="F160" s="16"/>
      <c r="G160" s="16"/>
      <c r="H160" s="16"/>
      <c r="I160" s="16"/>
      <c r="J160" s="16"/>
      <c r="K160" s="16"/>
      <c r="L160" s="16"/>
      <c r="M160" s="735"/>
      <c r="N160" s="696"/>
      <c r="O160" s="696"/>
      <c r="P160" s="696"/>
      <c r="Q160" s="696"/>
      <c r="R160" s="696"/>
      <c r="S160" s="696"/>
      <c r="T160" s="696"/>
      <c r="U160" s="16"/>
      <c r="V160" s="16"/>
      <c r="W160" s="16"/>
      <c r="X160" s="16"/>
      <c r="Y160" s="16"/>
      <c r="Z160" s="16"/>
      <c r="AA160" s="16"/>
      <c r="AB160" s="16"/>
      <c r="AC160" s="16"/>
      <c r="AD160" s="16"/>
    </row>
    <row r="161" spans="1:30" ht="15.75" customHeight="1">
      <c r="A161" s="16"/>
      <c r="B161" s="735"/>
      <c r="C161" s="696"/>
      <c r="D161" s="16"/>
      <c r="E161" s="16"/>
      <c r="F161" s="16"/>
      <c r="G161" s="16"/>
      <c r="H161" s="16"/>
      <c r="I161" s="16"/>
      <c r="J161" s="16"/>
      <c r="K161" s="16"/>
      <c r="L161" s="16"/>
      <c r="M161" s="735"/>
      <c r="N161" s="696"/>
      <c r="O161" s="696"/>
      <c r="P161" s="696"/>
      <c r="Q161" s="696"/>
      <c r="R161" s="696"/>
      <c r="S161" s="696"/>
      <c r="T161" s="696"/>
      <c r="U161" s="16"/>
      <c r="V161" s="16"/>
      <c r="W161" s="16"/>
      <c r="X161" s="16"/>
      <c r="Y161" s="16"/>
      <c r="Z161" s="16"/>
      <c r="AA161" s="16"/>
      <c r="AB161" s="16"/>
      <c r="AC161" s="16"/>
      <c r="AD161" s="16"/>
    </row>
    <row r="162" spans="1:30" ht="15.75" customHeight="1">
      <c r="A162" s="16"/>
      <c r="B162" s="735"/>
      <c r="C162" s="696"/>
      <c r="D162" s="16"/>
      <c r="E162" s="16"/>
      <c r="F162" s="16"/>
      <c r="G162" s="16"/>
      <c r="H162" s="16"/>
      <c r="I162" s="16"/>
      <c r="J162" s="16"/>
      <c r="K162" s="16"/>
      <c r="L162" s="16"/>
      <c r="M162" s="735"/>
      <c r="N162" s="696"/>
      <c r="O162" s="696"/>
      <c r="P162" s="696"/>
      <c r="Q162" s="696"/>
      <c r="R162" s="696"/>
      <c r="S162" s="696"/>
      <c r="T162" s="696"/>
      <c r="U162" s="16"/>
      <c r="V162" s="16"/>
      <c r="W162" s="16"/>
      <c r="X162" s="16"/>
      <c r="Y162" s="16"/>
      <c r="Z162" s="16"/>
      <c r="AA162" s="16"/>
      <c r="AB162" s="16"/>
      <c r="AC162" s="16"/>
      <c r="AD162" s="16"/>
    </row>
    <row r="163" spans="1:30" ht="15.75" customHeight="1">
      <c r="A163" s="16"/>
      <c r="B163" s="735"/>
      <c r="C163" s="696"/>
      <c r="D163" s="16"/>
      <c r="E163" s="16"/>
      <c r="F163" s="16"/>
      <c r="G163" s="16"/>
      <c r="H163" s="16"/>
      <c r="I163" s="16"/>
      <c r="J163" s="16"/>
      <c r="K163" s="16"/>
      <c r="L163" s="16"/>
      <c r="M163" s="735"/>
      <c r="N163" s="696"/>
      <c r="O163" s="696"/>
      <c r="P163" s="696"/>
      <c r="Q163" s="696"/>
      <c r="R163" s="696"/>
      <c r="S163" s="696"/>
      <c r="T163" s="696"/>
      <c r="U163" s="16"/>
      <c r="V163" s="16"/>
      <c r="W163" s="16"/>
      <c r="X163" s="16"/>
      <c r="Y163" s="16"/>
      <c r="Z163" s="16"/>
      <c r="AA163" s="16"/>
      <c r="AB163" s="16"/>
      <c r="AC163" s="16"/>
      <c r="AD163" s="16"/>
    </row>
    <row r="164" spans="1:30" ht="15.75" customHeight="1">
      <c r="A164" s="16"/>
      <c r="B164" s="735"/>
      <c r="C164" s="696"/>
      <c r="D164" s="16"/>
      <c r="E164" s="16"/>
      <c r="F164" s="16"/>
      <c r="G164" s="16"/>
      <c r="H164" s="16"/>
      <c r="I164" s="16"/>
      <c r="J164" s="16"/>
      <c r="K164" s="16"/>
      <c r="L164" s="16"/>
      <c r="M164" s="735"/>
      <c r="N164" s="696"/>
      <c r="O164" s="696"/>
      <c r="P164" s="696"/>
      <c r="Q164" s="696"/>
      <c r="R164" s="696"/>
      <c r="S164" s="696"/>
      <c r="T164" s="696"/>
      <c r="U164" s="16"/>
      <c r="V164" s="16"/>
      <c r="W164" s="16"/>
      <c r="X164" s="16"/>
      <c r="Y164" s="16"/>
      <c r="Z164" s="16"/>
      <c r="AA164" s="16"/>
      <c r="AB164" s="16"/>
      <c r="AC164" s="16"/>
      <c r="AD164" s="16"/>
    </row>
    <row r="165" spans="1:30" ht="15.75" customHeight="1">
      <c r="A165" s="16"/>
      <c r="B165" s="735"/>
      <c r="C165" s="696"/>
      <c r="D165" s="16"/>
      <c r="E165" s="16"/>
      <c r="F165" s="16"/>
      <c r="G165" s="16"/>
      <c r="H165" s="16"/>
      <c r="I165" s="16"/>
      <c r="J165" s="16"/>
      <c r="K165" s="16"/>
      <c r="L165" s="16"/>
      <c r="M165" s="735"/>
      <c r="N165" s="696"/>
      <c r="O165" s="696"/>
      <c r="P165" s="696"/>
      <c r="Q165" s="696"/>
      <c r="R165" s="696"/>
      <c r="S165" s="696"/>
      <c r="T165" s="696"/>
      <c r="U165" s="16"/>
      <c r="V165" s="16"/>
      <c r="W165" s="16"/>
      <c r="X165" s="16"/>
      <c r="Y165" s="16"/>
      <c r="Z165" s="16"/>
      <c r="AA165" s="16"/>
      <c r="AB165" s="16"/>
      <c r="AC165" s="16"/>
      <c r="AD165" s="16"/>
    </row>
    <row r="166" spans="1:30" ht="15.75" customHeight="1">
      <c r="A166" s="16"/>
      <c r="B166" s="735"/>
      <c r="C166" s="696"/>
      <c r="D166" s="16"/>
      <c r="E166" s="16"/>
      <c r="F166" s="16"/>
      <c r="G166" s="16"/>
      <c r="H166" s="16"/>
      <c r="I166" s="16"/>
      <c r="J166" s="16"/>
      <c r="K166" s="16"/>
      <c r="L166" s="16"/>
      <c r="M166" s="735"/>
      <c r="N166" s="696"/>
      <c r="O166" s="696"/>
      <c r="P166" s="696"/>
      <c r="Q166" s="696"/>
      <c r="R166" s="696"/>
      <c r="S166" s="696"/>
      <c r="T166" s="696"/>
      <c r="U166" s="16"/>
      <c r="V166" s="16"/>
      <c r="W166" s="16"/>
      <c r="X166" s="16"/>
      <c r="Y166" s="16"/>
      <c r="Z166" s="16"/>
      <c r="AA166" s="16"/>
      <c r="AB166" s="16"/>
      <c r="AC166" s="16"/>
      <c r="AD166" s="16"/>
    </row>
    <row r="167" spans="1:30" ht="15.75" customHeight="1">
      <c r="A167" s="16"/>
      <c r="B167" s="735"/>
      <c r="C167" s="696"/>
      <c r="D167" s="16"/>
      <c r="E167" s="16"/>
      <c r="F167" s="16"/>
      <c r="G167" s="16"/>
      <c r="H167" s="16"/>
      <c r="I167" s="16"/>
      <c r="J167" s="16"/>
      <c r="K167" s="16"/>
      <c r="L167" s="16"/>
      <c r="M167" s="735"/>
      <c r="N167" s="696"/>
      <c r="O167" s="696"/>
      <c r="P167" s="696"/>
      <c r="Q167" s="696"/>
      <c r="R167" s="696"/>
      <c r="S167" s="696"/>
      <c r="T167" s="696"/>
      <c r="U167" s="16"/>
      <c r="V167" s="16"/>
      <c r="W167" s="16"/>
      <c r="X167" s="16"/>
      <c r="Y167" s="16"/>
      <c r="Z167" s="16"/>
      <c r="AA167" s="16"/>
      <c r="AB167" s="16"/>
      <c r="AC167" s="16"/>
      <c r="AD167" s="16"/>
    </row>
    <row r="168" spans="1:30" ht="15.75" customHeight="1">
      <c r="A168" s="16"/>
      <c r="B168" s="735"/>
      <c r="C168" s="696"/>
      <c r="D168" s="16"/>
      <c r="E168" s="16"/>
      <c r="F168" s="16"/>
      <c r="G168" s="16"/>
      <c r="H168" s="16"/>
      <c r="I168" s="16"/>
      <c r="J168" s="16"/>
      <c r="K168" s="16"/>
      <c r="L168" s="16"/>
      <c r="M168" s="735"/>
      <c r="N168" s="696"/>
      <c r="O168" s="696"/>
      <c r="P168" s="696"/>
      <c r="Q168" s="696"/>
      <c r="R168" s="696"/>
      <c r="S168" s="696"/>
      <c r="T168" s="696"/>
      <c r="U168" s="16"/>
      <c r="V168" s="16"/>
      <c r="W168" s="16"/>
      <c r="X168" s="16"/>
      <c r="Y168" s="16"/>
      <c r="Z168" s="16"/>
      <c r="AA168" s="16"/>
      <c r="AB168" s="16"/>
      <c r="AC168" s="16"/>
      <c r="AD168" s="16"/>
    </row>
    <row r="169" spans="1:30" ht="15.75" customHeight="1">
      <c r="A169" s="16"/>
      <c r="B169" s="735"/>
      <c r="C169" s="696"/>
      <c r="D169" s="16"/>
      <c r="E169" s="16"/>
      <c r="F169" s="16"/>
      <c r="G169" s="16"/>
      <c r="H169" s="16"/>
      <c r="I169" s="16"/>
      <c r="J169" s="16"/>
      <c r="K169" s="16"/>
      <c r="L169" s="16"/>
      <c r="M169" s="735"/>
      <c r="N169" s="696"/>
      <c r="O169" s="696"/>
      <c r="P169" s="696"/>
      <c r="Q169" s="696"/>
      <c r="R169" s="696"/>
      <c r="S169" s="696"/>
      <c r="T169" s="696"/>
      <c r="U169" s="16"/>
      <c r="V169" s="16"/>
      <c r="W169" s="16"/>
      <c r="X169" s="16"/>
      <c r="Y169" s="16"/>
      <c r="Z169" s="16"/>
      <c r="AA169" s="16"/>
      <c r="AB169" s="16"/>
      <c r="AC169" s="16"/>
      <c r="AD169" s="16"/>
    </row>
    <row r="170" spans="1:30" ht="15.75" customHeight="1">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c r="AA170" s="16"/>
      <c r="AB170" s="16"/>
      <c r="AC170" s="16"/>
      <c r="AD170" s="16"/>
    </row>
    <row r="171" spans="1:30" ht="15.75" customHeight="1">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c r="AA171" s="16"/>
      <c r="AB171" s="16"/>
      <c r="AC171" s="16"/>
      <c r="AD171" s="16"/>
    </row>
    <row r="172" spans="1:30" ht="15.75" customHeight="1">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row>
    <row r="173" spans="1:30" ht="15.75" customHeight="1">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c r="AC173" s="16"/>
      <c r="AD173" s="16"/>
    </row>
    <row r="174" spans="1:30" ht="15.75" customHeight="1">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c r="AC174" s="16"/>
      <c r="AD174" s="16"/>
    </row>
    <row r="175" spans="1:30" ht="15.75" customHeight="1">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c r="AA175" s="16"/>
      <c r="AB175" s="16"/>
      <c r="AC175" s="16"/>
      <c r="AD175" s="16"/>
    </row>
    <row r="176" spans="1:30" ht="15.75" customHeight="1">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c r="AD176" s="16"/>
    </row>
    <row r="177" spans="1:30" ht="15.75" customHeight="1">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c r="AD177" s="16"/>
    </row>
    <row r="178" spans="1:30" ht="15.75" customHeight="1">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c r="AA178" s="16"/>
      <c r="AB178" s="16"/>
      <c r="AC178" s="16"/>
      <c r="AD178" s="16"/>
    </row>
    <row r="179" spans="1:30" ht="15.75" customHeight="1">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c r="AD179" s="16"/>
    </row>
    <row r="180" spans="1:30" ht="15.75" customHeight="1">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c r="AD180" s="16"/>
    </row>
    <row r="181" spans="1:30" ht="15.75" customHeight="1">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c r="AD181" s="16"/>
    </row>
    <row r="182" spans="1:30" ht="15.75" customHeight="1">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c r="AD182" s="16"/>
    </row>
    <row r="183" spans="1:30" ht="15.75" customHeight="1">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c r="AD183" s="16"/>
    </row>
    <row r="184" spans="1:30" ht="15.75" customHeight="1">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c r="AD184" s="16"/>
    </row>
    <row r="185" spans="1:30" ht="15.75" customHeight="1">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c r="AD185" s="16"/>
    </row>
    <row r="186" spans="1:30" ht="15.75" customHeight="1">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c r="AD186" s="16"/>
    </row>
    <row r="187" spans="1:30" ht="15.75" customHeight="1">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16"/>
      <c r="AB187" s="16"/>
      <c r="AC187" s="16"/>
      <c r="AD187" s="16"/>
    </row>
    <row r="188" spans="1:30" ht="15.75" customHeight="1">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c r="AD188" s="16"/>
    </row>
    <row r="189" spans="1:30" ht="15.75" customHeight="1">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c r="AD189" s="16"/>
    </row>
    <row r="190" spans="1:30" ht="15.75" customHeight="1">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c r="AD190" s="16"/>
    </row>
    <row r="191" spans="1:30" ht="15.75" customHeight="1">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c r="AD191" s="16"/>
    </row>
    <row r="192" spans="1:30" ht="15.75" customHeight="1">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c r="AD192" s="16"/>
    </row>
    <row r="193" spans="1:30" ht="15.75" customHeight="1">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c r="AA193" s="16"/>
      <c r="AB193" s="16"/>
      <c r="AC193" s="16"/>
      <c r="AD193" s="16"/>
    </row>
    <row r="194" spans="1:30" ht="15.75" customHeight="1">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c r="AA194" s="16"/>
      <c r="AB194" s="16"/>
      <c r="AC194" s="16"/>
      <c r="AD194" s="16"/>
    </row>
    <row r="195" spans="1:30" ht="15.75" customHeight="1">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c r="AA195" s="16"/>
      <c r="AB195" s="16"/>
      <c r="AC195" s="16"/>
      <c r="AD195" s="16"/>
    </row>
    <row r="196" spans="1:30" ht="15.75" customHeight="1">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c r="AA196" s="16"/>
      <c r="AB196" s="16"/>
      <c r="AC196" s="16"/>
      <c r="AD196" s="16"/>
    </row>
    <row r="197" spans="1:30" ht="15.75" customHeight="1">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c r="AD197" s="16"/>
    </row>
    <row r="198" spans="1:30" ht="15.75" customHeight="1">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c r="AD198" s="16"/>
    </row>
    <row r="199" spans="1:30" ht="15.75" customHeight="1">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c r="AA199" s="16"/>
      <c r="AB199" s="16"/>
      <c r="AC199" s="16"/>
      <c r="AD199" s="16"/>
    </row>
    <row r="200" spans="1:30" ht="15.75" customHeight="1">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c r="AA200" s="16"/>
      <c r="AB200" s="16"/>
      <c r="AC200" s="16"/>
      <c r="AD200" s="16"/>
    </row>
    <row r="201" spans="1:30" ht="15.75" customHeight="1">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c r="AD201" s="16"/>
    </row>
    <row r="202" spans="1:30" ht="15.75" customHeight="1">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c r="AD202" s="16"/>
    </row>
    <row r="203" spans="1:30" ht="15.75" customHeight="1">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c r="AA203" s="16"/>
      <c r="AB203" s="16"/>
      <c r="AC203" s="16"/>
      <c r="AD203" s="16"/>
    </row>
    <row r="204" spans="1:30" ht="15.75" customHeight="1">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c r="AA204" s="16"/>
      <c r="AB204" s="16"/>
      <c r="AC204" s="16"/>
      <c r="AD204" s="16"/>
    </row>
    <row r="205" spans="1:30" ht="15.75" customHeight="1">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c r="AD205" s="16"/>
    </row>
    <row r="206" spans="1:30" ht="15.75" customHeight="1">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row>
    <row r="207" spans="1:30" ht="15.75" customHeight="1">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c r="AD207" s="16"/>
    </row>
    <row r="208" spans="1:30" ht="15.75" customHeight="1">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c r="AD208" s="16"/>
    </row>
    <row r="209" spans="1:30" ht="15.75" customHeight="1">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c r="AD209" s="16"/>
    </row>
    <row r="210" spans="1:30" ht="15.75" customHeight="1">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c r="AD210" s="16"/>
    </row>
    <row r="211" spans="1:30" ht="15.75" customHeight="1">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row>
    <row r="212" spans="1:30" ht="15.75" customHeight="1">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c r="AD212" s="16"/>
    </row>
    <row r="213" spans="1:30" ht="15.75" customHeight="1">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c r="AD213" s="16"/>
    </row>
    <row r="214" spans="1:30" ht="15.75" customHeight="1">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row>
    <row r="215" spans="1:30" ht="15.75" customHeight="1">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c r="AD215" s="16"/>
    </row>
    <row r="216" spans="1:30" ht="15.75" customHeight="1">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c r="AD216" s="16"/>
    </row>
    <row r="217" spans="1:30" ht="15.75" customHeight="1">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c r="AD217" s="16"/>
    </row>
    <row r="218" spans="1:30" ht="15.75" customHeight="1">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c r="AD218" s="16"/>
    </row>
    <row r="219" spans="1:30" ht="15.75" customHeight="1">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c r="AD219" s="16"/>
    </row>
    <row r="220" spans="1:30" ht="15.75" customHeight="1">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c r="AD220" s="16"/>
    </row>
    <row r="221" spans="1:30" ht="15.75" customHeight="1">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row>
    <row r="222" spans="1:30" ht="15.75" customHeight="1">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row>
    <row r="223" spans="1:30" ht="15.75" customHeight="1">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c r="AD223" s="16"/>
    </row>
    <row r="224" spans="1:30" ht="15.75" customHeight="1">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c r="AD224" s="16"/>
    </row>
    <row r="225" spans="1:30" ht="15.75" customHeight="1">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16"/>
    </row>
    <row r="226" spans="1:30" ht="15.75" customHeight="1">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row>
    <row r="227" spans="1:30" ht="15.75" customHeight="1">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16"/>
    </row>
    <row r="228" spans="1:30" ht="15.75" customHeight="1">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c r="AD228" s="16"/>
    </row>
    <row r="229" spans="1:30" ht="15.75" customHeight="1">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c r="AD229" s="16"/>
    </row>
    <row r="230" spans="1:30" ht="15.75" customHeight="1">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row>
    <row r="231" spans="1:30" ht="15.75" customHeight="1">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c r="AD231" s="16"/>
    </row>
    <row r="232" spans="1:30" ht="15.75" customHeight="1">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c r="AD232" s="16"/>
    </row>
    <row r="233" spans="1:30" ht="15.75" customHeight="1">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c r="AD233" s="16"/>
    </row>
    <row r="234" spans="1:30" ht="15.75" customHeight="1">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c r="AD234" s="16"/>
    </row>
    <row r="235" spans="1:30" ht="15.75" customHeight="1">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row>
    <row r="236" spans="1:30" ht="15.75" customHeight="1">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c r="AD236" s="16"/>
    </row>
    <row r="237" spans="1:30" ht="15.75" customHeight="1">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c r="AD237" s="16"/>
    </row>
    <row r="238" spans="1:30" ht="15.75" customHeight="1">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c r="AD238" s="16"/>
    </row>
    <row r="239" spans="1:30" ht="15.75" customHeight="1">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c r="AD239" s="16"/>
    </row>
    <row r="240" spans="1:30" ht="15.75" customHeight="1">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c r="AD240" s="16"/>
    </row>
    <row r="241" spans="1:30" ht="15.75" customHeight="1">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c r="AD241" s="16"/>
    </row>
    <row r="242" spans="1:30" ht="15.75" customHeight="1">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c r="AD242" s="16"/>
    </row>
    <row r="243" spans="1:30" ht="15.75" customHeight="1">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c r="AD243" s="16"/>
    </row>
    <row r="244" spans="1:30" ht="15.75" customHeight="1">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16"/>
    </row>
    <row r="245" spans="1:30" ht="15.75" customHeight="1">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c r="AD245" s="16"/>
    </row>
    <row r="246" spans="1:30" ht="15.75" customHeight="1">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row>
    <row r="247" spans="1:30" ht="15.75" customHeight="1">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c r="AD247" s="16"/>
    </row>
    <row r="248" spans="1:30" ht="15.75" customHeight="1">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row>
    <row r="249" spans="1:30" ht="15.75" customHeight="1">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row>
    <row r="250" spans="1:30" ht="15.75" customHeight="1">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c r="AD250" s="16"/>
    </row>
    <row r="251" spans="1:30" ht="15.75" customHeight="1">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row>
    <row r="252" spans="1:30" ht="15.75" customHeight="1">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16"/>
    </row>
    <row r="253" spans="1:30" ht="15.75" customHeight="1">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c r="AD253" s="16"/>
    </row>
    <row r="254" spans="1:30" ht="15.75" customHeight="1">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row>
    <row r="255" spans="1:30" ht="15.75" customHeight="1">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c r="AD255" s="16"/>
    </row>
    <row r="256" spans="1:30" ht="15.75" customHeight="1">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row>
    <row r="257" spans="1:30" ht="15.75" customHeight="1">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c r="AD257" s="16"/>
    </row>
    <row r="258" spans="1:30" ht="15.75" customHeight="1">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c r="AD258" s="16"/>
    </row>
    <row r="259" spans="1:30" ht="15.75" customHeight="1">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row>
    <row r="260" spans="1:30" ht="15.75" customHeight="1">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row>
    <row r="261" spans="1:30" ht="15.75" customHeight="1">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c r="AD261" s="16"/>
    </row>
    <row r="262" spans="1:30" ht="15.75" customHeight="1">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row>
    <row r="263" spans="1:30" ht="15.75" customHeight="1">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row>
    <row r="264" spans="1:30" ht="15.75" customHeight="1">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c r="AD264" s="16"/>
    </row>
    <row r="265" spans="1:30" ht="15.75" customHeight="1">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row>
    <row r="266" spans="1:30" ht="15.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row>
    <row r="267" spans="1:30" ht="15.75" customHeight="1">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row>
    <row r="268" spans="1:30" ht="15.75" customHeight="1">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c r="AD268" s="16"/>
    </row>
    <row r="269" spans="1:30" ht="15.75" customHeight="1">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row>
    <row r="270" spans="1:30" ht="15.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row>
    <row r="271" spans="1:30" ht="15.75" customHeight="1">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c r="AD271" s="16"/>
    </row>
    <row r="272" spans="1:30" ht="15.75" customHeight="1">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c r="AD272" s="16"/>
    </row>
    <row r="273" spans="1:30" ht="15.75" customHeight="1">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c r="AD273" s="16"/>
    </row>
    <row r="274" spans="1:30" ht="15.75" customHeight="1">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c r="AD274" s="16"/>
    </row>
    <row r="275" spans="1:30" ht="15.75" customHeight="1">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c r="AD275" s="16"/>
    </row>
    <row r="276" spans="1:30" ht="15.75" customHeight="1">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row>
    <row r="277" spans="1:30" ht="15.75" customHeight="1">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16"/>
    </row>
    <row r="278" spans="1:30" ht="15.75" customHeight="1">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row>
    <row r="279" spans="1:30" ht="15.75" customHeight="1">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16"/>
    </row>
    <row r="280" spans="1:30" ht="15.75" customHeight="1">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c r="AD280" s="16"/>
    </row>
    <row r="281" spans="1:30" ht="15.75" customHeight="1">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c r="AD281" s="16"/>
    </row>
    <row r="282" spans="1:30" ht="15.75" customHeight="1">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c r="AD282" s="16"/>
    </row>
    <row r="283" spans="1:30" ht="15.75" customHeight="1">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c r="AD283" s="16"/>
    </row>
    <row r="284" spans="1:30" ht="15.75" customHeight="1">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c r="AD284" s="16"/>
    </row>
    <row r="285" spans="1:30" ht="15.75" customHeight="1">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c r="AD285" s="16"/>
    </row>
    <row r="286" spans="1:30" ht="15.75" customHeight="1">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row>
    <row r="287" spans="1:30" ht="15.75" customHeight="1">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row>
    <row r="288" spans="1:30" ht="15.75" customHeight="1">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row>
    <row r="289" spans="1:30" ht="15.75" customHeight="1">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row>
    <row r="290" spans="1:30" ht="15.75" customHeight="1">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row>
    <row r="291" spans="1:30" ht="15.75" customHeight="1">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c r="AD291" s="16"/>
    </row>
    <row r="292" spans="1:30" ht="15.75" customHeight="1">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row>
    <row r="293" spans="1:30" ht="15.75" customHeight="1">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row>
    <row r="294" spans="1:30" ht="15.75" customHeight="1">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row>
    <row r="295" spans="1:30" ht="15.75" customHeight="1">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row>
    <row r="296" spans="1:30" ht="15.75" customHeight="1">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row>
    <row r="297" spans="1:30" ht="15.75" customHeight="1">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row>
    <row r="298" spans="1:30" ht="15.75" customHeight="1">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row>
    <row r="299" spans="1:30" ht="15.75" customHeight="1">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row>
    <row r="300" spans="1:30" ht="15.75" customHeight="1">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row>
    <row r="301" spans="1:30" ht="15.75" customHeight="1">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c r="AD301" s="16"/>
    </row>
    <row r="302" spans="1:30" ht="15.75" customHeight="1">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c r="AD302" s="16"/>
    </row>
    <row r="303" spans="1:30" ht="15.75" customHeight="1">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row>
    <row r="304" spans="1:30" ht="15.75" customHeight="1">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c r="AD304" s="16"/>
    </row>
    <row r="305" spans="1:30" ht="15.75" customHeight="1">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c r="AD305" s="16"/>
    </row>
    <row r="306" spans="1:30" ht="15.75" customHeight="1"/>
    <row r="307" spans="1:30" ht="15.75" customHeight="1"/>
    <row r="308" spans="1:30" ht="15.75" customHeight="1"/>
    <row r="309" spans="1:30" ht="15.75" customHeight="1"/>
    <row r="310" spans="1:30" ht="15.75" customHeight="1"/>
    <row r="311" spans="1:30" ht="15.75" customHeight="1"/>
    <row r="312" spans="1:30" ht="15.75" customHeight="1"/>
    <row r="313" spans="1:30" ht="15.75" customHeight="1"/>
    <row r="314" spans="1:30" ht="15.75" customHeight="1"/>
    <row r="315" spans="1:30" ht="15.75" customHeight="1"/>
    <row r="316" spans="1:30" ht="15.75" customHeight="1"/>
    <row r="317" spans="1:30" ht="15.75" customHeight="1"/>
    <row r="318" spans="1:30" ht="15.75" customHeight="1"/>
    <row r="319" spans="1:30" ht="15.75" customHeight="1"/>
    <row r="320" spans="1:3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99">
    <mergeCell ref="M164:O164"/>
    <mergeCell ref="B168:C168"/>
    <mergeCell ref="M168:O168"/>
    <mergeCell ref="B169:C169"/>
    <mergeCell ref="M169:O169"/>
    <mergeCell ref="B165:C165"/>
    <mergeCell ref="M165:O165"/>
    <mergeCell ref="B166:C166"/>
    <mergeCell ref="M166:O166"/>
    <mergeCell ref="B167:C167"/>
    <mergeCell ref="M167:O167"/>
    <mergeCell ref="M152:O152"/>
    <mergeCell ref="B155:C155"/>
    <mergeCell ref="M155:O155"/>
    <mergeCell ref="M158:O158"/>
    <mergeCell ref="B159:C159"/>
    <mergeCell ref="M159:O159"/>
    <mergeCell ref="P155:T155"/>
    <mergeCell ref="B156:C156"/>
    <mergeCell ref="M156:O156"/>
    <mergeCell ref="P156:T169"/>
    <mergeCell ref="B157:C157"/>
    <mergeCell ref="M157:O157"/>
    <mergeCell ref="B158:C158"/>
    <mergeCell ref="B161:C161"/>
    <mergeCell ref="M161:O161"/>
    <mergeCell ref="B160:C160"/>
    <mergeCell ref="M160:O160"/>
    <mergeCell ref="B162:C162"/>
    <mergeCell ref="M162:O162"/>
    <mergeCell ref="B163:C163"/>
    <mergeCell ref="M163:O163"/>
    <mergeCell ref="B164:C164"/>
    <mergeCell ref="M151:O151"/>
    <mergeCell ref="M138:O138"/>
    <mergeCell ref="P138:T138"/>
    <mergeCell ref="M139:O139"/>
    <mergeCell ref="P139:T152"/>
    <mergeCell ref="M140:O140"/>
    <mergeCell ref="M141:O141"/>
    <mergeCell ref="M142:O142"/>
    <mergeCell ref="M143:O143"/>
    <mergeCell ref="M144:O144"/>
    <mergeCell ref="M145:O145"/>
    <mergeCell ref="M146:O146"/>
    <mergeCell ref="M147:O147"/>
    <mergeCell ref="M148:O148"/>
    <mergeCell ref="M149:O149"/>
    <mergeCell ref="M150:O150"/>
    <mergeCell ref="M135:O135"/>
    <mergeCell ref="P121:R121"/>
    <mergeCell ref="M123:O123"/>
    <mergeCell ref="P123:T123"/>
    <mergeCell ref="M124:O124"/>
    <mergeCell ref="P124:T135"/>
    <mergeCell ref="M125:O125"/>
    <mergeCell ref="M126:O126"/>
    <mergeCell ref="M127:O127"/>
    <mergeCell ref="M128:O128"/>
    <mergeCell ref="M129:O129"/>
    <mergeCell ref="M130:O130"/>
    <mergeCell ref="M131:O131"/>
    <mergeCell ref="M132:O132"/>
    <mergeCell ref="M133:O133"/>
    <mergeCell ref="M134:O134"/>
    <mergeCell ref="P119:R119"/>
    <mergeCell ref="P120:R120"/>
    <mergeCell ref="AG29:AH29"/>
    <mergeCell ref="AI29:AJ29"/>
    <mergeCell ref="AG30:AH40"/>
    <mergeCell ref="AI30:AJ40"/>
    <mergeCell ref="P115:R115"/>
    <mergeCell ref="P70:Q70"/>
    <mergeCell ref="H92:I105"/>
    <mergeCell ref="J92:K105"/>
    <mergeCell ref="P116:R116"/>
    <mergeCell ref="P117:R117"/>
    <mergeCell ref="P118:R118"/>
    <mergeCell ref="H37:J37"/>
    <mergeCell ref="K71:O87"/>
    <mergeCell ref="P71:Q87"/>
    <mergeCell ref="H91:I91"/>
    <mergeCell ref="J91:K91"/>
    <mergeCell ref="K70:O70"/>
    <mergeCell ref="H38:J42"/>
    <mergeCell ref="I45:K45"/>
    <mergeCell ref="I46:K50"/>
    <mergeCell ref="K54:M54"/>
    <mergeCell ref="K55:M67"/>
    <mergeCell ref="A1:C1"/>
    <mergeCell ref="E1:H1"/>
    <mergeCell ref="D7:I7"/>
    <mergeCell ref="D8:I8"/>
    <mergeCell ref="A28:F28"/>
    <mergeCell ref="A30:F30"/>
    <mergeCell ref="A31:F31"/>
    <mergeCell ref="A32:F32"/>
    <mergeCell ref="A34:F34"/>
    <mergeCell ref="A29:F29"/>
  </mergeCells>
  <conditionalFormatting sqref="I55:I66">
    <cfRule type="containsText" dxfId="178" priority="1" operator="containsText" text="5">
      <formula>NOT(ISERROR(SEARCH(("5"),(I55))))</formula>
    </cfRule>
    <cfRule type="containsText" dxfId="177" priority="2" operator="containsText" text="42">
      <formula>NOT(ISERROR(SEARCH(("42"),(I55))))</formula>
    </cfRule>
    <cfRule type="containsText" dxfId="176" priority="3" operator="containsText" text="Please fill in">
      <formula>NOT(ISERROR(SEARCH(("Please fill in"),(I55))))</formula>
    </cfRule>
  </conditionalFormatting>
  <dataValidations count="3">
    <dataValidation type="list" allowBlank="1" showErrorMessage="1" sqref="D47:D50 H57:H67" xr:uid="{D25552CF-3945-4007-AA09-952057640377}">
      <formula1>Thibats!TypesOfTrainers</formula1>
    </dataValidation>
    <dataValidation type="list" allowBlank="1" showErrorMessage="1" sqref="B9" xr:uid="{979C1310-871F-4822-8B60-12674F5E5FD4}">
      <formula1>"yes,no,partial"</formula1>
    </dataValidation>
    <dataValidation type="list" allowBlank="1" sqref="G46:G50" xr:uid="{ADACF38E-705C-4036-98D1-79A762D9241D}">
      <formula1>"yes,no"</formula1>
    </dataValidation>
  </dataValidations>
  <pageMargins left="0.7" right="0.7" top="0.75" bottom="0.75" header="0" footer="0"/>
  <pageSetup paperSize="9" orientation="portrait"/>
  <drawing r:id="rId1"/>
  <tableParts count="6">
    <tablePart r:id="rId2"/>
    <tablePart r:id="rId3"/>
    <tablePart r:id="rId4"/>
    <tablePart r:id="rId5"/>
    <tablePart r:id="rId6"/>
    <tablePart r:id="rId7"/>
  </tableParts>
  <extLst>
    <ext xmlns:x14="http://schemas.microsoft.com/office/spreadsheetml/2009/9/main" uri="{CCE6A557-97BC-4b89-ADB6-D9C93CAAB3DF}">
      <x14:dataValidations xmlns:xm="http://schemas.microsoft.com/office/excel/2006/main" count="4">
        <x14:dataValidation type="list" allowBlank="1" showInputMessage="1" showErrorMessage="1" xr:uid="{B0A6B614-2EAC-4398-9875-06DE4A8ED3D4}">
          <x14:formula1>
            <xm:f>Constants!$M$6:$M$7</xm:f>
          </x14:formula1>
          <xm:sqref>B92:B107</xm:sqref>
        </x14:dataValidation>
        <x14:dataValidation type="list" allowBlank="1" showInputMessage="1" showErrorMessage="1" xr:uid="{4D9E0F02-507C-42F0-ADD1-EA1BB7E28271}">
          <x14:formula1>
            <xm:f>Constants!$C$55:$C$56</xm:f>
          </x14:formula1>
          <xm:sqref>B12</xm:sqref>
        </x14:dataValidation>
        <x14:dataValidation type="list" allowBlank="1" showErrorMessage="1" xr:uid="{E02D82F7-B2E9-4742-B54B-5CABAC17BFC1}">
          <x14:formula1>
            <xm:f>Constants!$H$6:$H$13</xm:f>
          </x14:formula1>
          <xm:sqref>B57:B67</xm:sqref>
        </x14:dataValidation>
        <x14:dataValidation type="list" allowBlank="1" showErrorMessage="1" xr:uid="{E9F5B79A-DCD0-470C-B25F-5DE83B8E8BA0}">
          <x14:formula1>
            <xm:f>Constants!$A$2:$AD$2</xm:f>
          </x14:formula1>
          <xm:sqref>B73:B87</xm:sqref>
        </x14:dataValidation>
      </x14:dataValidation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BDE64-8E5D-4FBD-92AB-43DE7D5E7A85}">
  <dimension ref="A1:BG1040"/>
  <sheetViews>
    <sheetView topLeftCell="A41" workbookViewId="0">
      <selection activeCell="K21" sqref="K21"/>
    </sheetView>
  </sheetViews>
  <sheetFormatPr defaultColWidth="12.625" defaultRowHeight="15" customHeight="1"/>
  <cols>
    <col min="1" max="1" width="36.625" customWidth="1"/>
    <col min="2" max="2" width="28.125" customWidth="1"/>
    <col min="3" max="3" width="21" customWidth="1"/>
    <col min="4" max="4" width="17.5" customWidth="1"/>
    <col min="5" max="5" width="16.125" customWidth="1"/>
    <col min="6" max="6" width="21.5" customWidth="1"/>
    <col min="7" max="7" width="22.625" customWidth="1"/>
    <col min="8" max="8" width="18.625" customWidth="1"/>
    <col min="9" max="9" width="19.625" customWidth="1"/>
    <col min="10" max="10" width="18.875" customWidth="1"/>
    <col min="11" max="11" width="21.625" customWidth="1"/>
    <col min="12" max="12" width="17.375" customWidth="1"/>
    <col min="13" max="13" width="15.125" customWidth="1"/>
    <col min="14" max="14" width="15.625" customWidth="1"/>
    <col min="15" max="15" width="28.5" customWidth="1"/>
    <col min="16" max="16" width="13.125" customWidth="1"/>
    <col min="17" max="17" width="21.875" customWidth="1"/>
    <col min="18" max="18" width="27" customWidth="1"/>
    <col min="19" max="19" width="20.5" customWidth="1"/>
    <col min="20" max="22" width="7.625" customWidth="1"/>
    <col min="23" max="23" width="31.875" customWidth="1"/>
    <col min="24" max="24" width="7.625" customWidth="1"/>
    <col min="25" max="25" width="8.375" customWidth="1"/>
    <col min="26" max="26" width="21.625" customWidth="1"/>
    <col min="27" max="27" width="12" customWidth="1"/>
    <col min="28" max="28" width="16.5" customWidth="1"/>
    <col min="29" max="29" width="6" customWidth="1"/>
    <col min="30" max="30" width="13.625" customWidth="1"/>
  </cols>
  <sheetData>
    <row r="1" spans="1:59" ht="171" customHeight="1">
      <c r="A1" s="703"/>
      <c r="B1" s="704"/>
      <c r="C1" s="705"/>
      <c r="D1" s="16"/>
      <c r="E1" s="572" t="s">
        <v>143</v>
      </c>
      <c r="F1" s="704"/>
      <c r="G1" s="704"/>
      <c r="H1" s="705"/>
      <c r="I1" s="16"/>
      <c r="J1" s="16"/>
      <c r="K1" s="16"/>
      <c r="L1" s="16"/>
      <c r="M1" s="16"/>
      <c r="N1" s="16"/>
      <c r="O1" s="16"/>
      <c r="P1" s="16"/>
      <c r="Q1" s="16"/>
      <c r="R1" s="16"/>
      <c r="S1" s="16"/>
      <c r="T1" s="16"/>
      <c r="U1" s="16"/>
      <c r="V1" s="16"/>
      <c r="W1" s="16"/>
      <c r="X1" s="16"/>
      <c r="Y1" s="16"/>
      <c r="Z1" s="16"/>
      <c r="AA1" s="16"/>
      <c r="AB1" s="16"/>
      <c r="AC1" s="16"/>
      <c r="AD1" s="16"/>
    </row>
    <row r="2" spans="1:59">
      <c r="A2" s="58" t="s">
        <v>404</v>
      </c>
      <c r="B2" s="152" t="s">
        <v>1748</v>
      </c>
      <c r="C2" s="59"/>
      <c r="D2" s="16"/>
      <c r="E2" s="60" t="s">
        <v>406</v>
      </c>
      <c r="F2" s="153"/>
      <c r="G2" s="154"/>
      <c r="H2" s="61"/>
      <c r="I2" s="16"/>
      <c r="J2" s="16"/>
      <c r="K2" s="16"/>
      <c r="L2" s="16"/>
      <c r="M2" s="16"/>
      <c r="N2" s="16"/>
      <c r="O2" s="16"/>
      <c r="P2" s="16"/>
      <c r="Q2" s="16"/>
      <c r="R2" s="16"/>
      <c r="S2" s="16"/>
      <c r="T2" s="16"/>
      <c r="U2" s="16"/>
      <c r="V2" s="16"/>
      <c r="W2" s="16"/>
      <c r="X2" s="16"/>
      <c r="Y2" s="16"/>
      <c r="Z2" s="15"/>
      <c r="AA2" s="15"/>
      <c r="AB2" s="15"/>
      <c r="AC2" s="15"/>
      <c r="AD2" s="16"/>
      <c r="AE2" s="16"/>
      <c r="AF2" s="16"/>
      <c r="AG2" s="16"/>
      <c r="AH2" s="16"/>
      <c r="AI2" s="17"/>
      <c r="AJ2" s="17"/>
      <c r="AK2" s="17"/>
      <c r="AL2" s="17"/>
      <c r="AM2" s="17"/>
      <c r="AN2" s="17"/>
      <c r="AO2" s="17"/>
      <c r="AP2" s="17"/>
      <c r="AQ2" s="17"/>
      <c r="AR2" s="18"/>
      <c r="AS2" s="17"/>
      <c r="AT2" s="17"/>
      <c r="AU2" s="16"/>
      <c r="AV2" s="16"/>
      <c r="AW2" s="16"/>
      <c r="AX2" s="16"/>
      <c r="AY2" s="16"/>
      <c r="AZ2" s="16"/>
      <c r="BA2" s="16"/>
    </row>
    <row r="3" spans="1:59">
      <c r="A3" s="62" t="s">
        <v>408</v>
      </c>
      <c r="B3" s="155">
        <v>6</v>
      </c>
      <c r="C3" s="156"/>
      <c r="D3" s="16"/>
      <c r="E3" s="63" t="s">
        <v>409</v>
      </c>
      <c r="F3" s="157"/>
      <c r="G3" s="158"/>
      <c r="H3" s="159"/>
      <c r="I3" s="16"/>
      <c r="J3" s="16"/>
      <c r="K3" s="16"/>
      <c r="L3" s="16"/>
      <c r="M3" s="16"/>
      <c r="N3" s="16"/>
      <c r="O3" s="16"/>
      <c r="P3" s="16"/>
      <c r="Q3" s="16"/>
      <c r="R3" s="16"/>
      <c r="S3" s="16"/>
      <c r="T3" s="16"/>
      <c r="U3" s="16"/>
      <c r="V3" s="16"/>
      <c r="W3" s="16"/>
      <c r="X3" s="16"/>
      <c r="Y3" s="16"/>
      <c r="Z3" s="16"/>
      <c r="AA3" s="16"/>
      <c r="AB3" s="16"/>
      <c r="AC3" s="16"/>
      <c r="AD3" s="16"/>
    </row>
    <row r="4" spans="1:59">
      <c r="A4" s="160" t="s">
        <v>410</v>
      </c>
      <c r="B4" s="161">
        <v>45812</v>
      </c>
      <c r="C4" s="162"/>
      <c r="D4" s="16"/>
      <c r="E4" s="163"/>
      <c r="F4" s="164"/>
      <c r="G4" s="165"/>
      <c r="H4" s="166"/>
      <c r="I4" s="16"/>
      <c r="J4" s="16"/>
      <c r="K4" s="16"/>
      <c r="L4" s="16"/>
      <c r="M4" s="16"/>
      <c r="N4" s="16"/>
      <c r="O4" s="16"/>
      <c r="P4" s="16"/>
      <c r="Q4" s="16"/>
      <c r="R4" s="16"/>
      <c r="S4" s="16"/>
      <c r="T4" s="16"/>
      <c r="U4" s="16"/>
      <c r="V4" s="16"/>
      <c r="W4" s="16"/>
      <c r="X4" s="16"/>
      <c r="Y4" s="16"/>
      <c r="Z4" s="16"/>
      <c r="AA4" s="16"/>
      <c r="AB4" s="16"/>
      <c r="AC4" s="16"/>
      <c r="AD4" s="16"/>
    </row>
    <row r="5" spans="1:59">
      <c r="A5" s="167" t="s">
        <v>411</v>
      </c>
      <c r="B5" s="168"/>
      <c r="C5" s="167"/>
      <c r="D5" s="16"/>
      <c r="E5" s="169" t="s">
        <v>412</v>
      </c>
      <c r="F5" s="169"/>
      <c r="G5" s="158"/>
      <c r="H5" s="169"/>
      <c r="I5" s="16"/>
      <c r="J5" s="16"/>
      <c r="K5" s="16"/>
      <c r="L5" s="16"/>
      <c r="M5" s="16"/>
      <c r="N5" s="16"/>
      <c r="O5" s="16"/>
      <c r="P5" s="16"/>
      <c r="Q5" s="16"/>
      <c r="R5" s="16"/>
      <c r="S5" s="16"/>
      <c r="T5" s="16"/>
      <c r="U5" s="16"/>
      <c r="V5" s="16"/>
      <c r="W5" s="16"/>
      <c r="X5" s="16"/>
      <c r="Y5" s="16"/>
      <c r="Z5" s="16"/>
      <c r="AA5" s="16"/>
      <c r="AB5" s="16"/>
      <c r="AC5" s="16"/>
      <c r="AD5" s="16"/>
    </row>
    <row r="6" spans="1:59">
      <c r="A6" s="15"/>
      <c r="B6" s="64"/>
      <c r="C6" s="16"/>
      <c r="D6" s="16"/>
      <c r="E6" s="16"/>
      <c r="F6" s="16"/>
      <c r="G6" s="16"/>
      <c r="H6" s="16"/>
      <c r="I6" s="16"/>
      <c r="J6" s="64"/>
      <c r="K6" s="16"/>
      <c r="L6" s="16"/>
      <c r="M6" s="16"/>
      <c r="N6" s="16"/>
      <c r="O6" s="16"/>
      <c r="P6" s="16"/>
      <c r="Q6" s="16"/>
      <c r="R6" s="16"/>
      <c r="S6" s="16"/>
      <c r="T6" s="16"/>
      <c r="U6" s="16"/>
      <c r="V6" s="16"/>
      <c r="W6" s="16"/>
      <c r="X6" s="16"/>
      <c r="Y6" s="16"/>
      <c r="Z6" s="16"/>
      <c r="AA6" s="16"/>
      <c r="AB6" s="16"/>
      <c r="AC6" s="16"/>
      <c r="AD6" s="16"/>
    </row>
    <row r="7" spans="1:59">
      <c r="A7" s="170" t="s">
        <v>413</v>
      </c>
      <c r="B7" s="59">
        <v>218</v>
      </c>
      <c r="C7" s="16"/>
      <c r="D7" s="573" t="s">
        <v>414</v>
      </c>
      <c r="E7" s="701"/>
      <c r="F7" s="701"/>
      <c r="G7" s="701"/>
      <c r="H7" s="701"/>
      <c r="I7" s="701"/>
      <c r="J7" s="16"/>
      <c r="K7" s="16"/>
      <c r="L7" s="16"/>
      <c r="M7" s="16"/>
      <c r="N7" s="16"/>
      <c r="O7" s="16"/>
      <c r="P7" s="16"/>
      <c r="Q7" s="16"/>
      <c r="R7" s="16"/>
      <c r="S7" s="16"/>
      <c r="T7" s="16"/>
      <c r="U7" s="16"/>
      <c r="V7" s="16"/>
      <c r="W7" s="16"/>
      <c r="X7" s="16"/>
      <c r="Y7" s="16"/>
      <c r="Z7" s="16"/>
      <c r="AA7" s="16"/>
      <c r="AB7" s="16"/>
      <c r="AC7" s="16"/>
      <c r="AD7" s="16"/>
    </row>
    <row r="8" spans="1:59" ht="14.25" customHeight="1">
      <c r="A8" s="171" t="s">
        <v>415</v>
      </c>
      <c r="B8" s="172">
        <f ca="1">M21-M17</f>
        <v>12185.393647118122</v>
      </c>
      <c r="C8" s="16" t="s">
        <v>416</v>
      </c>
      <c r="D8" s="574" t="s">
        <v>417</v>
      </c>
      <c r="E8" s="704"/>
      <c r="F8" s="704"/>
      <c r="G8" s="704"/>
      <c r="H8" s="704"/>
      <c r="I8" s="704"/>
      <c r="J8" s="16"/>
      <c r="K8" s="16"/>
      <c r="L8" s="16"/>
      <c r="M8" s="16"/>
      <c r="N8" s="16"/>
      <c r="O8" s="16"/>
      <c r="P8" s="16"/>
      <c r="Q8" s="16"/>
      <c r="R8" s="16"/>
      <c r="S8" s="16"/>
      <c r="T8" s="16"/>
      <c r="U8" s="16"/>
      <c r="V8" s="16"/>
      <c r="W8" s="16"/>
      <c r="X8" s="16"/>
      <c r="Y8" s="16"/>
      <c r="Z8" s="16"/>
      <c r="AA8" s="16"/>
      <c r="AB8" s="16"/>
      <c r="AC8" s="16"/>
    </row>
    <row r="9" spans="1:59">
      <c r="A9" s="65" t="s">
        <v>418</v>
      </c>
      <c r="B9" s="173" t="s">
        <v>419</v>
      </c>
      <c r="C9" s="16"/>
      <c r="D9" s="16"/>
      <c r="E9" s="17"/>
      <c r="F9" s="17"/>
      <c r="G9" s="17"/>
      <c r="H9" s="17"/>
      <c r="I9" s="17"/>
      <c r="J9" s="17"/>
      <c r="K9" s="17"/>
      <c r="L9" s="17"/>
      <c r="M9" s="17"/>
      <c r="N9" s="17"/>
      <c r="O9" s="17"/>
      <c r="P9" s="17"/>
      <c r="Q9" s="16"/>
      <c r="R9" s="17"/>
      <c r="S9" s="17"/>
      <c r="T9" s="17"/>
      <c r="U9" s="17"/>
      <c r="V9" s="17"/>
      <c r="W9" s="17"/>
      <c r="X9" s="17"/>
      <c r="Y9" s="17"/>
      <c r="Z9" s="17"/>
      <c r="AA9" s="17"/>
      <c r="AB9" s="17"/>
      <c r="AC9" s="17"/>
      <c r="AD9" s="18" t="s">
        <v>242</v>
      </c>
    </row>
    <row r="10" spans="1:59">
      <c r="A10" s="174" t="s">
        <v>420</v>
      </c>
      <c r="B10" s="66">
        <v>8</v>
      </c>
      <c r="C10" s="16"/>
      <c r="D10" s="16"/>
      <c r="E10" s="17"/>
      <c r="F10" s="17"/>
      <c r="G10" s="17"/>
      <c r="H10" s="17"/>
      <c r="I10" s="17"/>
      <c r="J10" s="17"/>
      <c r="K10" s="17"/>
      <c r="L10" s="17"/>
      <c r="M10" s="17"/>
      <c r="N10" s="17"/>
      <c r="O10" s="17"/>
      <c r="P10" s="17"/>
      <c r="Q10" s="16"/>
      <c r="R10" s="17"/>
      <c r="S10" s="17"/>
      <c r="T10" s="17"/>
      <c r="U10" s="17"/>
      <c r="V10" s="17"/>
      <c r="W10" s="17"/>
      <c r="X10" s="17"/>
      <c r="Y10" s="17"/>
      <c r="Z10" s="17"/>
      <c r="AA10" s="17"/>
      <c r="AB10" s="17"/>
      <c r="AC10" s="17"/>
      <c r="AD10" s="18"/>
    </row>
    <row r="11" spans="1:59">
      <c r="A11" s="171" t="s">
        <v>421</v>
      </c>
      <c r="B11" s="238">
        <v>82</v>
      </c>
      <c r="C11" s="16"/>
      <c r="D11" s="16"/>
      <c r="E11" s="17"/>
      <c r="F11" s="17"/>
      <c r="G11" s="17"/>
      <c r="H11" s="17"/>
      <c r="I11" s="17"/>
      <c r="J11" s="17"/>
      <c r="K11" s="17"/>
      <c r="L11" s="17"/>
      <c r="M11" s="17"/>
      <c r="N11" s="17"/>
      <c r="O11" s="17"/>
      <c r="P11" s="17"/>
      <c r="Q11" s="16"/>
      <c r="R11" s="17"/>
      <c r="S11" s="17"/>
      <c r="T11" s="17"/>
      <c r="U11" s="17"/>
      <c r="V11" s="17"/>
      <c r="W11" s="17"/>
      <c r="X11" s="17"/>
      <c r="Y11" s="17"/>
      <c r="Z11" s="17"/>
      <c r="AA11" s="17"/>
      <c r="AB11" s="17"/>
      <c r="AC11" s="17"/>
      <c r="AD11" s="18"/>
    </row>
    <row r="12" spans="1:59">
      <c r="A12" s="239" t="s">
        <v>422</v>
      </c>
      <c r="B12" s="240" t="s">
        <v>317</v>
      </c>
      <c r="C12" s="16"/>
      <c r="D12" s="16"/>
      <c r="E12" s="17"/>
      <c r="F12" s="17"/>
      <c r="G12" s="17"/>
      <c r="H12" s="17"/>
      <c r="I12" s="17"/>
      <c r="J12" s="17"/>
      <c r="K12" s="17"/>
      <c r="L12" s="17"/>
      <c r="M12" s="17"/>
      <c r="N12" s="17"/>
      <c r="O12" s="17"/>
      <c r="P12" s="17"/>
      <c r="Q12" s="16"/>
      <c r="R12" s="17"/>
      <c r="S12" s="17"/>
      <c r="T12" s="17"/>
      <c r="U12" s="17"/>
      <c r="V12" s="17"/>
      <c r="W12" s="17"/>
      <c r="X12" s="17"/>
      <c r="Y12" s="17"/>
      <c r="Z12" s="17"/>
      <c r="AA12" s="17"/>
      <c r="AB12" s="17"/>
      <c r="AC12" s="17"/>
      <c r="AD12" s="18"/>
    </row>
    <row r="13" spans="1:59">
      <c r="A13" s="16"/>
      <c r="B13" s="16"/>
      <c r="C13" s="16"/>
      <c r="D13" s="16"/>
      <c r="E13" s="17"/>
      <c r="F13" s="17"/>
      <c r="G13" s="17"/>
      <c r="H13" s="17"/>
      <c r="I13" s="17"/>
      <c r="J13" s="17"/>
      <c r="K13" s="17"/>
      <c r="L13" s="17"/>
      <c r="M13" s="17"/>
      <c r="N13" s="17"/>
      <c r="O13" s="17"/>
      <c r="P13" s="17"/>
      <c r="Q13" s="16"/>
      <c r="R13" s="17"/>
      <c r="S13" s="17"/>
      <c r="T13" s="17"/>
      <c r="U13" s="17"/>
      <c r="V13" s="17"/>
      <c r="W13" s="17"/>
      <c r="X13" s="17"/>
      <c r="Y13" s="17"/>
      <c r="Z13" s="17"/>
      <c r="AA13" s="17"/>
      <c r="AB13" s="17"/>
      <c r="AC13" s="17"/>
      <c r="AD13" s="17" t="str" cm="1">
        <f t="array" ref="AD13:BF14">Constants!A2:AC3</f>
        <v>SC1</v>
      </c>
      <c r="AE13" s="17" t="str">
        <v>SC1 - Half</v>
      </c>
      <c r="AF13" s="17" t="str">
        <v>SC2</v>
      </c>
      <c r="AG13" s="17" t="str">
        <v>SC2 - Half</v>
      </c>
      <c r="AH13" s="17" t="str">
        <v>SC3</v>
      </c>
      <c r="AI13" s="17" t="str">
        <v>SC4</v>
      </c>
      <c r="AJ13" s="17" t="str">
        <v>SC5</v>
      </c>
      <c r="AK13" s="17" t="str">
        <v>SC6</v>
      </c>
      <c r="AL13" s="17" t="str">
        <v>Dojo</v>
      </c>
      <c r="AM13" s="17" t="str">
        <v>Boulder Wall</v>
      </c>
      <c r="AN13" s="17" t="str">
        <v>Climbing Wall</v>
      </c>
      <c r="AO13" s="17" t="str">
        <v>Artificial Hockey field</v>
      </c>
      <c r="AP13" s="17" t="str">
        <v>Artificial Hockey field - Half</v>
      </c>
      <c r="AQ13" s="17" t="str">
        <v>Artificial Soccer field</v>
      </c>
      <c r="AR13" s="17" t="str">
        <v>Artificial Soccer field - Half</v>
      </c>
      <c r="AS13" s="17" t="str">
        <v>Basketball</v>
      </c>
      <c r="AT13" s="17" t="str">
        <v>Bastille field</v>
      </c>
      <c r="AU13" s="17" t="str">
        <v>Beach fields</v>
      </c>
      <c r="AV13" s="17" t="str">
        <v>Shooting range</v>
      </c>
      <c r="AW13" s="17" t="str">
        <v>Multi/Lacrosse field</v>
      </c>
      <c r="AX13" s="17" t="str">
        <v>Multi/Lacrosse field - Half</v>
      </c>
      <c r="AY13" s="17" t="str">
        <v>Bootcamp field</v>
      </c>
      <c r="AZ13" s="17" t="str">
        <v>Multi/Baseball field</v>
      </c>
      <c r="BA13" s="17" t="str">
        <v>Tennis court</v>
      </c>
      <c r="BB13" s="17" t="str">
        <v>Utrack</v>
      </c>
      <c r="BC13" s="22" t="str">
        <v>Verreveld</v>
      </c>
      <c r="BD13" s="22" t="str">
        <v>Wsc</v>
      </c>
      <c r="BE13" s="22" t="str">
        <v>Indoor pool</v>
      </c>
      <c r="BF13" s="22" t="str">
        <v>Outdoor pool</v>
      </c>
      <c r="BG13" s="22"/>
    </row>
    <row r="14" spans="1:59">
      <c r="A14" s="175" t="s">
        <v>423</v>
      </c>
      <c r="B14" s="16"/>
      <c r="C14" s="16"/>
      <c r="D14" s="16"/>
      <c r="E14" s="16"/>
      <c r="F14" s="16"/>
      <c r="G14" s="175" t="s">
        <v>424</v>
      </c>
      <c r="I14" s="17"/>
      <c r="J14" s="17"/>
      <c r="K14" s="176" t="s">
        <v>425</v>
      </c>
      <c r="L14" s="17"/>
      <c r="M14" s="176" t="s">
        <v>426</v>
      </c>
      <c r="N14" s="17"/>
      <c r="O14" s="17"/>
      <c r="P14" s="17"/>
      <c r="Q14" s="17"/>
      <c r="R14" s="17"/>
      <c r="S14" s="16"/>
      <c r="T14" s="17"/>
      <c r="U14" s="17"/>
      <c r="V14" s="17"/>
      <c r="W14" s="17"/>
      <c r="X14" s="17"/>
      <c r="Y14" s="17"/>
      <c r="Z14" s="17"/>
      <c r="AA14" s="17"/>
      <c r="AB14" s="17"/>
      <c r="AC14" s="17"/>
      <c r="AD14" s="19">
        <v>67.5</v>
      </c>
      <c r="AE14" s="19">
        <v>35</v>
      </c>
      <c r="AF14" s="19">
        <v>67.5</v>
      </c>
      <c r="AG14" s="19">
        <v>35</v>
      </c>
      <c r="AH14" s="19">
        <v>40</v>
      </c>
      <c r="AI14" s="19">
        <v>40</v>
      </c>
      <c r="AJ14" s="19">
        <v>35</v>
      </c>
      <c r="AK14" s="19">
        <v>35</v>
      </c>
      <c r="AL14" s="19">
        <v>40</v>
      </c>
      <c r="AM14" s="19">
        <v>27.5</v>
      </c>
      <c r="AN14" s="19">
        <v>45</v>
      </c>
      <c r="AO14" s="19">
        <v>75</v>
      </c>
      <c r="AP14" s="19">
        <v>40</v>
      </c>
      <c r="AQ14" s="19">
        <v>75</v>
      </c>
      <c r="AR14" s="19">
        <v>40</v>
      </c>
      <c r="AS14" s="19">
        <v>30</v>
      </c>
      <c r="AT14" s="19">
        <v>50</v>
      </c>
      <c r="AU14" s="19">
        <v>75</v>
      </c>
      <c r="AV14" s="19">
        <v>40</v>
      </c>
      <c r="AW14" s="19">
        <v>75</v>
      </c>
      <c r="AX14" s="19">
        <v>40</v>
      </c>
      <c r="AY14" s="19">
        <v>50</v>
      </c>
      <c r="AZ14" s="19">
        <v>65</v>
      </c>
      <c r="BA14" s="19">
        <v>35</v>
      </c>
      <c r="BB14" s="19">
        <v>45</v>
      </c>
      <c r="BC14" s="19">
        <v>50</v>
      </c>
      <c r="BD14" s="19">
        <v>0</v>
      </c>
      <c r="BE14" s="19">
        <v>65</v>
      </c>
      <c r="BF14" s="20">
        <v>70</v>
      </c>
      <c r="BG14" s="20"/>
    </row>
    <row r="15" spans="1:59">
      <c r="A15" s="67"/>
      <c r="B15" s="68" t="str">
        <f>Constants!H6</f>
        <v>Performance training</v>
      </c>
      <c r="C15" s="68" t="str">
        <f>Constants!H7</f>
        <v>Performance coaching</v>
      </c>
      <c r="D15" s="68" t="str">
        <f>Constants!H8</f>
        <v>Dangerous</v>
      </c>
      <c r="E15" s="69" t="str">
        <f>Constants!H9</f>
        <v>Recreational</v>
      </c>
      <c r="F15" s="69" t="s">
        <v>290</v>
      </c>
      <c r="G15" s="70"/>
      <c r="H15" s="71" t="s">
        <v>427</v>
      </c>
      <c r="I15" s="72" t="s">
        <v>272</v>
      </c>
      <c r="J15" s="70" t="s">
        <v>5</v>
      </c>
      <c r="K15" s="72" t="s">
        <v>428</v>
      </c>
      <c r="L15" s="70" t="s">
        <v>429</v>
      </c>
      <c r="M15" s="73" cm="1">
        <f t="array" ref="M15">(SUM(IF($D$49:$D$53="PT",($F$49:$F$53)/1.5+IF($G$49:$G$53="yes",1)))+SUM(IF($D$49:$D$53="Extern",($F$49:$F$53)/1.5+IF($G$49:$G$53="yes",1)))+SUM(IF($D$49:$D$53="PT-ZZP",($F$49:$F$53)/1.5+IF($G$49:$G$53="yes",1))))*Constants!B10</f>
        <v>666.66666666666663</v>
      </c>
      <c r="N15" s="17"/>
      <c r="O15" s="17"/>
      <c r="P15" s="17"/>
      <c r="Q15" s="17"/>
      <c r="R15" s="16"/>
      <c r="S15" s="17"/>
      <c r="T15" s="17"/>
      <c r="U15" s="17"/>
      <c r="V15" s="17"/>
      <c r="W15" s="17"/>
      <c r="X15" s="17"/>
      <c r="Y15" s="17"/>
      <c r="Z15" s="17"/>
      <c r="AA15" s="17"/>
      <c r="AB15" s="17"/>
      <c r="AC15" s="17"/>
      <c r="AD15" s="16">
        <f t="shared" ref="AD15:BF15" si="0">SUMIF($B$74:$B$91,AD13,$F$74:$F$91)</f>
        <v>0</v>
      </c>
      <c r="AE15" s="16">
        <f t="shared" si="0"/>
        <v>0</v>
      </c>
      <c r="AF15" s="16">
        <f t="shared" si="0"/>
        <v>0</v>
      </c>
      <c r="AG15" s="16">
        <f t="shared" si="0"/>
        <v>0</v>
      </c>
      <c r="AH15" s="16">
        <f t="shared" si="0"/>
        <v>0</v>
      </c>
      <c r="AI15" s="16">
        <f t="shared" si="0"/>
        <v>0</v>
      </c>
      <c r="AJ15" s="16">
        <f t="shared" si="0"/>
        <v>0</v>
      </c>
      <c r="AK15" s="16">
        <f t="shared" si="0"/>
        <v>0</v>
      </c>
      <c r="AL15" s="16">
        <f t="shared" si="0"/>
        <v>0</v>
      </c>
      <c r="AM15" s="16">
        <f t="shared" si="0"/>
        <v>411</v>
      </c>
      <c r="AN15" s="16">
        <f t="shared" si="0"/>
        <v>258</v>
      </c>
      <c r="AO15" s="16">
        <f t="shared" si="0"/>
        <v>0</v>
      </c>
      <c r="AP15" s="16">
        <f t="shared" si="0"/>
        <v>0</v>
      </c>
      <c r="AQ15" s="16">
        <f t="shared" si="0"/>
        <v>0</v>
      </c>
      <c r="AR15" s="16">
        <f t="shared" si="0"/>
        <v>0</v>
      </c>
      <c r="AS15" s="16">
        <f t="shared" si="0"/>
        <v>0</v>
      </c>
      <c r="AT15" s="16">
        <f t="shared" si="0"/>
        <v>0</v>
      </c>
      <c r="AU15" s="16">
        <f t="shared" si="0"/>
        <v>0</v>
      </c>
      <c r="AV15" s="16">
        <f t="shared" si="0"/>
        <v>0</v>
      </c>
      <c r="AW15" s="16">
        <f t="shared" si="0"/>
        <v>0</v>
      </c>
      <c r="AX15" s="16">
        <f t="shared" si="0"/>
        <v>0</v>
      </c>
      <c r="AY15" s="16">
        <f t="shared" si="0"/>
        <v>0</v>
      </c>
      <c r="AZ15" s="16">
        <f t="shared" si="0"/>
        <v>0</v>
      </c>
      <c r="BA15" s="16">
        <f t="shared" si="0"/>
        <v>0</v>
      </c>
      <c r="BB15" s="16">
        <f t="shared" si="0"/>
        <v>0</v>
      </c>
      <c r="BC15" s="16">
        <f t="shared" si="0"/>
        <v>0</v>
      </c>
      <c r="BD15" s="16">
        <f t="shared" si="0"/>
        <v>0</v>
      </c>
      <c r="BE15" s="16">
        <f t="shared" si="0"/>
        <v>0</v>
      </c>
      <c r="BF15" s="16">
        <f t="shared" si="0"/>
        <v>0</v>
      </c>
    </row>
    <row r="16" spans="1:59">
      <c r="A16" s="74" t="str">
        <f>Constants!E6</f>
        <v>PT</v>
      </c>
      <c r="B16" s="16">
        <f>SUMIFS(TSAC!$F$58:$F$70,TSAC!$B$58:$B$70, B$15,TSAC!$H$58:$H$70,$A16)*(1+Constants!$B$7)</f>
        <v>0</v>
      </c>
      <c r="C16" s="16">
        <f>SUMIFS(TSAC!$F$58:$F$70,TSAC!$B$58:$B$70, C$15,TSAC!$H$58:$H$70,$A16)</f>
        <v>0</v>
      </c>
      <c r="D16" s="16">
        <f>SUMIFS(TSAC!$F$58:$F$70,TSAC!$B$58:$B$70, D$15,TSAC!$H$58:$H$70,$A16)*(1+Constants!$B$7)</f>
        <v>0</v>
      </c>
      <c r="E16" s="16">
        <f>SUMIFS(TSAC!$F$58:$F$70,TSAC!$B$58:$B$70, E$15,TSAC!$H$58:$H$70,$A16)*(1+Constants!$B$7)</f>
        <v>0</v>
      </c>
      <c r="F16" s="16">
        <f>SUMIFS(TSAC!$F$58:$F$70,TSAC!$B$58:$B$70, F$15,TSAC!$H$58:$H$70,$A16)*(1+Constants!$B$7)</f>
        <v>0</v>
      </c>
      <c r="G16" s="74" t="s">
        <v>430</v>
      </c>
      <c r="H16" s="16">
        <f>SUMIF(TSAC!$B$74:$B$92,"&lt;&gt;External",TSAC!$F$74:$F$92)</f>
        <v>769</v>
      </c>
      <c r="I16" s="75">
        <f>SUMIF(TSAC!$B$76:$B$92,"External",TSAC!$F$76:$F$92)</f>
        <v>0</v>
      </c>
      <c r="J16" s="234">
        <f>SUM($F$95:$F$142)</f>
        <v>4875.53</v>
      </c>
      <c r="K16" s="76">
        <f>IF(OR(ISBLANK(B7),ISBLANK(B9)), "ERROR",MAX(MIN(J16,B7*Constants!B15)-Constants!B14*B7,0)*IF(B9="yes",Constants!B16,IF(B9="no",Constants!B17,0)))</f>
        <v>2156.424</v>
      </c>
      <c r="L16" s="77" t="s">
        <v>360</v>
      </c>
      <c r="M16" s="76">
        <f>E16*Constants!B6+E17*Constants!B8+E22+E21</f>
        <v>0</v>
      </c>
      <c r="N16" s="17"/>
      <c r="O16" s="17"/>
      <c r="P16" s="17"/>
      <c r="Q16" s="17"/>
      <c r="R16" s="16"/>
      <c r="S16" s="17"/>
      <c r="T16" s="17"/>
      <c r="U16" s="17"/>
      <c r="V16" s="17"/>
      <c r="W16" s="17"/>
      <c r="X16" s="17"/>
      <c r="Y16" s="17"/>
      <c r="Z16" s="17"/>
      <c r="AA16" s="17"/>
      <c r="AB16" s="17"/>
      <c r="AC16" s="17"/>
      <c r="AD16" s="19">
        <f t="shared" ref="AD16:BF16" si="1">AD14*AD15</f>
        <v>0</v>
      </c>
      <c r="AE16" s="19">
        <f t="shared" si="1"/>
        <v>0</v>
      </c>
      <c r="AF16" s="19">
        <f t="shared" si="1"/>
        <v>0</v>
      </c>
      <c r="AG16" s="19">
        <f t="shared" si="1"/>
        <v>0</v>
      </c>
      <c r="AH16" s="19">
        <f t="shared" si="1"/>
        <v>0</v>
      </c>
      <c r="AI16" s="19">
        <f t="shared" si="1"/>
        <v>0</v>
      </c>
      <c r="AJ16" s="19">
        <f t="shared" si="1"/>
        <v>0</v>
      </c>
      <c r="AK16" s="19">
        <f t="shared" si="1"/>
        <v>0</v>
      </c>
      <c r="AL16" s="19">
        <f t="shared" si="1"/>
        <v>0</v>
      </c>
      <c r="AM16" s="19">
        <f t="shared" si="1"/>
        <v>11302.5</v>
      </c>
      <c r="AN16" s="19">
        <f t="shared" si="1"/>
        <v>11610</v>
      </c>
      <c r="AO16" s="19">
        <f t="shared" si="1"/>
        <v>0</v>
      </c>
      <c r="AP16" s="19">
        <f t="shared" si="1"/>
        <v>0</v>
      </c>
      <c r="AQ16" s="19">
        <f t="shared" si="1"/>
        <v>0</v>
      </c>
      <c r="AR16" s="19">
        <f t="shared" si="1"/>
        <v>0</v>
      </c>
      <c r="AS16" s="19">
        <f t="shared" si="1"/>
        <v>0</v>
      </c>
      <c r="AT16" s="19">
        <f t="shared" si="1"/>
        <v>0</v>
      </c>
      <c r="AU16" s="19">
        <f t="shared" si="1"/>
        <v>0</v>
      </c>
      <c r="AV16" s="19">
        <f t="shared" si="1"/>
        <v>0</v>
      </c>
      <c r="AW16" s="19">
        <f t="shared" si="1"/>
        <v>0</v>
      </c>
      <c r="AX16" s="19">
        <f t="shared" si="1"/>
        <v>0</v>
      </c>
      <c r="AY16" s="19">
        <f t="shared" si="1"/>
        <v>0</v>
      </c>
      <c r="AZ16" s="19">
        <f t="shared" si="1"/>
        <v>0</v>
      </c>
      <c r="BA16" s="19">
        <f t="shared" si="1"/>
        <v>0</v>
      </c>
      <c r="BB16" s="19">
        <f t="shared" si="1"/>
        <v>0</v>
      </c>
      <c r="BC16" s="19">
        <f t="shared" si="1"/>
        <v>0</v>
      </c>
      <c r="BD16" s="19">
        <f t="shared" si="1"/>
        <v>0</v>
      </c>
      <c r="BE16" s="19">
        <f t="shared" si="1"/>
        <v>0</v>
      </c>
      <c r="BF16" s="19">
        <f t="shared" si="1"/>
        <v>0</v>
      </c>
    </row>
    <row r="17" spans="1:36">
      <c r="A17" s="74" t="str">
        <f>Constants!E7</f>
        <v>PT-V</v>
      </c>
      <c r="B17" s="16">
        <f>SUMIFS(TSAC!$F$58:$F$70,TSAC!$B$58:$B$70, B$15,TSAC!$H$58:$H$70,$A17)*(1+Constants!$B$9)</f>
        <v>0</v>
      </c>
      <c r="C17" s="16">
        <f>SUMIFS(TSAC!$F$58:$F$70,TSAC!$B$58:$B$70, C$15,TSAC!$H$58:$H$70,$A17)</f>
        <v>0</v>
      </c>
      <c r="D17" s="16">
        <f>SUMIFS(TSAC!$F$58:$F$70,TSAC!$B$58:$B$70, D$15,TSAC!$H$58:$H$70,$A17)*(1+Constants!$B$9)</f>
        <v>1268.3999999999999</v>
      </c>
      <c r="E17" s="16">
        <f>SUMIFS(TSAC!$F$58:$F$70,TSAC!$B$58:$B$70, E$15,TSAC!$H$58:$H$70,$A17)*(1+Constants!$B$9)</f>
        <v>0</v>
      </c>
      <c r="F17" s="16">
        <f>SUMIFS(TSAC!$F$58:$F$70,TSAC!$B$58:$B$70, F$15,TSAC!$H$58:$H$70,$A17)</f>
        <v>0</v>
      </c>
      <c r="G17" s="74" t="s">
        <v>38</v>
      </c>
      <c r="H17" s="78">
        <f>SUM(AD16:BZ16)</f>
        <v>22912.5</v>
      </c>
      <c r="I17" s="76" cm="1">
        <f t="array" ref="I17">SUM(IF($B$74:$B$90="External",$F$74:$F$90*$H$74:$H$90,0))</f>
        <v>0</v>
      </c>
      <c r="J17" s="79"/>
      <c r="K17" s="80"/>
      <c r="L17" s="77" t="s">
        <v>63</v>
      </c>
      <c r="M17" s="76">
        <f>J16-K16</f>
        <v>2719.1059999999998</v>
      </c>
      <c r="N17" s="17"/>
      <c r="O17" s="17"/>
      <c r="P17" s="17"/>
      <c r="Q17" s="17"/>
      <c r="R17" s="16"/>
      <c r="S17" s="17"/>
      <c r="T17" s="17"/>
      <c r="U17" s="17"/>
      <c r="V17" s="17"/>
      <c r="W17" s="17"/>
      <c r="X17" s="17"/>
      <c r="Y17" s="17"/>
      <c r="Z17" s="17"/>
      <c r="AA17" s="17"/>
      <c r="AB17" s="17"/>
      <c r="AC17" s="17"/>
      <c r="AD17" s="17"/>
      <c r="AE17" s="17"/>
    </row>
    <row r="18" spans="1:36">
      <c r="A18" s="74" t="str">
        <f>Constants!E8</f>
        <v>PT-ZZP</v>
      </c>
      <c r="B18" s="16">
        <f>SUMIFS(TSAC!$F$58:$F$70,TSAC!$B$58:$B$70, B$15,TSAC!$H$58:$H$70,$A18)*(1+Constants!$B$7)</f>
        <v>100.8</v>
      </c>
      <c r="C18" s="16">
        <f>SUMIFS(TSAC!$F$58:$F$70,TSAC!$B$58:$B$70, C$15,TSAC!$H$58:$H$70,$A18)</f>
        <v>0</v>
      </c>
      <c r="D18" s="16">
        <f>SUMIFS(TSAC!$F$58:$F$70,TSAC!$B$58:$B$70, D$15,TSAC!$H$58:$H$70,$A18)*(1+Constants!$B$7)</f>
        <v>0</v>
      </c>
      <c r="E18" s="16">
        <f>SUMIFS(TSAC!$F$58:$F$70,TSAC!$B$58:$B$70, E$15,TSAC!$H$58:$H$70,$A18)*(1+Constants!$B$7)</f>
        <v>0</v>
      </c>
      <c r="F18" s="16">
        <f>SUMIFS(TSAC!$F$58:$F$70,TSAC!$B$58:$B$70, F$15,TSAC!$H$58:$H$70,$A18)*(1+Constants!$B$7)</f>
        <v>0</v>
      </c>
      <c r="G18" s="74"/>
      <c r="H18" s="78"/>
      <c r="I18" s="76"/>
      <c r="J18" s="79"/>
      <c r="K18" s="80"/>
      <c r="L18" s="77" t="s">
        <v>60</v>
      </c>
      <c r="M18" s="76" t="str">
        <f>IF(I17-Constants!I17*$B$7&gt;0,$I$17-Constants!I17*$B$7,"-")</f>
        <v>-</v>
      </c>
      <c r="N18" s="17"/>
      <c r="O18" s="17"/>
      <c r="P18" s="17"/>
      <c r="Q18" s="17"/>
      <c r="R18" s="16"/>
      <c r="S18" s="17"/>
      <c r="T18" s="17"/>
      <c r="U18" s="17"/>
      <c r="V18" s="17"/>
      <c r="W18" s="17"/>
      <c r="X18" s="17"/>
      <c r="Y18" s="17"/>
      <c r="Z18" s="17"/>
      <c r="AA18" s="17"/>
      <c r="AB18" s="17"/>
      <c r="AC18" s="17"/>
      <c r="AD18" s="17"/>
      <c r="AE18" s="17"/>
    </row>
    <row r="19" spans="1:36">
      <c r="A19" s="74" t="str">
        <f>Constants!E9</f>
        <v>RT</v>
      </c>
      <c r="B19" s="16">
        <f>SUMIFS(TSAC!$F$58:$F$70,TSAC!$B$58:$B$70, B$15,TSAC!$H$58:$H$70,$A19)</f>
        <v>0</v>
      </c>
      <c r="C19" s="16">
        <f>SUMIFS(TSAC!$F$58:$F$70,TSAC!$B$58:$B$70, C$15,TSAC!$H$58:$H$70,$A19)</f>
        <v>0</v>
      </c>
      <c r="D19" s="16">
        <f>SUMIFS(TSAC!$F$58:$F$70,TSAC!$B$58:$B$70, D$15,TSAC!$H$58:$H$70,$A19)</f>
        <v>172</v>
      </c>
      <c r="E19" s="16">
        <f>SUMIFS(TSAC!$F$58:$F$70,TSAC!$B$58:$B$70, E$15,TSAC!$H$58:$H$70,$A19)</f>
        <v>736.80000000000007</v>
      </c>
      <c r="F19" s="16">
        <f>SUMIFS(TSAC!$F$58:$F$70,TSAC!$B$58:$B$70, F$15,TSAC!$H$58:$H$70,$A19)</f>
        <v>0</v>
      </c>
      <c r="G19" s="74" t="s">
        <v>396</v>
      </c>
      <c r="H19" s="78"/>
      <c r="I19" s="76">
        <f>IF(B7*Constants!I17&lt;I17,B7*Constants!I17,I17)</f>
        <v>0</v>
      </c>
      <c r="J19" s="79"/>
      <c r="K19" s="80"/>
      <c r="L19" s="77" t="s">
        <v>431</v>
      </c>
      <c r="M19" s="255">
        <f ca="1">Constants!C31*B7+Data!L33</f>
        <v>11518.726980451456</v>
      </c>
      <c r="N19" s="17"/>
      <c r="O19" s="17"/>
      <c r="P19" s="17"/>
      <c r="Q19" s="17"/>
      <c r="R19" s="16"/>
      <c r="S19" s="17"/>
      <c r="T19" s="17"/>
      <c r="U19" s="17"/>
      <c r="V19" s="17"/>
      <c r="W19" s="17"/>
      <c r="X19" s="17"/>
      <c r="Y19" s="17"/>
      <c r="Z19" s="17"/>
      <c r="AA19" s="17"/>
      <c r="AB19" s="17"/>
      <c r="AC19" s="17"/>
      <c r="AD19" s="17"/>
      <c r="AE19" s="17"/>
    </row>
    <row r="20" spans="1:36">
      <c r="A20" s="74" t="str">
        <f>Constants!E10</f>
        <v>Extern</v>
      </c>
      <c r="B20" s="16">
        <f>SUMIFS(TSAC!$F$58:$F$70,TSAC!$B$58:$B$70, B$15,TSAC!$H$58:$H$70,$A20)</f>
        <v>0</v>
      </c>
      <c r="C20" s="16">
        <f>SUMIFS(TSAC!$F$58:$F$70,TSAC!$B$58:$B$70, C$15,TSAC!$H$58:$H$70,$A20)</f>
        <v>0</v>
      </c>
      <c r="D20" s="16">
        <f>SUMIFS(TSAC!$F$58:$F$70,TSAC!$B$58:$B$70, D$15,TSAC!$H$58:$H$70,$A20)</f>
        <v>0</v>
      </c>
      <c r="E20" s="16">
        <f>SUMIFS(TSAC!$F$58:$F$70,TSAC!$B$58:$B$70, E$15,TSAC!$H$58:$H$70,$A20)</f>
        <v>0</v>
      </c>
      <c r="F20" s="16">
        <f>SUMIFS(TSAC!$F$58:$F$70,TSAC!$B$58:$B$70, F$15,TSAC!$H$58:$H$70,$A20)</f>
        <v>0</v>
      </c>
      <c r="G20" s="81"/>
      <c r="H20" s="16"/>
      <c r="I20" s="75"/>
      <c r="J20" s="79"/>
      <c r="K20" s="82"/>
      <c r="L20" s="83"/>
      <c r="M20" s="84"/>
      <c r="N20" s="17"/>
      <c r="O20" s="17"/>
      <c r="P20" s="17"/>
      <c r="Q20" s="17"/>
      <c r="R20" s="16"/>
      <c r="S20" s="17"/>
      <c r="T20" s="17"/>
      <c r="U20" s="17"/>
      <c r="V20" s="17"/>
      <c r="W20" s="17"/>
      <c r="X20" s="17"/>
      <c r="Y20" s="17"/>
      <c r="Z20" s="17"/>
      <c r="AA20" s="17"/>
      <c r="AB20" s="17"/>
      <c r="AC20" s="17"/>
      <c r="AD20" s="17"/>
      <c r="AE20" s="17"/>
    </row>
    <row r="21" spans="1:36">
      <c r="A21" s="74" t="str">
        <f>CONCATENATE(A18," Costs")</f>
        <v>PT-ZZP Costs</v>
      </c>
      <c r="B21" s="78" cm="1">
        <f t="array" ref="B21">SUM(IF(TSAC!$B$58:$B$70=B$15,IF(TSAC!$H$58:$H$70="PT-ZZP",TSAC!$F$58:$F$70*TSAC!$I$58:$I$70*(1+Constants!$B$7),0),0))</f>
        <v>5040</v>
      </c>
      <c r="C21" s="78">
        <f t="array" ref="C21">SUM(IF(TSAC!$B$58:$B$70=C$15,IF(TSAC!$H$58:$H$70="PT-ZZP",TSAC!$F$58:$F$70*TSAC!$I$58:$I$70,0),0))</f>
        <v>0</v>
      </c>
      <c r="D21" s="78">
        <f t="array" ref="D21">SUM(IF(TSAC!$B$58:$B$70=D$15,IF(TSAC!$H$58:$H$70="PT-ZZP",TSAC!$F$58:$F$70*TSAC!$I$58:$I$70*(1+Constants!$B$7),0),0))</f>
        <v>0</v>
      </c>
      <c r="E21" s="78">
        <f t="array" ref="E21">SUM(IF(TSAC!$B$58:$B$70=E$15,IF(TSAC!$H$58:$H$70="PT-ZZP",TSAC!$F$58:$F$70*TSAC!$I$58:$I$70*(1+Constants!$B$7),0),0))</f>
        <v>0</v>
      </c>
      <c r="F21" s="78">
        <f t="array" ref="F21">SUM(IF(TSAC!$B$58:$B$70=F$15,IF(TSAC!$H$58:$H$70="PT-ZZP",TSAC!$F$58:$F$70*TSAC!$I$58:$I$70*(1+Constants!$B$7),0),0))</f>
        <v>0</v>
      </c>
      <c r="G21" s="81"/>
      <c r="H21" s="16"/>
      <c r="I21" s="75"/>
      <c r="J21" s="79"/>
      <c r="K21" s="82"/>
      <c r="L21" s="77" t="s">
        <v>5</v>
      </c>
      <c r="M21" s="76">
        <f ca="1">SUM(M15:M20)</f>
        <v>14904.499647118122</v>
      </c>
      <c r="N21" s="17"/>
      <c r="O21" s="17"/>
      <c r="P21" s="17"/>
      <c r="Q21" s="17"/>
      <c r="R21" s="16"/>
      <c r="S21" s="17"/>
      <c r="T21" s="17"/>
      <c r="U21" s="17"/>
      <c r="V21" s="17"/>
      <c r="W21" s="17"/>
      <c r="X21" s="17"/>
      <c r="Y21" s="17"/>
      <c r="Z21" s="17"/>
      <c r="AA21" s="17"/>
      <c r="AB21" s="17"/>
      <c r="AC21" s="17"/>
      <c r="AD21" s="17"/>
      <c r="AE21" s="17"/>
    </row>
    <row r="22" spans="1:36" ht="15.75" customHeight="1">
      <c r="A22" s="74" t="str">
        <f>CONCATENATE(A20," Costs")</f>
        <v>Extern Costs</v>
      </c>
      <c r="B22" s="78">
        <f t="array" ref="B22">SUM(IF(TSAC!$B$58:$B$70=B$15,IF(TSAC!$H$58:$H$70="Extern",TSAC!$F$58:$F$70*TSAC!$I$58:$I$70,0),0))</f>
        <v>0</v>
      </c>
      <c r="C22" s="78">
        <f t="array" ref="C22">SUM(IF(TSAC!$B$58:$B$70=C$15,IF(TSAC!$H$58:$H$70="Extern",TSAC!$F$58:$F$70*TSAC!$I$58:$I$70,0),0))</f>
        <v>0</v>
      </c>
      <c r="D22" s="78">
        <f t="array" ref="D22">SUM(IF(TSAC!$B$58:$B$70=D$15,IF(TSAC!$H$58:$H$70="Extern",TSAC!$F$58:$F$70*TSAC!$I$58:$I$70,0),0))</f>
        <v>0</v>
      </c>
      <c r="E22" s="78">
        <f t="array" ref="E22">SUM(IF(TSAC!$B$58:$B$70=E$15,IF(TSAC!$H$58:$H$70="Extern",TSAC!$F$58:$F$70*TSAC!$I$58:$I$70,0),0))</f>
        <v>0</v>
      </c>
      <c r="F22" s="76">
        <f t="array" ref="F22">SUM(IF(TSAC!$B$58:$B$70=F$15,IF(TSAC!$H$58:$H$70="Extern",TSAC!$F$58:$F$70*TSAC!$I$58:$I$70,0),0))</f>
        <v>0</v>
      </c>
      <c r="G22" s="85"/>
      <c r="H22" s="177"/>
      <c r="I22" s="86"/>
      <c r="J22" s="87"/>
      <c r="K22" s="88"/>
      <c r="L22" s="87"/>
      <c r="M22" s="88"/>
      <c r="N22" s="17"/>
      <c r="O22" s="17"/>
      <c r="P22" s="17"/>
      <c r="Q22" s="17"/>
      <c r="R22" s="16"/>
      <c r="S22" s="17"/>
      <c r="T22" s="17"/>
      <c r="U22" s="17"/>
      <c r="V22" s="17"/>
      <c r="W22" s="17"/>
      <c r="X22" s="17"/>
      <c r="Y22" s="17"/>
      <c r="Z22" s="17"/>
      <c r="AA22" s="17"/>
      <c r="AB22" s="17"/>
      <c r="AC22" s="17"/>
      <c r="AD22" s="17"/>
      <c r="AE22" s="17"/>
    </row>
    <row r="23" spans="1:36" ht="15" customHeight="1">
      <c r="A23" s="74" t="s">
        <v>432</v>
      </c>
      <c r="B23" s="78"/>
      <c r="C23" s="78"/>
      <c r="D23" s="78"/>
      <c r="E23" s="78"/>
      <c r="F23" s="76">
        <f t="array" ref="F23">SUMIFS(TSAC!$F$58:$F$70,TSAC!$B$58:$B$70,"Mentorship",TSAC!$H$58:$H$70,"PT-V")*Constants!B8+SUMIFS(TSAC!$F$58:$F$70,TSAC!$B$58:$B$70,"Mentorship",TSAC!$H$58:$H$70,"PT")*Constants!B6+SUMPRODUCT(IF(TSAC!$B$58:$B$70="Mentorship",IF(TSAC!$H$58:$H$70="PT-ZZP",TSAC!$F$58:$F$70*TSAC!$I$58:$I$70,0)))</f>
        <v>0</v>
      </c>
    </row>
    <row r="24" spans="1:36" ht="15" customHeight="1">
      <c r="A24" s="89" t="s">
        <v>433</v>
      </c>
      <c r="B24" s="178"/>
      <c r="C24" s="178"/>
      <c r="D24" s="178"/>
      <c r="E24" s="178">
        <f>SUMIF(TSAC!$B$58:$B$70,"External Trainer Course",TSAC!$I$58:$I$70)</f>
        <v>0</v>
      </c>
      <c r="F24" s="90"/>
    </row>
    <row r="25" spans="1:36" ht="15.75" customHeight="1">
      <c r="A25" s="16"/>
      <c r="B25" s="16"/>
      <c r="C25" s="16"/>
      <c r="D25" s="16"/>
      <c r="E25" s="17"/>
      <c r="F25" s="17"/>
      <c r="G25" s="17"/>
      <c r="H25" s="17"/>
      <c r="I25" s="17"/>
      <c r="J25" s="17"/>
      <c r="K25" s="17"/>
      <c r="L25" s="17"/>
      <c r="M25" s="17"/>
      <c r="N25" s="17"/>
      <c r="O25" s="17"/>
      <c r="P25" s="17"/>
      <c r="Q25" s="16"/>
      <c r="R25" s="17"/>
      <c r="S25" s="17"/>
      <c r="T25" s="17"/>
      <c r="U25" s="17"/>
      <c r="V25" s="17"/>
      <c r="W25" s="17"/>
      <c r="X25" s="17"/>
      <c r="Y25" s="17"/>
      <c r="Z25" s="17"/>
      <c r="AA25" s="17"/>
      <c r="AB25" s="17"/>
      <c r="AC25" s="17"/>
      <c r="AD25" s="17"/>
    </row>
    <row r="26" spans="1:36" ht="15.75" customHeight="1">
      <c r="A26" s="16"/>
      <c r="B26" s="16"/>
      <c r="C26" s="16"/>
      <c r="D26" s="16"/>
      <c r="E26" s="17"/>
      <c r="F26" s="17"/>
      <c r="G26" s="17"/>
      <c r="H26" s="17"/>
      <c r="I26" s="17"/>
      <c r="J26" s="17"/>
      <c r="K26" s="17"/>
      <c r="L26" s="17"/>
      <c r="M26" s="17"/>
      <c r="N26" s="17"/>
      <c r="O26" s="17"/>
      <c r="P26" s="17"/>
      <c r="Q26" s="16"/>
      <c r="R26" s="17"/>
      <c r="S26" s="17"/>
      <c r="T26" s="17"/>
      <c r="U26" s="17"/>
      <c r="V26" s="17"/>
      <c r="W26" s="17"/>
      <c r="X26" s="17"/>
      <c r="Y26" s="17"/>
      <c r="Z26" s="17"/>
      <c r="AA26" s="17"/>
      <c r="AB26" s="17"/>
      <c r="AC26" s="17"/>
      <c r="AD26" s="17"/>
    </row>
    <row r="27" spans="1:36" ht="15.75" customHeight="1" thickBot="1">
      <c r="A27" s="91" t="s">
        <v>434</v>
      </c>
      <c r="B27" s="17"/>
      <c r="C27" s="17"/>
      <c r="D27" s="17"/>
      <c r="E27" s="17"/>
      <c r="F27" s="17"/>
      <c r="G27" s="92"/>
      <c r="H27" s="19"/>
      <c r="I27" s="17"/>
      <c r="J27" s="17"/>
      <c r="K27" s="17"/>
      <c r="L27" s="17"/>
      <c r="M27" s="17"/>
      <c r="N27" s="17"/>
      <c r="O27" s="17"/>
      <c r="P27" s="17"/>
      <c r="Q27" s="16"/>
      <c r="R27" s="17"/>
      <c r="S27" s="17"/>
      <c r="T27" s="17"/>
      <c r="U27" s="17"/>
      <c r="V27" s="17"/>
      <c r="W27" s="17"/>
      <c r="X27" s="17"/>
      <c r="Y27" s="17"/>
      <c r="Z27" s="17"/>
      <c r="AA27" s="17"/>
      <c r="AB27" s="17"/>
      <c r="AC27" s="17"/>
      <c r="AD27" s="17"/>
    </row>
    <row r="28" spans="1:36" ht="15.75" customHeight="1" thickTop="1" thickBot="1">
      <c r="A28" s="706" t="s">
        <v>435</v>
      </c>
      <c r="B28" s="707"/>
      <c r="C28" s="707"/>
      <c r="D28" s="707"/>
      <c r="E28" s="707"/>
      <c r="F28" s="708"/>
      <c r="G28" s="15"/>
      <c r="H28" s="17"/>
      <c r="I28" s="17"/>
      <c r="J28" s="17"/>
      <c r="K28" s="17"/>
      <c r="L28" s="17"/>
      <c r="M28" s="17"/>
      <c r="N28" s="17"/>
      <c r="O28" s="17"/>
      <c r="P28" s="17"/>
      <c r="Q28" s="16"/>
      <c r="R28" s="17"/>
      <c r="S28" s="17"/>
      <c r="T28" s="17"/>
      <c r="U28" s="17"/>
      <c r="V28" s="17"/>
      <c r="W28" s="17"/>
      <c r="X28" s="17"/>
      <c r="Y28" s="17"/>
      <c r="Z28" s="17"/>
      <c r="AA28" s="17"/>
      <c r="AB28" s="17"/>
      <c r="AC28" s="17"/>
      <c r="AD28" s="242" t="s">
        <v>436</v>
      </c>
      <c r="AE28" s="16"/>
      <c r="AF28" s="128"/>
      <c r="AG28" s="51"/>
      <c r="AH28" s="51"/>
      <c r="AI28" s="51"/>
      <c r="AJ28" s="51"/>
    </row>
    <row r="29" spans="1:36" ht="15.75" customHeight="1" thickBot="1">
      <c r="A29" s="709" t="s">
        <v>437</v>
      </c>
      <c r="B29" s="696"/>
      <c r="C29" s="696"/>
      <c r="D29" s="696"/>
      <c r="E29" s="696"/>
      <c r="F29" s="710"/>
      <c r="G29" s="17"/>
      <c r="H29" s="17"/>
      <c r="I29" s="17"/>
      <c r="J29" s="17"/>
      <c r="K29" s="17"/>
      <c r="L29" s="17"/>
      <c r="M29" s="17"/>
      <c r="N29" s="17"/>
      <c r="O29" s="17"/>
      <c r="P29" s="17"/>
      <c r="Q29" s="16"/>
      <c r="R29" s="17"/>
      <c r="S29" s="17"/>
      <c r="T29" s="17"/>
      <c r="U29" s="17"/>
      <c r="V29" s="17"/>
      <c r="W29" s="17"/>
      <c r="X29" s="17"/>
      <c r="Y29" s="17"/>
      <c r="Z29" s="17"/>
      <c r="AA29" s="17"/>
      <c r="AB29" s="17"/>
      <c r="AC29" s="17"/>
      <c r="AD29" s="243" t="s">
        <v>438</v>
      </c>
      <c r="AE29" s="243" t="s">
        <v>439</v>
      </c>
      <c r="AF29" s="243" t="s">
        <v>440</v>
      </c>
      <c r="AG29" s="711" t="s">
        <v>441</v>
      </c>
      <c r="AH29" s="712"/>
      <c r="AI29" s="711" t="s">
        <v>434</v>
      </c>
      <c r="AJ29" s="712"/>
    </row>
    <row r="30" spans="1:36" ht="15.75" customHeight="1" thickBot="1">
      <c r="A30" s="709" t="s">
        <v>442</v>
      </c>
      <c r="B30" s="696"/>
      <c r="C30" s="696"/>
      <c r="D30" s="696"/>
      <c r="E30" s="696"/>
      <c r="F30" s="710"/>
      <c r="G30" s="17"/>
      <c r="H30" s="17"/>
      <c r="I30" s="17"/>
      <c r="J30" s="17"/>
      <c r="K30" s="17"/>
      <c r="L30" s="17"/>
      <c r="M30" s="17"/>
      <c r="N30" s="17"/>
      <c r="O30" s="17"/>
      <c r="P30" s="17"/>
      <c r="Q30" s="16"/>
      <c r="R30" s="17"/>
      <c r="S30" s="17"/>
      <c r="T30" s="17"/>
      <c r="U30" s="17"/>
      <c r="V30" s="17"/>
      <c r="W30" s="17"/>
      <c r="X30" s="17"/>
      <c r="Y30" s="17"/>
      <c r="Z30" s="17"/>
      <c r="AA30" s="17"/>
      <c r="AB30" s="17"/>
      <c r="AC30" s="17"/>
      <c r="AD30" s="244" t="str">
        <f>IF($B$12="individual",Constants!F55,Constants!L55)</f>
        <v>member count</v>
      </c>
      <c r="AE30" s="244">
        <f>B7</f>
        <v>218</v>
      </c>
      <c r="AF30" s="269">
        <f>IF(AE30&gt;=301,5,IF(AE30&gt;=176,4,IF(AE30&gt;=101,3,IF(AE30&gt;=51,2,1))))</f>
        <v>4</v>
      </c>
      <c r="AG30" s="560" t="s">
        <v>1749</v>
      </c>
      <c r="AH30" s="560"/>
      <c r="AI30" s="560" t="s">
        <v>443</v>
      </c>
      <c r="AJ30" s="560"/>
    </row>
    <row r="31" spans="1:36" ht="15" customHeight="1" thickBot="1">
      <c r="A31" s="709" t="s">
        <v>444</v>
      </c>
      <c r="B31" s="696"/>
      <c r="C31" s="696"/>
      <c r="D31" s="696"/>
      <c r="E31" s="696"/>
      <c r="F31" s="710"/>
      <c r="G31" s="17"/>
      <c r="H31" s="17"/>
      <c r="I31" s="17"/>
      <c r="J31" s="17"/>
      <c r="K31" s="17"/>
      <c r="L31" s="17"/>
      <c r="M31" s="17"/>
      <c r="N31" s="17"/>
      <c r="O31" s="17"/>
      <c r="P31" s="17"/>
      <c r="Q31" s="16"/>
      <c r="R31" s="17"/>
      <c r="S31" s="17"/>
      <c r="T31" s="17"/>
      <c r="U31" s="17"/>
      <c r="V31" s="17"/>
      <c r="W31" s="17"/>
      <c r="X31" s="17"/>
      <c r="Y31" s="17"/>
      <c r="Z31" s="17"/>
      <c r="AA31" s="17"/>
      <c r="AB31" s="17"/>
      <c r="AC31" s="17"/>
      <c r="AD31" s="244" t="str">
        <f>IF($B$12="individual",Constants!F56,Constants!L56)</f>
        <v>number of trainings per week</v>
      </c>
      <c r="AE31" s="244" cm="1">
        <f t="array" ref="AE31">SUMPRODUCT(C58:C70*D58:D70)/42</f>
        <v>11.308095238095238</v>
      </c>
      <c r="AF31" s="270">
        <f>IF(AE31&gt;=4,3,IF(AE31&gt;=3,2,IF(AE31&gt;=2,1,0)))</f>
        <v>3</v>
      </c>
      <c r="AG31" s="560"/>
      <c r="AH31" s="560"/>
      <c r="AI31" s="560"/>
      <c r="AJ31" s="560"/>
    </row>
    <row r="32" spans="1:36" ht="15.75" customHeight="1" thickBot="1">
      <c r="A32" s="709" t="s">
        <v>445</v>
      </c>
      <c r="B32" s="696"/>
      <c r="C32" s="696"/>
      <c r="D32" s="696"/>
      <c r="E32" s="696"/>
      <c r="F32" s="710"/>
      <c r="G32" s="17"/>
      <c r="H32" s="16"/>
      <c r="I32" s="16"/>
      <c r="J32" s="16"/>
      <c r="K32" s="17"/>
      <c r="L32" s="17"/>
      <c r="M32" s="17"/>
      <c r="N32" s="17"/>
      <c r="O32" s="17"/>
      <c r="P32" s="17"/>
      <c r="Q32" s="16"/>
      <c r="R32" s="17"/>
      <c r="S32" s="17"/>
      <c r="T32" s="17"/>
      <c r="U32" s="17"/>
      <c r="V32" s="17"/>
      <c r="W32" s="17"/>
      <c r="X32" s="17"/>
      <c r="Y32" s="17"/>
      <c r="Z32" s="17"/>
      <c r="AA32" s="17"/>
      <c r="AB32" s="17"/>
      <c r="AC32" s="17"/>
      <c r="AD32" s="244" t="str">
        <f>IF($B$12="individual",Constants!F57,Constants!L57)</f>
        <v>number of trainings weeks per year</v>
      </c>
      <c r="AE32" s="252">
        <f>MAX(C58:C70)</f>
        <v>42</v>
      </c>
      <c r="AF32" s="250">
        <f>IF(AE32&gt;=40,3,IF(AE32&gt;=35,2,1))</f>
        <v>3</v>
      </c>
      <c r="AG32" s="560"/>
      <c r="AH32" s="560"/>
      <c r="AI32" s="560"/>
      <c r="AJ32" s="560"/>
    </row>
    <row r="33" spans="1:58" ht="15.75" customHeight="1" thickBot="1">
      <c r="A33" s="93" t="s">
        <v>446</v>
      </c>
      <c r="F33" s="94"/>
      <c r="G33" s="17"/>
      <c r="H33" s="16"/>
      <c r="I33" s="16"/>
      <c r="J33" s="16"/>
      <c r="K33" s="17"/>
      <c r="L33" s="17"/>
      <c r="M33" s="17"/>
      <c r="N33" s="17"/>
      <c r="O33" s="17"/>
      <c r="P33" s="17"/>
      <c r="Q33" s="16"/>
      <c r="R33" s="17"/>
      <c r="S33" s="17"/>
      <c r="T33" s="17"/>
      <c r="U33" s="17"/>
      <c r="V33" s="17"/>
      <c r="W33" s="17"/>
      <c r="X33" s="17"/>
      <c r="Y33" s="17"/>
      <c r="Z33" s="17"/>
      <c r="AA33" s="17"/>
      <c r="AB33" s="17"/>
      <c r="AC33" s="17"/>
      <c r="AD33" s="244" t="str">
        <f>IF($B$12="individual",Constants!F58,Constants!L58)</f>
        <v>number of training hours by RT / PT-V</v>
      </c>
      <c r="AE33" s="251">
        <f>(SUMIF(H58:H70,"RT",F58:F70)+SUMIF(H58:H70,"PT-V",F58:F70))/SUM(F58:F70)</f>
        <v>0.95576153360016858</v>
      </c>
      <c r="AF33" s="270">
        <f>IF(AE33&gt;0.9,3,IF(AE33&gt;0.6,2,IF(AE33&gt;0.3,1,0)))</f>
        <v>3</v>
      </c>
      <c r="AG33" s="560"/>
      <c r="AH33" s="560"/>
      <c r="AI33" s="560"/>
      <c r="AJ33" s="560"/>
    </row>
    <row r="34" spans="1:58" ht="15.75" customHeight="1" thickBot="1">
      <c r="A34" s="713" t="s">
        <v>447</v>
      </c>
      <c r="B34" s="714"/>
      <c r="C34" s="714"/>
      <c r="D34" s="714"/>
      <c r="E34" s="714"/>
      <c r="F34" s="715"/>
      <c r="G34" s="17"/>
      <c r="H34" s="16"/>
      <c r="I34" s="16"/>
      <c r="J34" s="16"/>
      <c r="K34" s="17"/>
      <c r="L34" s="17"/>
      <c r="M34" s="17"/>
      <c r="N34" s="17"/>
      <c r="O34" s="17"/>
      <c r="P34" s="17"/>
      <c r="Q34" s="16"/>
      <c r="R34" s="17"/>
      <c r="S34" s="17"/>
      <c r="T34" s="17"/>
      <c r="U34" s="17"/>
      <c r="V34" s="17"/>
      <c r="W34" s="17"/>
      <c r="X34" s="17"/>
      <c r="Y34" s="17"/>
      <c r="Z34" s="17"/>
      <c r="AA34" s="17"/>
      <c r="AB34" s="17"/>
      <c r="AC34" s="17"/>
      <c r="AD34" s="244" t="str">
        <f>IF($B$12="individual",Constants!F59,Constants!L59)</f>
        <v>number of training groups / teams</v>
      </c>
      <c r="AE34" s="244">
        <f>B10</f>
        <v>8</v>
      </c>
      <c r="AF34" s="271">
        <f>IF(AE34&gt;9,3,IF(AE34&gt;4,2,IF(AE34&gt;2,1,0)))</f>
        <v>2</v>
      </c>
      <c r="AG34" s="560"/>
      <c r="AH34" s="560"/>
      <c r="AI34" s="560"/>
      <c r="AJ34" s="560"/>
    </row>
    <row r="35" spans="1:58" ht="15.75" customHeight="1" thickTop="1" thickBot="1">
      <c r="A35" s="16"/>
      <c r="G35" s="17"/>
      <c r="H35" s="16"/>
      <c r="I35" s="16"/>
      <c r="J35" s="16"/>
      <c r="K35" s="17"/>
      <c r="L35" s="17"/>
      <c r="M35" s="17"/>
      <c r="N35" s="17"/>
      <c r="O35" s="17"/>
      <c r="P35" s="17"/>
      <c r="Q35" s="16"/>
      <c r="R35" s="17"/>
      <c r="S35" s="17"/>
      <c r="T35" s="17"/>
      <c r="U35" s="17"/>
      <c r="V35" s="17"/>
      <c r="W35" s="17"/>
      <c r="X35" s="17"/>
      <c r="Y35" s="17"/>
      <c r="Z35" s="17"/>
      <c r="AA35" s="17"/>
      <c r="AB35" s="17"/>
      <c r="AC35" s="17"/>
      <c r="AD35" s="244" t="str">
        <f>IF($B$12="individual",Constants!F60,Constants!L60)</f>
        <v>number of competitions organised</v>
      </c>
      <c r="AE35" s="249">
        <v>2</v>
      </c>
      <c r="AF35" s="271">
        <f>IF(AE35&gt;=4,5,IF(AE35&gt;=2,3,IF(AE35&gt;=1,1,0)))</f>
        <v>3</v>
      </c>
      <c r="AG35" s="560"/>
      <c r="AH35" s="560"/>
      <c r="AI35" s="560"/>
      <c r="AJ35" s="560"/>
    </row>
    <row r="36" spans="1:58" ht="15.75" customHeight="1" thickBot="1">
      <c r="A36" s="179" t="s">
        <v>448</v>
      </c>
      <c r="B36" s="16"/>
      <c r="C36" s="16"/>
      <c r="D36" s="16"/>
      <c r="E36" s="16"/>
      <c r="F36" s="16"/>
      <c r="G36" s="16"/>
      <c r="H36" s="16"/>
      <c r="I36" s="16"/>
      <c r="J36" s="16"/>
      <c r="K36" s="16"/>
      <c r="L36" s="16"/>
      <c r="M36" s="16"/>
      <c r="N36" s="16"/>
      <c r="O36" s="16"/>
      <c r="P36" s="16"/>
      <c r="Q36" s="16"/>
      <c r="R36" s="16"/>
      <c r="S36" s="16"/>
      <c r="T36" s="16"/>
      <c r="U36" s="16"/>
      <c r="V36" s="16"/>
      <c r="W36" s="16"/>
      <c r="X36" s="16"/>
      <c r="Y36" s="16"/>
      <c r="Z36" s="16"/>
      <c r="AA36" s="16"/>
      <c r="AB36" s="18"/>
      <c r="AC36" s="16"/>
      <c r="AD36" s="244" t="str">
        <f>IF($B$12="individual",Constants!F61,Constants!L61)</f>
        <v>number of social activities</v>
      </c>
      <c r="AE36" s="249">
        <v>75</v>
      </c>
      <c r="AF36" s="271">
        <f>IF(AE36&gt;=20,2,IF(AE36&gt;=10,1,0))</f>
        <v>2</v>
      </c>
      <c r="AG36" s="560"/>
      <c r="AH36" s="560"/>
      <c r="AI36" s="560"/>
      <c r="AJ36" s="560"/>
    </row>
    <row r="37" spans="1:58" ht="15" customHeight="1" thickTop="1" thickBot="1">
      <c r="A37" s="258" t="s">
        <v>449</v>
      </c>
      <c r="B37" s="259" t="s">
        <v>450</v>
      </c>
      <c r="C37" s="258" t="s">
        <v>451</v>
      </c>
      <c r="D37" s="258" t="s">
        <v>452</v>
      </c>
      <c r="E37" s="258" t="s">
        <v>453</v>
      </c>
      <c r="F37" s="258" t="s">
        <v>454</v>
      </c>
      <c r="G37" s="259" t="s">
        <v>455</v>
      </c>
      <c r="H37" s="561" t="s">
        <v>456</v>
      </c>
      <c r="I37" s="716"/>
      <c r="J37" s="717"/>
      <c r="K37" s="98"/>
      <c r="L37" s="98"/>
      <c r="M37" s="98"/>
      <c r="N37" s="98"/>
      <c r="O37" s="98"/>
      <c r="P37" s="98"/>
      <c r="Q37" s="98"/>
      <c r="R37" s="98"/>
      <c r="S37" s="98"/>
      <c r="T37" s="98"/>
      <c r="U37" s="96"/>
      <c r="V37" s="96"/>
      <c r="W37" s="96"/>
      <c r="X37" s="96"/>
      <c r="Y37" s="99"/>
      <c r="Z37" s="96"/>
      <c r="AA37" s="96"/>
      <c r="AB37" s="100"/>
      <c r="AC37" s="100"/>
      <c r="AD37" s="244" t="str">
        <f>IF($B$12="individual",Constants!F62,Constants!L62)</f>
        <v>number of bar days</v>
      </c>
      <c r="AE37" s="249">
        <v>15</v>
      </c>
      <c r="AF37" s="271">
        <f>IF(AE37&gt;=15,2,IF(AE37&gt;=8,1,0))</f>
        <v>2</v>
      </c>
      <c r="AG37" s="560"/>
      <c r="AH37" s="560"/>
      <c r="AI37" s="560"/>
      <c r="AJ37" s="560"/>
      <c r="AK37" s="100"/>
      <c r="AL37" s="100"/>
      <c r="AM37" s="100"/>
      <c r="AN37" s="100"/>
      <c r="AO37" s="100"/>
      <c r="AP37" s="100"/>
      <c r="AQ37" s="100"/>
      <c r="AR37" s="100"/>
      <c r="AS37" s="100"/>
      <c r="AT37" s="100"/>
      <c r="AU37" s="100"/>
      <c r="AV37" s="100"/>
      <c r="AW37" s="100"/>
      <c r="AX37" s="100"/>
      <c r="AY37" s="100"/>
      <c r="AZ37" s="100"/>
      <c r="BA37" s="100"/>
      <c r="BB37" s="100"/>
      <c r="BC37" s="100"/>
      <c r="BD37" s="100"/>
      <c r="BE37" s="100"/>
      <c r="BF37" s="100"/>
    </row>
    <row r="38" spans="1:58" ht="14.25" customHeight="1" thickTop="1" thickBot="1">
      <c r="A38" s="312" t="s">
        <v>1750</v>
      </c>
      <c r="B38" s="232">
        <v>20</v>
      </c>
      <c r="C38" s="269">
        <v>1</v>
      </c>
      <c r="D38" s="269">
        <v>22</v>
      </c>
      <c r="E38" s="313" t="s">
        <v>1751</v>
      </c>
      <c r="F38" s="369" t="s">
        <v>1752</v>
      </c>
      <c r="G38" s="323" t="s">
        <v>1753</v>
      </c>
      <c r="H38" s="618"/>
      <c r="I38" s="741"/>
      <c r="J38" s="742"/>
      <c r="K38" s="16"/>
      <c r="L38" s="16"/>
      <c r="M38" s="16"/>
      <c r="N38" s="16"/>
      <c r="O38" s="16"/>
      <c r="P38" s="16"/>
      <c r="Q38" s="16"/>
      <c r="R38" s="16"/>
      <c r="S38" s="16"/>
      <c r="T38" s="16"/>
      <c r="U38" s="16"/>
      <c r="V38" s="16"/>
      <c r="W38" s="16"/>
      <c r="X38" s="16"/>
      <c r="Y38" s="17"/>
      <c r="Z38" s="16"/>
      <c r="AA38" s="16"/>
      <c r="AD38" s="244" t="str">
        <f>IF($B$12="individual",Constants!F63,Constants!L63)</f>
        <v>own bar / extra location</v>
      </c>
      <c r="AE38" s="249">
        <v>0</v>
      </c>
      <c r="AF38" s="271">
        <f>IF(AE38&gt;=15,2,IF(AE38&gt;=8,1,0))</f>
        <v>0</v>
      </c>
      <c r="AG38" s="560"/>
      <c r="AH38" s="560"/>
      <c r="AI38" s="560"/>
      <c r="AJ38" s="560"/>
    </row>
    <row r="39" spans="1:58" ht="14.25" customHeight="1" thickBot="1">
      <c r="A39" s="312" t="s">
        <v>1754</v>
      </c>
      <c r="B39" s="232">
        <v>20</v>
      </c>
      <c r="C39" s="269">
        <v>1</v>
      </c>
      <c r="D39" s="269">
        <v>22</v>
      </c>
      <c r="E39" s="313" t="s">
        <v>1751</v>
      </c>
      <c r="F39" s="369" t="s">
        <v>1752</v>
      </c>
      <c r="G39" s="323" t="s">
        <v>1753</v>
      </c>
      <c r="H39" s="743"/>
      <c r="I39" s="744"/>
      <c r="J39" s="745"/>
      <c r="K39" s="16"/>
      <c r="L39" s="16"/>
      <c r="M39" s="16"/>
      <c r="N39" s="16"/>
      <c r="O39" s="16"/>
      <c r="P39" s="16"/>
      <c r="Q39" s="16"/>
      <c r="R39" s="16"/>
      <c r="S39" s="16"/>
      <c r="T39" s="16"/>
      <c r="U39" s="16"/>
      <c r="V39" s="16"/>
      <c r="W39" s="16"/>
      <c r="X39" s="16"/>
      <c r="Y39" s="17"/>
      <c r="Z39" s="16"/>
      <c r="AA39" s="16"/>
      <c r="AD39" s="244" t="str">
        <f>IF($B$12="individual",Constants!F65,Constants!L64)</f>
        <v>number of competitions attended</v>
      </c>
      <c r="AE39" s="249">
        <v>5</v>
      </c>
      <c r="AF39" s="273">
        <f>IF(B12="individual", IF(AE39&gt;10, 5, IF(AE39&gt;6, 3, IF(AE39&gt;2, 1, 0))), IF(AE39&gt;3, 3, IF(AE39&gt;1, 2, 1)))</f>
        <v>1</v>
      </c>
      <c r="AG39" s="560"/>
      <c r="AH39" s="560"/>
      <c r="AI39" s="560"/>
      <c r="AJ39" s="560"/>
    </row>
    <row r="40" spans="1:58" ht="15.75" customHeight="1" thickBot="1">
      <c r="A40" s="312" t="s">
        <v>1755</v>
      </c>
      <c r="B40" s="232">
        <v>15</v>
      </c>
      <c r="C40" s="269">
        <v>1</v>
      </c>
      <c r="D40" s="269">
        <v>22</v>
      </c>
      <c r="E40" s="313" t="s">
        <v>1751</v>
      </c>
      <c r="F40" s="369" t="s">
        <v>1752</v>
      </c>
      <c r="G40" s="323" t="s">
        <v>1753</v>
      </c>
      <c r="H40" s="743"/>
      <c r="I40" s="744"/>
      <c r="J40" s="745"/>
      <c r="K40" s="16"/>
      <c r="L40" s="16"/>
      <c r="M40" s="16"/>
      <c r="N40" s="16"/>
      <c r="O40" s="16"/>
      <c r="P40" s="16"/>
      <c r="Q40" s="16"/>
      <c r="R40" s="16"/>
      <c r="S40" s="16"/>
      <c r="T40" s="16"/>
      <c r="U40" s="16"/>
      <c r="V40" s="16"/>
      <c r="W40" s="16"/>
      <c r="X40" s="16"/>
      <c r="Y40" s="16"/>
      <c r="Z40" s="16"/>
      <c r="AA40" s="16"/>
      <c r="AD40" s="231" t="str">
        <f>IF($B$12="individual",Constants!F64,Constants!L65)</f>
        <v>n/a</v>
      </c>
      <c r="AE40" s="231" t="str">
        <f>IF(AD40="n/a","",COUNTA(A49:A53)/COUNTA(A38:A45))</f>
        <v/>
      </c>
      <c r="AF40" s="272" t="str">
        <f>IF(B12="group", IF(AE40&gt;0.15, 5, IF(AE40&gt;0.1, 3, IF(AE40&gt;0.05, 1, 0))), " ")</f>
        <v xml:space="preserve"> </v>
      </c>
      <c r="AG40" s="560"/>
      <c r="AH40" s="560"/>
      <c r="AI40" s="560"/>
      <c r="AJ40" s="560"/>
    </row>
    <row r="41" spans="1:58" ht="15.75" customHeight="1" thickBot="1">
      <c r="A41" s="312" t="s">
        <v>1756</v>
      </c>
      <c r="B41" s="232">
        <v>15</v>
      </c>
      <c r="C41" s="269">
        <v>1</v>
      </c>
      <c r="D41" s="269">
        <v>22</v>
      </c>
      <c r="E41" s="313" t="s">
        <v>1751</v>
      </c>
      <c r="F41" s="369" t="s">
        <v>1752</v>
      </c>
      <c r="G41" s="323" t="s">
        <v>1753</v>
      </c>
      <c r="H41" s="743"/>
      <c r="I41" s="744"/>
      <c r="J41" s="745"/>
      <c r="K41" s="16"/>
      <c r="L41" s="16"/>
      <c r="M41" s="16"/>
      <c r="N41" s="16"/>
      <c r="O41" s="16"/>
      <c r="P41" s="16"/>
      <c r="Q41" s="16"/>
      <c r="R41" s="16"/>
      <c r="S41" s="16"/>
      <c r="T41" s="16"/>
      <c r="U41" s="16"/>
      <c r="V41" s="16"/>
      <c r="W41" s="16"/>
      <c r="X41" s="16"/>
      <c r="Y41" s="16"/>
      <c r="Z41" s="16"/>
      <c r="AA41" s="16"/>
      <c r="AD41" s="16"/>
      <c r="AE41" s="275" t="s">
        <v>461</v>
      </c>
      <c r="AF41" s="274">
        <f>SUM(AF30:AF40)</f>
        <v>23</v>
      </c>
      <c r="AG41" s="247"/>
      <c r="AH41" s="245"/>
      <c r="AI41" s="246"/>
      <c r="AJ41" s="247"/>
    </row>
    <row r="42" spans="1:58" ht="15.75" customHeight="1">
      <c r="A42" s="312" t="s">
        <v>1757</v>
      </c>
      <c r="B42" s="232">
        <v>15</v>
      </c>
      <c r="C42" s="269">
        <v>1</v>
      </c>
      <c r="D42" s="269">
        <v>40</v>
      </c>
      <c r="E42" s="313" t="s">
        <v>1751</v>
      </c>
      <c r="F42" s="369" t="s">
        <v>1752</v>
      </c>
      <c r="G42" s="323" t="s">
        <v>1758</v>
      </c>
      <c r="H42" s="743"/>
      <c r="I42" s="744"/>
      <c r="J42" s="745"/>
      <c r="K42" s="16"/>
      <c r="L42" s="16"/>
      <c r="M42" s="16"/>
      <c r="N42" s="16"/>
      <c r="O42" s="16"/>
      <c r="P42" s="16"/>
      <c r="Q42" s="16"/>
      <c r="R42" s="16"/>
      <c r="S42" s="16"/>
      <c r="T42" s="16"/>
      <c r="U42" s="16"/>
      <c r="V42" s="16"/>
      <c r="W42" s="16"/>
      <c r="X42" s="16"/>
      <c r="Y42" s="16"/>
      <c r="Z42" s="16"/>
      <c r="AA42" s="16"/>
    </row>
    <row r="43" spans="1:58" ht="15.75" customHeight="1">
      <c r="A43" s="312" t="s">
        <v>1759</v>
      </c>
      <c r="B43" s="232">
        <v>15</v>
      </c>
      <c r="C43" s="269">
        <v>1</v>
      </c>
      <c r="D43" s="269">
        <v>40</v>
      </c>
      <c r="E43" s="245" t="s">
        <v>1751</v>
      </c>
      <c r="F43" s="261" t="s">
        <v>1752</v>
      </c>
      <c r="G43" s="323" t="s">
        <v>1758</v>
      </c>
      <c r="H43" s="743"/>
      <c r="I43" s="744"/>
      <c r="J43" s="745"/>
      <c r="K43" s="16"/>
      <c r="L43" s="16"/>
      <c r="M43" s="16"/>
      <c r="N43" s="16"/>
      <c r="O43" s="16"/>
      <c r="P43" s="16"/>
      <c r="Q43" s="16"/>
      <c r="R43" s="16"/>
      <c r="S43" s="16"/>
      <c r="T43" s="16"/>
      <c r="U43" s="16"/>
      <c r="V43" s="16"/>
      <c r="W43" s="16"/>
      <c r="X43" s="16"/>
      <c r="Y43" s="16"/>
      <c r="Z43" s="16"/>
      <c r="AA43" s="16"/>
    </row>
    <row r="44" spans="1:58" ht="15.75" customHeight="1">
      <c r="A44" s="231" t="s">
        <v>1760</v>
      </c>
      <c r="B44" s="232">
        <v>10</v>
      </c>
      <c r="C44" s="231">
        <v>1</v>
      </c>
      <c r="D44" s="231">
        <v>40</v>
      </c>
      <c r="E44" s="245" t="s">
        <v>1751</v>
      </c>
      <c r="F44" s="261" t="s">
        <v>1752</v>
      </c>
      <c r="G44" s="231" t="s">
        <v>1761</v>
      </c>
      <c r="H44" s="743"/>
      <c r="I44" s="744"/>
      <c r="J44" s="745"/>
      <c r="K44" s="16"/>
      <c r="L44" s="16"/>
      <c r="M44" s="16"/>
      <c r="N44" s="16"/>
      <c r="O44" s="16"/>
      <c r="P44" s="16"/>
      <c r="Q44" s="16"/>
      <c r="R44" s="16"/>
      <c r="S44" s="16"/>
      <c r="T44" s="16"/>
      <c r="U44" s="16"/>
      <c r="V44" s="16"/>
      <c r="W44" s="16"/>
      <c r="X44" s="16"/>
      <c r="Y44" s="16"/>
      <c r="Z44" s="16"/>
      <c r="AA44" s="16"/>
    </row>
    <row r="45" spans="1:58" ht="15.75" customHeight="1" thickBot="1">
      <c r="A45" s="231" t="s">
        <v>1762</v>
      </c>
      <c r="B45" s="232">
        <v>12</v>
      </c>
      <c r="C45" s="231">
        <v>1</v>
      </c>
      <c r="D45" s="231">
        <v>40</v>
      </c>
      <c r="E45" s="245" t="s">
        <v>1276</v>
      </c>
      <c r="F45" s="261" t="s">
        <v>577</v>
      </c>
      <c r="G45" s="231" t="s">
        <v>1763</v>
      </c>
      <c r="H45" s="746"/>
      <c r="I45" s="747"/>
      <c r="J45" s="748"/>
      <c r="K45" s="16"/>
      <c r="L45" s="16"/>
      <c r="M45" s="16"/>
      <c r="N45" s="16"/>
      <c r="O45" s="16"/>
      <c r="P45" s="16"/>
      <c r="Q45" s="16"/>
      <c r="R45" s="16"/>
      <c r="S45" s="16"/>
      <c r="T45" s="16"/>
      <c r="U45" s="16"/>
      <c r="V45" s="16"/>
      <c r="W45" s="16"/>
      <c r="X45" s="16"/>
      <c r="Y45" s="16"/>
      <c r="Z45" s="16"/>
      <c r="AA45" s="16"/>
    </row>
    <row r="46" spans="1:58" ht="15.75" customHeight="1" thickTop="1">
      <c r="A46" s="18"/>
      <c r="B46" s="18"/>
      <c r="C46" s="18"/>
      <c r="D46" s="18"/>
      <c r="E46" s="18"/>
      <c r="F46" s="18"/>
      <c r="G46" s="17"/>
      <c r="H46" s="17"/>
      <c r="I46" s="17"/>
      <c r="J46" s="17"/>
      <c r="K46" s="17"/>
      <c r="L46" s="17"/>
      <c r="M46" s="17"/>
      <c r="N46" s="17"/>
      <c r="O46" s="17"/>
      <c r="P46" s="17"/>
      <c r="Q46" s="16"/>
      <c r="R46" s="17"/>
      <c r="S46" s="17"/>
      <c r="T46" s="17"/>
      <c r="U46" s="17"/>
      <c r="V46" s="17"/>
      <c r="W46" s="17"/>
      <c r="X46" s="17"/>
      <c r="Y46" s="17"/>
      <c r="Z46" s="17"/>
      <c r="AA46" s="17"/>
      <c r="AB46" s="17"/>
      <c r="AC46" s="17"/>
      <c r="AD46" s="17"/>
    </row>
    <row r="47" spans="1:58" ht="15.75" customHeight="1" thickBot="1">
      <c r="A47" s="179" t="s">
        <v>462</v>
      </c>
      <c r="B47" s="169"/>
      <c r="C47" s="16"/>
      <c r="D47" s="16"/>
      <c r="E47" s="16"/>
      <c r="F47" s="16"/>
      <c r="G47" s="16"/>
      <c r="H47" s="16"/>
      <c r="I47" s="16"/>
      <c r="J47" s="16"/>
      <c r="K47" s="16"/>
      <c r="L47" s="16"/>
      <c r="M47" s="16"/>
      <c r="N47" s="16"/>
      <c r="O47" s="16"/>
      <c r="P47" s="16"/>
      <c r="Q47" s="16"/>
      <c r="R47" s="16"/>
      <c r="S47" s="16"/>
      <c r="T47" s="16"/>
      <c r="U47" s="16"/>
      <c r="V47" s="16"/>
      <c r="W47" s="16"/>
      <c r="X47" s="16"/>
      <c r="Y47" s="16"/>
      <c r="Z47" s="16"/>
      <c r="AA47" s="16"/>
      <c r="AB47" s="18"/>
      <c r="AC47" s="16"/>
      <c r="AD47" s="16"/>
    </row>
    <row r="48" spans="1:58" ht="15" customHeight="1" thickTop="1" thickBot="1">
      <c r="A48" s="258" t="s">
        <v>449</v>
      </c>
      <c r="B48" s="259" t="s">
        <v>450</v>
      </c>
      <c r="C48" s="258" t="s">
        <v>463</v>
      </c>
      <c r="D48" s="258" t="s">
        <v>464</v>
      </c>
      <c r="E48" s="258" t="s">
        <v>465</v>
      </c>
      <c r="F48" s="258" t="s">
        <v>466</v>
      </c>
      <c r="G48" s="258" t="s">
        <v>467</v>
      </c>
      <c r="H48" s="259" t="s">
        <v>455</v>
      </c>
      <c r="I48" s="561" t="s">
        <v>456</v>
      </c>
      <c r="J48" s="716"/>
      <c r="K48" s="717"/>
      <c r="L48" s="98"/>
      <c r="M48" s="98"/>
      <c r="N48" s="98"/>
      <c r="O48" s="98"/>
      <c r="P48" s="98"/>
      <c r="Q48" s="98"/>
      <c r="R48" s="98"/>
      <c r="S48" s="98"/>
      <c r="T48" s="98"/>
      <c r="U48" s="98"/>
      <c r="V48" s="96"/>
      <c r="W48" s="96"/>
      <c r="X48" s="96"/>
      <c r="Y48" s="96"/>
      <c r="Z48" s="99"/>
      <c r="AA48" s="96"/>
      <c r="AB48" s="96"/>
      <c r="AC48" s="100"/>
      <c r="AD48" s="100"/>
      <c r="AE48" s="100"/>
      <c r="AF48" s="100"/>
      <c r="AG48" s="100"/>
      <c r="AH48" s="100"/>
      <c r="AI48" s="100"/>
      <c r="AJ48" s="100"/>
      <c r="AK48" s="100"/>
      <c r="AL48" s="100"/>
      <c r="AM48" s="100"/>
      <c r="AN48" s="100"/>
      <c r="AO48" s="100"/>
      <c r="AP48" s="100"/>
      <c r="AQ48" s="100"/>
      <c r="AR48" s="100"/>
      <c r="AS48" s="100"/>
      <c r="AT48" s="100"/>
      <c r="AU48" s="100"/>
      <c r="AV48" s="100"/>
      <c r="AW48" s="100"/>
      <c r="AX48" s="100"/>
      <c r="AY48" s="100"/>
      <c r="AZ48" s="100"/>
      <c r="BA48" s="100"/>
      <c r="BB48" s="100"/>
      <c r="BC48" s="100"/>
      <c r="BD48" s="100"/>
      <c r="BE48" s="100"/>
      <c r="BF48" s="100"/>
    </row>
    <row r="49" spans="1:30" ht="14.25" customHeight="1" thickTop="1">
      <c r="A49" s="312" t="s">
        <v>1762</v>
      </c>
      <c r="B49" s="232">
        <v>12</v>
      </c>
      <c r="C49" s="269" t="s">
        <v>1764</v>
      </c>
      <c r="D49" s="269" t="s">
        <v>145</v>
      </c>
      <c r="E49" s="261">
        <v>1</v>
      </c>
      <c r="F49" s="261">
        <v>2</v>
      </c>
      <c r="G49" s="231" t="s">
        <v>471</v>
      </c>
      <c r="H49" s="323"/>
      <c r="I49" s="618"/>
      <c r="J49" s="741"/>
      <c r="K49" s="742"/>
      <c r="L49" s="16"/>
      <c r="M49" s="16"/>
      <c r="N49" s="16"/>
      <c r="O49" s="16"/>
      <c r="P49" s="16"/>
      <c r="Q49" s="16"/>
      <c r="R49" s="16"/>
      <c r="S49" s="16"/>
      <c r="T49" s="16"/>
      <c r="U49" s="16"/>
      <c r="V49" s="16"/>
      <c r="W49" s="16"/>
      <c r="X49" s="16"/>
      <c r="Y49" s="16"/>
      <c r="Z49" s="17"/>
      <c r="AA49" s="16"/>
      <c r="AB49" s="16"/>
    </row>
    <row r="50" spans="1:30" ht="14.25" customHeight="1">
      <c r="A50" s="312"/>
      <c r="B50" s="323"/>
      <c r="C50" s="312"/>
      <c r="D50" s="312"/>
      <c r="E50" s="328"/>
      <c r="F50" s="327"/>
      <c r="G50" s="323"/>
      <c r="H50" s="323"/>
      <c r="I50" s="743"/>
      <c r="J50" s="744"/>
      <c r="K50" s="745"/>
      <c r="L50" s="16"/>
      <c r="M50" s="16"/>
      <c r="N50" s="16"/>
      <c r="O50" s="16"/>
      <c r="P50" s="16"/>
      <c r="Q50" s="16"/>
      <c r="R50" s="16"/>
      <c r="S50" s="16"/>
      <c r="T50" s="16"/>
      <c r="U50" s="16"/>
      <c r="V50" s="16"/>
      <c r="W50" s="16"/>
      <c r="X50" s="16"/>
      <c r="Y50" s="16"/>
      <c r="Z50" s="17"/>
      <c r="AA50" s="16"/>
      <c r="AB50" s="16"/>
    </row>
    <row r="51" spans="1:30" ht="15.75" customHeight="1">
      <c r="A51" s="323"/>
      <c r="B51" s="323"/>
      <c r="C51" s="323"/>
      <c r="D51" s="312"/>
      <c r="E51" s="328"/>
      <c r="F51" s="327"/>
      <c r="G51" s="329"/>
      <c r="H51" s="323"/>
      <c r="I51" s="743"/>
      <c r="J51" s="744"/>
      <c r="K51" s="745"/>
      <c r="L51" s="16"/>
      <c r="M51" s="16"/>
      <c r="N51" s="16"/>
      <c r="O51" s="16"/>
      <c r="P51" s="16"/>
      <c r="Q51" s="16"/>
      <c r="R51" s="16"/>
      <c r="S51" s="16"/>
      <c r="T51" s="16"/>
      <c r="U51" s="16"/>
      <c r="V51" s="16"/>
      <c r="W51" s="16"/>
      <c r="X51" s="16"/>
      <c r="Y51" s="16"/>
      <c r="Z51" s="16"/>
      <c r="AA51" s="16"/>
      <c r="AB51" s="16"/>
    </row>
    <row r="52" spans="1:30" ht="15.75" customHeight="1">
      <c r="A52" s="231"/>
      <c r="B52" s="232"/>
      <c r="C52" s="231"/>
      <c r="D52" s="269"/>
      <c r="E52" s="245"/>
      <c r="F52" s="261"/>
      <c r="G52" s="263"/>
      <c r="H52" s="231"/>
      <c r="I52" s="743"/>
      <c r="J52" s="744"/>
      <c r="K52" s="745"/>
      <c r="L52" s="16"/>
      <c r="M52" s="16"/>
      <c r="N52" s="16"/>
      <c r="O52" s="16"/>
      <c r="P52" s="16"/>
      <c r="Q52" s="16"/>
      <c r="R52" s="16"/>
      <c r="S52" s="16"/>
      <c r="T52" s="16"/>
      <c r="U52" s="16"/>
      <c r="V52" s="16"/>
      <c r="W52" s="16"/>
      <c r="X52" s="16"/>
      <c r="Y52" s="16"/>
      <c r="Z52" s="16"/>
      <c r="AA52" s="16"/>
      <c r="AB52" s="16"/>
    </row>
    <row r="53" spans="1:30" ht="15.75" customHeight="1" thickBot="1">
      <c r="A53" s="231"/>
      <c r="B53" s="326"/>
      <c r="C53" s="245"/>
      <c r="D53" s="245"/>
      <c r="E53" s="261"/>
      <c r="F53" s="261"/>
      <c r="G53" s="263"/>
      <c r="H53" s="231"/>
      <c r="I53" s="746"/>
      <c r="J53" s="747"/>
      <c r="K53" s="748"/>
      <c r="L53" s="16"/>
      <c r="M53" s="16"/>
      <c r="N53" s="16"/>
      <c r="O53" s="16"/>
      <c r="P53" s="16"/>
      <c r="Q53" s="16"/>
      <c r="R53" s="16"/>
      <c r="S53" s="16"/>
      <c r="T53" s="16"/>
      <c r="U53" s="16"/>
      <c r="V53" s="16"/>
      <c r="W53" s="16"/>
      <c r="X53" s="16"/>
      <c r="Y53" s="16"/>
      <c r="Z53" s="16"/>
      <c r="AA53" s="16"/>
      <c r="AB53" s="16"/>
    </row>
    <row r="54" spans="1:30" ht="15.75" customHeight="1" thickTop="1">
      <c r="A54" s="15"/>
      <c r="B54" s="16"/>
      <c r="C54" s="16"/>
      <c r="D54" s="16"/>
      <c r="E54" s="16"/>
      <c r="F54" s="16"/>
      <c r="G54" s="16"/>
      <c r="H54" s="16"/>
      <c r="I54" s="16"/>
      <c r="J54" s="16"/>
      <c r="K54" s="16"/>
      <c r="L54" s="16"/>
      <c r="M54" s="16"/>
      <c r="N54" s="16"/>
      <c r="O54" s="16"/>
      <c r="P54" s="16"/>
      <c r="Q54" s="16"/>
      <c r="R54" s="16"/>
      <c r="S54" s="16"/>
      <c r="T54" s="16"/>
      <c r="U54" s="16"/>
      <c r="V54" s="16"/>
      <c r="W54" s="16"/>
      <c r="X54" s="16"/>
      <c r="Y54" s="16"/>
      <c r="Z54" s="16"/>
      <c r="AA54" s="16"/>
      <c r="AB54" s="16"/>
      <c r="AC54" s="16"/>
      <c r="AD54" s="16"/>
    </row>
    <row r="55" spans="1:30" ht="15.75" customHeight="1">
      <c r="A55" s="15"/>
      <c r="B55" s="16"/>
      <c r="C55" s="16"/>
      <c r="D55" s="16"/>
      <c r="E55" s="16"/>
      <c r="F55" s="16"/>
      <c r="G55" s="16"/>
      <c r="H55" s="16"/>
      <c r="I55" s="16"/>
      <c r="J55" s="16"/>
      <c r="K55" s="16"/>
      <c r="L55" s="16"/>
      <c r="M55" s="16"/>
      <c r="N55" s="16"/>
      <c r="O55" s="16"/>
      <c r="P55" s="16"/>
      <c r="Q55" s="16"/>
      <c r="W55" s="16"/>
      <c r="X55" s="16"/>
      <c r="Y55" s="16"/>
      <c r="Z55" s="16"/>
      <c r="AA55" s="16"/>
      <c r="AB55" s="16"/>
      <c r="AC55" s="16"/>
      <c r="AD55" s="16"/>
    </row>
    <row r="56" spans="1:30" ht="15.75" customHeight="1" thickBot="1">
      <c r="A56" s="186" t="s">
        <v>475</v>
      </c>
      <c r="B56" s="231"/>
      <c r="C56" s="231"/>
      <c r="D56" s="231"/>
      <c r="E56" s="231"/>
      <c r="F56" s="231"/>
      <c r="G56" s="231"/>
      <c r="H56" s="231"/>
      <c r="I56" s="231"/>
      <c r="J56" s="231"/>
      <c r="K56" s="16"/>
      <c r="L56" s="16"/>
      <c r="M56" s="16"/>
      <c r="N56" s="16"/>
      <c r="O56" s="16"/>
      <c r="P56" s="16"/>
      <c r="Q56" s="16"/>
      <c r="W56" s="16"/>
      <c r="X56" s="16"/>
      <c r="Y56" s="16"/>
      <c r="Z56" s="16"/>
      <c r="AA56" s="16"/>
      <c r="AB56" s="16"/>
      <c r="AC56" s="16"/>
      <c r="AD56" s="16"/>
    </row>
    <row r="57" spans="1:30" ht="15.75" customHeight="1" thickTop="1" thickBot="1">
      <c r="A57" s="230" t="s">
        <v>476</v>
      </c>
      <c r="B57" s="230" t="s">
        <v>477</v>
      </c>
      <c r="C57" s="230" t="s">
        <v>478</v>
      </c>
      <c r="D57" s="230" t="s">
        <v>479</v>
      </c>
      <c r="E57" s="230" t="s">
        <v>480</v>
      </c>
      <c r="F57" s="230" t="s">
        <v>481</v>
      </c>
      <c r="G57" s="230" t="s">
        <v>482</v>
      </c>
      <c r="H57" s="230" t="s">
        <v>453</v>
      </c>
      <c r="I57" s="230" t="s">
        <v>483</v>
      </c>
      <c r="J57" s="230" t="s">
        <v>484</v>
      </c>
      <c r="K57" s="721" t="s">
        <v>485</v>
      </c>
      <c r="L57" s="716"/>
      <c r="M57" s="722"/>
      <c r="N57" s="15"/>
      <c r="O57" s="16"/>
      <c r="P57" s="16"/>
      <c r="Q57" s="16"/>
      <c r="W57" s="16"/>
      <c r="X57" s="16"/>
      <c r="Y57" s="16"/>
      <c r="Z57" s="16"/>
      <c r="AA57" s="16"/>
      <c r="AB57" s="16"/>
    </row>
    <row r="58" spans="1:30" ht="15" customHeight="1" thickTop="1">
      <c r="A58" s="319" t="s">
        <v>1762</v>
      </c>
      <c r="B58" s="319" t="s">
        <v>278</v>
      </c>
      <c r="C58" s="261">
        <v>42</v>
      </c>
      <c r="D58" s="261">
        <v>1</v>
      </c>
      <c r="E58" s="261">
        <v>2</v>
      </c>
      <c r="F58" s="261">
        <f>Table_4168230[[#This Row],[Total hours/week]]*Table_4168230[[#This Row],['# Weeks]]</f>
        <v>84</v>
      </c>
      <c r="G58" s="384" t="s">
        <v>1764</v>
      </c>
      <c r="H58" s="319" t="s">
        <v>145</v>
      </c>
      <c r="I58" s="339">
        <f>Constants!B6</f>
        <v>50</v>
      </c>
      <c r="J58" s="231"/>
      <c r="K58" s="564"/>
      <c r="L58" s="741"/>
      <c r="M58" s="742"/>
      <c r="N58" s="16"/>
      <c r="O58" s="16"/>
      <c r="P58" s="16"/>
      <c r="Q58" s="16"/>
      <c r="W58" s="16"/>
      <c r="X58" s="16"/>
      <c r="Y58" s="16"/>
      <c r="Z58" s="16"/>
      <c r="AA58" s="16"/>
      <c r="AB58" s="16"/>
    </row>
    <row r="59" spans="1:30" ht="15.75" customHeight="1">
      <c r="A59" s="231" t="s">
        <v>1760</v>
      </c>
      <c r="B59" s="319" t="s">
        <v>287</v>
      </c>
      <c r="C59" s="261">
        <v>42</v>
      </c>
      <c r="D59" s="261">
        <v>0.67</v>
      </c>
      <c r="E59" s="261">
        <v>1.4</v>
      </c>
      <c r="F59" s="261">
        <f>Table_4168230[[#This Row],[Total hours/week]]*Table_4168230[[#This Row],['# Weeks]]</f>
        <v>58.8</v>
      </c>
      <c r="G59" s="384"/>
      <c r="H59" s="319" t="s">
        <v>55</v>
      </c>
      <c r="I59" s="339" t="s">
        <v>328</v>
      </c>
      <c r="J59" s="231" t="s">
        <v>1765</v>
      </c>
      <c r="K59" s="749"/>
      <c r="L59" s="744"/>
      <c r="M59" s="745"/>
      <c r="N59" s="16"/>
      <c r="O59" s="16"/>
      <c r="P59" s="16"/>
      <c r="Q59" s="16"/>
      <c r="W59" s="16"/>
      <c r="X59" s="16"/>
      <c r="Y59" s="16"/>
      <c r="Z59" s="16"/>
      <c r="AA59" s="16"/>
      <c r="AB59" s="16"/>
    </row>
    <row r="60" spans="1:30" ht="14.25" customHeight="1">
      <c r="A60" s="319" t="s">
        <v>1760</v>
      </c>
      <c r="B60" s="319" t="s">
        <v>287</v>
      </c>
      <c r="C60" s="261">
        <v>42</v>
      </c>
      <c r="D60" s="261">
        <v>0.7</v>
      </c>
      <c r="E60" s="261">
        <v>1.4</v>
      </c>
      <c r="F60" s="261">
        <f>Table_4168230[[#This Row],[Total hours/week]]*Table_4168230[[#This Row],['# Weeks]]</f>
        <v>58.8</v>
      </c>
      <c r="G60" s="319"/>
      <c r="H60" s="319" t="s">
        <v>55</v>
      </c>
      <c r="I60" s="339" t="s">
        <v>328</v>
      </c>
      <c r="J60" s="231" t="s">
        <v>1765</v>
      </c>
      <c r="K60" s="749"/>
      <c r="L60" s="744"/>
      <c r="M60" s="745"/>
      <c r="N60" s="16"/>
      <c r="O60" s="16"/>
      <c r="P60" s="16"/>
      <c r="Q60" s="16"/>
      <c r="W60" s="16"/>
      <c r="X60" s="16"/>
      <c r="Y60" s="16"/>
      <c r="Z60" s="16"/>
      <c r="AA60" s="16"/>
      <c r="AB60" s="16"/>
    </row>
    <row r="61" spans="1:30" ht="15.75" customHeight="1">
      <c r="A61" s="319" t="s">
        <v>1760</v>
      </c>
      <c r="B61" s="319" t="s">
        <v>287</v>
      </c>
      <c r="C61" s="261">
        <v>42</v>
      </c>
      <c r="D61" s="261">
        <v>0.7</v>
      </c>
      <c r="E61" s="261">
        <v>1.4</v>
      </c>
      <c r="F61" s="261">
        <f>Table_4168230[[#This Row],[Total hours/week]]*Table_4168230[[#This Row],['# Weeks]]</f>
        <v>58.8</v>
      </c>
      <c r="G61" s="319"/>
      <c r="H61" s="319" t="s">
        <v>55</v>
      </c>
      <c r="I61" s="339" t="s">
        <v>328</v>
      </c>
      <c r="J61" s="231" t="s">
        <v>1765</v>
      </c>
      <c r="K61" s="749"/>
      <c r="L61" s="744"/>
      <c r="M61" s="745"/>
      <c r="N61" s="16"/>
      <c r="O61" s="16"/>
      <c r="P61" s="16"/>
      <c r="Q61" s="16"/>
      <c r="W61" s="16"/>
      <c r="X61" s="16"/>
      <c r="Y61" s="16"/>
      <c r="Z61" s="16"/>
      <c r="AA61" s="16"/>
      <c r="AB61" s="16"/>
    </row>
    <row r="62" spans="1:30" ht="15.75" customHeight="1">
      <c r="A62" s="319" t="s">
        <v>1766</v>
      </c>
      <c r="B62" s="319" t="s">
        <v>287</v>
      </c>
      <c r="C62" s="261">
        <v>42</v>
      </c>
      <c r="D62" s="261">
        <v>2</v>
      </c>
      <c r="E62" s="261">
        <v>4</v>
      </c>
      <c r="F62" s="261">
        <f>Table_4168230[[#This Row],[Total hours/week]]*Table_4168230[[#This Row],['# Weeks]]</f>
        <v>168</v>
      </c>
      <c r="G62" s="319"/>
      <c r="H62" s="319" t="s">
        <v>55</v>
      </c>
      <c r="I62" s="339" t="s">
        <v>328</v>
      </c>
      <c r="J62" s="231"/>
      <c r="K62" s="749"/>
      <c r="L62" s="744"/>
      <c r="M62" s="745"/>
      <c r="N62" s="16"/>
      <c r="O62" s="16"/>
      <c r="P62" s="16"/>
      <c r="Q62" s="16"/>
      <c r="W62" s="16"/>
      <c r="X62" s="16"/>
      <c r="Y62" s="16"/>
      <c r="Z62" s="16"/>
      <c r="AA62" s="16"/>
      <c r="AB62" s="16"/>
    </row>
    <row r="63" spans="1:30" ht="15.75" customHeight="1">
      <c r="A63" s="231" t="s">
        <v>1766</v>
      </c>
      <c r="B63" s="319" t="s">
        <v>287</v>
      </c>
      <c r="C63" s="261">
        <v>42</v>
      </c>
      <c r="D63" s="261">
        <v>2</v>
      </c>
      <c r="E63" s="261">
        <v>4</v>
      </c>
      <c r="F63" s="261">
        <f>Table_4168230[[#This Row],[Total hours/week]]*Table_4168230[[#This Row],['# Weeks]]</f>
        <v>168</v>
      </c>
      <c r="G63" s="319"/>
      <c r="H63" s="319" t="s">
        <v>55</v>
      </c>
      <c r="I63" s="339" t="s">
        <v>328</v>
      </c>
      <c r="J63" s="231"/>
      <c r="K63" s="749"/>
      <c r="L63" s="744"/>
      <c r="M63" s="745"/>
      <c r="N63" s="16"/>
      <c r="O63" s="16"/>
      <c r="P63" s="16"/>
      <c r="Q63" s="16"/>
      <c r="W63" s="16"/>
      <c r="X63" s="16"/>
      <c r="Y63" s="16"/>
      <c r="Z63" s="16"/>
      <c r="AA63" s="16"/>
      <c r="AB63" s="16"/>
    </row>
    <row r="64" spans="1:30" ht="15.75" customHeight="1">
      <c r="A64" s="319" t="s">
        <v>1767</v>
      </c>
      <c r="B64" s="319" t="s">
        <v>287</v>
      </c>
      <c r="C64" s="261">
        <v>22</v>
      </c>
      <c r="D64" s="261">
        <v>3</v>
      </c>
      <c r="E64" s="261">
        <v>3.8</v>
      </c>
      <c r="F64" s="261">
        <f>Table_4168230[[#This Row],[Total hours/week]]*Table_4168230[[#This Row],['# Weeks]]</f>
        <v>83.6</v>
      </c>
      <c r="G64" s="319"/>
      <c r="H64" s="319" t="s">
        <v>55</v>
      </c>
      <c r="I64" s="339" t="s">
        <v>328</v>
      </c>
      <c r="J64" s="231" t="s">
        <v>1768</v>
      </c>
      <c r="K64" s="749"/>
      <c r="L64" s="744"/>
      <c r="M64" s="745"/>
      <c r="N64" s="16"/>
      <c r="O64" s="16"/>
      <c r="P64" s="16"/>
      <c r="Q64" s="16"/>
      <c r="W64" s="16"/>
      <c r="X64" s="16"/>
      <c r="Y64" s="16"/>
      <c r="Z64" s="16"/>
      <c r="AA64" s="16"/>
      <c r="AB64" s="16"/>
    </row>
    <row r="65" spans="1:30" ht="15.75" customHeight="1">
      <c r="A65" s="319" t="s">
        <v>1767</v>
      </c>
      <c r="B65" s="319" t="s">
        <v>287</v>
      </c>
      <c r="C65" s="261">
        <v>22</v>
      </c>
      <c r="D65" s="261">
        <v>3</v>
      </c>
      <c r="E65" s="261">
        <v>3.8</v>
      </c>
      <c r="F65" s="261">
        <f>Table_4168230[[#This Row],[Total hours/week]]*Table_4168230[[#This Row],['# Weeks]]</f>
        <v>83.6</v>
      </c>
      <c r="G65" s="319"/>
      <c r="H65" s="319" t="s">
        <v>55</v>
      </c>
      <c r="I65" s="339" t="s">
        <v>328</v>
      </c>
      <c r="J65" s="231" t="s">
        <v>1768</v>
      </c>
      <c r="K65" s="749"/>
      <c r="L65" s="744"/>
      <c r="M65" s="745"/>
      <c r="N65" s="16"/>
      <c r="O65" s="16"/>
      <c r="P65" s="16"/>
      <c r="Q65" s="16"/>
      <c r="W65" s="16"/>
      <c r="X65" s="16"/>
      <c r="Y65" s="16"/>
      <c r="Z65" s="16"/>
      <c r="AA65" s="16"/>
      <c r="AB65" s="16"/>
    </row>
    <row r="66" spans="1:30" ht="15.75" customHeight="1">
      <c r="A66" s="319" t="s">
        <v>1767</v>
      </c>
      <c r="B66" s="319" t="s">
        <v>287</v>
      </c>
      <c r="C66" s="261">
        <v>22</v>
      </c>
      <c r="D66" s="261">
        <v>1</v>
      </c>
      <c r="E66" s="261">
        <v>1.3</v>
      </c>
      <c r="F66" s="261">
        <f>Table_4168230[[#This Row],[Total hours/week]]*Table_4168230[[#This Row],['# Weeks]]</f>
        <v>28.6</v>
      </c>
      <c r="G66" s="319"/>
      <c r="H66" s="319" t="s">
        <v>55</v>
      </c>
      <c r="I66" s="339" t="s">
        <v>328</v>
      </c>
      <c r="J66" s="231"/>
      <c r="K66" s="749"/>
      <c r="L66" s="744"/>
      <c r="M66" s="745"/>
      <c r="N66" s="16"/>
      <c r="O66" s="16"/>
      <c r="P66" s="16"/>
      <c r="Q66" s="16"/>
      <c r="W66" s="16"/>
      <c r="X66" s="16"/>
      <c r="Y66" s="16"/>
      <c r="Z66" s="16"/>
      <c r="AA66" s="16"/>
      <c r="AB66" s="16"/>
    </row>
    <row r="67" spans="1:30" ht="15.75" customHeight="1">
      <c r="A67" s="231" t="s">
        <v>1767</v>
      </c>
      <c r="B67" s="319" t="s">
        <v>287</v>
      </c>
      <c r="C67" s="232">
        <v>22</v>
      </c>
      <c r="D67" s="232">
        <v>1</v>
      </c>
      <c r="E67" s="261">
        <v>1.3</v>
      </c>
      <c r="F67" s="261">
        <f>Table_4168230[[#This Row],[Total hours/week]]*Table_4168230[[#This Row],['# Weeks]]</f>
        <v>28.6</v>
      </c>
      <c r="G67" s="231"/>
      <c r="H67" s="319" t="s">
        <v>55</v>
      </c>
      <c r="I67" s="339" t="s">
        <v>328</v>
      </c>
      <c r="J67" s="231"/>
      <c r="K67" s="749"/>
      <c r="L67" s="744"/>
      <c r="M67" s="745"/>
      <c r="N67" s="16"/>
      <c r="O67" s="16"/>
      <c r="P67" s="16"/>
      <c r="Q67" s="16"/>
      <c r="W67" s="16"/>
      <c r="X67" s="16"/>
      <c r="Y67" s="16"/>
      <c r="Z67" s="16"/>
      <c r="AA67" s="16"/>
      <c r="AB67" s="16"/>
    </row>
    <row r="68" spans="1:30" ht="15.75" customHeight="1">
      <c r="A68" s="231" t="s">
        <v>143</v>
      </c>
      <c r="B68" s="319" t="s">
        <v>285</v>
      </c>
      <c r="C68" s="232">
        <v>1</v>
      </c>
      <c r="D68" s="232">
        <v>1</v>
      </c>
      <c r="E68" s="261">
        <v>172</v>
      </c>
      <c r="F68" s="261">
        <f>Table_4168230[[#This Row],[Total hours/week]]*Table_4168230[[#This Row],['# Weeks]]</f>
        <v>172</v>
      </c>
      <c r="G68" s="231"/>
      <c r="H68" s="319" t="s">
        <v>55</v>
      </c>
      <c r="I68" s="339" t="s">
        <v>328</v>
      </c>
      <c r="J68" s="231" t="s">
        <v>1769</v>
      </c>
      <c r="K68" s="749"/>
      <c r="L68" s="744"/>
      <c r="M68" s="745"/>
      <c r="N68" s="16"/>
      <c r="O68" s="16"/>
      <c r="P68" s="16"/>
      <c r="Q68" s="16"/>
      <c r="W68" s="16"/>
      <c r="X68" s="16"/>
      <c r="Y68" s="16"/>
      <c r="Z68" s="16"/>
      <c r="AA68" s="16"/>
      <c r="AB68" s="16"/>
    </row>
    <row r="69" spans="1:30" ht="15.75" customHeight="1">
      <c r="A69" s="231" t="s">
        <v>143</v>
      </c>
      <c r="B69" s="319" t="s">
        <v>285</v>
      </c>
      <c r="C69" s="245">
        <v>1</v>
      </c>
      <c r="D69" s="232">
        <v>1</v>
      </c>
      <c r="E69" s="261">
        <v>906</v>
      </c>
      <c r="F69" s="261">
        <f>Table_4168230[[#This Row],[Total hours/week]]*Table_4168230[[#This Row],['# Weeks]]</f>
        <v>906</v>
      </c>
      <c r="G69" s="263"/>
      <c r="H69" s="263" t="s">
        <v>281</v>
      </c>
      <c r="I69" s="403" t="s">
        <v>328</v>
      </c>
      <c r="J69" s="231" t="s">
        <v>1770</v>
      </c>
      <c r="K69" s="749"/>
      <c r="L69" s="744"/>
      <c r="M69" s="745"/>
      <c r="N69" s="16"/>
      <c r="O69" s="16"/>
      <c r="P69" s="16"/>
      <c r="Q69" s="16"/>
      <c r="W69" s="16"/>
      <c r="X69" s="16"/>
      <c r="Y69" s="16"/>
      <c r="Z69" s="16"/>
      <c r="AA69" s="16"/>
      <c r="AB69" s="16"/>
    </row>
    <row r="70" spans="1:30" ht="15.75" customHeight="1" thickBot="1">
      <c r="A70" s="231"/>
      <c r="B70" s="319"/>
      <c r="C70" s="245"/>
      <c r="D70" s="232"/>
      <c r="E70" s="261"/>
      <c r="F70" s="262"/>
      <c r="G70" s="263"/>
      <c r="H70" s="263"/>
      <c r="I70" s="264"/>
      <c r="J70" s="231"/>
      <c r="K70" s="746"/>
      <c r="L70" s="747"/>
      <c r="M70" s="748"/>
      <c r="N70" s="16"/>
      <c r="O70" s="16"/>
      <c r="P70" s="16"/>
      <c r="Q70" s="16"/>
      <c r="W70" s="16"/>
      <c r="X70" s="16"/>
      <c r="Y70" s="16"/>
      <c r="Z70" s="16"/>
      <c r="AA70" s="16"/>
      <c r="AB70" s="16"/>
    </row>
    <row r="71" spans="1:30" ht="15.75" customHeight="1" thickTop="1">
      <c r="A71" s="16"/>
      <c r="B71" s="16"/>
      <c r="C71" s="16"/>
      <c r="D71" s="16"/>
      <c r="E71" s="16"/>
      <c r="F71" s="16"/>
      <c r="G71" s="16"/>
      <c r="H71" s="16"/>
      <c r="I71" s="16"/>
      <c r="J71" s="16"/>
      <c r="K71" s="16"/>
      <c r="L71" s="16"/>
      <c r="M71" s="16"/>
      <c r="N71" s="16"/>
      <c r="O71" s="16"/>
      <c r="P71" s="16"/>
      <c r="Q71" s="16"/>
      <c r="W71" s="16"/>
      <c r="X71" s="16"/>
      <c r="Y71" s="16"/>
      <c r="Z71" s="16"/>
      <c r="AA71" s="16"/>
      <c r="AB71" s="16"/>
      <c r="AC71" s="16"/>
      <c r="AD71" s="16"/>
    </row>
    <row r="72" spans="1:30" ht="15.75" customHeight="1" thickBot="1">
      <c r="A72" s="186" t="s">
        <v>499</v>
      </c>
      <c r="B72" s="231"/>
      <c r="C72" s="231"/>
      <c r="D72" s="231"/>
      <c r="E72" s="231"/>
      <c r="F72" s="231"/>
      <c r="G72" s="231"/>
      <c r="H72" s="231"/>
      <c r="I72" s="231"/>
      <c r="J72" s="231"/>
      <c r="K72" s="123"/>
      <c r="L72" s="123"/>
      <c r="M72" s="16"/>
      <c r="N72" s="16"/>
      <c r="O72" s="16"/>
      <c r="P72" s="16"/>
      <c r="Q72" s="16"/>
      <c r="W72" s="16"/>
      <c r="X72" s="16"/>
      <c r="Y72" s="16"/>
      <c r="Z72" s="16"/>
      <c r="AA72" s="16"/>
      <c r="AB72" s="16"/>
      <c r="AC72" s="16"/>
      <c r="AD72" s="16"/>
    </row>
    <row r="73" spans="1:30" ht="15.75" customHeight="1" thickTop="1" thickBot="1">
      <c r="A73" s="230" t="s">
        <v>476</v>
      </c>
      <c r="B73" s="230" t="s">
        <v>500</v>
      </c>
      <c r="C73" s="230" t="s">
        <v>501</v>
      </c>
      <c r="D73" s="230" t="s">
        <v>502</v>
      </c>
      <c r="E73" s="230" t="s">
        <v>503</v>
      </c>
      <c r="F73" s="230" t="s">
        <v>504</v>
      </c>
      <c r="G73" s="230" t="s">
        <v>505</v>
      </c>
      <c r="H73" s="230" t="s">
        <v>506</v>
      </c>
      <c r="I73" s="230" t="s">
        <v>507</v>
      </c>
      <c r="J73" s="230" t="s">
        <v>508</v>
      </c>
      <c r="K73" s="561" t="s">
        <v>441</v>
      </c>
      <c r="L73" s="561"/>
      <c r="M73" s="561"/>
      <c r="N73" s="561"/>
      <c r="O73" s="570"/>
      <c r="P73" s="726" t="s">
        <v>434</v>
      </c>
      <c r="Q73" s="727"/>
      <c r="R73" s="16"/>
      <c r="S73" s="16"/>
      <c r="V73" s="16"/>
      <c r="W73" s="16"/>
      <c r="X73" s="16"/>
      <c r="Y73" s="16"/>
      <c r="Z73" s="16"/>
      <c r="AA73" s="16"/>
    </row>
    <row r="74" spans="1:30" ht="15.75" customHeight="1" thickTop="1">
      <c r="A74" s="319" t="s">
        <v>1757</v>
      </c>
      <c r="B74" s="231" t="s">
        <v>252</v>
      </c>
      <c r="C74" s="232" t="s">
        <v>512</v>
      </c>
      <c r="D74" s="261">
        <v>1.5</v>
      </c>
      <c r="E74" s="245">
        <v>43</v>
      </c>
      <c r="F74" s="326">
        <f>TSAC!$D74*TSAC!$E74</f>
        <v>64.5</v>
      </c>
      <c r="G74" s="245">
        <v>3</v>
      </c>
      <c r="H74" s="332">
        <f>IF($B74= "","-",IF($B74= "External","Specify location tariff", INDEX(Constants!$3:$3,MATCH($B74,Constants!$2:$2,0))))</f>
        <v>27.5</v>
      </c>
      <c r="I74" s="333">
        <f t="shared" ref="I74:I90" si="2">IF($H74="-","-",IF($H74="Specify location tariff","-",$H74*$F74))</f>
        <v>1773.75</v>
      </c>
      <c r="J74" s="332" t="s">
        <v>1771</v>
      </c>
      <c r="K74" s="610"/>
      <c r="L74" s="611"/>
      <c r="M74" s="611"/>
      <c r="N74" s="611"/>
      <c r="O74" s="612"/>
      <c r="P74" s="564" t="s">
        <v>511</v>
      </c>
      <c r="Q74" s="565"/>
      <c r="R74" s="16"/>
      <c r="S74" s="16"/>
      <c r="V74" s="16"/>
      <c r="W74" s="16"/>
      <c r="X74" s="16"/>
      <c r="Y74" s="16"/>
      <c r="Z74" s="16"/>
      <c r="AA74" s="16"/>
    </row>
    <row r="75" spans="1:30" ht="15.75" customHeight="1">
      <c r="A75" s="231" t="s">
        <v>1759</v>
      </c>
      <c r="B75" s="231" t="s">
        <v>252</v>
      </c>
      <c r="C75" s="232" t="s">
        <v>512</v>
      </c>
      <c r="D75" s="261">
        <v>1.5</v>
      </c>
      <c r="E75" s="245">
        <v>43</v>
      </c>
      <c r="F75" s="326">
        <f>TSAC!$D75*TSAC!$E75</f>
        <v>64.5</v>
      </c>
      <c r="G75" s="245">
        <v>3</v>
      </c>
      <c r="H75" s="332">
        <f>IF($B75= "","-",IF($B75= "External","Specify location tariff", INDEX(Constants!$3:$3,MATCH($B75,Constants!$2:$2,0))))</f>
        <v>27.5</v>
      </c>
      <c r="I75" s="333">
        <f t="shared" si="2"/>
        <v>1773.75</v>
      </c>
      <c r="J75" s="332" t="s">
        <v>1771</v>
      </c>
      <c r="K75" s="613"/>
      <c r="L75" s="562"/>
      <c r="M75" s="562"/>
      <c r="N75" s="562"/>
      <c r="O75" s="614"/>
      <c r="P75" s="566"/>
      <c r="Q75" s="567"/>
      <c r="R75" s="16"/>
      <c r="S75" s="16"/>
      <c r="V75" s="16"/>
      <c r="W75" s="16"/>
      <c r="X75" s="16"/>
      <c r="Y75" s="16"/>
      <c r="Z75" s="16"/>
      <c r="AA75" s="16"/>
    </row>
    <row r="76" spans="1:30" ht="15.75" customHeight="1">
      <c r="A76" s="231" t="s">
        <v>1750</v>
      </c>
      <c r="B76" s="231" t="s">
        <v>252</v>
      </c>
      <c r="C76" s="232" t="s">
        <v>513</v>
      </c>
      <c r="D76" s="261">
        <v>1.25</v>
      </c>
      <c r="E76" s="245">
        <v>22</v>
      </c>
      <c r="F76" s="326">
        <f>TSAC!$D76*TSAC!$E76</f>
        <v>27.5</v>
      </c>
      <c r="G76" s="245">
        <v>3</v>
      </c>
      <c r="H76" s="332">
        <f>IF($B76= "","-",IF($B76= "External","Specify location tariff", INDEX(Constants!$3:$3,MATCH($B76,Constants!$2:$2,0))))</f>
        <v>27.5</v>
      </c>
      <c r="I76" s="333">
        <f t="shared" si="2"/>
        <v>756.25</v>
      </c>
      <c r="J76" s="332" t="s">
        <v>1772</v>
      </c>
      <c r="K76" s="613"/>
      <c r="L76" s="562"/>
      <c r="M76" s="562"/>
      <c r="N76" s="562"/>
      <c r="O76" s="614"/>
      <c r="P76" s="566"/>
      <c r="Q76" s="567"/>
      <c r="R76" s="16"/>
      <c r="S76" s="16"/>
      <c r="V76" s="16"/>
      <c r="W76" s="16"/>
      <c r="X76" s="16"/>
      <c r="Y76" s="16"/>
      <c r="Z76" s="16"/>
      <c r="AA76" s="16"/>
    </row>
    <row r="77" spans="1:30" ht="15.75" customHeight="1">
      <c r="A77" s="319" t="s">
        <v>1754</v>
      </c>
      <c r="B77" s="231" t="s">
        <v>252</v>
      </c>
      <c r="C77" s="232" t="s">
        <v>513</v>
      </c>
      <c r="D77" s="261">
        <v>1.25</v>
      </c>
      <c r="E77" s="245">
        <v>22</v>
      </c>
      <c r="F77" s="326">
        <f>TSAC!$D77*TSAC!$E77</f>
        <v>27.5</v>
      </c>
      <c r="G77" s="245">
        <v>3</v>
      </c>
      <c r="H77" s="332">
        <f>IF($B77= "","-",IF($B77= "External","Specify location tariff", INDEX(Constants!$3:$3,MATCH($B77,Constants!$2:$2,0))))</f>
        <v>27.5</v>
      </c>
      <c r="I77" s="333">
        <f t="shared" si="2"/>
        <v>756.25</v>
      </c>
      <c r="J77" s="332" t="s">
        <v>1772</v>
      </c>
      <c r="K77" s="613"/>
      <c r="L77" s="562"/>
      <c r="M77" s="562"/>
      <c r="N77" s="562"/>
      <c r="O77" s="614"/>
      <c r="P77" s="566"/>
      <c r="Q77" s="567"/>
      <c r="R77" s="16"/>
      <c r="S77" s="16"/>
      <c r="V77" s="16"/>
      <c r="W77" s="16"/>
      <c r="X77" s="16"/>
      <c r="Y77" s="16"/>
      <c r="Z77" s="16"/>
      <c r="AA77" s="16"/>
    </row>
    <row r="78" spans="1:30" ht="15.75" customHeight="1">
      <c r="A78" s="231" t="s">
        <v>1755</v>
      </c>
      <c r="B78" s="231" t="s">
        <v>252</v>
      </c>
      <c r="C78" s="232" t="s">
        <v>513</v>
      </c>
      <c r="D78" s="261">
        <v>1.25</v>
      </c>
      <c r="E78" s="245">
        <v>22</v>
      </c>
      <c r="F78" s="326">
        <f>TSAC!$D78*TSAC!$E78</f>
        <v>27.5</v>
      </c>
      <c r="G78" s="245">
        <v>3</v>
      </c>
      <c r="H78" s="332">
        <f>IF($B78= "","-",IF($B78= "External","Specify location tariff", INDEX(Constants!$3:$3,MATCH($B78,Constants!$2:$2,0))))</f>
        <v>27.5</v>
      </c>
      <c r="I78" s="333">
        <f t="shared" si="2"/>
        <v>756.25</v>
      </c>
      <c r="J78" s="332" t="s">
        <v>1772</v>
      </c>
      <c r="K78" s="613"/>
      <c r="L78" s="562"/>
      <c r="M78" s="562"/>
      <c r="N78" s="562"/>
      <c r="O78" s="614"/>
      <c r="P78" s="566"/>
      <c r="Q78" s="567"/>
      <c r="R78" s="16"/>
      <c r="S78" s="16"/>
      <c r="V78" s="16"/>
      <c r="W78" s="16"/>
      <c r="X78" s="16"/>
      <c r="Y78" s="16"/>
      <c r="Z78" s="16"/>
      <c r="AA78" s="16"/>
    </row>
    <row r="79" spans="1:30" ht="15.75" customHeight="1">
      <c r="A79" s="319" t="s">
        <v>1756</v>
      </c>
      <c r="B79" s="231" t="s">
        <v>252</v>
      </c>
      <c r="C79" s="232" t="s">
        <v>513</v>
      </c>
      <c r="D79" s="261">
        <v>1.25</v>
      </c>
      <c r="E79" s="245">
        <v>22</v>
      </c>
      <c r="F79" s="326">
        <f>TSAC!$D79*TSAC!$E79</f>
        <v>27.5</v>
      </c>
      <c r="G79" s="245">
        <v>3</v>
      </c>
      <c r="H79" s="332">
        <f>IF($B79= "","-",IF($B79= "External","Specify location tariff", INDEX(Constants!$3:$3,MATCH($B79,Constants!$2:$2,0))))</f>
        <v>27.5</v>
      </c>
      <c r="I79" s="333">
        <f t="shared" si="2"/>
        <v>756.25</v>
      </c>
      <c r="J79" s="332" t="s">
        <v>1772</v>
      </c>
      <c r="K79" s="613"/>
      <c r="L79" s="562"/>
      <c r="M79" s="562"/>
      <c r="N79" s="562"/>
      <c r="O79" s="614"/>
      <c r="P79" s="566"/>
      <c r="Q79" s="567"/>
      <c r="R79" s="16"/>
      <c r="S79" s="16"/>
      <c r="V79" s="16"/>
      <c r="W79" s="16"/>
      <c r="X79" s="16"/>
      <c r="Y79" s="16"/>
      <c r="Z79" s="16"/>
      <c r="AA79" s="16"/>
    </row>
    <row r="80" spans="1:30" ht="15.75" customHeight="1">
      <c r="A80" s="231" t="s">
        <v>1760</v>
      </c>
      <c r="B80" s="231" t="s">
        <v>252</v>
      </c>
      <c r="C80" s="232" t="s">
        <v>516</v>
      </c>
      <c r="D80" s="261">
        <v>2</v>
      </c>
      <c r="E80" s="245">
        <v>43</v>
      </c>
      <c r="F80" s="326">
        <f>TSAC!$D80*TSAC!$E80</f>
        <v>86</v>
      </c>
      <c r="G80" s="245">
        <v>3</v>
      </c>
      <c r="H80" s="332">
        <f>IF($B80= "","-",IF($B80= "External","Specify location tariff", INDEX(Constants!$3:$3,MATCH($B80,Constants!$2:$2,0))))</f>
        <v>27.5</v>
      </c>
      <c r="I80" s="333">
        <f t="shared" si="2"/>
        <v>2365</v>
      </c>
      <c r="J80" s="332"/>
      <c r="K80" s="613"/>
      <c r="L80" s="562"/>
      <c r="M80" s="562"/>
      <c r="N80" s="562"/>
      <c r="O80" s="614"/>
      <c r="P80" s="566"/>
      <c r="Q80" s="567"/>
      <c r="R80" s="16"/>
      <c r="S80" s="16"/>
      <c r="V80" s="16"/>
      <c r="W80" s="16"/>
      <c r="X80" s="16"/>
      <c r="Y80" s="16"/>
      <c r="Z80" s="16"/>
      <c r="AA80" s="16"/>
    </row>
    <row r="81" spans="1:30" ht="15.75" customHeight="1">
      <c r="A81" s="319" t="s">
        <v>1762</v>
      </c>
      <c r="B81" s="231" t="s">
        <v>252</v>
      </c>
      <c r="C81" s="232" t="s">
        <v>515</v>
      </c>
      <c r="D81" s="261">
        <v>2</v>
      </c>
      <c r="E81" s="245">
        <v>43</v>
      </c>
      <c r="F81" s="326">
        <f>TSAC!$D81*TSAC!$E81</f>
        <v>86</v>
      </c>
      <c r="G81" s="245">
        <v>1</v>
      </c>
      <c r="H81" s="332">
        <f>IF($B81= "","-",IF($B81= "External","Specify location tariff", INDEX(Constants!$3:$3,MATCH($B81,Constants!$2:$2,0))))</f>
        <v>27.5</v>
      </c>
      <c r="I81" s="333">
        <f t="shared" si="2"/>
        <v>2365</v>
      </c>
      <c r="J81" s="332"/>
      <c r="K81" s="613"/>
      <c r="L81" s="562"/>
      <c r="M81" s="562"/>
      <c r="N81" s="562"/>
      <c r="O81" s="614"/>
      <c r="P81" s="566"/>
      <c r="Q81" s="567"/>
      <c r="R81" s="16"/>
      <c r="S81" s="16"/>
      <c r="V81" s="16"/>
      <c r="W81" s="16"/>
      <c r="X81" s="16"/>
      <c r="Y81" s="16"/>
      <c r="Z81" s="16"/>
      <c r="AA81" s="16"/>
    </row>
    <row r="82" spans="1:30" ht="15.75" customHeight="1">
      <c r="A82" s="231" t="s">
        <v>1773</v>
      </c>
      <c r="B82" s="231" t="s">
        <v>253</v>
      </c>
      <c r="C82" s="232" t="s">
        <v>512</v>
      </c>
      <c r="D82" s="261">
        <v>2</v>
      </c>
      <c r="E82" s="245">
        <v>43</v>
      </c>
      <c r="F82" s="326">
        <f>TSAC!$D82*TSAC!$E82</f>
        <v>86</v>
      </c>
      <c r="G82" s="245">
        <v>4</v>
      </c>
      <c r="H82" s="332">
        <f>IF($B82= "","-",IF($B82= "External","Specify location tariff", INDEX(Constants!$3:$3,MATCH($B82,Constants!$2:$2,0))))</f>
        <v>45</v>
      </c>
      <c r="I82" s="333">
        <f t="shared" si="2"/>
        <v>3870</v>
      </c>
      <c r="J82" s="332" t="s">
        <v>1774</v>
      </c>
      <c r="K82" s="613"/>
      <c r="L82" s="562"/>
      <c r="M82" s="562"/>
      <c r="N82" s="562"/>
      <c r="O82" s="614"/>
      <c r="P82" s="566"/>
      <c r="Q82" s="567"/>
      <c r="R82" s="16"/>
      <c r="S82" s="16"/>
      <c r="V82" s="16"/>
      <c r="W82" s="16"/>
      <c r="X82" s="16"/>
      <c r="Y82" s="16"/>
      <c r="Z82" s="16"/>
      <c r="AA82" s="16"/>
    </row>
    <row r="83" spans="1:30" ht="15.75" customHeight="1">
      <c r="A83" s="231" t="s">
        <v>1773</v>
      </c>
      <c r="B83" s="231" t="s">
        <v>253</v>
      </c>
      <c r="C83" s="232" t="s">
        <v>513</v>
      </c>
      <c r="D83" s="261">
        <v>2</v>
      </c>
      <c r="E83" s="245">
        <v>43</v>
      </c>
      <c r="F83" s="326">
        <f>TSAC!$D83*TSAC!$E83</f>
        <v>86</v>
      </c>
      <c r="G83" s="245">
        <v>4</v>
      </c>
      <c r="H83" s="332">
        <f>IF($B83= "","-",IF($B83= "External","Specify location tariff", INDEX(Constants!$3:$3,MATCH($B83,Constants!$2:$2,0))))</f>
        <v>45</v>
      </c>
      <c r="I83" s="333">
        <f t="shared" si="2"/>
        <v>3870</v>
      </c>
      <c r="J83" s="332" t="s">
        <v>1774</v>
      </c>
      <c r="K83" s="613"/>
      <c r="L83" s="562"/>
      <c r="M83" s="562"/>
      <c r="N83" s="562"/>
      <c r="O83" s="614"/>
      <c r="P83" s="566"/>
      <c r="Q83" s="567"/>
      <c r="R83" s="16"/>
      <c r="S83" s="16"/>
      <c r="V83" s="16"/>
      <c r="W83" s="16"/>
      <c r="X83" s="16"/>
      <c r="Y83" s="16"/>
      <c r="Z83" s="16"/>
      <c r="AA83" s="16"/>
    </row>
    <row r="84" spans="1:30" ht="15.75" customHeight="1">
      <c r="A84" s="231" t="s">
        <v>1773</v>
      </c>
      <c r="B84" s="231" t="s">
        <v>253</v>
      </c>
      <c r="C84" s="232" t="s">
        <v>516</v>
      </c>
      <c r="D84" s="261">
        <v>2</v>
      </c>
      <c r="E84" s="245">
        <v>43</v>
      </c>
      <c r="F84" s="326">
        <f>TSAC!$D84*TSAC!$E84</f>
        <v>86</v>
      </c>
      <c r="G84" s="245">
        <v>4</v>
      </c>
      <c r="H84" s="332">
        <f>IF($B84= "","-",IF($B84= "External","Specify location tariff", INDEX(Constants!$3:$3,MATCH($B84,Constants!$2:$2,0))))</f>
        <v>45</v>
      </c>
      <c r="I84" s="333">
        <f t="shared" si="2"/>
        <v>3870</v>
      </c>
      <c r="J84" s="332" t="s">
        <v>1774</v>
      </c>
      <c r="K84" s="613"/>
      <c r="L84" s="562"/>
      <c r="M84" s="562"/>
      <c r="N84" s="562"/>
      <c r="O84" s="614"/>
      <c r="P84" s="566"/>
      <c r="Q84" s="567"/>
      <c r="R84" s="16"/>
      <c r="S84" s="16"/>
      <c r="V84" s="16"/>
      <c r="W84" s="16"/>
      <c r="X84" s="16"/>
      <c r="Y84" s="16"/>
      <c r="Z84" s="16"/>
      <c r="AA84" s="16"/>
    </row>
    <row r="85" spans="1:30" ht="15.75" customHeight="1">
      <c r="A85" s="231" t="s">
        <v>1775</v>
      </c>
      <c r="B85" s="231" t="s">
        <v>1776</v>
      </c>
      <c r="C85" s="232" t="s">
        <v>644</v>
      </c>
      <c r="D85" s="261">
        <v>100</v>
      </c>
      <c r="E85" s="245">
        <v>1</v>
      </c>
      <c r="F85" s="326">
        <f>TSAC!$D85*TSAC!$E85</f>
        <v>100</v>
      </c>
      <c r="G85" s="245">
        <v>4</v>
      </c>
      <c r="H85" s="332">
        <v>55</v>
      </c>
      <c r="I85" s="333">
        <f t="shared" si="2"/>
        <v>5500</v>
      </c>
      <c r="J85" s="332" t="s">
        <v>1777</v>
      </c>
      <c r="K85" s="613"/>
      <c r="L85" s="562"/>
      <c r="M85" s="562"/>
      <c r="N85" s="562"/>
      <c r="O85" s="614"/>
      <c r="P85" s="566"/>
      <c r="Q85" s="567"/>
      <c r="R85" s="16"/>
      <c r="S85" s="16"/>
      <c r="V85" s="16"/>
      <c r="W85" s="16"/>
      <c r="X85" s="16"/>
      <c r="Y85" s="16"/>
      <c r="Z85" s="16"/>
      <c r="AA85" s="16"/>
    </row>
    <row r="86" spans="1:30" ht="15.75" customHeight="1">
      <c r="A86" s="231"/>
      <c r="B86" s="231"/>
      <c r="C86" s="232"/>
      <c r="D86" s="261"/>
      <c r="E86" s="245"/>
      <c r="F86" s="326">
        <f>TSAC!$D86*TSAC!$E86</f>
        <v>0</v>
      </c>
      <c r="G86" s="245"/>
      <c r="H86" s="332" t="str">
        <f>IF($B86= "","-",IF($B86= "External","Specify location tariff", INDEX(Constants!$3:$3,MATCH($B86,Constants!$2:$2,0))))</f>
        <v>-</v>
      </c>
      <c r="I86" s="333" t="str">
        <f t="shared" si="2"/>
        <v>-</v>
      </c>
      <c r="J86" s="247"/>
      <c r="K86" s="613"/>
      <c r="L86" s="562"/>
      <c r="M86" s="562"/>
      <c r="N86" s="562"/>
      <c r="O86" s="614"/>
      <c r="P86" s="566"/>
      <c r="Q86" s="567"/>
      <c r="R86" s="16"/>
      <c r="S86" s="16"/>
      <c r="V86" s="16"/>
      <c r="W86" s="16"/>
      <c r="X86" s="16"/>
      <c r="Y86" s="16"/>
      <c r="Z86" s="16"/>
      <c r="AA86" s="16"/>
    </row>
    <row r="87" spans="1:30" ht="15.75" customHeight="1">
      <c r="A87" s="231"/>
      <c r="B87" s="231"/>
      <c r="C87" s="232"/>
      <c r="D87" s="261"/>
      <c r="E87" s="245"/>
      <c r="F87" s="326">
        <f>TSAC!$D87*TSAC!$E87</f>
        <v>0</v>
      </c>
      <c r="G87" s="245"/>
      <c r="H87" s="332" t="str">
        <f>IF($B87= "","-",IF($B87= "External","Specify location tariff", INDEX(Constants!$3:$3,MATCH($B87,Constants!$2:$2,0))))</f>
        <v>-</v>
      </c>
      <c r="I87" s="333" t="str">
        <f t="shared" si="2"/>
        <v>-</v>
      </c>
      <c r="J87" s="247"/>
      <c r="K87" s="613"/>
      <c r="L87" s="562"/>
      <c r="M87" s="562"/>
      <c r="N87" s="562"/>
      <c r="O87" s="614"/>
      <c r="P87" s="566"/>
      <c r="Q87" s="567"/>
      <c r="R87" s="16"/>
      <c r="S87" s="16"/>
      <c r="V87" s="16"/>
      <c r="W87" s="16"/>
      <c r="X87" s="16"/>
      <c r="Y87" s="16"/>
      <c r="Z87" s="16"/>
      <c r="AA87" s="16"/>
    </row>
    <row r="88" spans="1:30" ht="15.75" customHeight="1">
      <c r="A88" s="231"/>
      <c r="B88" s="231"/>
      <c r="C88" s="232"/>
      <c r="D88" s="261"/>
      <c r="E88" s="245"/>
      <c r="F88" s="326">
        <f>TSAC!$D88*TSAC!$E88</f>
        <v>0</v>
      </c>
      <c r="G88" s="245"/>
      <c r="H88" s="332" t="str">
        <f>IF($B88= "","-",IF($B88= "External","Specify location tariff", INDEX(Constants!$3:$3,MATCH($B88,Constants!$2:$2,0))))</f>
        <v>-</v>
      </c>
      <c r="I88" s="333" t="str">
        <f t="shared" si="2"/>
        <v>-</v>
      </c>
      <c r="J88" s="247"/>
      <c r="K88" s="613"/>
      <c r="L88" s="562"/>
      <c r="M88" s="562"/>
      <c r="N88" s="562"/>
      <c r="O88" s="614"/>
      <c r="P88" s="566"/>
      <c r="Q88" s="567"/>
      <c r="R88" s="16"/>
      <c r="S88" s="16"/>
      <c r="V88" s="16"/>
      <c r="W88" s="16"/>
      <c r="X88" s="16"/>
      <c r="Y88" s="16"/>
      <c r="Z88" s="16"/>
      <c r="AA88" s="16"/>
    </row>
    <row r="89" spans="1:30" ht="15.75" customHeight="1">
      <c r="A89" s="231"/>
      <c r="B89" s="231"/>
      <c r="C89" s="232"/>
      <c r="D89" s="261"/>
      <c r="E89" s="245"/>
      <c r="F89" s="326">
        <f>TSAC!$D89*TSAC!$E89</f>
        <v>0</v>
      </c>
      <c r="G89" s="245"/>
      <c r="H89" s="332" t="str">
        <f>IF($B89= "","-",IF($B89= "External","Specify location tariff", INDEX(Constants!$3:$3,MATCH($B89,Constants!$2:$2,0))))</f>
        <v>-</v>
      </c>
      <c r="I89" s="333" t="str">
        <f t="shared" si="2"/>
        <v>-</v>
      </c>
      <c r="J89" s="247"/>
      <c r="K89" s="613"/>
      <c r="L89" s="562"/>
      <c r="M89" s="562"/>
      <c r="N89" s="562"/>
      <c r="O89" s="614"/>
      <c r="P89" s="566"/>
      <c r="Q89" s="567"/>
      <c r="R89" s="16"/>
      <c r="S89" s="16"/>
      <c r="V89" s="16"/>
      <c r="W89" s="16"/>
      <c r="X89" s="16"/>
      <c r="Y89" s="16"/>
      <c r="Z89" s="16"/>
      <c r="AA89" s="16"/>
    </row>
    <row r="90" spans="1:30" ht="15.75" customHeight="1" thickBot="1">
      <c r="A90" s="231"/>
      <c r="B90" s="231"/>
      <c r="C90" s="232"/>
      <c r="D90" s="261"/>
      <c r="E90" s="245"/>
      <c r="F90" s="326">
        <f>TSAC!$D90*TSAC!$E90</f>
        <v>0</v>
      </c>
      <c r="G90" s="245"/>
      <c r="H90" s="332" t="str">
        <f>IF($B90= "","-",IF($B90= "External","Specify location tariff", INDEX(Constants!$3:$3,MATCH($B90,Constants!$2:$2,0))))</f>
        <v>-</v>
      </c>
      <c r="I90" s="333" t="str">
        <f t="shared" si="2"/>
        <v>-</v>
      </c>
      <c r="J90" s="247"/>
      <c r="K90" s="615"/>
      <c r="L90" s="616"/>
      <c r="M90" s="616"/>
      <c r="N90" s="616"/>
      <c r="O90" s="617"/>
      <c r="P90" s="568"/>
      <c r="Q90" s="569"/>
      <c r="R90" s="16"/>
      <c r="S90" s="16"/>
      <c r="V90" s="16"/>
      <c r="W90" s="16"/>
      <c r="X90" s="16"/>
      <c r="Y90" s="16"/>
      <c r="Z90" s="16"/>
      <c r="AA90" s="16"/>
    </row>
    <row r="91" spans="1:30" ht="15.75" customHeight="1" thickTop="1">
      <c r="A91" s="15"/>
      <c r="B91" s="16"/>
      <c r="C91" s="16"/>
      <c r="D91" s="16"/>
      <c r="E91" s="16"/>
      <c r="F91" s="16"/>
      <c r="G91" s="16"/>
      <c r="H91" s="16"/>
      <c r="I91" s="16"/>
      <c r="J91" s="16"/>
      <c r="K91" s="16"/>
      <c r="L91" s="16"/>
      <c r="M91" s="16"/>
      <c r="N91" s="16"/>
      <c r="O91" s="16"/>
      <c r="P91" s="16"/>
      <c r="Q91" s="16"/>
      <c r="R91" s="16"/>
      <c r="S91" s="16"/>
      <c r="T91" s="16"/>
      <c r="U91" s="16"/>
      <c r="V91" s="16"/>
      <c r="W91" s="16"/>
      <c r="X91" s="16"/>
      <c r="Y91" s="16"/>
      <c r="Z91" s="16"/>
      <c r="AA91" s="16"/>
      <c r="AB91" s="16"/>
      <c r="AC91" s="16"/>
      <c r="AD91" s="16"/>
    </row>
    <row r="92" spans="1:30" ht="15.75" customHeight="1">
      <c r="A92" s="15"/>
      <c r="B92" s="16"/>
      <c r="C92" s="16"/>
      <c r="D92" s="16"/>
      <c r="E92" s="16"/>
      <c r="F92" s="16"/>
      <c r="G92" s="16"/>
      <c r="H92" s="16"/>
      <c r="I92" s="16"/>
      <c r="J92" s="16"/>
      <c r="K92" s="16"/>
      <c r="L92" s="231"/>
      <c r="M92" s="231"/>
      <c r="N92" s="16"/>
      <c r="O92" s="16"/>
      <c r="P92" s="16"/>
      <c r="Q92" s="16"/>
      <c r="R92" s="16"/>
      <c r="S92" s="16"/>
      <c r="T92" s="16"/>
      <c r="U92" s="16"/>
      <c r="V92" s="16"/>
      <c r="W92" s="16"/>
      <c r="X92" s="16"/>
      <c r="Y92" s="16"/>
      <c r="Z92" s="16"/>
      <c r="AA92" s="16"/>
      <c r="AB92" s="16"/>
      <c r="AC92" s="16"/>
      <c r="AD92" s="16"/>
    </row>
    <row r="93" spans="1:30" ht="15.75" customHeight="1" thickBot="1">
      <c r="A93" s="186" t="s">
        <v>519</v>
      </c>
      <c r="B93" s="16"/>
      <c r="C93" s="128"/>
      <c r="D93" s="51"/>
      <c r="E93" s="51"/>
      <c r="F93" s="51"/>
      <c r="G93" s="51"/>
      <c r="H93" s="51"/>
      <c r="I93" s="51"/>
      <c r="J93" s="51"/>
      <c r="K93" s="51"/>
      <c r="L93" s="232"/>
      <c r="M93" s="231"/>
      <c r="N93" s="16"/>
      <c r="O93" s="16"/>
      <c r="P93" s="16"/>
      <c r="Q93" s="16"/>
      <c r="R93" s="16"/>
      <c r="S93" s="16"/>
      <c r="T93" s="16"/>
      <c r="U93" s="16"/>
      <c r="V93" s="16"/>
      <c r="W93" s="16"/>
      <c r="X93" s="16"/>
      <c r="Y93" s="16"/>
      <c r="Z93" s="16"/>
      <c r="AA93" s="16"/>
      <c r="AB93" s="16"/>
      <c r="AC93" s="16"/>
      <c r="AD93" s="16"/>
    </row>
    <row r="94" spans="1:30" ht="15" customHeight="1" thickTop="1" thickBot="1">
      <c r="A94" s="230" t="s">
        <v>438</v>
      </c>
      <c r="B94" s="230" t="s">
        <v>439</v>
      </c>
      <c r="C94" s="230" t="s">
        <v>520</v>
      </c>
      <c r="D94" s="230" t="s">
        <v>521</v>
      </c>
      <c r="E94" s="230" t="s">
        <v>522</v>
      </c>
      <c r="F94" s="230" t="s">
        <v>523</v>
      </c>
      <c r="G94" s="230" t="s">
        <v>508</v>
      </c>
      <c r="H94" s="721" t="s">
        <v>441</v>
      </c>
      <c r="I94" s="728"/>
      <c r="J94" s="729" t="s">
        <v>434</v>
      </c>
      <c r="K94" s="730"/>
      <c r="L94" s="16"/>
      <c r="M94" s="16"/>
      <c r="N94" s="16"/>
      <c r="O94" s="16"/>
      <c r="P94" s="117"/>
      <c r="Q94" s="15"/>
      <c r="R94" s="16"/>
      <c r="S94" s="130"/>
      <c r="T94" s="16"/>
      <c r="U94" s="16"/>
      <c r="V94" s="16"/>
      <c r="W94" s="241"/>
      <c r="X94" s="16"/>
      <c r="Y94" s="16"/>
      <c r="Z94" s="16"/>
      <c r="AA94" s="16"/>
      <c r="AB94" s="16"/>
    </row>
    <row r="95" spans="1:30" ht="15" customHeight="1" thickTop="1">
      <c r="A95" s="411" t="s">
        <v>1778</v>
      </c>
      <c r="B95" s="411"/>
      <c r="C95" s="488"/>
      <c r="D95" s="489"/>
      <c r="E95" s="489"/>
      <c r="F95" s="488"/>
      <c r="G95" s="490"/>
      <c r="H95" s="606"/>
      <c r="I95" s="595"/>
      <c r="J95" s="576" t="s">
        <v>526</v>
      </c>
      <c r="K95" s="577"/>
      <c r="L95" s="16"/>
      <c r="M95" s="16"/>
      <c r="N95" s="16"/>
      <c r="O95" s="16"/>
      <c r="P95" s="117"/>
      <c r="Q95" s="15"/>
      <c r="R95" s="16"/>
      <c r="S95" s="130"/>
      <c r="T95" s="16"/>
      <c r="U95" s="16"/>
      <c r="V95" s="16"/>
      <c r="W95" s="241"/>
      <c r="X95" s="16"/>
      <c r="Y95" s="16"/>
      <c r="Z95" s="16"/>
      <c r="AA95" s="16"/>
      <c r="AB95" s="16"/>
    </row>
    <row r="96" spans="1:30" ht="15" customHeight="1">
      <c r="A96" s="491" t="s">
        <v>1779</v>
      </c>
      <c r="B96" s="491" t="s">
        <v>687</v>
      </c>
      <c r="C96" s="492">
        <v>407</v>
      </c>
      <c r="D96" s="493">
        <v>2</v>
      </c>
      <c r="E96" s="493">
        <v>1</v>
      </c>
      <c r="F96" s="492">
        <v>203.5</v>
      </c>
      <c r="G96" s="491" t="s">
        <v>1780</v>
      </c>
      <c r="H96" s="589"/>
      <c r="I96" s="597"/>
      <c r="J96" s="578"/>
      <c r="K96" s="579"/>
      <c r="L96" s="16"/>
      <c r="M96" s="16"/>
      <c r="N96" s="16"/>
      <c r="O96" s="16"/>
      <c r="P96" s="117"/>
      <c r="Q96" s="15"/>
      <c r="R96" s="16"/>
      <c r="S96" s="130"/>
      <c r="T96" s="16"/>
      <c r="U96" s="16"/>
      <c r="V96" s="16"/>
      <c r="W96" s="241"/>
      <c r="X96" s="16"/>
      <c r="Y96" s="16"/>
      <c r="Z96" s="16"/>
      <c r="AA96" s="16"/>
      <c r="AB96" s="16"/>
    </row>
    <row r="97" spans="1:28" ht="15" customHeight="1">
      <c r="A97" s="491" t="s">
        <v>1781</v>
      </c>
      <c r="B97" s="491" t="s">
        <v>687</v>
      </c>
      <c r="C97" s="492">
        <v>237.64</v>
      </c>
      <c r="D97" s="493">
        <v>5</v>
      </c>
      <c r="E97" s="493">
        <v>2</v>
      </c>
      <c r="F97" s="492">
        <v>95.06</v>
      </c>
      <c r="G97" s="491" t="s">
        <v>1782</v>
      </c>
      <c r="H97" s="589"/>
      <c r="I97" s="597"/>
      <c r="J97" s="578"/>
      <c r="K97" s="579"/>
      <c r="L97" s="16"/>
      <c r="M97" s="16"/>
      <c r="N97" s="16"/>
      <c r="O97" s="16"/>
      <c r="P97" s="117"/>
      <c r="Q97" s="15"/>
      <c r="R97" s="16"/>
      <c r="S97" s="130"/>
      <c r="T97" s="16"/>
      <c r="U97" s="16"/>
      <c r="V97" s="16"/>
      <c r="W97" s="241"/>
      <c r="X97" s="16"/>
      <c r="Y97" s="16"/>
      <c r="Z97" s="16"/>
      <c r="AA97" s="16"/>
      <c r="AB97" s="16"/>
    </row>
    <row r="98" spans="1:28" ht="15" customHeight="1">
      <c r="A98" s="491" t="s">
        <v>1783</v>
      </c>
      <c r="B98" s="491" t="s">
        <v>687</v>
      </c>
      <c r="C98" s="492">
        <v>150</v>
      </c>
      <c r="D98" s="493">
        <v>5</v>
      </c>
      <c r="E98" s="493">
        <v>1</v>
      </c>
      <c r="F98" s="492">
        <v>30</v>
      </c>
      <c r="G98" s="491" t="s">
        <v>1782</v>
      </c>
      <c r="H98" s="589"/>
      <c r="I98" s="597"/>
      <c r="J98" s="578"/>
      <c r="K98" s="579"/>
      <c r="L98" s="16"/>
      <c r="M98" s="16"/>
      <c r="N98" s="16"/>
      <c r="O98" s="16"/>
      <c r="P98" s="117"/>
      <c r="Q98" s="15"/>
      <c r="R98" s="16"/>
      <c r="S98" s="130"/>
      <c r="T98" s="16"/>
      <c r="U98" s="16"/>
      <c r="V98" s="16"/>
      <c r="W98" s="241"/>
      <c r="X98" s="16"/>
      <c r="Y98" s="16"/>
      <c r="Z98" s="16"/>
      <c r="AA98" s="16"/>
      <c r="AB98" s="16"/>
    </row>
    <row r="99" spans="1:28" ht="15" customHeight="1">
      <c r="A99" s="491" t="s">
        <v>1784</v>
      </c>
      <c r="B99" s="491" t="s">
        <v>687</v>
      </c>
      <c r="C99" s="492">
        <v>150</v>
      </c>
      <c r="D99" s="493">
        <v>5</v>
      </c>
      <c r="E99" s="493">
        <v>2</v>
      </c>
      <c r="F99" s="492">
        <v>60</v>
      </c>
      <c r="G99" s="491" t="s">
        <v>1782</v>
      </c>
      <c r="H99" s="589"/>
      <c r="I99" s="597"/>
      <c r="J99" s="578"/>
      <c r="K99" s="579"/>
      <c r="L99" s="16"/>
      <c r="M99" s="16"/>
      <c r="N99" s="16"/>
      <c r="O99" s="16"/>
      <c r="P99" s="117"/>
      <c r="Q99" s="15"/>
      <c r="R99" s="16"/>
      <c r="S99" s="130"/>
      <c r="T99" s="16"/>
      <c r="U99" s="16"/>
      <c r="V99" s="16"/>
      <c r="W99" s="241"/>
      <c r="X99" s="16"/>
      <c r="Y99" s="16"/>
      <c r="Z99" s="16"/>
      <c r="AA99" s="16"/>
      <c r="AB99" s="16"/>
    </row>
    <row r="100" spans="1:28" ht="15" customHeight="1">
      <c r="A100" s="491" t="s">
        <v>1785</v>
      </c>
      <c r="B100" s="491" t="s">
        <v>699</v>
      </c>
      <c r="C100" s="492">
        <v>50</v>
      </c>
      <c r="D100" s="493">
        <v>1</v>
      </c>
      <c r="E100" s="493">
        <v>1</v>
      </c>
      <c r="F100" s="492">
        <v>50</v>
      </c>
      <c r="G100" s="491" t="s">
        <v>1782</v>
      </c>
      <c r="H100" s="589"/>
      <c r="I100" s="597"/>
      <c r="J100" s="578"/>
      <c r="K100" s="579"/>
      <c r="L100" s="16"/>
      <c r="M100" s="16"/>
      <c r="N100" s="16"/>
      <c r="O100" s="16"/>
      <c r="P100" s="117"/>
      <c r="Q100" s="15"/>
      <c r="R100" s="16"/>
      <c r="S100" s="130"/>
      <c r="T100" s="16"/>
      <c r="U100" s="16"/>
      <c r="V100" s="16"/>
      <c r="W100" s="241"/>
      <c r="X100" s="16"/>
      <c r="Y100" s="16"/>
      <c r="Z100" s="16"/>
      <c r="AA100" s="16"/>
      <c r="AB100" s="16"/>
    </row>
    <row r="101" spans="1:28" ht="15" customHeight="1">
      <c r="A101" s="491" t="s">
        <v>1786</v>
      </c>
      <c r="B101" s="491" t="s">
        <v>699</v>
      </c>
      <c r="C101" s="492">
        <v>30</v>
      </c>
      <c r="D101" s="493">
        <v>1</v>
      </c>
      <c r="E101" s="493">
        <v>1</v>
      </c>
      <c r="F101" s="492">
        <v>30</v>
      </c>
      <c r="G101" s="491" t="s">
        <v>1782</v>
      </c>
      <c r="H101" s="589"/>
      <c r="I101" s="597"/>
      <c r="J101" s="578"/>
      <c r="K101" s="579"/>
      <c r="L101" s="16"/>
      <c r="M101" s="16"/>
      <c r="N101" s="16"/>
      <c r="O101" s="16"/>
      <c r="P101" s="117"/>
      <c r="Q101" s="15"/>
      <c r="R101" s="16"/>
      <c r="S101" s="130"/>
      <c r="T101" s="16"/>
      <c r="U101" s="16"/>
      <c r="V101" s="16"/>
      <c r="W101" s="241"/>
      <c r="X101" s="16"/>
      <c r="Y101" s="16"/>
      <c r="Z101" s="16"/>
      <c r="AA101" s="16"/>
      <c r="AB101" s="16"/>
    </row>
    <row r="102" spans="1:28" ht="15" customHeight="1">
      <c r="A102" s="491" t="s">
        <v>1787</v>
      </c>
      <c r="B102" s="491" t="s">
        <v>687</v>
      </c>
      <c r="C102" s="492">
        <v>129.94999999999999</v>
      </c>
      <c r="D102" s="493">
        <v>5</v>
      </c>
      <c r="E102" s="493">
        <v>1</v>
      </c>
      <c r="F102" s="492">
        <v>25.99</v>
      </c>
      <c r="G102" s="491" t="s">
        <v>1782</v>
      </c>
      <c r="H102" s="589"/>
      <c r="I102" s="597"/>
      <c r="J102" s="578"/>
      <c r="K102" s="579"/>
      <c r="L102" s="16"/>
      <c r="M102" s="16"/>
      <c r="N102" s="16"/>
      <c r="O102" s="16"/>
      <c r="P102" s="117"/>
      <c r="Q102" s="15"/>
      <c r="R102" s="16"/>
      <c r="S102" s="130"/>
      <c r="T102" s="16"/>
      <c r="U102" s="16"/>
      <c r="V102" s="16"/>
      <c r="W102" s="241"/>
      <c r="X102" s="16"/>
      <c r="Y102" s="16"/>
      <c r="Z102" s="16"/>
      <c r="AA102" s="16"/>
      <c r="AB102" s="16"/>
    </row>
    <row r="103" spans="1:28" ht="15" customHeight="1">
      <c r="A103" s="491" t="s">
        <v>1788</v>
      </c>
      <c r="B103" s="491" t="s">
        <v>687</v>
      </c>
      <c r="C103" s="492">
        <v>49.04</v>
      </c>
      <c r="D103" s="493">
        <v>10</v>
      </c>
      <c r="E103" s="493">
        <v>40</v>
      </c>
      <c r="F103" s="492">
        <v>196.16</v>
      </c>
      <c r="G103" s="491" t="s">
        <v>1789</v>
      </c>
      <c r="H103" s="589"/>
      <c r="I103" s="597"/>
      <c r="J103" s="578"/>
      <c r="K103" s="579"/>
      <c r="L103" s="16"/>
      <c r="M103" s="16"/>
      <c r="N103" s="16"/>
      <c r="O103" s="16"/>
      <c r="P103" s="117"/>
      <c r="Q103" s="15"/>
      <c r="R103" s="16"/>
      <c r="S103" s="130"/>
      <c r="T103" s="16"/>
      <c r="U103" s="16"/>
      <c r="V103" s="16"/>
      <c r="W103" s="241"/>
      <c r="X103" s="16"/>
      <c r="Y103" s="16"/>
      <c r="Z103" s="16"/>
      <c r="AA103" s="16"/>
      <c r="AB103" s="16"/>
    </row>
    <row r="104" spans="1:28" ht="15" customHeight="1">
      <c r="A104" s="491" t="s">
        <v>1790</v>
      </c>
      <c r="B104" s="491" t="s">
        <v>687</v>
      </c>
      <c r="C104" s="492">
        <v>30</v>
      </c>
      <c r="D104" s="493">
        <v>10</v>
      </c>
      <c r="E104" s="493">
        <v>40</v>
      </c>
      <c r="F104" s="492">
        <v>120</v>
      </c>
      <c r="G104" s="491" t="s">
        <v>1789</v>
      </c>
      <c r="H104" s="589"/>
      <c r="I104" s="597"/>
      <c r="J104" s="578"/>
      <c r="K104" s="579"/>
      <c r="L104" s="16"/>
      <c r="M104" s="16"/>
      <c r="N104" s="16"/>
      <c r="O104" s="16"/>
      <c r="P104" s="117"/>
      <c r="Q104" s="15"/>
      <c r="R104" s="16"/>
      <c r="S104" s="130"/>
      <c r="T104" s="16"/>
      <c r="U104" s="16"/>
      <c r="V104" s="16"/>
      <c r="W104" s="241"/>
      <c r="X104" s="16"/>
      <c r="Y104" s="16"/>
      <c r="Z104" s="16"/>
      <c r="AA104" s="16"/>
      <c r="AB104" s="16"/>
    </row>
    <row r="105" spans="1:28" ht="15" customHeight="1">
      <c r="A105" s="491" t="s">
        <v>1791</v>
      </c>
      <c r="B105" s="491" t="s">
        <v>687</v>
      </c>
      <c r="C105" s="492">
        <v>40</v>
      </c>
      <c r="D105" s="493">
        <v>10</v>
      </c>
      <c r="E105" s="493">
        <v>9</v>
      </c>
      <c r="F105" s="492">
        <v>36</v>
      </c>
      <c r="G105" s="491" t="s">
        <v>1789</v>
      </c>
      <c r="H105" s="589"/>
      <c r="I105" s="597"/>
      <c r="J105" s="578"/>
      <c r="K105" s="579"/>
      <c r="L105" s="16"/>
      <c r="M105" s="16"/>
      <c r="N105" s="16"/>
      <c r="O105" s="16"/>
      <c r="P105" s="117"/>
      <c r="Q105" s="15"/>
      <c r="R105" s="16"/>
      <c r="S105" s="130"/>
      <c r="T105" s="16"/>
      <c r="U105" s="16"/>
      <c r="V105" s="16"/>
      <c r="W105" s="241"/>
      <c r="X105" s="16"/>
      <c r="Y105" s="16"/>
      <c r="Z105" s="16"/>
      <c r="AA105" s="16"/>
      <c r="AB105" s="16"/>
    </row>
    <row r="106" spans="1:28" ht="15" customHeight="1">
      <c r="A106" s="491" t="s">
        <v>1792</v>
      </c>
      <c r="B106" s="491" t="s">
        <v>687</v>
      </c>
      <c r="C106" s="492">
        <v>124.95</v>
      </c>
      <c r="D106" s="493">
        <v>10</v>
      </c>
      <c r="E106" s="493">
        <v>2</v>
      </c>
      <c r="F106" s="492">
        <v>24.99</v>
      </c>
      <c r="G106" s="491" t="s">
        <v>1789</v>
      </c>
      <c r="H106" s="589"/>
      <c r="I106" s="597"/>
      <c r="J106" s="578"/>
      <c r="K106" s="579"/>
      <c r="L106" s="16"/>
      <c r="M106" s="16"/>
      <c r="N106" s="16"/>
      <c r="O106" s="16"/>
      <c r="P106" s="117"/>
      <c r="Q106" s="15"/>
      <c r="R106" s="16"/>
      <c r="S106" s="130"/>
      <c r="T106" s="16"/>
      <c r="U106" s="16"/>
      <c r="V106" s="16"/>
      <c r="W106" s="241"/>
      <c r="X106" s="16"/>
      <c r="Y106" s="16"/>
      <c r="Z106" s="16"/>
      <c r="AA106" s="16"/>
      <c r="AB106" s="16"/>
    </row>
    <row r="107" spans="1:28" ht="15" customHeight="1">
      <c r="A107" s="491" t="s">
        <v>1793</v>
      </c>
      <c r="B107" s="491" t="s">
        <v>687</v>
      </c>
      <c r="C107" s="492">
        <v>6.04</v>
      </c>
      <c r="D107" s="493">
        <v>5</v>
      </c>
      <c r="E107" s="493">
        <v>40</v>
      </c>
      <c r="F107" s="492">
        <v>48.32</v>
      </c>
      <c r="G107" s="491" t="s">
        <v>1789</v>
      </c>
      <c r="H107" s="589"/>
      <c r="I107" s="597"/>
      <c r="J107" s="578"/>
      <c r="K107" s="579"/>
      <c r="L107" s="16"/>
      <c r="M107" s="16"/>
      <c r="N107" s="16"/>
      <c r="O107" s="16"/>
      <c r="P107" s="117"/>
      <c r="Q107" s="15"/>
      <c r="R107" s="16"/>
      <c r="S107" s="130"/>
      <c r="T107" s="16"/>
      <c r="U107" s="16"/>
      <c r="V107" s="16"/>
      <c r="W107" s="241"/>
      <c r="X107" s="16"/>
      <c r="Y107" s="16"/>
      <c r="Z107" s="16"/>
      <c r="AA107" s="16"/>
      <c r="AB107" s="16"/>
    </row>
    <row r="108" spans="1:28" ht="15" customHeight="1">
      <c r="A108" s="491" t="s">
        <v>1794</v>
      </c>
      <c r="B108" s="491" t="s">
        <v>687</v>
      </c>
      <c r="C108" s="492">
        <v>16.989999999999998</v>
      </c>
      <c r="D108" s="493">
        <v>5</v>
      </c>
      <c r="E108" s="493">
        <v>100</v>
      </c>
      <c r="F108" s="492">
        <v>339.8</v>
      </c>
      <c r="G108" s="491" t="s">
        <v>1789</v>
      </c>
      <c r="H108" s="589"/>
      <c r="I108" s="597"/>
      <c r="J108" s="578"/>
      <c r="K108" s="579"/>
      <c r="L108" s="16"/>
      <c r="M108" s="16"/>
      <c r="N108" s="16"/>
      <c r="O108" s="16"/>
      <c r="P108" s="117"/>
      <c r="Q108" s="15"/>
      <c r="R108" s="16"/>
      <c r="S108" s="130"/>
      <c r="T108" s="16"/>
      <c r="U108" s="16"/>
      <c r="V108" s="16"/>
      <c r="W108" s="241"/>
      <c r="X108" s="16"/>
      <c r="Y108" s="16"/>
      <c r="Z108" s="16"/>
      <c r="AA108" s="16"/>
      <c r="AB108" s="16"/>
    </row>
    <row r="109" spans="1:28" ht="15" customHeight="1">
      <c r="A109" s="491" t="s">
        <v>1795</v>
      </c>
      <c r="B109" s="491" t="s">
        <v>687</v>
      </c>
      <c r="C109" s="492">
        <v>7.54</v>
      </c>
      <c r="D109" s="493">
        <v>10</v>
      </c>
      <c r="E109" s="493">
        <v>60</v>
      </c>
      <c r="F109" s="492">
        <v>45.24</v>
      </c>
      <c r="G109" s="491" t="s">
        <v>1789</v>
      </c>
      <c r="H109" s="589"/>
      <c r="I109" s="597"/>
      <c r="J109" s="578"/>
      <c r="K109" s="579"/>
      <c r="L109" s="16"/>
      <c r="M109" s="16"/>
      <c r="N109" s="16"/>
      <c r="O109" s="16"/>
      <c r="P109" s="117"/>
      <c r="Q109" s="15"/>
      <c r="R109" s="16"/>
      <c r="S109" s="130"/>
      <c r="T109" s="16"/>
      <c r="U109" s="16"/>
      <c r="V109" s="16"/>
      <c r="W109" s="241"/>
      <c r="X109" s="16"/>
      <c r="Y109" s="16"/>
      <c r="Z109" s="16"/>
      <c r="AA109" s="16"/>
      <c r="AB109" s="16"/>
    </row>
    <row r="110" spans="1:28" ht="15" customHeight="1">
      <c r="A110" s="491" t="s">
        <v>1796</v>
      </c>
      <c r="B110" s="491" t="s">
        <v>687</v>
      </c>
      <c r="C110" s="492">
        <v>9.81</v>
      </c>
      <c r="D110" s="493">
        <v>10</v>
      </c>
      <c r="E110" s="493">
        <v>90</v>
      </c>
      <c r="F110" s="492">
        <v>88.29</v>
      </c>
      <c r="G110" s="491" t="s">
        <v>1789</v>
      </c>
      <c r="H110" s="589"/>
      <c r="I110" s="597"/>
      <c r="J110" s="578"/>
      <c r="K110" s="579"/>
      <c r="L110" s="16"/>
      <c r="M110" s="16"/>
      <c r="N110" s="16"/>
      <c r="O110" s="16"/>
      <c r="P110" s="117"/>
      <c r="Q110" s="15"/>
      <c r="R110" s="16"/>
      <c r="S110" s="130"/>
      <c r="T110" s="16"/>
      <c r="U110" s="16"/>
      <c r="V110" s="16"/>
      <c r="W110" s="241"/>
      <c r="X110" s="16"/>
      <c r="Y110" s="16"/>
      <c r="Z110" s="16"/>
      <c r="AA110" s="16"/>
      <c r="AB110" s="16"/>
    </row>
    <row r="111" spans="1:28" ht="15" customHeight="1">
      <c r="A111" s="491" t="s">
        <v>1797</v>
      </c>
      <c r="B111" s="491" t="s">
        <v>687</v>
      </c>
      <c r="C111" s="492">
        <v>15.13</v>
      </c>
      <c r="D111" s="493">
        <v>10</v>
      </c>
      <c r="E111" s="493">
        <v>20</v>
      </c>
      <c r="F111" s="492">
        <v>30.26</v>
      </c>
      <c r="G111" s="491" t="s">
        <v>1789</v>
      </c>
      <c r="H111" s="589"/>
      <c r="I111" s="597"/>
      <c r="J111" s="578"/>
      <c r="K111" s="579"/>
      <c r="L111" s="16"/>
      <c r="M111" s="16"/>
      <c r="N111" s="16"/>
      <c r="O111" s="16"/>
      <c r="P111" s="117"/>
      <c r="Q111" s="15"/>
      <c r="R111" s="16"/>
      <c r="S111" s="130"/>
      <c r="T111" s="16"/>
      <c r="U111" s="16"/>
      <c r="V111" s="16"/>
      <c r="W111" s="241"/>
      <c r="X111" s="16"/>
      <c r="Y111" s="16"/>
      <c r="Z111" s="16"/>
      <c r="AA111" s="16"/>
      <c r="AB111" s="16"/>
    </row>
    <row r="112" spans="1:28" ht="15" customHeight="1">
      <c r="A112" s="244"/>
      <c r="B112" s="244"/>
      <c r="C112" s="494"/>
      <c r="D112" s="250"/>
      <c r="E112" s="250"/>
      <c r="F112" s="494"/>
      <c r="G112" s="199"/>
      <c r="H112" s="589"/>
      <c r="I112" s="597"/>
      <c r="J112" s="578"/>
      <c r="K112" s="579"/>
      <c r="L112" s="16"/>
      <c r="M112" s="16"/>
      <c r="N112" s="16"/>
      <c r="O112" s="16"/>
      <c r="P112" s="117"/>
      <c r="Q112" s="15"/>
      <c r="R112" s="16"/>
      <c r="S112" s="130"/>
      <c r="T112" s="16"/>
      <c r="U112" s="16"/>
      <c r="V112" s="16"/>
      <c r="W112" s="241"/>
      <c r="X112" s="16"/>
      <c r="Y112" s="16"/>
      <c r="Z112" s="16"/>
      <c r="AA112" s="16"/>
      <c r="AB112" s="16"/>
    </row>
    <row r="113" spans="1:28" ht="15" customHeight="1">
      <c r="A113" s="411" t="s">
        <v>1798</v>
      </c>
      <c r="B113" s="244"/>
      <c r="C113" s="494"/>
      <c r="D113" s="250"/>
      <c r="E113" s="250"/>
      <c r="F113" s="494"/>
      <c r="G113" s="196"/>
      <c r="H113" s="589"/>
      <c r="I113" s="597"/>
      <c r="J113" s="578"/>
      <c r="K113" s="579"/>
      <c r="L113" s="16"/>
      <c r="M113" s="16"/>
      <c r="N113" s="16"/>
      <c r="O113" s="16"/>
      <c r="P113" s="117"/>
      <c r="Q113" s="15"/>
      <c r="R113" s="16"/>
      <c r="S113" s="130"/>
      <c r="T113" s="16"/>
      <c r="U113" s="16"/>
      <c r="V113" s="16"/>
      <c r="W113" s="241"/>
      <c r="X113" s="16"/>
      <c r="Y113" s="16"/>
      <c r="Z113" s="16"/>
      <c r="AA113" s="16"/>
      <c r="AB113" s="16"/>
    </row>
    <row r="114" spans="1:28" ht="15" customHeight="1">
      <c r="A114" s="491" t="s">
        <v>1799</v>
      </c>
      <c r="B114" s="491" t="s">
        <v>687</v>
      </c>
      <c r="C114" s="492">
        <v>4.25</v>
      </c>
      <c r="D114" s="493">
        <v>5</v>
      </c>
      <c r="E114" s="493">
        <v>15</v>
      </c>
      <c r="F114" s="492">
        <v>12.75</v>
      </c>
      <c r="G114" s="491" t="s">
        <v>1789</v>
      </c>
      <c r="H114" s="589"/>
      <c r="I114" s="597"/>
      <c r="J114" s="578"/>
      <c r="K114" s="579"/>
      <c r="L114" s="16"/>
      <c r="M114" s="16"/>
      <c r="N114" s="16"/>
      <c r="O114" s="16"/>
      <c r="P114" s="117"/>
      <c r="Q114" s="15"/>
      <c r="R114" s="16"/>
      <c r="S114" s="130"/>
      <c r="T114" s="16"/>
      <c r="U114" s="16"/>
      <c r="V114" s="16"/>
      <c r="W114" s="241"/>
      <c r="X114" s="16"/>
      <c r="Y114" s="16"/>
      <c r="Z114" s="16"/>
      <c r="AA114" s="16"/>
      <c r="AB114" s="16"/>
    </row>
    <row r="115" spans="1:28" ht="15" customHeight="1">
      <c r="A115" s="491" t="s">
        <v>1800</v>
      </c>
      <c r="B115" s="491" t="s">
        <v>687</v>
      </c>
      <c r="C115" s="492">
        <v>19.64</v>
      </c>
      <c r="D115" s="493">
        <v>5</v>
      </c>
      <c r="E115" s="493">
        <v>5</v>
      </c>
      <c r="F115" s="492">
        <v>19.64</v>
      </c>
      <c r="G115" s="491" t="s">
        <v>1789</v>
      </c>
      <c r="H115" s="589"/>
      <c r="I115" s="597"/>
      <c r="J115" s="578"/>
      <c r="K115" s="579"/>
      <c r="L115" s="16"/>
      <c r="M115" s="16"/>
      <c r="N115" s="16"/>
      <c r="O115" s="16"/>
      <c r="P115" s="117"/>
      <c r="Q115" s="15"/>
      <c r="R115" s="16"/>
      <c r="S115" s="130"/>
      <c r="T115" s="16"/>
      <c r="U115" s="16"/>
      <c r="V115" s="16"/>
      <c r="W115" s="241"/>
      <c r="X115" s="16"/>
      <c r="Y115" s="16"/>
      <c r="Z115" s="16"/>
      <c r="AA115" s="16"/>
      <c r="AB115" s="16"/>
    </row>
    <row r="116" spans="1:28" ht="15" customHeight="1">
      <c r="A116" s="491" t="s">
        <v>1801</v>
      </c>
      <c r="B116" s="491" t="s">
        <v>687</v>
      </c>
      <c r="C116" s="492">
        <v>18.14</v>
      </c>
      <c r="D116" s="493">
        <v>5</v>
      </c>
      <c r="E116" s="493">
        <v>30</v>
      </c>
      <c r="F116" s="492">
        <v>108.84</v>
      </c>
      <c r="G116" s="491" t="s">
        <v>1789</v>
      </c>
      <c r="H116" s="589"/>
      <c r="I116" s="597"/>
      <c r="J116" s="578"/>
      <c r="K116" s="579"/>
      <c r="L116" s="16"/>
      <c r="M116" s="16"/>
      <c r="N116" s="16"/>
      <c r="O116" s="16"/>
      <c r="P116" s="117"/>
      <c r="Q116" s="15"/>
      <c r="R116" s="16"/>
      <c r="S116" s="130"/>
      <c r="T116" s="16"/>
      <c r="U116" s="16"/>
      <c r="V116" s="16"/>
      <c r="W116" s="241"/>
      <c r="X116" s="16"/>
      <c r="Y116" s="16"/>
      <c r="Z116" s="16"/>
      <c r="AA116" s="16"/>
      <c r="AB116" s="16"/>
    </row>
    <row r="117" spans="1:28" ht="15" customHeight="1">
      <c r="A117" s="491" t="s">
        <v>1802</v>
      </c>
      <c r="B117" s="491" t="s">
        <v>687</v>
      </c>
      <c r="C117" s="492">
        <v>29.99</v>
      </c>
      <c r="D117" s="493">
        <v>10</v>
      </c>
      <c r="E117" s="493">
        <v>30</v>
      </c>
      <c r="F117" s="492">
        <v>89.97</v>
      </c>
      <c r="G117" s="196"/>
      <c r="H117" s="589"/>
      <c r="I117" s="597"/>
      <c r="J117" s="578"/>
      <c r="K117" s="579"/>
      <c r="L117" s="16"/>
      <c r="M117" s="16"/>
      <c r="N117" s="16"/>
      <c r="O117" s="16"/>
      <c r="P117" s="117"/>
      <c r="Q117" s="15"/>
      <c r="R117" s="16"/>
      <c r="S117" s="130"/>
      <c r="T117" s="16"/>
      <c r="U117" s="16"/>
      <c r="V117" s="16"/>
      <c r="W117" s="241"/>
      <c r="X117" s="16"/>
      <c r="Y117" s="16"/>
      <c r="Z117" s="16"/>
      <c r="AA117" s="16"/>
      <c r="AB117" s="16"/>
    </row>
    <row r="118" spans="1:28" ht="15" customHeight="1">
      <c r="A118" s="491" t="s">
        <v>1803</v>
      </c>
      <c r="B118" s="491" t="s">
        <v>687</v>
      </c>
      <c r="C118" s="492">
        <v>150.56</v>
      </c>
      <c r="D118" s="493">
        <v>4</v>
      </c>
      <c r="E118" s="493">
        <v>20</v>
      </c>
      <c r="F118" s="492">
        <v>752.8</v>
      </c>
      <c r="G118" s="199"/>
      <c r="H118" s="589"/>
      <c r="I118" s="597"/>
      <c r="J118" s="578"/>
      <c r="K118" s="579"/>
      <c r="L118" s="16"/>
      <c r="M118" s="16"/>
      <c r="N118" s="16"/>
      <c r="O118" s="16"/>
      <c r="P118" s="117"/>
      <c r="Q118" s="15"/>
      <c r="R118" s="16"/>
      <c r="S118" s="130"/>
      <c r="T118" s="16"/>
      <c r="U118" s="16"/>
      <c r="V118" s="16"/>
      <c r="W118" s="241"/>
      <c r="X118" s="16"/>
      <c r="Y118" s="16"/>
      <c r="Z118" s="16"/>
      <c r="AA118" s="16"/>
      <c r="AB118" s="16"/>
    </row>
    <row r="119" spans="1:28" ht="15" customHeight="1">
      <c r="A119" s="491" t="s">
        <v>1804</v>
      </c>
      <c r="B119" s="491" t="s">
        <v>687</v>
      </c>
      <c r="C119" s="492">
        <v>181.23</v>
      </c>
      <c r="D119" s="493">
        <v>5</v>
      </c>
      <c r="E119" s="493">
        <v>6</v>
      </c>
      <c r="F119" s="492">
        <v>217.48</v>
      </c>
      <c r="G119" s="196"/>
      <c r="H119" s="589"/>
      <c r="I119" s="597"/>
      <c r="J119" s="578"/>
      <c r="K119" s="579"/>
      <c r="L119" s="16"/>
      <c r="M119" s="16"/>
      <c r="N119" s="16"/>
      <c r="O119" s="16"/>
      <c r="P119" s="117"/>
      <c r="Q119" s="15"/>
      <c r="R119" s="16"/>
      <c r="S119" s="130"/>
      <c r="T119" s="16"/>
      <c r="U119" s="16"/>
      <c r="V119" s="16"/>
      <c r="W119" s="241"/>
      <c r="X119" s="16"/>
      <c r="Y119" s="16"/>
      <c r="Z119" s="16"/>
      <c r="AA119" s="16"/>
      <c r="AB119" s="16"/>
    </row>
    <row r="120" spans="1:28" ht="15" customHeight="1">
      <c r="A120" s="491" t="s">
        <v>1805</v>
      </c>
      <c r="B120" s="491" t="s">
        <v>687</v>
      </c>
      <c r="C120" s="492">
        <v>34.31</v>
      </c>
      <c r="D120" s="493">
        <v>5</v>
      </c>
      <c r="E120" s="493">
        <v>30</v>
      </c>
      <c r="F120" s="492">
        <v>205.86</v>
      </c>
      <c r="G120" s="199"/>
      <c r="H120" s="589"/>
      <c r="I120" s="597"/>
      <c r="J120" s="578"/>
      <c r="K120" s="579"/>
      <c r="L120" s="16"/>
      <c r="M120" s="16"/>
      <c r="N120" s="16"/>
      <c r="O120" s="16"/>
      <c r="P120" s="117"/>
      <c r="Q120" s="15"/>
      <c r="R120" s="16"/>
      <c r="S120" s="130"/>
      <c r="T120" s="16"/>
      <c r="U120" s="16"/>
      <c r="V120" s="16"/>
      <c r="W120" s="241"/>
      <c r="X120" s="16"/>
      <c r="Y120" s="16"/>
      <c r="Z120" s="16"/>
      <c r="AA120" s="16"/>
      <c r="AB120" s="16"/>
    </row>
    <row r="121" spans="1:28" ht="15" customHeight="1">
      <c r="A121" s="491" t="s">
        <v>1806</v>
      </c>
      <c r="B121" s="491" t="s">
        <v>687</v>
      </c>
      <c r="C121" s="492">
        <v>89.95</v>
      </c>
      <c r="D121" s="495">
        <v>10</v>
      </c>
      <c r="E121" s="493">
        <v>7</v>
      </c>
      <c r="F121" s="492">
        <v>62.97</v>
      </c>
      <c r="G121" s="196"/>
      <c r="H121" s="589"/>
      <c r="I121" s="597"/>
      <c r="J121" s="578"/>
      <c r="K121" s="579"/>
      <c r="L121" s="16"/>
      <c r="M121" s="16"/>
      <c r="N121" s="16"/>
      <c r="O121" s="16"/>
      <c r="P121" s="117"/>
      <c r="Q121" s="15"/>
      <c r="R121" s="16"/>
      <c r="S121" s="130"/>
      <c r="T121" s="16"/>
      <c r="U121" s="16"/>
      <c r="V121" s="16"/>
      <c r="W121" s="241"/>
      <c r="X121" s="16"/>
      <c r="Y121" s="16"/>
      <c r="Z121" s="16"/>
      <c r="AA121" s="16"/>
      <c r="AB121" s="16"/>
    </row>
    <row r="122" spans="1:28" ht="15" customHeight="1">
      <c r="A122" s="491" t="s">
        <v>1807</v>
      </c>
      <c r="B122" s="491" t="s">
        <v>687</v>
      </c>
      <c r="C122" s="492">
        <v>85.5</v>
      </c>
      <c r="D122" s="495">
        <v>10</v>
      </c>
      <c r="E122" s="493">
        <v>8</v>
      </c>
      <c r="F122" s="492">
        <v>68.400000000000006</v>
      </c>
      <c r="G122" s="199"/>
      <c r="H122" s="589"/>
      <c r="I122" s="597"/>
      <c r="J122" s="578"/>
      <c r="K122" s="579"/>
      <c r="L122" s="16"/>
      <c r="M122" s="16"/>
      <c r="N122" s="16"/>
      <c r="O122" s="16"/>
      <c r="P122" s="117"/>
      <c r="Q122" s="15"/>
      <c r="R122" s="16"/>
      <c r="S122" s="130"/>
      <c r="T122" s="16"/>
      <c r="U122" s="16"/>
      <c r="V122" s="16"/>
      <c r="W122" s="241"/>
      <c r="X122" s="16"/>
      <c r="Y122" s="16"/>
      <c r="Z122" s="16"/>
      <c r="AA122" s="16"/>
      <c r="AB122" s="16"/>
    </row>
    <row r="123" spans="1:28" ht="15" customHeight="1">
      <c r="A123" s="491" t="s">
        <v>1808</v>
      </c>
      <c r="B123" s="491" t="s">
        <v>687</v>
      </c>
      <c r="C123" s="492">
        <v>76.5</v>
      </c>
      <c r="D123" s="495">
        <v>10</v>
      </c>
      <c r="E123" s="493">
        <v>8</v>
      </c>
      <c r="F123" s="492">
        <v>61.2</v>
      </c>
      <c r="G123" s="196"/>
      <c r="H123" s="589"/>
      <c r="I123" s="597"/>
      <c r="J123" s="578"/>
      <c r="K123" s="579"/>
      <c r="L123" s="16"/>
      <c r="M123" s="16"/>
      <c r="N123" s="16"/>
      <c r="O123" s="16"/>
      <c r="P123" s="117"/>
      <c r="Q123" s="15"/>
      <c r="R123" s="16"/>
      <c r="S123" s="130"/>
      <c r="T123" s="16"/>
      <c r="U123" s="16"/>
      <c r="V123" s="16"/>
      <c r="W123" s="241"/>
      <c r="X123" s="16"/>
      <c r="Y123" s="16"/>
      <c r="Z123" s="16"/>
      <c r="AA123" s="16"/>
      <c r="AB123" s="16"/>
    </row>
    <row r="124" spans="1:28" ht="15" customHeight="1">
      <c r="A124" s="491" t="s">
        <v>1809</v>
      </c>
      <c r="B124" s="491" t="s">
        <v>687</v>
      </c>
      <c r="C124" s="492">
        <v>71.95</v>
      </c>
      <c r="D124" s="495">
        <v>10</v>
      </c>
      <c r="E124" s="493">
        <v>7</v>
      </c>
      <c r="F124" s="492">
        <v>50.37</v>
      </c>
      <c r="G124" s="199"/>
      <c r="H124" s="589"/>
      <c r="I124" s="597"/>
      <c r="J124" s="578"/>
      <c r="K124" s="579"/>
      <c r="L124" s="16"/>
      <c r="M124" s="16"/>
      <c r="N124" s="16"/>
      <c r="O124" s="16"/>
      <c r="P124" s="117"/>
      <c r="Q124" s="15"/>
      <c r="R124" s="16"/>
      <c r="S124" s="130"/>
      <c r="T124" s="16"/>
      <c r="U124" s="16"/>
      <c r="V124" s="16"/>
      <c r="W124" s="241"/>
      <c r="X124" s="16"/>
      <c r="Y124" s="16"/>
      <c r="Z124" s="16"/>
      <c r="AA124" s="16"/>
      <c r="AB124" s="16"/>
    </row>
    <row r="125" spans="1:28" ht="15" customHeight="1">
      <c r="A125" s="491" t="s">
        <v>1810</v>
      </c>
      <c r="B125" s="491" t="s">
        <v>687</v>
      </c>
      <c r="C125" s="492">
        <v>71.95</v>
      </c>
      <c r="D125" s="495">
        <v>10</v>
      </c>
      <c r="E125" s="493">
        <v>6</v>
      </c>
      <c r="F125" s="492">
        <v>43.17</v>
      </c>
      <c r="G125" s="196"/>
      <c r="H125" s="589"/>
      <c r="I125" s="597"/>
      <c r="J125" s="578"/>
      <c r="K125" s="579"/>
      <c r="L125" s="16"/>
      <c r="M125" s="16"/>
      <c r="N125" s="16"/>
      <c r="O125" s="16"/>
      <c r="P125" s="117"/>
      <c r="Q125" s="15"/>
      <c r="R125" s="16"/>
      <c r="S125" s="130"/>
      <c r="T125" s="16"/>
      <c r="U125" s="16"/>
      <c r="V125" s="16"/>
      <c r="W125" s="241"/>
      <c r="X125" s="16"/>
      <c r="Y125" s="16"/>
      <c r="Z125" s="16"/>
      <c r="AA125" s="16"/>
      <c r="AB125" s="16"/>
    </row>
    <row r="126" spans="1:28" ht="15" customHeight="1">
      <c r="A126" s="491" t="s">
        <v>1811</v>
      </c>
      <c r="B126" s="491" t="s">
        <v>687</v>
      </c>
      <c r="C126" s="492">
        <v>89.95</v>
      </c>
      <c r="D126" s="495">
        <v>10</v>
      </c>
      <c r="E126" s="493">
        <v>4</v>
      </c>
      <c r="F126" s="492">
        <v>35.979999999999997</v>
      </c>
      <c r="G126" s="199"/>
      <c r="H126" s="589"/>
      <c r="I126" s="597"/>
      <c r="J126" s="578"/>
      <c r="K126" s="579"/>
      <c r="L126" s="16"/>
      <c r="M126" s="16"/>
      <c r="N126" s="16"/>
      <c r="O126" s="16"/>
      <c r="P126" s="117"/>
      <c r="Q126" s="15"/>
      <c r="R126" s="16"/>
      <c r="S126" s="130"/>
      <c r="T126" s="16"/>
      <c r="U126" s="16"/>
      <c r="V126" s="16"/>
      <c r="W126" s="241"/>
      <c r="X126" s="16"/>
      <c r="Y126" s="16"/>
      <c r="Z126" s="16"/>
      <c r="AA126" s="16"/>
      <c r="AB126" s="16"/>
    </row>
    <row r="127" spans="1:28" ht="15" customHeight="1">
      <c r="A127" s="491" t="s">
        <v>1812</v>
      </c>
      <c r="B127" s="491" t="s">
        <v>687</v>
      </c>
      <c r="C127" s="492">
        <v>85.5</v>
      </c>
      <c r="D127" s="495">
        <v>10</v>
      </c>
      <c r="E127" s="493">
        <v>4</v>
      </c>
      <c r="F127" s="492">
        <v>34.200000000000003</v>
      </c>
      <c r="G127" s="196"/>
      <c r="H127" s="589"/>
      <c r="I127" s="597"/>
      <c r="J127" s="578"/>
      <c r="K127" s="579"/>
      <c r="L127" s="16"/>
      <c r="M127" s="16"/>
      <c r="N127" s="16"/>
      <c r="O127" s="16"/>
      <c r="P127" s="117"/>
      <c r="Q127" s="15"/>
      <c r="R127" s="16"/>
      <c r="S127" s="130"/>
      <c r="T127" s="16"/>
      <c r="U127" s="16"/>
      <c r="V127" s="16"/>
      <c r="W127" s="241"/>
      <c r="X127" s="16"/>
      <c r="Y127" s="16"/>
      <c r="Z127" s="16"/>
      <c r="AA127" s="16"/>
      <c r="AB127" s="16"/>
    </row>
    <row r="128" spans="1:28" ht="15" customHeight="1">
      <c r="A128" s="491" t="s">
        <v>1813</v>
      </c>
      <c r="B128" s="491" t="s">
        <v>687</v>
      </c>
      <c r="C128" s="492">
        <v>139.94999999999999</v>
      </c>
      <c r="D128" s="493">
        <v>10</v>
      </c>
      <c r="E128" s="493">
        <v>8</v>
      </c>
      <c r="F128" s="492">
        <v>111.96</v>
      </c>
      <c r="G128" s="199"/>
      <c r="H128" s="589"/>
      <c r="I128" s="597"/>
      <c r="J128" s="578"/>
      <c r="K128" s="579"/>
      <c r="L128" s="16"/>
      <c r="M128" s="16"/>
      <c r="N128" s="16"/>
      <c r="O128" s="16"/>
      <c r="P128" s="117"/>
      <c r="Q128" s="15"/>
      <c r="R128" s="16"/>
      <c r="S128" s="130"/>
      <c r="T128" s="16"/>
      <c r="U128" s="16"/>
      <c r="V128" s="16"/>
      <c r="W128" s="241"/>
      <c r="X128" s="16"/>
      <c r="Y128" s="16"/>
      <c r="Z128" s="16"/>
      <c r="AA128" s="16"/>
      <c r="AB128" s="16"/>
    </row>
    <row r="129" spans="1:30" ht="15" customHeight="1">
      <c r="A129" s="491" t="s">
        <v>1814</v>
      </c>
      <c r="B129" s="491" t="s">
        <v>687</v>
      </c>
      <c r="C129" s="492">
        <v>15.95</v>
      </c>
      <c r="D129" s="493">
        <v>10</v>
      </c>
      <c r="E129" s="493">
        <v>5</v>
      </c>
      <c r="F129" s="492">
        <v>7.98</v>
      </c>
      <c r="G129" s="196"/>
      <c r="H129" s="589"/>
      <c r="I129" s="597"/>
      <c r="J129" s="578"/>
      <c r="K129" s="579"/>
      <c r="L129" s="16"/>
      <c r="M129" s="16"/>
      <c r="N129" s="16"/>
      <c r="O129" s="16"/>
      <c r="P129" s="117"/>
      <c r="Q129" s="15"/>
      <c r="R129" s="16"/>
      <c r="S129" s="130"/>
      <c r="T129" s="16"/>
      <c r="U129" s="16"/>
      <c r="V129" s="16"/>
      <c r="W129" s="241"/>
      <c r="X129" s="16"/>
      <c r="Y129" s="16"/>
      <c r="Z129" s="16"/>
      <c r="AA129" s="16"/>
      <c r="AB129" s="16"/>
    </row>
    <row r="130" spans="1:30" ht="15" customHeight="1">
      <c r="A130" s="491" t="s">
        <v>1815</v>
      </c>
      <c r="B130" s="491" t="s">
        <v>687</v>
      </c>
      <c r="C130" s="492">
        <v>94.95</v>
      </c>
      <c r="D130" s="493">
        <v>10</v>
      </c>
      <c r="E130" s="493">
        <v>1</v>
      </c>
      <c r="F130" s="492">
        <v>9.5</v>
      </c>
      <c r="G130" s="199"/>
      <c r="H130" s="589"/>
      <c r="I130" s="597"/>
      <c r="J130" s="578"/>
      <c r="K130" s="579"/>
      <c r="L130" s="16"/>
      <c r="M130" s="16"/>
      <c r="N130" s="16"/>
      <c r="O130" s="16"/>
      <c r="P130" s="117"/>
      <c r="Q130" s="15"/>
      <c r="R130" s="16"/>
      <c r="S130" s="130"/>
      <c r="T130" s="16"/>
      <c r="U130" s="16"/>
      <c r="V130" s="16"/>
      <c r="W130" s="241"/>
      <c r="X130" s="16"/>
      <c r="Y130" s="16"/>
      <c r="Z130" s="16"/>
      <c r="AA130" s="16"/>
      <c r="AB130" s="16"/>
    </row>
    <row r="131" spans="1:30" ht="15" customHeight="1">
      <c r="A131" s="491" t="s">
        <v>1816</v>
      </c>
      <c r="B131" s="491" t="s">
        <v>687</v>
      </c>
      <c r="C131" s="492">
        <v>119.95</v>
      </c>
      <c r="D131" s="493">
        <v>10</v>
      </c>
      <c r="E131" s="493">
        <v>1</v>
      </c>
      <c r="F131" s="492">
        <v>12</v>
      </c>
      <c r="G131" s="196"/>
      <c r="H131" s="589"/>
      <c r="I131" s="597"/>
      <c r="J131" s="578"/>
      <c r="K131" s="579"/>
      <c r="L131" s="16"/>
      <c r="M131" s="16"/>
      <c r="N131" s="16"/>
      <c r="O131" s="16"/>
      <c r="P131" s="117"/>
      <c r="Q131" s="15"/>
      <c r="R131" s="16"/>
      <c r="S131" s="130"/>
      <c r="T131" s="16"/>
      <c r="U131" s="16"/>
      <c r="V131" s="16"/>
      <c r="W131" s="241"/>
      <c r="X131" s="16"/>
      <c r="Y131" s="16"/>
      <c r="Z131" s="16"/>
      <c r="AA131" s="16"/>
      <c r="AB131" s="16"/>
    </row>
    <row r="132" spans="1:30" ht="15" customHeight="1">
      <c r="A132" s="491" t="s">
        <v>1817</v>
      </c>
      <c r="B132" s="491" t="s">
        <v>687</v>
      </c>
      <c r="C132" s="492">
        <v>69.95</v>
      </c>
      <c r="D132" s="493">
        <v>10</v>
      </c>
      <c r="E132" s="493">
        <v>2</v>
      </c>
      <c r="F132" s="492">
        <v>13.99</v>
      </c>
      <c r="G132" s="196"/>
      <c r="H132" s="589"/>
      <c r="I132" s="597"/>
      <c r="J132" s="578"/>
      <c r="K132" s="579"/>
      <c r="L132" s="16"/>
      <c r="M132" s="16"/>
      <c r="N132" s="16"/>
      <c r="O132" s="16"/>
      <c r="P132" s="117"/>
      <c r="Q132" s="15"/>
      <c r="R132" s="16"/>
      <c r="S132" s="130"/>
      <c r="T132" s="16"/>
      <c r="U132" s="16"/>
      <c r="V132" s="16"/>
      <c r="W132" s="241"/>
      <c r="X132" s="16"/>
      <c r="Y132" s="16"/>
      <c r="Z132" s="16"/>
      <c r="AA132" s="16"/>
      <c r="AB132" s="16"/>
    </row>
    <row r="133" spans="1:30" ht="15" customHeight="1">
      <c r="A133" s="491" t="s">
        <v>1818</v>
      </c>
      <c r="B133" s="491" t="s">
        <v>687</v>
      </c>
      <c r="C133" s="492">
        <v>30</v>
      </c>
      <c r="D133" s="493">
        <v>4</v>
      </c>
      <c r="E133" s="493">
        <v>30</v>
      </c>
      <c r="F133" s="492">
        <v>225</v>
      </c>
      <c r="G133" s="199"/>
      <c r="H133" s="589"/>
      <c r="I133" s="597"/>
      <c r="J133" s="578"/>
      <c r="K133" s="579"/>
      <c r="L133" s="16"/>
      <c r="M133" s="16"/>
      <c r="N133" s="16"/>
      <c r="O133" s="16"/>
      <c r="P133" s="117"/>
      <c r="Q133" s="15"/>
      <c r="R133" s="16"/>
      <c r="S133" s="130"/>
      <c r="T133" s="16"/>
      <c r="U133" s="16"/>
      <c r="V133" s="16"/>
      <c r="W133" s="241"/>
      <c r="X133" s="16"/>
      <c r="Y133" s="16"/>
      <c r="Z133" s="16"/>
      <c r="AA133" s="16"/>
      <c r="AB133" s="16"/>
    </row>
    <row r="134" spans="1:30" ht="15" customHeight="1">
      <c r="A134" s="491" t="s">
        <v>1819</v>
      </c>
      <c r="B134" s="491" t="s">
        <v>687</v>
      </c>
      <c r="C134" s="492">
        <v>150</v>
      </c>
      <c r="D134" s="493">
        <v>5</v>
      </c>
      <c r="E134" s="493">
        <v>20</v>
      </c>
      <c r="F134" s="492">
        <v>600</v>
      </c>
      <c r="G134" s="199"/>
      <c r="H134" s="589"/>
      <c r="I134" s="597"/>
      <c r="J134" s="578"/>
      <c r="K134" s="579"/>
      <c r="L134" s="16"/>
      <c r="M134" s="16"/>
      <c r="N134" s="16"/>
      <c r="O134" s="16"/>
      <c r="P134" s="117"/>
      <c r="Q134" s="15"/>
      <c r="R134" s="16"/>
      <c r="S134" s="130"/>
      <c r="T134" s="16"/>
      <c r="U134" s="16"/>
      <c r="V134" s="16"/>
      <c r="W134" s="241"/>
      <c r="X134" s="16"/>
      <c r="Y134" s="16"/>
      <c r="Z134" s="16"/>
      <c r="AA134" s="16"/>
      <c r="AB134" s="16"/>
    </row>
    <row r="135" spans="1:30" ht="15" customHeight="1">
      <c r="A135" s="244"/>
      <c r="B135" s="244"/>
      <c r="C135" s="494"/>
      <c r="D135" s="250"/>
      <c r="E135" s="250"/>
      <c r="F135" s="494"/>
      <c r="G135" s="199"/>
      <c r="H135" s="589"/>
      <c r="I135" s="597"/>
      <c r="J135" s="578"/>
      <c r="K135" s="579"/>
      <c r="L135" s="16"/>
      <c r="M135" s="16"/>
      <c r="N135" s="16"/>
      <c r="O135" s="16"/>
      <c r="P135" s="117"/>
      <c r="Q135" s="15"/>
      <c r="R135" s="16"/>
      <c r="S135" s="130"/>
      <c r="T135" s="16"/>
      <c r="U135" s="16"/>
      <c r="V135" s="16"/>
      <c r="W135" s="241"/>
      <c r="X135" s="16"/>
      <c r="Y135" s="16"/>
      <c r="Z135" s="16"/>
      <c r="AA135" s="16"/>
      <c r="AB135" s="16"/>
    </row>
    <row r="136" spans="1:30" ht="15" customHeight="1">
      <c r="A136" s="411" t="s">
        <v>1651</v>
      </c>
      <c r="B136" s="244"/>
      <c r="C136" s="494"/>
      <c r="D136" s="250"/>
      <c r="E136" s="250"/>
      <c r="F136" s="494"/>
      <c r="G136" s="199"/>
      <c r="H136" s="589"/>
      <c r="I136" s="597"/>
      <c r="J136" s="578"/>
      <c r="K136" s="579"/>
      <c r="L136" s="16"/>
      <c r="M136" s="16"/>
      <c r="N136" s="16"/>
      <c r="O136" s="16"/>
      <c r="P136" s="117"/>
      <c r="Q136" s="15"/>
      <c r="R136" s="16"/>
      <c r="S136" s="130"/>
      <c r="T136" s="16"/>
      <c r="U136" s="16"/>
      <c r="V136" s="16"/>
      <c r="W136" s="241"/>
      <c r="X136" s="16"/>
      <c r="Y136" s="16"/>
      <c r="Z136" s="16"/>
      <c r="AA136" s="16"/>
      <c r="AB136" s="16"/>
    </row>
    <row r="137" spans="1:30" ht="14.25" customHeight="1">
      <c r="A137" s="491" t="s">
        <v>1820</v>
      </c>
      <c r="B137" s="491" t="s">
        <v>687</v>
      </c>
      <c r="C137" s="492">
        <v>129.68</v>
      </c>
      <c r="D137" s="493">
        <v>5</v>
      </c>
      <c r="E137" s="493">
        <v>5</v>
      </c>
      <c r="F137" s="492">
        <v>129.68</v>
      </c>
      <c r="G137" s="491" t="s">
        <v>1821</v>
      </c>
      <c r="H137" s="589"/>
      <c r="I137" s="597"/>
      <c r="J137" s="578"/>
      <c r="K137" s="579"/>
      <c r="L137" s="16"/>
      <c r="M137" s="16"/>
      <c r="N137" s="16"/>
      <c r="O137" s="16"/>
      <c r="P137" s="16"/>
      <c r="Q137" s="133"/>
      <c r="R137" s="16"/>
      <c r="S137" s="16"/>
      <c r="T137" s="16"/>
      <c r="U137" s="16"/>
      <c r="V137" s="16"/>
      <c r="W137" s="16"/>
      <c r="X137" s="16"/>
      <c r="Y137" s="16"/>
      <c r="Z137" s="16"/>
      <c r="AA137" s="16"/>
      <c r="AB137" s="16"/>
    </row>
    <row r="138" spans="1:30" ht="15.75" customHeight="1">
      <c r="A138" s="491" t="s">
        <v>1822</v>
      </c>
      <c r="B138" s="491" t="s">
        <v>687</v>
      </c>
      <c r="C138" s="492">
        <v>117</v>
      </c>
      <c r="D138" s="493">
        <v>15</v>
      </c>
      <c r="E138" s="493">
        <v>20</v>
      </c>
      <c r="F138" s="492">
        <v>156</v>
      </c>
      <c r="G138" s="491" t="s">
        <v>1821</v>
      </c>
      <c r="H138" s="589"/>
      <c r="I138" s="597"/>
      <c r="J138" s="578"/>
      <c r="K138" s="579"/>
      <c r="L138" s="16"/>
      <c r="M138" s="16"/>
      <c r="N138" s="16"/>
      <c r="O138" s="16"/>
      <c r="P138" s="16"/>
      <c r="Q138" s="16"/>
      <c r="R138" s="16"/>
      <c r="S138" s="16"/>
      <c r="T138" s="16"/>
      <c r="U138" s="16"/>
      <c r="V138" s="16"/>
      <c r="W138" s="16"/>
      <c r="X138" s="16"/>
      <c r="Y138" s="16"/>
      <c r="Z138" s="16"/>
      <c r="AA138" s="16"/>
      <c r="AB138" s="16"/>
    </row>
    <row r="139" spans="1:30" ht="15.75" customHeight="1">
      <c r="A139" s="491" t="s">
        <v>1823</v>
      </c>
      <c r="B139" s="491" t="s">
        <v>687</v>
      </c>
      <c r="C139" s="492">
        <v>61.75</v>
      </c>
      <c r="D139" s="493">
        <v>15</v>
      </c>
      <c r="E139" s="493">
        <v>24</v>
      </c>
      <c r="F139" s="492">
        <v>98.8</v>
      </c>
      <c r="G139" s="491" t="s">
        <v>1821</v>
      </c>
      <c r="H139" s="589"/>
      <c r="I139" s="597"/>
      <c r="J139" s="578"/>
      <c r="K139" s="579"/>
      <c r="L139" s="16"/>
      <c r="M139" s="16"/>
      <c r="N139" s="16"/>
      <c r="O139" s="16"/>
      <c r="P139" s="16"/>
      <c r="Q139" s="16"/>
      <c r="R139" s="16"/>
      <c r="S139" s="16"/>
      <c r="T139" s="16"/>
      <c r="U139" s="16"/>
      <c r="V139" s="16"/>
      <c r="W139" s="16"/>
      <c r="X139" s="16"/>
      <c r="Y139" s="16"/>
      <c r="Z139" s="16"/>
      <c r="AA139" s="16"/>
      <c r="AB139" s="16"/>
    </row>
    <row r="140" spans="1:30" ht="15.75" customHeight="1">
      <c r="A140" s="491" t="s">
        <v>1824</v>
      </c>
      <c r="B140" s="491" t="s">
        <v>687</v>
      </c>
      <c r="C140" s="492">
        <v>162.5</v>
      </c>
      <c r="D140" s="493">
        <v>15</v>
      </c>
      <c r="E140" s="493">
        <v>6</v>
      </c>
      <c r="F140" s="492">
        <v>65</v>
      </c>
      <c r="G140" s="491" t="s">
        <v>1821</v>
      </c>
      <c r="H140" s="589"/>
      <c r="I140" s="597"/>
      <c r="J140" s="578"/>
      <c r="K140" s="579"/>
      <c r="L140" s="16"/>
      <c r="M140" s="16"/>
      <c r="N140" s="16"/>
      <c r="O140" s="16"/>
      <c r="P140" s="16"/>
      <c r="Q140" s="16"/>
      <c r="R140" s="16"/>
      <c r="S140" s="16"/>
      <c r="T140" s="16"/>
      <c r="U140" s="16"/>
      <c r="V140" s="16"/>
      <c r="W140" s="16"/>
      <c r="X140" s="16"/>
      <c r="Y140" s="16"/>
      <c r="Z140" s="16"/>
      <c r="AA140" s="16"/>
      <c r="AB140" s="16"/>
    </row>
    <row r="141" spans="1:30" ht="15.75" customHeight="1">
      <c r="A141" s="491" t="s">
        <v>1825</v>
      </c>
      <c r="B141" s="491" t="s">
        <v>687</v>
      </c>
      <c r="C141" s="492">
        <v>79.95</v>
      </c>
      <c r="D141" s="493">
        <v>10</v>
      </c>
      <c r="E141" s="493">
        <v>13</v>
      </c>
      <c r="F141" s="492">
        <v>103.94</v>
      </c>
      <c r="G141" s="491" t="s">
        <v>1821</v>
      </c>
      <c r="H141" s="589"/>
      <c r="I141" s="597"/>
      <c r="J141" s="578"/>
      <c r="K141" s="579"/>
      <c r="L141" s="16"/>
      <c r="M141" s="16"/>
      <c r="N141" s="16"/>
      <c r="O141" s="16"/>
      <c r="P141" s="16"/>
      <c r="Q141" s="16"/>
      <c r="R141" s="16"/>
      <c r="S141" s="16"/>
      <c r="T141" s="16"/>
      <c r="U141" s="16"/>
      <c r="V141" s="16"/>
      <c r="W141" s="16"/>
      <c r="X141" s="16"/>
      <c r="Y141" s="16"/>
      <c r="Z141" s="16"/>
      <c r="AA141" s="16"/>
      <c r="AB141" s="16"/>
    </row>
    <row r="142" spans="1:30" ht="15.75" customHeight="1" thickBot="1">
      <c r="A142" s="491" t="s">
        <v>1826</v>
      </c>
      <c r="B142" s="491" t="s">
        <v>687</v>
      </c>
      <c r="C142" s="492">
        <v>46.8</v>
      </c>
      <c r="D142" s="493">
        <v>10</v>
      </c>
      <c r="E142" s="493">
        <v>33</v>
      </c>
      <c r="F142" s="492">
        <v>154.44</v>
      </c>
      <c r="G142" s="491" t="s">
        <v>1821</v>
      </c>
      <c r="H142" s="607"/>
      <c r="I142" s="599"/>
      <c r="J142" s="580"/>
      <c r="K142" s="581"/>
      <c r="L142" s="16"/>
      <c r="M142" s="16"/>
      <c r="N142" s="16"/>
      <c r="O142" s="16"/>
      <c r="P142" s="16"/>
      <c r="Q142" s="16"/>
      <c r="R142" s="16"/>
      <c r="S142" s="16"/>
      <c r="T142" s="16"/>
      <c r="U142" s="16"/>
      <c r="V142" s="16"/>
      <c r="W142" s="16"/>
      <c r="X142" s="16"/>
      <c r="Y142" s="16"/>
      <c r="Z142" s="16"/>
      <c r="AA142" s="16"/>
      <c r="AB142" s="16"/>
    </row>
    <row r="143" spans="1:30" ht="15.75" customHeight="1" thickTop="1">
      <c r="A143" s="15"/>
      <c r="B143" s="131"/>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c r="AA143" s="16"/>
      <c r="AB143" s="16"/>
      <c r="AC143" s="16"/>
      <c r="AD143" s="16"/>
    </row>
    <row r="144" spans="1:30" ht="15.75" customHeight="1">
      <c r="A144" s="15"/>
      <c r="B144" s="131"/>
      <c r="C144" s="16"/>
      <c r="D144" s="16"/>
      <c r="E144" s="16"/>
      <c r="F144" s="16"/>
      <c r="G144" s="16"/>
      <c r="I144" s="16"/>
      <c r="J144" s="16"/>
      <c r="K144" s="16"/>
      <c r="L144" s="16"/>
      <c r="M144" s="16"/>
      <c r="N144" s="16"/>
      <c r="O144" s="16"/>
      <c r="P144" s="16"/>
      <c r="Q144" s="16"/>
      <c r="R144" s="16"/>
      <c r="S144" s="16"/>
      <c r="T144" s="16"/>
      <c r="U144" s="16"/>
      <c r="V144" s="16"/>
      <c r="W144" s="16"/>
      <c r="X144" s="16"/>
      <c r="Y144" s="16"/>
      <c r="Z144" s="16"/>
      <c r="AA144" s="16"/>
      <c r="AB144" s="16"/>
      <c r="AC144" s="16"/>
      <c r="AD144" s="16"/>
    </row>
    <row r="145" spans="1:30" ht="15.75" customHeight="1">
      <c r="H145" s="51"/>
      <c r="I145" s="51"/>
      <c r="J145" s="51"/>
      <c r="K145" s="51"/>
      <c r="L145" s="16"/>
      <c r="M145" s="16"/>
      <c r="N145" s="16"/>
      <c r="O145" s="16"/>
      <c r="P145" s="16"/>
      <c r="Q145" s="16"/>
      <c r="R145" s="16"/>
      <c r="S145" s="16"/>
      <c r="T145" s="16"/>
      <c r="U145" s="16"/>
      <c r="V145" s="16"/>
      <c r="W145" s="16"/>
      <c r="X145" s="16"/>
      <c r="Y145" s="16"/>
      <c r="Z145" s="16"/>
      <c r="AA145" s="16"/>
      <c r="AB145" s="16"/>
      <c r="AC145" s="16"/>
      <c r="AD145" s="16"/>
    </row>
    <row r="146" spans="1:30" ht="15.75" customHeight="1">
      <c r="L146" s="16"/>
      <c r="M146" s="16"/>
      <c r="N146" s="16"/>
      <c r="O146" s="16"/>
      <c r="P146" s="16"/>
      <c r="Q146" s="16"/>
      <c r="R146" s="16"/>
      <c r="S146" s="16"/>
      <c r="T146" s="16"/>
      <c r="U146" s="16"/>
      <c r="V146" s="16"/>
      <c r="W146" s="16"/>
      <c r="X146" s="16"/>
      <c r="Y146" s="16"/>
      <c r="Z146" s="16"/>
      <c r="AA146" s="16"/>
      <c r="AB146" s="16"/>
      <c r="AC146" s="16"/>
      <c r="AD146" s="16"/>
    </row>
    <row r="147" spans="1:30" ht="15.75" customHeight="1">
      <c r="L147" s="16"/>
      <c r="M147" s="16"/>
      <c r="N147" s="16"/>
      <c r="O147" s="16"/>
      <c r="P147" s="16"/>
      <c r="Q147" s="16"/>
      <c r="R147" s="16"/>
      <c r="S147" s="16"/>
      <c r="T147" s="16"/>
      <c r="U147" s="16"/>
      <c r="V147" s="16"/>
      <c r="W147" s="16"/>
      <c r="X147" s="16"/>
      <c r="Y147" s="16"/>
      <c r="Z147" s="16"/>
      <c r="AA147" s="16"/>
      <c r="AB147" s="16"/>
      <c r="AC147" s="16"/>
      <c r="AD147" s="16"/>
    </row>
    <row r="148" spans="1:30" ht="15.75" customHeight="1">
      <c r="L148" s="16"/>
      <c r="M148" s="16"/>
      <c r="N148" s="16"/>
      <c r="O148" s="16"/>
      <c r="P148" s="16"/>
      <c r="Q148" s="16"/>
      <c r="R148" s="16"/>
      <c r="S148" s="16"/>
      <c r="T148" s="16"/>
      <c r="U148" s="16"/>
      <c r="V148" s="16"/>
      <c r="W148" s="16"/>
      <c r="X148" s="16"/>
      <c r="Y148" s="16"/>
      <c r="Z148" s="16"/>
      <c r="AA148" s="16"/>
      <c r="AB148" s="16"/>
      <c r="AC148" s="16"/>
      <c r="AD148" s="16"/>
    </row>
    <row r="149" spans="1:30" ht="15.75" customHeight="1">
      <c r="L149" s="16"/>
      <c r="M149" s="16"/>
      <c r="N149" s="16"/>
      <c r="O149" s="16"/>
      <c r="P149" s="16"/>
      <c r="Q149" s="16"/>
      <c r="R149" s="16"/>
      <c r="S149" s="16"/>
      <c r="T149" s="16"/>
      <c r="U149" s="16"/>
      <c r="V149" s="16"/>
      <c r="W149" s="16"/>
      <c r="X149" s="16"/>
      <c r="Y149" s="16"/>
      <c r="Z149" s="16"/>
      <c r="AA149" s="16"/>
      <c r="AB149" s="16"/>
      <c r="AC149" s="16"/>
      <c r="AD149" s="16"/>
    </row>
    <row r="150" spans="1:30" ht="15.75" customHeight="1">
      <c r="L150" s="16"/>
      <c r="M150" s="16"/>
      <c r="N150" s="16"/>
      <c r="O150" s="16"/>
      <c r="P150" s="16"/>
      <c r="Q150" s="16"/>
      <c r="R150" s="16"/>
      <c r="S150" s="16"/>
      <c r="T150" s="16"/>
      <c r="U150" s="16"/>
      <c r="V150" s="16"/>
      <c r="W150" s="16"/>
      <c r="X150" s="16"/>
      <c r="Y150" s="16"/>
      <c r="Z150" s="16"/>
      <c r="AA150" s="16"/>
      <c r="AB150" s="16"/>
      <c r="AC150" s="16"/>
      <c r="AD150" s="16"/>
    </row>
    <row r="151" spans="1:30" ht="15.75" customHeight="1">
      <c r="L151" s="16"/>
      <c r="M151" s="16"/>
      <c r="N151" s="16"/>
      <c r="O151" s="16"/>
      <c r="P151" s="16"/>
      <c r="Q151" s="16"/>
      <c r="R151" s="16"/>
      <c r="S151" s="16"/>
      <c r="T151" s="16"/>
      <c r="U151" s="16"/>
      <c r="V151" s="16"/>
      <c r="W151" s="16"/>
      <c r="X151" s="16"/>
      <c r="Y151" s="16"/>
      <c r="Z151" s="16"/>
      <c r="AA151" s="16"/>
      <c r="AB151" s="16"/>
      <c r="AC151" s="16"/>
      <c r="AD151" s="16"/>
    </row>
    <row r="152" spans="1:30" ht="15.75" customHeight="1">
      <c r="L152" s="16"/>
      <c r="M152" s="16"/>
      <c r="N152" s="16"/>
      <c r="O152" s="16"/>
      <c r="P152" s="735"/>
      <c r="Q152" s="696"/>
      <c r="R152" s="696"/>
      <c r="S152" s="16"/>
      <c r="T152" s="16"/>
      <c r="U152" s="16"/>
      <c r="V152" s="16"/>
      <c r="W152" s="16"/>
      <c r="X152" s="16"/>
      <c r="Y152" s="16"/>
      <c r="Z152" s="16"/>
      <c r="AA152" s="16"/>
      <c r="AB152" s="16"/>
      <c r="AC152" s="16"/>
      <c r="AD152" s="16"/>
    </row>
    <row r="153" spans="1:30" ht="15.75" customHeight="1">
      <c r="L153" s="16"/>
      <c r="M153" s="16"/>
      <c r="N153" s="16"/>
      <c r="O153" s="16"/>
      <c r="P153" s="735"/>
      <c r="Q153" s="696"/>
      <c r="R153" s="696"/>
      <c r="S153" s="16"/>
      <c r="T153" s="16"/>
      <c r="U153" s="16"/>
      <c r="V153" s="16"/>
      <c r="W153" s="16"/>
      <c r="X153" s="16"/>
      <c r="Y153" s="16"/>
      <c r="Z153" s="16"/>
      <c r="AA153" s="16"/>
      <c r="AB153" s="16"/>
      <c r="AC153" s="16"/>
      <c r="AD153" s="16"/>
    </row>
    <row r="154" spans="1:30" ht="15.75" customHeight="1">
      <c r="L154" s="16"/>
      <c r="M154" s="16"/>
      <c r="N154" s="16"/>
      <c r="O154" s="16"/>
      <c r="P154" s="735"/>
      <c r="Q154" s="696"/>
      <c r="R154" s="696"/>
      <c r="S154" s="16"/>
      <c r="T154" s="16"/>
      <c r="U154" s="16"/>
      <c r="V154" s="16"/>
      <c r="W154" s="16"/>
      <c r="X154" s="16"/>
      <c r="Y154" s="16"/>
      <c r="Z154" s="16"/>
      <c r="AA154" s="16"/>
      <c r="AB154" s="16"/>
      <c r="AC154" s="16"/>
      <c r="AD154" s="16"/>
    </row>
    <row r="155" spans="1:30" ht="15.75" customHeight="1">
      <c r="L155" s="16"/>
      <c r="M155" s="16"/>
      <c r="N155" s="16"/>
      <c r="O155" s="16"/>
      <c r="P155" s="735"/>
      <c r="Q155" s="696"/>
      <c r="R155" s="696"/>
      <c r="S155" s="16"/>
      <c r="T155" s="16"/>
      <c r="U155" s="16"/>
      <c r="V155" s="16"/>
      <c r="W155" s="16"/>
      <c r="X155" s="16"/>
      <c r="Y155" s="16"/>
      <c r="Z155" s="16"/>
      <c r="AA155" s="16"/>
      <c r="AB155" s="16"/>
      <c r="AC155" s="16"/>
      <c r="AD155" s="16"/>
    </row>
    <row r="156" spans="1:30" ht="15.75" customHeight="1">
      <c r="L156" s="16"/>
      <c r="M156" s="16"/>
      <c r="N156" s="16"/>
      <c r="O156" s="16"/>
      <c r="P156" s="735"/>
      <c r="Q156" s="696"/>
      <c r="R156" s="696"/>
      <c r="S156" s="16"/>
      <c r="T156" s="16"/>
      <c r="U156" s="16"/>
      <c r="V156" s="16"/>
      <c r="W156" s="16"/>
      <c r="X156" s="16"/>
      <c r="Y156" s="16"/>
      <c r="Z156" s="16"/>
      <c r="AA156" s="16"/>
      <c r="AB156" s="16"/>
      <c r="AC156" s="16"/>
      <c r="AD156" s="16"/>
    </row>
    <row r="157" spans="1:30" ht="15.75" customHeight="1">
      <c r="L157" s="16"/>
      <c r="M157" s="16"/>
      <c r="N157" s="16"/>
      <c r="O157" s="16"/>
      <c r="P157" s="735"/>
      <c r="Q157" s="696"/>
      <c r="R157" s="696"/>
      <c r="S157" s="16"/>
      <c r="T157" s="16"/>
      <c r="U157" s="16"/>
      <c r="V157" s="16"/>
      <c r="W157" s="16"/>
      <c r="X157" s="16"/>
      <c r="Y157" s="16"/>
      <c r="Z157" s="16"/>
      <c r="AA157" s="16"/>
      <c r="AB157" s="16"/>
      <c r="AC157" s="16"/>
      <c r="AD157" s="16"/>
    </row>
    <row r="158" spans="1:30" ht="15.75" customHeight="1">
      <c r="H158" s="248"/>
      <c r="I158" s="248"/>
      <c r="J158" s="228"/>
      <c r="K158" s="228"/>
      <c r="L158" s="16"/>
      <c r="M158" s="16"/>
      <c r="N158" s="16"/>
      <c r="O158" s="16"/>
      <c r="P158" s="735"/>
      <c r="Q158" s="696"/>
      <c r="R158" s="696"/>
      <c r="S158" s="16"/>
      <c r="T158" s="16"/>
      <c r="U158" s="16"/>
      <c r="V158" s="16"/>
      <c r="W158" s="16"/>
      <c r="X158" s="16"/>
      <c r="Y158" s="16"/>
      <c r="Z158" s="16"/>
      <c r="AA158" s="16"/>
      <c r="AB158" s="16"/>
      <c r="AC158" s="16"/>
      <c r="AD158" s="16"/>
    </row>
    <row r="159" spans="1:30" ht="15.75" customHeight="1">
      <c r="A159" s="231"/>
      <c r="B159" s="231"/>
      <c r="C159" s="246"/>
      <c r="D159" s="247"/>
      <c r="E159" s="245"/>
      <c r="F159" s="246"/>
      <c r="G159" s="247"/>
      <c r="H159" s="248"/>
      <c r="I159" s="248"/>
      <c r="J159" s="228"/>
      <c r="K159" s="228"/>
      <c r="L159" s="16"/>
      <c r="M159" s="16"/>
      <c r="N159" s="16"/>
      <c r="O159" s="16"/>
      <c r="P159" s="16"/>
      <c r="Q159" s="16"/>
      <c r="R159" s="16"/>
      <c r="S159" s="16"/>
      <c r="T159" s="16"/>
      <c r="U159" s="16"/>
      <c r="V159" s="16"/>
      <c r="W159" s="16"/>
      <c r="X159" s="16"/>
      <c r="Y159" s="16"/>
      <c r="Z159" s="16"/>
      <c r="AA159" s="16"/>
      <c r="AB159" s="16"/>
      <c r="AC159" s="16"/>
      <c r="AD159" s="16"/>
    </row>
    <row r="160" spans="1:30" ht="15.75" customHeight="1">
      <c r="A160" s="231"/>
      <c r="B160" s="16"/>
      <c r="C160" s="246"/>
      <c r="D160" s="247"/>
      <c r="E160" s="245"/>
      <c r="F160" s="246"/>
      <c r="G160" s="247"/>
      <c r="H160" s="228"/>
      <c r="I160" s="228"/>
      <c r="J160" s="228"/>
      <c r="K160" s="228"/>
      <c r="L160" s="16"/>
      <c r="M160" s="735"/>
      <c r="N160" s="696"/>
      <c r="O160" s="696"/>
      <c r="P160" s="735"/>
      <c r="Q160" s="696"/>
      <c r="R160" s="696"/>
      <c r="S160" s="696"/>
      <c r="T160" s="696"/>
      <c r="U160" s="16"/>
      <c r="V160" s="16"/>
      <c r="W160" s="16"/>
      <c r="X160" s="16"/>
      <c r="Y160" s="16"/>
      <c r="Z160" s="16"/>
      <c r="AA160" s="16"/>
      <c r="AB160" s="16"/>
      <c r="AC160" s="16"/>
      <c r="AD160" s="16"/>
    </row>
    <row r="161" spans="1:30" ht="15.75" customHeight="1">
      <c r="A161" s="16"/>
      <c r="B161" s="16"/>
      <c r="C161" s="16"/>
      <c r="D161" s="16"/>
      <c r="E161" s="16"/>
      <c r="F161" s="16"/>
      <c r="G161" s="16"/>
      <c r="H161" s="16"/>
      <c r="I161" s="16"/>
      <c r="J161" s="16"/>
      <c r="K161" s="16"/>
      <c r="L161" s="16"/>
      <c r="M161" s="735"/>
      <c r="N161" s="696"/>
      <c r="O161" s="696"/>
      <c r="P161" s="735"/>
      <c r="Q161" s="696"/>
      <c r="R161" s="696"/>
      <c r="S161" s="696"/>
      <c r="T161" s="696"/>
      <c r="U161" s="16"/>
      <c r="V161" s="16"/>
      <c r="W161" s="16"/>
      <c r="X161" s="16"/>
      <c r="Y161" s="16"/>
      <c r="Z161" s="16"/>
      <c r="AA161" s="16"/>
      <c r="AB161" s="16"/>
      <c r="AC161" s="16"/>
      <c r="AD161" s="16"/>
    </row>
    <row r="162" spans="1:30" ht="15.75" customHeight="1">
      <c r="A162" s="16"/>
      <c r="B162" s="16"/>
      <c r="C162" s="16"/>
      <c r="D162" s="16"/>
      <c r="E162" s="16"/>
      <c r="F162" s="16"/>
      <c r="G162" s="16"/>
      <c r="H162" s="16"/>
      <c r="I162" s="16"/>
      <c r="J162" s="16"/>
      <c r="K162" s="16"/>
      <c r="L162" s="16"/>
      <c r="M162" s="735"/>
      <c r="N162" s="696"/>
      <c r="O162" s="696"/>
      <c r="P162" s="696"/>
      <c r="Q162" s="696"/>
      <c r="R162" s="696"/>
      <c r="S162" s="696"/>
      <c r="T162" s="696"/>
      <c r="U162" s="16"/>
      <c r="V162" s="16"/>
      <c r="W162" s="16"/>
      <c r="X162" s="16"/>
      <c r="Y162" s="16"/>
      <c r="Z162" s="16"/>
      <c r="AA162" s="16"/>
      <c r="AB162" s="16"/>
      <c r="AC162" s="16"/>
      <c r="AD162" s="16"/>
    </row>
    <row r="163" spans="1:30" ht="15.75" customHeight="1">
      <c r="A163" s="16"/>
      <c r="B163" s="16"/>
      <c r="C163" s="16"/>
      <c r="D163" s="16"/>
      <c r="E163" s="16"/>
      <c r="F163" s="16"/>
      <c r="G163" s="16"/>
      <c r="H163" s="16"/>
      <c r="I163" s="16"/>
      <c r="J163" s="16"/>
      <c r="K163" s="16"/>
      <c r="L163" s="16"/>
      <c r="M163" s="735"/>
      <c r="N163" s="696"/>
      <c r="O163" s="696"/>
      <c r="P163" s="696"/>
      <c r="Q163" s="696"/>
      <c r="R163" s="696"/>
      <c r="S163" s="696"/>
      <c r="T163" s="696"/>
      <c r="U163" s="16"/>
      <c r="V163" s="16"/>
      <c r="W163" s="16"/>
      <c r="X163" s="16"/>
      <c r="Y163" s="16"/>
      <c r="Z163" s="16"/>
      <c r="AA163" s="16"/>
      <c r="AB163" s="16"/>
      <c r="AC163" s="16"/>
      <c r="AD163" s="16"/>
    </row>
    <row r="164" spans="1:30" ht="15.75" customHeight="1">
      <c r="A164" s="16"/>
      <c r="B164" s="16"/>
      <c r="C164" s="16"/>
      <c r="D164" s="16"/>
      <c r="E164" s="16"/>
      <c r="F164" s="16"/>
      <c r="G164" s="16"/>
      <c r="H164" s="16"/>
      <c r="I164" s="16"/>
      <c r="J164" s="16"/>
      <c r="K164" s="16"/>
      <c r="L164" s="16"/>
      <c r="M164" s="735"/>
      <c r="N164" s="696"/>
      <c r="O164" s="696"/>
      <c r="P164" s="696"/>
      <c r="Q164" s="696"/>
      <c r="R164" s="696"/>
      <c r="S164" s="696"/>
      <c r="T164" s="696"/>
      <c r="U164" s="16"/>
      <c r="V164" s="16"/>
      <c r="W164" s="16"/>
      <c r="X164" s="16"/>
      <c r="Y164" s="16"/>
      <c r="Z164" s="16"/>
      <c r="AA164" s="16"/>
      <c r="AB164" s="16"/>
      <c r="AC164" s="16"/>
      <c r="AD164" s="16"/>
    </row>
    <row r="165" spans="1:30" ht="15.75" customHeight="1">
      <c r="A165" s="16"/>
      <c r="B165" s="16"/>
      <c r="C165" s="16"/>
      <c r="D165" s="16"/>
      <c r="E165" s="16"/>
      <c r="F165" s="16"/>
      <c r="G165" s="16"/>
      <c r="H165" s="16"/>
      <c r="I165" s="16"/>
      <c r="J165" s="16"/>
      <c r="K165" s="16"/>
      <c r="L165" s="16"/>
      <c r="M165" s="735"/>
      <c r="N165" s="696"/>
      <c r="O165" s="696"/>
      <c r="P165" s="696"/>
      <c r="Q165" s="696"/>
      <c r="R165" s="696"/>
      <c r="S165" s="696"/>
      <c r="T165" s="696"/>
      <c r="U165" s="16"/>
      <c r="V165" s="16"/>
      <c r="W165" s="16"/>
      <c r="X165" s="16"/>
      <c r="Y165" s="16"/>
      <c r="Z165" s="16"/>
      <c r="AA165" s="16"/>
      <c r="AB165" s="16"/>
      <c r="AC165" s="16"/>
      <c r="AD165" s="16"/>
    </row>
    <row r="166" spans="1:30" ht="15.75" customHeight="1">
      <c r="A166" s="16"/>
      <c r="B166" s="16"/>
      <c r="C166" s="16"/>
      <c r="D166" s="16"/>
      <c r="E166" s="16"/>
      <c r="F166" s="16"/>
      <c r="G166" s="16"/>
      <c r="H166" s="16"/>
      <c r="I166" s="16"/>
      <c r="J166" s="16"/>
      <c r="K166" s="16"/>
      <c r="L166" s="16"/>
      <c r="M166" s="735"/>
      <c r="N166" s="696"/>
      <c r="O166" s="696"/>
      <c r="P166" s="696"/>
      <c r="Q166" s="696"/>
      <c r="R166" s="696"/>
      <c r="S166" s="696"/>
      <c r="T166" s="696"/>
      <c r="U166" s="16"/>
      <c r="V166" s="16"/>
      <c r="W166" s="16"/>
      <c r="X166" s="16"/>
      <c r="Y166" s="16"/>
      <c r="Z166" s="16"/>
      <c r="AA166" s="16"/>
      <c r="AB166" s="16"/>
      <c r="AC166" s="16"/>
      <c r="AD166" s="16"/>
    </row>
    <row r="167" spans="1:30" ht="15.75" customHeight="1">
      <c r="A167" s="16"/>
      <c r="B167" s="16"/>
      <c r="C167" s="16"/>
      <c r="D167" s="16"/>
      <c r="E167" s="16"/>
      <c r="F167" s="16"/>
      <c r="G167" s="16"/>
      <c r="H167" s="16"/>
      <c r="I167" s="16"/>
      <c r="J167" s="16"/>
      <c r="K167" s="16"/>
      <c r="L167" s="16"/>
      <c r="M167" s="735"/>
      <c r="N167" s="696"/>
      <c r="O167" s="696"/>
      <c r="P167" s="696"/>
      <c r="Q167" s="696"/>
      <c r="R167" s="696"/>
      <c r="S167" s="696"/>
      <c r="T167" s="696"/>
      <c r="U167" s="16"/>
      <c r="V167" s="16"/>
      <c r="W167" s="16"/>
      <c r="X167" s="16"/>
      <c r="Y167" s="16"/>
      <c r="Z167" s="16"/>
      <c r="AA167" s="16"/>
      <c r="AB167" s="16"/>
      <c r="AC167" s="16"/>
      <c r="AD167" s="16"/>
    </row>
    <row r="168" spans="1:30" ht="15.75" customHeight="1">
      <c r="A168" s="16"/>
      <c r="B168" s="16"/>
      <c r="C168" s="16"/>
      <c r="D168" s="16"/>
      <c r="E168" s="16"/>
      <c r="F168" s="16"/>
      <c r="G168" s="16"/>
      <c r="H168" s="16"/>
      <c r="I168" s="16"/>
      <c r="J168" s="16"/>
      <c r="K168" s="16"/>
      <c r="L168" s="16"/>
      <c r="M168" s="735"/>
      <c r="N168" s="696"/>
      <c r="O168" s="696"/>
      <c r="P168" s="696"/>
      <c r="Q168" s="696"/>
      <c r="R168" s="696"/>
      <c r="S168" s="696"/>
      <c r="T168" s="696"/>
      <c r="U168" s="16"/>
      <c r="V168" s="16"/>
      <c r="W168" s="16"/>
      <c r="X168" s="16"/>
      <c r="Y168" s="16"/>
      <c r="Z168" s="16"/>
      <c r="AA168" s="16"/>
      <c r="AB168" s="16"/>
      <c r="AC168" s="16"/>
      <c r="AD168" s="16"/>
    </row>
    <row r="169" spans="1:30" ht="15.75" customHeight="1">
      <c r="A169" s="16"/>
      <c r="B169" s="16"/>
      <c r="C169" s="16"/>
      <c r="D169" s="16"/>
      <c r="E169" s="16"/>
      <c r="F169" s="16"/>
      <c r="G169" s="16"/>
      <c r="H169" s="16"/>
      <c r="I169" s="16"/>
      <c r="J169" s="16"/>
      <c r="K169" s="16"/>
      <c r="L169" s="16"/>
      <c r="M169" s="735"/>
      <c r="N169" s="696"/>
      <c r="O169" s="696"/>
      <c r="P169" s="696"/>
      <c r="Q169" s="696"/>
      <c r="R169" s="696"/>
      <c r="S169" s="696"/>
      <c r="T169" s="696"/>
      <c r="U169" s="16"/>
      <c r="V169" s="16"/>
      <c r="W169" s="16"/>
      <c r="X169" s="16"/>
      <c r="Y169" s="16"/>
      <c r="Z169" s="16"/>
      <c r="AA169" s="16"/>
      <c r="AB169" s="16"/>
      <c r="AC169" s="16"/>
      <c r="AD169" s="16"/>
    </row>
    <row r="170" spans="1:30" ht="15.75" customHeight="1">
      <c r="A170" s="16"/>
      <c r="B170" s="16"/>
      <c r="C170" s="16"/>
      <c r="D170" s="16"/>
      <c r="E170" s="16"/>
      <c r="F170" s="16"/>
      <c r="G170" s="16"/>
      <c r="H170" s="16"/>
      <c r="I170" s="16"/>
      <c r="J170" s="16"/>
      <c r="K170" s="16"/>
      <c r="L170" s="16"/>
      <c r="M170" s="735"/>
      <c r="N170" s="696"/>
      <c r="O170" s="696"/>
      <c r="P170" s="696"/>
      <c r="Q170" s="696"/>
      <c r="R170" s="696"/>
      <c r="S170" s="696"/>
      <c r="T170" s="696"/>
      <c r="U170" s="16"/>
      <c r="V170" s="16"/>
      <c r="W170" s="16"/>
      <c r="X170" s="16"/>
      <c r="Y170" s="16"/>
      <c r="Z170" s="16"/>
      <c r="AA170" s="16"/>
      <c r="AB170" s="16"/>
      <c r="AC170" s="16"/>
      <c r="AD170" s="16"/>
    </row>
    <row r="171" spans="1:30" ht="15.75" customHeight="1">
      <c r="A171" s="16"/>
      <c r="B171" s="16"/>
      <c r="C171" s="16"/>
      <c r="D171" s="16"/>
      <c r="E171" s="16"/>
      <c r="F171" s="16"/>
      <c r="G171" s="16"/>
      <c r="H171" s="16"/>
      <c r="I171" s="16"/>
      <c r="J171" s="16"/>
      <c r="K171" s="16"/>
      <c r="L171" s="16"/>
      <c r="M171" s="735"/>
      <c r="N171" s="696"/>
      <c r="O171" s="696"/>
      <c r="P171" s="696"/>
      <c r="Q171" s="696"/>
      <c r="R171" s="696"/>
      <c r="S171" s="696"/>
      <c r="T171" s="696"/>
      <c r="U171" s="16"/>
      <c r="V171" s="16"/>
      <c r="W171" s="16"/>
      <c r="X171" s="16"/>
      <c r="Y171" s="16"/>
      <c r="Z171" s="16"/>
      <c r="AA171" s="16"/>
      <c r="AB171" s="16"/>
      <c r="AC171" s="16"/>
      <c r="AD171" s="16"/>
    </row>
    <row r="172" spans="1:30" ht="15.75" customHeight="1">
      <c r="A172" s="16"/>
      <c r="B172" s="16"/>
      <c r="C172" s="16"/>
      <c r="D172" s="16"/>
      <c r="E172" s="16"/>
      <c r="F172" s="16"/>
      <c r="G172" s="16"/>
      <c r="H172" s="16"/>
      <c r="I172" s="16"/>
      <c r="J172" s="16"/>
      <c r="K172" s="16"/>
      <c r="L172" s="16"/>
      <c r="M172" s="735"/>
      <c r="N172" s="696"/>
      <c r="O172" s="696"/>
      <c r="P172" s="696"/>
      <c r="Q172" s="696"/>
      <c r="R172" s="696"/>
      <c r="S172" s="696"/>
      <c r="T172" s="696"/>
      <c r="U172" s="16"/>
      <c r="V172" s="16"/>
      <c r="W172" s="16"/>
      <c r="X172" s="16"/>
      <c r="Y172" s="16"/>
      <c r="Z172" s="16"/>
      <c r="AA172" s="16"/>
      <c r="AB172" s="16"/>
      <c r="AC172" s="16"/>
      <c r="AD172" s="16"/>
    </row>
    <row r="173" spans="1:30" ht="15.75" customHeight="1">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c r="AC173" s="16"/>
      <c r="AD173" s="16"/>
    </row>
    <row r="174" spans="1:30" ht="15.75" customHeight="1">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c r="AC174" s="16"/>
      <c r="AD174" s="16"/>
    </row>
    <row r="175" spans="1:30" ht="15.75" customHeight="1">
      <c r="A175" s="16"/>
      <c r="B175" s="16"/>
      <c r="C175" s="16"/>
      <c r="D175" s="16"/>
      <c r="E175" s="16"/>
      <c r="F175" s="16"/>
      <c r="G175" s="16"/>
      <c r="H175" s="16"/>
      <c r="I175" s="16"/>
      <c r="J175" s="16"/>
      <c r="K175" s="16"/>
      <c r="L175" s="16"/>
      <c r="M175" s="735"/>
      <c r="N175" s="696"/>
      <c r="O175" s="696"/>
      <c r="P175" s="735"/>
      <c r="Q175" s="696"/>
      <c r="R175" s="696"/>
      <c r="S175" s="696"/>
      <c r="T175" s="696"/>
      <c r="U175" s="16"/>
      <c r="V175" s="16"/>
      <c r="W175" s="16"/>
      <c r="X175" s="16"/>
      <c r="Y175" s="16"/>
      <c r="Z175" s="16"/>
      <c r="AA175" s="16"/>
      <c r="AB175" s="16"/>
      <c r="AC175" s="16"/>
      <c r="AD175" s="16"/>
    </row>
    <row r="176" spans="1:30" ht="15.75" customHeight="1">
      <c r="A176" s="16"/>
      <c r="B176" s="16"/>
      <c r="C176" s="16"/>
      <c r="D176" s="16"/>
      <c r="E176" s="16"/>
      <c r="F176" s="16"/>
      <c r="G176" s="16"/>
      <c r="H176" s="16"/>
      <c r="I176" s="16"/>
      <c r="J176" s="16"/>
      <c r="K176" s="16"/>
      <c r="L176" s="16"/>
      <c r="M176" s="735"/>
      <c r="N176" s="696"/>
      <c r="O176" s="696"/>
      <c r="P176" s="735"/>
      <c r="Q176" s="696"/>
      <c r="R176" s="696"/>
      <c r="S176" s="696"/>
      <c r="T176" s="696"/>
      <c r="U176" s="16"/>
      <c r="V176" s="16"/>
      <c r="W176" s="16"/>
      <c r="X176" s="16"/>
      <c r="Y176" s="16"/>
      <c r="Z176" s="16"/>
      <c r="AA176" s="16"/>
      <c r="AB176" s="16"/>
      <c r="AC176" s="16"/>
      <c r="AD176" s="16"/>
    </row>
    <row r="177" spans="1:30" ht="15.75" customHeight="1">
      <c r="A177" s="16"/>
      <c r="B177" s="16"/>
      <c r="C177" s="16"/>
      <c r="D177" s="16"/>
      <c r="E177" s="16"/>
      <c r="F177" s="16"/>
      <c r="G177" s="16"/>
      <c r="H177" s="16"/>
      <c r="I177" s="16"/>
      <c r="J177" s="16"/>
      <c r="K177" s="16"/>
      <c r="L177" s="16"/>
      <c r="M177" s="735"/>
      <c r="N177" s="696"/>
      <c r="O177" s="696"/>
      <c r="P177" s="696"/>
      <c r="Q177" s="696"/>
      <c r="R177" s="696"/>
      <c r="S177" s="696"/>
      <c r="T177" s="696"/>
      <c r="U177" s="16"/>
      <c r="V177" s="16"/>
      <c r="W177" s="16"/>
      <c r="X177" s="16"/>
      <c r="Y177" s="16"/>
      <c r="Z177" s="16"/>
      <c r="AA177" s="16"/>
      <c r="AB177" s="16"/>
      <c r="AC177" s="16"/>
      <c r="AD177" s="16"/>
    </row>
    <row r="178" spans="1:30" ht="15.75" customHeight="1">
      <c r="A178" s="16"/>
      <c r="B178" s="16"/>
      <c r="C178" s="16"/>
      <c r="D178" s="16"/>
      <c r="E178" s="16"/>
      <c r="F178" s="16"/>
      <c r="G178" s="16"/>
      <c r="H178" s="16"/>
      <c r="I178" s="16"/>
      <c r="J178" s="16"/>
      <c r="K178" s="16"/>
      <c r="L178" s="16"/>
      <c r="M178" s="735"/>
      <c r="N178" s="696"/>
      <c r="O178" s="696"/>
      <c r="P178" s="696"/>
      <c r="Q178" s="696"/>
      <c r="R178" s="696"/>
      <c r="S178" s="696"/>
      <c r="T178" s="696"/>
      <c r="U178" s="16"/>
      <c r="V178" s="16"/>
      <c r="W178" s="16"/>
      <c r="X178" s="16"/>
      <c r="Y178" s="16"/>
      <c r="Z178" s="16"/>
      <c r="AA178" s="16"/>
      <c r="AB178" s="16"/>
      <c r="AC178" s="16"/>
      <c r="AD178" s="16"/>
    </row>
    <row r="179" spans="1:30" ht="15.75" customHeight="1">
      <c r="A179" s="16"/>
      <c r="B179" s="16"/>
      <c r="C179" s="16"/>
      <c r="D179" s="16"/>
      <c r="E179" s="16"/>
      <c r="F179" s="16"/>
      <c r="G179" s="16"/>
      <c r="H179" s="16"/>
      <c r="I179" s="16"/>
      <c r="J179" s="16"/>
      <c r="K179" s="16"/>
      <c r="L179" s="16"/>
      <c r="M179" s="735"/>
      <c r="N179" s="696"/>
      <c r="O179" s="696"/>
      <c r="P179" s="696"/>
      <c r="Q179" s="696"/>
      <c r="R179" s="696"/>
      <c r="S179" s="696"/>
      <c r="T179" s="696"/>
      <c r="U179" s="16"/>
      <c r="V179" s="16"/>
      <c r="W179" s="16"/>
      <c r="X179" s="16"/>
      <c r="Y179" s="16"/>
      <c r="Z179" s="16"/>
      <c r="AA179" s="16"/>
      <c r="AB179" s="16"/>
      <c r="AC179" s="16"/>
      <c r="AD179" s="16"/>
    </row>
    <row r="180" spans="1:30" ht="15.75" customHeight="1">
      <c r="A180" s="16"/>
      <c r="B180" s="16"/>
      <c r="C180" s="16"/>
      <c r="D180" s="16"/>
      <c r="E180" s="16"/>
      <c r="F180" s="16"/>
      <c r="G180" s="16"/>
      <c r="H180" s="16"/>
      <c r="I180" s="16"/>
      <c r="J180" s="16"/>
      <c r="K180" s="16"/>
      <c r="L180" s="16"/>
      <c r="M180" s="735"/>
      <c r="N180" s="696"/>
      <c r="O180" s="696"/>
      <c r="P180" s="696"/>
      <c r="Q180" s="696"/>
      <c r="R180" s="696"/>
      <c r="S180" s="696"/>
      <c r="T180" s="696"/>
      <c r="U180" s="16"/>
      <c r="V180" s="16"/>
      <c r="W180" s="16"/>
      <c r="X180" s="16"/>
      <c r="Y180" s="16"/>
      <c r="Z180" s="16"/>
      <c r="AA180" s="16"/>
      <c r="AB180" s="16"/>
      <c r="AC180" s="16"/>
      <c r="AD180" s="16"/>
    </row>
    <row r="181" spans="1:30" ht="15.75" customHeight="1">
      <c r="A181" s="16"/>
      <c r="B181" s="16"/>
      <c r="C181" s="16"/>
      <c r="D181" s="16"/>
      <c r="E181" s="16"/>
      <c r="F181" s="16"/>
      <c r="G181" s="16"/>
      <c r="H181" s="16"/>
      <c r="I181" s="16"/>
      <c r="J181" s="16"/>
      <c r="K181" s="16"/>
      <c r="L181" s="16"/>
      <c r="M181" s="735"/>
      <c r="N181" s="696"/>
      <c r="O181" s="696"/>
      <c r="P181" s="696"/>
      <c r="Q181" s="696"/>
      <c r="R181" s="696"/>
      <c r="S181" s="696"/>
      <c r="T181" s="696"/>
      <c r="U181" s="16"/>
      <c r="V181" s="16"/>
      <c r="W181" s="16"/>
      <c r="X181" s="16"/>
      <c r="Y181" s="16"/>
      <c r="Z181" s="16"/>
      <c r="AA181" s="16"/>
      <c r="AB181" s="16"/>
      <c r="AC181" s="16"/>
      <c r="AD181" s="16"/>
    </row>
    <row r="182" spans="1:30" ht="15.75" customHeight="1">
      <c r="A182" s="16"/>
      <c r="B182" s="16"/>
      <c r="C182" s="16"/>
      <c r="D182" s="16"/>
      <c r="E182" s="16"/>
      <c r="F182" s="16"/>
      <c r="G182" s="16"/>
      <c r="H182" s="16"/>
      <c r="I182" s="16"/>
      <c r="J182" s="16"/>
      <c r="K182" s="16"/>
      <c r="L182" s="16"/>
      <c r="M182" s="735"/>
      <c r="N182" s="696"/>
      <c r="O182" s="696"/>
      <c r="P182" s="696"/>
      <c r="Q182" s="696"/>
      <c r="R182" s="696"/>
      <c r="S182" s="696"/>
      <c r="T182" s="696"/>
      <c r="U182" s="16"/>
      <c r="V182" s="16"/>
      <c r="W182" s="16"/>
      <c r="X182" s="16"/>
      <c r="Y182" s="16"/>
      <c r="Z182" s="16"/>
      <c r="AA182" s="16"/>
      <c r="AB182" s="16"/>
      <c r="AC182" s="16"/>
      <c r="AD182" s="16"/>
    </row>
    <row r="183" spans="1:30" ht="15.75" customHeight="1">
      <c r="A183" s="16"/>
      <c r="B183" s="16"/>
      <c r="C183" s="16"/>
      <c r="D183" s="16"/>
      <c r="E183" s="16"/>
      <c r="F183" s="16"/>
      <c r="G183" s="16"/>
      <c r="H183" s="16"/>
      <c r="I183" s="16"/>
      <c r="J183" s="16"/>
      <c r="K183" s="16"/>
      <c r="L183" s="16"/>
      <c r="M183" s="735"/>
      <c r="N183" s="696"/>
      <c r="O183" s="696"/>
      <c r="P183" s="696"/>
      <c r="Q183" s="696"/>
      <c r="R183" s="696"/>
      <c r="S183" s="696"/>
      <c r="T183" s="696"/>
      <c r="U183" s="16"/>
      <c r="V183" s="16"/>
      <c r="W183" s="16"/>
      <c r="X183" s="16"/>
      <c r="Y183" s="16"/>
      <c r="Z183" s="16"/>
      <c r="AA183" s="16"/>
      <c r="AB183" s="16"/>
      <c r="AC183" s="16"/>
      <c r="AD183" s="16"/>
    </row>
    <row r="184" spans="1:30" ht="15.75" customHeight="1">
      <c r="A184" s="16"/>
      <c r="B184" s="16"/>
      <c r="C184" s="16"/>
      <c r="D184" s="16"/>
      <c r="E184" s="16"/>
      <c r="F184" s="16"/>
      <c r="G184" s="16"/>
      <c r="H184" s="16"/>
      <c r="I184" s="16"/>
      <c r="J184" s="16"/>
      <c r="K184" s="16"/>
      <c r="L184" s="16"/>
      <c r="M184" s="735"/>
      <c r="N184" s="696"/>
      <c r="O184" s="696"/>
      <c r="P184" s="696"/>
      <c r="Q184" s="696"/>
      <c r="R184" s="696"/>
      <c r="S184" s="696"/>
      <c r="T184" s="696"/>
      <c r="U184" s="16"/>
      <c r="V184" s="16"/>
      <c r="W184" s="16"/>
      <c r="X184" s="16"/>
      <c r="Y184" s="16"/>
      <c r="Z184" s="16"/>
      <c r="AA184" s="16"/>
      <c r="AB184" s="16"/>
      <c r="AC184" s="16"/>
      <c r="AD184" s="16"/>
    </row>
    <row r="185" spans="1:30" ht="15.75" customHeight="1">
      <c r="A185" s="16"/>
      <c r="B185" s="16"/>
      <c r="C185" s="16"/>
      <c r="D185" s="16"/>
      <c r="E185" s="16"/>
      <c r="F185" s="16"/>
      <c r="G185" s="16"/>
      <c r="H185" s="16"/>
      <c r="I185" s="16"/>
      <c r="J185" s="16"/>
      <c r="K185" s="16"/>
      <c r="L185" s="16"/>
      <c r="M185" s="735"/>
      <c r="N185" s="696"/>
      <c r="O185" s="696"/>
      <c r="P185" s="696"/>
      <c r="Q185" s="696"/>
      <c r="R185" s="696"/>
      <c r="S185" s="696"/>
      <c r="T185" s="696"/>
      <c r="U185" s="16"/>
      <c r="V185" s="16"/>
      <c r="W185" s="16"/>
      <c r="X185" s="16"/>
      <c r="Y185" s="16"/>
      <c r="Z185" s="16"/>
      <c r="AA185" s="16"/>
      <c r="AB185" s="16"/>
      <c r="AC185" s="16"/>
      <c r="AD185" s="16"/>
    </row>
    <row r="186" spans="1:30" ht="15.75" customHeight="1">
      <c r="A186" s="16"/>
      <c r="B186" s="16"/>
      <c r="C186" s="16"/>
      <c r="D186" s="16"/>
      <c r="E186" s="16"/>
      <c r="F186" s="16"/>
      <c r="G186" s="16"/>
      <c r="H186" s="16"/>
      <c r="I186" s="16"/>
      <c r="J186" s="16"/>
      <c r="K186" s="16"/>
      <c r="L186" s="16"/>
      <c r="M186" s="735"/>
      <c r="N186" s="696"/>
      <c r="O186" s="696"/>
      <c r="P186" s="696"/>
      <c r="Q186" s="696"/>
      <c r="R186" s="696"/>
      <c r="S186" s="696"/>
      <c r="T186" s="696"/>
      <c r="U186" s="16"/>
      <c r="V186" s="16"/>
      <c r="W186" s="16"/>
      <c r="X186" s="16"/>
      <c r="Y186" s="16"/>
      <c r="Z186" s="16"/>
      <c r="AA186" s="16"/>
      <c r="AB186" s="16"/>
      <c r="AC186" s="16"/>
      <c r="AD186" s="16"/>
    </row>
    <row r="187" spans="1:30" ht="15.75" customHeight="1">
      <c r="A187" s="16"/>
      <c r="B187" s="16"/>
      <c r="C187" s="16"/>
      <c r="D187" s="16"/>
      <c r="E187" s="16"/>
      <c r="F187" s="16"/>
      <c r="G187" s="16"/>
      <c r="H187" s="16"/>
      <c r="I187" s="16"/>
      <c r="J187" s="16"/>
      <c r="K187" s="16"/>
      <c r="L187" s="16"/>
      <c r="M187" s="735"/>
      <c r="N187" s="696"/>
      <c r="O187" s="696"/>
      <c r="P187" s="696"/>
      <c r="Q187" s="696"/>
      <c r="R187" s="696"/>
      <c r="S187" s="696"/>
      <c r="T187" s="696"/>
      <c r="U187" s="16"/>
      <c r="V187" s="16"/>
      <c r="W187" s="16"/>
      <c r="X187" s="16"/>
      <c r="Y187" s="16"/>
      <c r="Z187" s="16"/>
      <c r="AA187" s="16"/>
      <c r="AB187" s="16"/>
      <c r="AC187" s="16"/>
      <c r="AD187" s="16"/>
    </row>
    <row r="188" spans="1:30" ht="15.75" customHeight="1">
      <c r="A188" s="16"/>
      <c r="B188" s="16"/>
      <c r="C188" s="16"/>
      <c r="D188" s="16"/>
      <c r="E188" s="16"/>
      <c r="F188" s="16"/>
      <c r="G188" s="16"/>
      <c r="H188" s="16"/>
      <c r="I188" s="16"/>
      <c r="J188" s="16"/>
      <c r="K188" s="16"/>
      <c r="L188" s="16"/>
      <c r="M188" s="735"/>
      <c r="N188" s="696"/>
      <c r="O188" s="696"/>
      <c r="P188" s="696"/>
      <c r="Q188" s="696"/>
      <c r="R188" s="696"/>
      <c r="S188" s="696"/>
      <c r="T188" s="696"/>
      <c r="U188" s="16"/>
      <c r="V188" s="16"/>
      <c r="W188" s="16"/>
      <c r="X188" s="16"/>
      <c r="Y188" s="16"/>
      <c r="Z188" s="16"/>
      <c r="AA188" s="16"/>
      <c r="AB188" s="16"/>
      <c r="AC188" s="16"/>
      <c r="AD188" s="16"/>
    </row>
    <row r="189" spans="1:30" ht="15.75" customHeight="1">
      <c r="A189" s="16"/>
      <c r="B189" s="16"/>
      <c r="C189" s="16"/>
      <c r="D189" s="16"/>
      <c r="E189" s="16"/>
      <c r="F189" s="16"/>
      <c r="G189" s="16"/>
      <c r="H189" s="16"/>
      <c r="I189" s="16"/>
      <c r="J189" s="16"/>
      <c r="K189" s="16"/>
      <c r="L189" s="16"/>
      <c r="M189" s="735"/>
      <c r="N189" s="696"/>
      <c r="O189" s="696"/>
      <c r="P189" s="696"/>
      <c r="Q189" s="696"/>
      <c r="R189" s="696"/>
      <c r="S189" s="696"/>
      <c r="T189" s="696"/>
      <c r="U189" s="16"/>
      <c r="V189" s="16"/>
      <c r="W189" s="16"/>
      <c r="X189" s="16"/>
      <c r="Y189" s="16"/>
      <c r="Z189" s="16"/>
      <c r="AA189" s="16"/>
      <c r="AB189" s="16"/>
      <c r="AC189" s="16"/>
      <c r="AD189" s="16"/>
    </row>
    <row r="190" spans="1:30" ht="15.75" customHeight="1">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c r="AD190" s="16"/>
    </row>
    <row r="191" spans="1:30" ht="15.75" customHeight="1">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c r="AD191" s="16"/>
    </row>
    <row r="192" spans="1:30" ht="15.75" customHeight="1">
      <c r="A192" s="16"/>
      <c r="B192" s="735"/>
      <c r="C192" s="696"/>
      <c r="D192" s="16"/>
      <c r="E192" s="16"/>
      <c r="F192" s="16"/>
      <c r="G192" s="16"/>
      <c r="H192" s="16"/>
      <c r="I192" s="16"/>
      <c r="J192" s="16"/>
      <c r="K192" s="16"/>
      <c r="L192" s="16"/>
      <c r="M192" s="735"/>
      <c r="N192" s="696"/>
      <c r="O192" s="696"/>
      <c r="P192" s="735"/>
      <c r="Q192" s="696"/>
      <c r="R192" s="696"/>
      <c r="S192" s="696"/>
      <c r="T192" s="696"/>
      <c r="U192" s="16"/>
      <c r="V192" s="16"/>
      <c r="W192" s="16"/>
      <c r="X192" s="16"/>
      <c r="Y192" s="16"/>
      <c r="Z192" s="16"/>
      <c r="AA192" s="16"/>
      <c r="AB192" s="16"/>
      <c r="AC192" s="16"/>
      <c r="AD192" s="16"/>
    </row>
    <row r="193" spans="1:30" ht="15.75" customHeight="1">
      <c r="A193" s="16"/>
      <c r="B193" s="735"/>
      <c r="C193" s="696"/>
      <c r="D193" s="16"/>
      <c r="E193" s="16"/>
      <c r="F193" s="16"/>
      <c r="G193" s="16"/>
      <c r="H193" s="16"/>
      <c r="I193" s="16"/>
      <c r="J193" s="16"/>
      <c r="K193" s="16"/>
      <c r="L193" s="16"/>
      <c r="M193" s="735"/>
      <c r="N193" s="696"/>
      <c r="O193" s="696"/>
      <c r="P193" s="735"/>
      <c r="Q193" s="696"/>
      <c r="R193" s="696"/>
      <c r="S193" s="696"/>
      <c r="T193" s="696"/>
      <c r="U193" s="16"/>
      <c r="V193" s="16"/>
      <c r="W193" s="16"/>
      <c r="X193" s="16"/>
      <c r="Y193" s="16"/>
      <c r="Z193" s="16"/>
      <c r="AA193" s="16"/>
      <c r="AB193" s="16"/>
      <c r="AC193" s="16"/>
      <c r="AD193" s="16"/>
    </row>
    <row r="194" spans="1:30" ht="15.75" customHeight="1">
      <c r="A194" s="16"/>
      <c r="B194" s="735"/>
      <c r="C194" s="696"/>
      <c r="D194" s="16"/>
      <c r="E194" s="16"/>
      <c r="F194" s="16"/>
      <c r="G194" s="16"/>
      <c r="H194" s="16"/>
      <c r="I194" s="16"/>
      <c r="J194" s="16"/>
      <c r="K194" s="16"/>
      <c r="L194" s="16"/>
      <c r="M194" s="735"/>
      <c r="N194" s="696"/>
      <c r="O194" s="696"/>
      <c r="P194" s="696"/>
      <c r="Q194" s="696"/>
      <c r="R194" s="696"/>
      <c r="S194" s="696"/>
      <c r="T194" s="696"/>
      <c r="U194" s="16"/>
      <c r="V194" s="16"/>
      <c r="W194" s="16"/>
      <c r="X194" s="16"/>
      <c r="Y194" s="16"/>
      <c r="Z194" s="16"/>
      <c r="AA194" s="16"/>
      <c r="AB194" s="16"/>
      <c r="AC194" s="16"/>
      <c r="AD194" s="16"/>
    </row>
    <row r="195" spans="1:30" ht="15.75" customHeight="1">
      <c r="A195" s="16"/>
      <c r="B195" s="735"/>
      <c r="C195" s="696"/>
      <c r="D195" s="16"/>
      <c r="E195" s="16"/>
      <c r="F195" s="16"/>
      <c r="G195" s="16"/>
      <c r="H195" s="16"/>
      <c r="I195" s="16"/>
      <c r="J195" s="16"/>
      <c r="K195" s="16"/>
      <c r="L195" s="16"/>
      <c r="M195" s="735"/>
      <c r="N195" s="696"/>
      <c r="O195" s="696"/>
      <c r="P195" s="696"/>
      <c r="Q195" s="696"/>
      <c r="R195" s="696"/>
      <c r="S195" s="696"/>
      <c r="T195" s="696"/>
      <c r="U195" s="16"/>
      <c r="V195" s="16"/>
      <c r="W195" s="16"/>
      <c r="X195" s="16"/>
      <c r="Y195" s="16"/>
      <c r="Z195" s="16"/>
      <c r="AA195" s="16"/>
      <c r="AB195" s="16"/>
      <c r="AC195" s="16"/>
      <c r="AD195" s="16"/>
    </row>
    <row r="196" spans="1:30" ht="15.75" customHeight="1">
      <c r="A196" s="16"/>
      <c r="B196" s="735"/>
      <c r="C196" s="696"/>
      <c r="D196" s="16"/>
      <c r="E196" s="16"/>
      <c r="F196" s="16"/>
      <c r="G196" s="16"/>
      <c r="H196" s="16"/>
      <c r="I196" s="16"/>
      <c r="J196" s="16"/>
      <c r="K196" s="16"/>
      <c r="L196" s="16"/>
      <c r="M196" s="735"/>
      <c r="N196" s="696"/>
      <c r="O196" s="696"/>
      <c r="P196" s="696"/>
      <c r="Q196" s="696"/>
      <c r="R196" s="696"/>
      <c r="S196" s="696"/>
      <c r="T196" s="696"/>
      <c r="U196" s="16"/>
      <c r="V196" s="16"/>
      <c r="W196" s="16"/>
      <c r="X196" s="16"/>
      <c r="Y196" s="16"/>
      <c r="Z196" s="16"/>
      <c r="AA196" s="16"/>
      <c r="AB196" s="16"/>
      <c r="AC196" s="16"/>
      <c r="AD196" s="16"/>
    </row>
    <row r="197" spans="1:30" ht="15.75" customHeight="1">
      <c r="A197" s="16"/>
      <c r="B197" s="735"/>
      <c r="C197" s="696"/>
      <c r="D197" s="16"/>
      <c r="E197" s="16"/>
      <c r="F197" s="16"/>
      <c r="G197" s="16"/>
      <c r="H197" s="16"/>
      <c r="I197" s="16"/>
      <c r="J197" s="16"/>
      <c r="K197" s="16"/>
      <c r="L197" s="16"/>
      <c r="M197" s="735"/>
      <c r="N197" s="696"/>
      <c r="O197" s="696"/>
      <c r="P197" s="696"/>
      <c r="Q197" s="696"/>
      <c r="R197" s="696"/>
      <c r="S197" s="696"/>
      <c r="T197" s="696"/>
      <c r="U197" s="16"/>
      <c r="V197" s="16"/>
      <c r="W197" s="16"/>
      <c r="X197" s="16"/>
      <c r="Y197" s="16"/>
      <c r="Z197" s="16"/>
      <c r="AA197" s="16"/>
      <c r="AB197" s="16"/>
      <c r="AC197" s="16"/>
      <c r="AD197" s="16"/>
    </row>
    <row r="198" spans="1:30" ht="15.75" customHeight="1">
      <c r="A198" s="16"/>
      <c r="B198" s="735"/>
      <c r="C198" s="696"/>
      <c r="D198" s="16"/>
      <c r="E198" s="16"/>
      <c r="F198" s="16"/>
      <c r="G198" s="16"/>
      <c r="H198" s="16"/>
      <c r="I198" s="16"/>
      <c r="J198" s="16"/>
      <c r="K198" s="16"/>
      <c r="L198" s="16"/>
      <c r="M198" s="735"/>
      <c r="N198" s="696"/>
      <c r="O198" s="696"/>
      <c r="P198" s="696"/>
      <c r="Q198" s="696"/>
      <c r="R198" s="696"/>
      <c r="S198" s="696"/>
      <c r="T198" s="696"/>
      <c r="U198" s="16"/>
      <c r="V198" s="16"/>
      <c r="W198" s="16"/>
      <c r="X198" s="16"/>
      <c r="Y198" s="16"/>
      <c r="Z198" s="16"/>
      <c r="AA198" s="16"/>
      <c r="AB198" s="16"/>
      <c r="AC198" s="16"/>
      <c r="AD198" s="16"/>
    </row>
    <row r="199" spans="1:30" ht="15.75" customHeight="1">
      <c r="A199" s="16"/>
      <c r="B199" s="735"/>
      <c r="C199" s="696"/>
      <c r="D199" s="16"/>
      <c r="E199" s="16"/>
      <c r="F199" s="16"/>
      <c r="G199" s="16"/>
      <c r="H199" s="16"/>
      <c r="I199" s="16"/>
      <c r="J199" s="16"/>
      <c r="K199" s="16"/>
      <c r="L199" s="16"/>
      <c r="M199" s="735"/>
      <c r="N199" s="696"/>
      <c r="O199" s="696"/>
      <c r="P199" s="696"/>
      <c r="Q199" s="696"/>
      <c r="R199" s="696"/>
      <c r="S199" s="696"/>
      <c r="T199" s="696"/>
      <c r="U199" s="16"/>
      <c r="V199" s="16"/>
      <c r="W199" s="16"/>
      <c r="X199" s="16"/>
      <c r="Y199" s="16"/>
      <c r="Z199" s="16"/>
      <c r="AA199" s="16"/>
      <c r="AB199" s="16"/>
      <c r="AC199" s="16"/>
      <c r="AD199" s="16"/>
    </row>
    <row r="200" spans="1:30" ht="15.75" customHeight="1">
      <c r="A200" s="16"/>
      <c r="B200" s="735"/>
      <c r="C200" s="696"/>
      <c r="D200" s="16"/>
      <c r="E200" s="16"/>
      <c r="F200" s="16"/>
      <c r="G200" s="16"/>
      <c r="H200" s="16"/>
      <c r="I200" s="16"/>
      <c r="J200" s="16"/>
      <c r="K200" s="16"/>
      <c r="L200" s="16"/>
      <c r="M200" s="735"/>
      <c r="N200" s="696"/>
      <c r="O200" s="696"/>
      <c r="P200" s="696"/>
      <c r="Q200" s="696"/>
      <c r="R200" s="696"/>
      <c r="S200" s="696"/>
      <c r="T200" s="696"/>
      <c r="U200" s="16"/>
      <c r="V200" s="16"/>
      <c r="W200" s="16"/>
      <c r="X200" s="16"/>
      <c r="Y200" s="16"/>
      <c r="Z200" s="16"/>
      <c r="AA200" s="16"/>
      <c r="AB200" s="16"/>
      <c r="AC200" s="16"/>
      <c r="AD200" s="16"/>
    </row>
    <row r="201" spans="1:30" ht="15.75" customHeight="1">
      <c r="A201" s="16"/>
      <c r="B201" s="735"/>
      <c r="C201" s="696"/>
      <c r="D201" s="16"/>
      <c r="E201" s="16"/>
      <c r="F201" s="16"/>
      <c r="G201" s="16"/>
      <c r="H201" s="16"/>
      <c r="I201" s="16"/>
      <c r="J201" s="16"/>
      <c r="K201" s="16"/>
      <c r="L201" s="16"/>
      <c r="M201" s="735"/>
      <c r="N201" s="696"/>
      <c r="O201" s="696"/>
      <c r="P201" s="696"/>
      <c r="Q201" s="696"/>
      <c r="R201" s="696"/>
      <c r="S201" s="696"/>
      <c r="T201" s="696"/>
      <c r="U201" s="16"/>
      <c r="V201" s="16"/>
      <c r="W201" s="16"/>
      <c r="X201" s="16"/>
      <c r="Y201" s="16"/>
      <c r="Z201" s="16"/>
      <c r="AA201" s="16"/>
      <c r="AB201" s="16"/>
      <c r="AC201" s="16"/>
      <c r="AD201" s="16"/>
    </row>
    <row r="202" spans="1:30" ht="15.75" customHeight="1">
      <c r="A202" s="16"/>
      <c r="B202" s="735"/>
      <c r="C202" s="696"/>
      <c r="D202" s="16"/>
      <c r="E202" s="16"/>
      <c r="F202" s="16"/>
      <c r="G202" s="16"/>
      <c r="H202" s="16"/>
      <c r="I202" s="16"/>
      <c r="J202" s="16"/>
      <c r="K202" s="16"/>
      <c r="L202" s="16"/>
      <c r="M202" s="735"/>
      <c r="N202" s="696"/>
      <c r="O202" s="696"/>
      <c r="P202" s="696"/>
      <c r="Q202" s="696"/>
      <c r="R202" s="696"/>
      <c r="S202" s="696"/>
      <c r="T202" s="696"/>
      <c r="U202" s="16"/>
      <c r="V202" s="16"/>
      <c r="W202" s="16"/>
      <c r="X202" s="16"/>
      <c r="Y202" s="16"/>
      <c r="Z202" s="16"/>
      <c r="AA202" s="16"/>
      <c r="AB202" s="16"/>
      <c r="AC202" s="16"/>
      <c r="AD202" s="16"/>
    </row>
    <row r="203" spans="1:30" ht="15.75" customHeight="1">
      <c r="A203" s="16"/>
      <c r="B203" s="735"/>
      <c r="C203" s="696"/>
      <c r="D203" s="16"/>
      <c r="E203" s="16"/>
      <c r="F203" s="16"/>
      <c r="G203" s="16"/>
      <c r="H203" s="16"/>
      <c r="I203" s="16"/>
      <c r="J203" s="16"/>
      <c r="K203" s="16"/>
      <c r="L203" s="16"/>
      <c r="M203" s="735"/>
      <c r="N203" s="696"/>
      <c r="O203" s="696"/>
      <c r="P203" s="696"/>
      <c r="Q203" s="696"/>
      <c r="R203" s="696"/>
      <c r="S203" s="696"/>
      <c r="T203" s="696"/>
      <c r="U203" s="16"/>
      <c r="V203" s="16"/>
      <c r="W203" s="16"/>
      <c r="X203" s="16"/>
      <c r="Y203" s="16"/>
      <c r="Z203" s="16"/>
      <c r="AA203" s="16"/>
      <c r="AB203" s="16"/>
      <c r="AC203" s="16"/>
      <c r="AD203" s="16"/>
    </row>
    <row r="204" spans="1:30" ht="15.75" customHeight="1">
      <c r="A204" s="16"/>
      <c r="B204" s="735"/>
      <c r="C204" s="696"/>
      <c r="D204" s="16"/>
      <c r="E204" s="16"/>
      <c r="F204" s="16"/>
      <c r="G204" s="16"/>
      <c r="H204" s="16"/>
      <c r="I204" s="16"/>
      <c r="J204" s="16"/>
      <c r="K204" s="16"/>
      <c r="L204" s="16"/>
      <c r="M204" s="735"/>
      <c r="N204" s="696"/>
      <c r="O204" s="696"/>
      <c r="P204" s="696"/>
      <c r="Q204" s="696"/>
      <c r="R204" s="696"/>
      <c r="S204" s="696"/>
      <c r="T204" s="696"/>
      <c r="U204" s="16"/>
      <c r="V204" s="16"/>
      <c r="W204" s="16"/>
      <c r="X204" s="16"/>
      <c r="Y204" s="16"/>
      <c r="Z204" s="16"/>
      <c r="AA204" s="16"/>
      <c r="AB204" s="16"/>
      <c r="AC204" s="16"/>
      <c r="AD204" s="16"/>
    </row>
    <row r="205" spans="1:30" ht="15.75" customHeight="1">
      <c r="A205" s="16"/>
      <c r="B205" s="735"/>
      <c r="C205" s="696"/>
      <c r="D205" s="16"/>
      <c r="E205" s="16"/>
      <c r="F205" s="16"/>
      <c r="G205" s="16"/>
      <c r="H205" s="16"/>
      <c r="I205" s="16"/>
      <c r="J205" s="16"/>
      <c r="K205" s="16"/>
      <c r="L205" s="16"/>
      <c r="M205" s="735"/>
      <c r="N205" s="696"/>
      <c r="O205" s="696"/>
      <c r="P205" s="696"/>
      <c r="Q205" s="696"/>
      <c r="R205" s="696"/>
      <c r="S205" s="696"/>
      <c r="T205" s="696"/>
      <c r="U205" s="16"/>
      <c r="V205" s="16"/>
      <c r="W205" s="16"/>
      <c r="X205" s="16"/>
      <c r="Y205" s="16"/>
      <c r="Z205" s="16"/>
      <c r="AA205" s="16"/>
      <c r="AB205" s="16"/>
      <c r="AC205" s="16"/>
      <c r="AD205" s="16"/>
    </row>
    <row r="206" spans="1:30" ht="15.75" customHeight="1">
      <c r="A206" s="16"/>
      <c r="B206" s="735"/>
      <c r="C206" s="696"/>
      <c r="D206" s="16"/>
      <c r="E206" s="16"/>
      <c r="F206" s="16"/>
      <c r="G206" s="16"/>
      <c r="H206" s="16"/>
      <c r="I206" s="16"/>
      <c r="J206" s="16"/>
      <c r="K206" s="16"/>
      <c r="L206" s="16"/>
      <c r="M206" s="735"/>
      <c r="N206" s="696"/>
      <c r="O206" s="696"/>
      <c r="P206" s="696"/>
      <c r="Q206" s="696"/>
      <c r="R206" s="696"/>
      <c r="S206" s="696"/>
      <c r="T206" s="696"/>
      <c r="U206" s="16"/>
      <c r="V206" s="16"/>
      <c r="W206" s="16"/>
      <c r="X206" s="16"/>
      <c r="Y206" s="16"/>
      <c r="Z206" s="16"/>
      <c r="AA206" s="16"/>
      <c r="AB206" s="16"/>
      <c r="AC206" s="16"/>
      <c r="AD206" s="16"/>
    </row>
    <row r="207" spans="1:30" ht="15.75" customHeight="1">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c r="AD207" s="16"/>
    </row>
    <row r="208" spans="1:30" ht="15.75" customHeight="1">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c r="AD208" s="16"/>
    </row>
    <row r="209" spans="1:30" ht="15.75" customHeight="1">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c r="AD209" s="16"/>
    </row>
    <row r="210" spans="1:30" ht="15.75" customHeight="1">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c r="AD210" s="16"/>
    </row>
    <row r="211" spans="1:30" ht="15.75" customHeight="1">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row>
    <row r="212" spans="1:30" ht="15.75" customHeight="1">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c r="AD212" s="16"/>
    </row>
    <row r="213" spans="1:30" ht="15.75" customHeight="1">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c r="AD213" s="16"/>
    </row>
    <row r="214" spans="1:30" ht="15.75" customHeight="1">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row>
    <row r="215" spans="1:30" ht="15.75" customHeight="1">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c r="AD215" s="16"/>
    </row>
    <row r="216" spans="1:30" ht="15.75" customHeight="1">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c r="AD216" s="16"/>
    </row>
    <row r="217" spans="1:30" ht="15.75" customHeight="1">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c r="AD217" s="16"/>
    </row>
    <row r="218" spans="1:30" ht="15.75" customHeight="1">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c r="AD218" s="16"/>
    </row>
    <row r="219" spans="1:30" ht="15.75" customHeight="1">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c r="AD219" s="16"/>
    </row>
    <row r="220" spans="1:30" ht="15.75" customHeight="1">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c r="AD220" s="16"/>
    </row>
    <row r="221" spans="1:30" ht="15.75" customHeight="1">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row>
    <row r="222" spans="1:30" ht="15.75" customHeight="1">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row>
    <row r="223" spans="1:30" ht="15.75" customHeight="1">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c r="AD223" s="16"/>
    </row>
    <row r="224" spans="1:30" ht="15.75" customHeight="1">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c r="AD224" s="16"/>
    </row>
    <row r="225" spans="1:30" ht="15.75" customHeight="1">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16"/>
    </row>
    <row r="226" spans="1:30" ht="15.75" customHeight="1">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row>
    <row r="227" spans="1:30" ht="15.75" customHeight="1">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16"/>
    </row>
    <row r="228" spans="1:30" ht="15.75" customHeight="1">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c r="AD228" s="16"/>
    </row>
    <row r="229" spans="1:30" ht="15.75" customHeight="1">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c r="AD229" s="16"/>
    </row>
    <row r="230" spans="1:30" ht="15.75" customHeight="1">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row>
    <row r="231" spans="1:30" ht="15.75" customHeight="1">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c r="AD231" s="16"/>
    </row>
    <row r="232" spans="1:30" ht="15.75" customHeight="1">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c r="AD232" s="16"/>
    </row>
    <row r="233" spans="1:30" ht="15.75" customHeight="1">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c r="AD233" s="16"/>
    </row>
    <row r="234" spans="1:30" ht="15.75" customHeight="1">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c r="AD234" s="16"/>
    </row>
    <row r="235" spans="1:30" ht="15.75" customHeight="1">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row>
    <row r="236" spans="1:30" ht="15.75" customHeight="1">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c r="AD236" s="16"/>
    </row>
    <row r="237" spans="1:30" ht="15.75" customHeight="1">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c r="AD237" s="16"/>
    </row>
    <row r="238" spans="1:30" ht="15.75" customHeight="1">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c r="AD238" s="16"/>
    </row>
    <row r="239" spans="1:30" ht="15.75" customHeight="1">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c r="AD239" s="16"/>
    </row>
    <row r="240" spans="1:30" ht="15.75" customHeight="1">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c r="AD240" s="16"/>
    </row>
    <row r="241" spans="1:30" ht="15.75" customHeight="1">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c r="AD241" s="16"/>
    </row>
    <row r="242" spans="1:30" ht="15.75" customHeight="1">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c r="AD242" s="16"/>
    </row>
    <row r="243" spans="1:30" ht="15.75" customHeight="1">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c r="AD243" s="16"/>
    </row>
    <row r="244" spans="1:30" ht="15.75" customHeight="1">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16"/>
    </row>
    <row r="245" spans="1:30" ht="15.75" customHeight="1">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c r="AD245" s="16"/>
    </row>
    <row r="246" spans="1:30" ht="15.75" customHeight="1">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row>
    <row r="247" spans="1:30" ht="15.75" customHeight="1">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c r="AD247" s="16"/>
    </row>
    <row r="248" spans="1:30" ht="15.75" customHeight="1">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row>
    <row r="249" spans="1:30" ht="15.75" customHeight="1">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row>
    <row r="250" spans="1:30" ht="15.75" customHeight="1">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c r="AD250" s="16"/>
    </row>
    <row r="251" spans="1:30" ht="15.75" customHeight="1">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row>
    <row r="252" spans="1:30" ht="15.75" customHeight="1">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16"/>
    </row>
    <row r="253" spans="1:30" ht="15.75" customHeight="1">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c r="AD253" s="16"/>
    </row>
    <row r="254" spans="1:30" ht="15.75" customHeight="1">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row>
    <row r="255" spans="1:30" ht="15.75" customHeight="1">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c r="AD255" s="16"/>
    </row>
    <row r="256" spans="1:30" ht="15.75" customHeight="1">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row>
    <row r="257" spans="1:30" ht="15.75" customHeight="1">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c r="AD257" s="16"/>
    </row>
    <row r="258" spans="1:30" ht="15.75" customHeight="1">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c r="AD258" s="16"/>
    </row>
    <row r="259" spans="1:30" ht="15.75" customHeight="1">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row>
    <row r="260" spans="1:30" ht="15.75" customHeight="1">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row>
    <row r="261" spans="1:30" ht="15.75" customHeight="1">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c r="AD261" s="16"/>
    </row>
    <row r="262" spans="1:30" ht="15.75" customHeight="1">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row>
    <row r="263" spans="1:30" ht="15.75" customHeight="1">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row>
    <row r="264" spans="1:30" ht="15.75" customHeight="1">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c r="AD264" s="16"/>
    </row>
    <row r="265" spans="1:30" ht="15.75" customHeight="1">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row>
    <row r="266" spans="1:30" ht="15.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row>
    <row r="267" spans="1:30" ht="15.75" customHeight="1">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row>
    <row r="268" spans="1:30" ht="15.75" customHeight="1">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c r="AD268" s="16"/>
    </row>
    <row r="269" spans="1:30" ht="15.75" customHeight="1">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row>
    <row r="270" spans="1:30" ht="15.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row>
    <row r="271" spans="1:30" ht="15.75" customHeight="1">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c r="AD271" s="16"/>
    </row>
    <row r="272" spans="1:30" ht="15.75" customHeight="1">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c r="AD272" s="16"/>
    </row>
    <row r="273" spans="1:30" ht="15.75" customHeight="1">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c r="AD273" s="16"/>
    </row>
    <row r="274" spans="1:30" ht="15.75" customHeight="1">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c r="AD274" s="16"/>
    </row>
    <row r="275" spans="1:30" ht="15.75" customHeight="1">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c r="AD275" s="16"/>
    </row>
    <row r="276" spans="1:30" ht="15.75" customHeight="1">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row>
    <row r="277" spans="1:30" ht="15.75" customHeight="1">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16"/>
    </row>
    <row r="278" spans="1:30" ht="15.75" customHeight="1">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row>
    <row r="279" spans="1:30" ht="15.75" customHeight="1">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16"/>
    </row>
    <row r="280" spans="1:30" ht="15.75" customHeight="1">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c r="AD280" s="16"/>
    </row>
    <row r="281" spans="1:30" ht="15.75" customHeight="1">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c r="AD281" s="16"/>
    </row>
    <row r="282" spans="1:30" ht="15.75" customHeight="1">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c r="AD282" s="16"/>
    </row>
    <row r="283" spans="1:30" ht="15.75" customHeight="1">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c r="AD283" s="16"/>
    </row>
    <row r="284" spans="1:30" ht="15.75" customHeight="1">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c r="AD284" s="16"/>
    </row>
    <row r="285" spans="1:30" ht="15.75" customHeight="1">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c r="AD285" s="16"/>
    </row>
    <row r="286" spans="1:30" ht="15.75" customHeight="1">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row>
    <row r="287" spans="1:30" ht="15.75" customHeight="1">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row>
    <row r="288" spans="1:30" ht="15.75" customHeight="1">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row>
    <row r="289" spans="1:30" ht="15.75" customHeight="1">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row>
    <row r="290" spans="1:30" ht="15.75" customHeight="1">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row>
    <row r="291" spans="1:30" ht="15.75" customHeight="1">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c r="AD291" s="16"/>
    </row>
    <row r="292" spans="1:30" ht="15.75" customHeight="1">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row>
    <row r="293" spans="1:30" ht="15.75" customHeight="1">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row>
    <row r="294" spans="1:30" ht="15.75" customHeight="1">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row>
    <row r="295" spans="1:30" ht="15.75" customHeight="1">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row>
    <row r="296" spans="1:30" ht="15.75" customHeight="1">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row>
    <row r="297" spans="1:30" ht="15.75" customHeight="1">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row>
    <row r="298" spans="1:30" ht="15.75" customHeight="1">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row>
    <row r="299" spans="1:30" ht="15.75" customHeight="1">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row>
    <row r="300" spans="1:30" ht="15.75" customHeight="1">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row>
    <row r="301" spans="1:30" ht="15.75" customHeight="1">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c r="AD301" s="16"/>
    </row>
    <row r="302" spans="1:30" ht="15.75" customHeight="1">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c r="AD302" s="16"/>
    </row>
    <row r="303" spans="1:30" ht="15.75" customHeight="1">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row>
    <row r="304" spans="1:30" ht="15.75" customHeight="1">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c r="AD304" s="16"/>
    </row>
    <row r="305" spans="1:30" ht="15.75" customHeight="1">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c r="AD305" s="16"/>
    </row>
    <row r="306" spans="1:30" ht="15.75" customHeight="1">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c r="AA306" s="16"/>
      <c r="AB306" s="16"/>
      <c r="AC306" s="16"/>
      <c r="AD306" s="16"/>
    </row>
    <row r="307" spans="1:30" ht="15.75" customHeight="1">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c r="AA307" s="16"/>
      <c r="AB307" s="16"/>
      <c r="AC307" s="16"/>
      <c r="AD307" s="16"/>
    </row>
    <row r="308" spans="1:30" ht="15.75" customHeight="1">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c r="AA308" s="16"/>
      <c r="AB308" s="16"/>
      <c r="AC308" s="16"/>
      <c r="AD308" s="16"/>
    </row>
    <row r="309" spans="1:30" ht="15.75" customHeight="1">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c r="AA309" s="16"/>
      <c r="AB309" s="16"/>
      <c r="AC309" s="16"/>
      <c r="AD309" s="16"/>
    </row>
    <row r="310" spans="1:30" ht="15.75" customHeight="1">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c r="AA310" s="16"/>
      <c r="AB310" s="16"/>
      <c r="AC310" s="16"/>
      <c r="AD310" s="16"/>
    </row>
    <row r="311" spans="1:30" ht="15.75" customHeight="1">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c r="AA311" s="16"/>
      <c r="AB311" s="16"/>
      <c r="AC311" s="16"/>
      <c r="AD311" s="16"/>
    </row>
    <row r="312" spans="1:30" ht="15.75" customHeight="1">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c r="AA312" s="16"/>
      <c r="AB312" s="16"/>
      <c r="AC312" s="16"/>
      <c r="AD312" s="16"/>
    </row>
    <row r="313" spans="1:30" ht="15.75" customHeight="1">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c r="AA313" s="16"/>
      <c r="AB313" s="16"/>
      <c r="AC313" s="16"/>
      <c r="AD313" s="16"/>
    </row>
    <row r="314" spans="1:30" ht="15.75" customHeight="1">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c r="AA314" s="16"/>
      <c r="AB314" s="16"/>
      <c r="AC314" s="16"/>
      <c r="AD314" s="16"/>
    </row>
    <row r="315" spans="1:30" ht="15.75" customHeight="1">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c r="AA315" s="16"/>
      <c r="AB315" s="16"/>
      <c r="AC315" s="16"/>
      <c r="AD315" s="16"/>
    </row>
    <row r="316" spans="1:30" ht="15.75" customHeight="1">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c r="AA316" s="16"/>
      <c r="AB316" s="16"/>
      <c r="AC316" s="16"/>
      <c r="AD316" s="16"/>
    </row>
    <row r="317" spans="1:30" ht="15.75" customHeight="1">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c r="AA317" s="16"/>
      <c r="AB317" s="16"/>
      <c r="AC317" s="16"/>
      <c r="AD317" s="16"/>
    </row>
    <row r="318" spans="1:30" ht="15.75" customHeight="1">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c r="AA318" s="16"/>
      <c r="AB318" s="16"/>
      <c r="AC318" s="16"/>
      <c r="AD318" s="16"/>
    </row>
    <row r="319" spans="1:30" ht="15.75" customHeight="1">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c r="AA319" s="16"/>
      <c r="AB319" s="16"/>
      <c r="AC319" s="16"/>
      <c r="AD319" s="16"/>
    </row>
    <row r="320" spans="1:30" ht="15.75" customHeight="1">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c r="AA320" s="16"/>
      <c r="AB320" s="16"/>
      <c r="AC320" s="16"/>
      <c r="AD320" s="16"/>
    </row>
    <row r="321" spans="1:30" ht="15.75" customHeight="1">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c r="AA321" s="16"/>
      <c r="AB321" s="16"/>
      <c r="AC321" s="16"/>
      <c r="AD321" s="16"/>
    </row>
    <row r="322" spans="1:30" ht="15.75" customHeight="1">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c r="AA322" s="16"/>
      <c r="AB322" s="16"/>
      <c r="AC322" s="16"/>
      <c r="AD322" s="16"/>
    </row>
    <row r="323" spans="1:30" ht="15.75" customHeight="1">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c r="AA323" s="16"/>
      <c r="AB323" s="16"/>
      <c r="AC323" s="16"/>
      <c r="AD323" s="16"/>
    </row>
    <row r="324" spans="1:30" ht="15.75" customHeight="1">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c r="AA324" s="16"/>
      <c r="AB324" s="16"/>
      <c r="AC324" s="16"/>
      <c r="AD324" s="16"/>
    </row>
    <row r="325" spans="1:30" ht="15.75" customHeight="1">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c r="AA325" s="16"/>
      <c r="AB325" s="16"/>
      <c r="AC325" s="16"/>
      <c r="AD325" s="16"/>
    </row>
    <row r="326" spans="1:30" ht="15.75" customHeight="1">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c r="AA326" s="16"/>
      <c r="AB326" s="16"/>
      <c r="AC326" s="16"/>
      <c r="AD326" s="16"/>
    </row>
    <row r="327" spans="1:30" ht="15.75" customHeight="1">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c r="AA327" s="16"/>
      <c r="AB327" s="16"/>
      <c r="AC327" s="16"/>
      <c r="AD327" s="16"/>
    </row>
    <row r="328" spans="1:30" ht="15.75" customHeight="1">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c r="AA328" s="16"/>
      <c r="AB328" s="16"/>
      <c r="AC328" s="16"/>
      <c r="AD328" s="16"/>
    </row>
    <row r="329" spans="1:30" ht="15.75" customHeight="1">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c r="AA329" s="16"/>
      <c r="AB329" s="16"/>
      <c r="AC329" s="16"/>
      <c r="AD329" s="16"/>
    </row>
    <row r="330" spans="1:30" ht="15.75" customHeight="1">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c r="AA330" s="16"/>
      <c r="AB330" s="16"/>
      <c r="AC330" s="16"/>
      <c r="AD330" s="16"/>
    </row>
    <row r="331" spans="1:30" ht="15.75" customHeight="1">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c r="AA331" s="16"/>
      <c r="AB331" s="16"/>
      <c r="AC331" s="16"/>
      <c r="AD331" s="16"/>
    </row>
    <row r="332" spans="1:30" ht="15.75" customHeight="1">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c r="AA332" s="16"/>
      <c r="AB332" s="16"/>
      <c r="AC332" s="16"/>
      <c r="AD332" s="16"/>
    </row>
    <row r="333" spans="1:30" ht="15.75" customHeight="1">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c r="AA333" s="16"/>
      <c r="AB333" s="16"/>
      <c r="AC333" s="16"/>
      <c r="AD333" s="16"/>
    </row>
    <row r="334" spans="1:30" ht="15.75" customHeight="1">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c r="AA334" s="16"/>
      <c r="AB334" s="16"/>
      <c r="AC334" s="16"/>
      <c r="AD334" s="16"/>
    </row>
    <row r="335" spans="1:30" ht="15.75" customHeight="1">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c r="AA335" s="16"/>
      <c r="AB335" s="16"/>
      <c r="AC335" s="16"/>
      <c r="AD335" s="16"/>
    </row>
    <row r="336" spans="1:30" ht="15.75" customHeight="1">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c r="AA336" s="16"/>
      <c r="AB336" s="16"/>
      <c r="AC336" s="16"/>
      <c r="AD336" s="16"/>
    </row>
    <row r="337" spans="1:30" ht="15.75" customHeight="1">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c r="AA337" s="16"/>
      <c r="AB337" s="16"/>
      <c r="AC337" s="16"/>
      <c r="AD337" s="16"/>
    </row>
    <row r="338" spans="1:30" ht="15.75" customHeight="1">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c r="AA338" s="16"/>
      <c r="AB338" s="16"/>
      <c r="AC338" s="16"/>
      <c r="AD338" s="16"/>
    </row>
    <row r="339" spans="1:30" ht="15.75" customHeight="1">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c r="AA339" s="16"/>
      <c r="AB339" s="16"/>
      <c r="AC339" s="16"/>
      <c r="AD339" s="16"/>
    </row>
    <row r="340" spans="1:30" ht="15.75" customHeight="1">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c r="AA340" s="16"/>
      <c r="AB340" s="16"/>
      <c r="AC340" s="16"/>
      <c r="AD340" s="16"/>
    </row>
    <row r="341" spans="1:30" ht="15.75" customHeight="1">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c r="AA341" s="16"/>
      <c r="AB341" s="16"/>
      <c r="AC341" s="16"/>
      <c r="AD341" s="16"/>
    </row>
    <row r="342" spans="1:30" ht="15.75" customHeight="1">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c r="AA342" s="16"/>
      <c r="AB342" s="16"/>
      <c r="AC342" s="16"/>
      <c r="AD342" s="16"/>
    </row>
    <row r="343" spans="1:30" ht="15.75" customHeight="1"/>
    <row r="344" spans="1:30" ht="15.75" customHeight="1"/>
    <row r="345" spans="1:30" ht="15.75" customHeight="1"/>
    <row r="346" spans="1:30" ht="15.75" customHeight="1"/>
    <row r="347" spans="1:30" ht="15.75" customHeight="1"/>
    <row r="348" spans="1:30" ht="15.75" customHeight="1"/>
    <row r="349" spans="1:30" ht="15.75" customHeight="1"/>
    <row r="350" spans="1:30" ht="15.75" customHeight="1"/>
    <row r="351" spans="1:30" ht="15.75" customHeight="1"/>
    <row r="352" spans="1:30"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sheetData>
  <mergeCells count="99">
    <mergeCell ref="M201:O201"/>
    <mergeCell ref="B205:C205"/>
    <mergeCell ref="M205:O205"/>
    <mergeCell ref="B206:C206"/>
    <mergeCell ref="M206:O206"/>
    <mergeCell ref="B202:C202"/>
    <mergeCell ref="M202:O202"/>
    <mergeCell ref="B203:C203"/>
    <mergeCell ref="M203:O203"/>
    <mergeCell ref="B204:C204"/>
    <mergeCell ref="M204:O204"/>
    <mergeCell ref="M189:O189"/>
    <mergeCell ref="B192:C192"/>
    <mergeCell ref="M192:O192"/>
    <mergeCell ref="M195:O195"/>
    <mergeCell ref="B196:C196"/>
    <mergeCell ref="M196:O196"/>
    <mergeCell ref="P192:T192"/>
    <mergeCell ref="B193:C193"/>
    <mergeCell ref="M193:O193"/>
    <mergeCell ref="P193:T206"/>
    <mergeCell ref="B194:C194"/>
    <mergeCell ref="M194:O194"/>
    <mergeCell ref="B195:C195"/>
    <mergeCell ref="B198:C198"/>
    <mergeCell ref="M198:O198"/>
    <mergeCell ref="B197:C197"/>
    <mergeCell ref="M197:O197"/>
    <mergeCell ref="B199:C199"/>
    <mergeCell ref="M199:O199"/>
    <mergeCell ref="B200:C200"/>
    <mergeCell ref="M200:O200"/>
    <mergeCell ref="B201:C201"/>
    <mergeCell ref="M188:O188"/>
    <mergeCell ref="M175:O175"/>
    <mergeCell ref="P175:T175"/>
    <mergeCell ref="M176:O176"/>
    <mergeCell ref="P176:T189"/>
    <mergeCell ref="M177:O177"/>
    <mergeCell ref="M178:O178"/>
    <mergeCell ref="M179:O179"/>
    <mergeCell ref="M180:O180"/>
    <mergeCell ref="M181:O181"/>
    <mergeCell ref="M182:O182"/>
    <mergeCell ref="M183:O183"/>
    <mergeCell ref="M184:O184"/>
    <mergeCell ref="M185:O185"/>
    <mergeCell ref="M186:O186"/>
    <mergeCell ref="M187:O187"/>
    <mergeCell ref="M172:O172"/>
    <mergeCell ref="P158:R158"/>
    <mergeCell ref="M160:O160"/>
    <mergeCell ref="P160:T160"/>
    <mergeCell ref="M161:O161"/>
    <mergeCell ref="P161:T172"/>
    <mergeCell ref="M162:O162"/>
    <mergeCell ref="M163:O163"/>
    <mergeCell ref="M164:O164"/>
    <mergeCell ref="M165:O165"/>
    <mergeCell ref="M166:O166"/>
    <mergeCell ref="M167:O167"/>
    <mergeCell ref="M168:O168"/>
    <mergeCell ref="M169:O169"/>
    <mergeCell ref="M170:O170"/>
    <mergeCell ref="M171:O171"/>
    <mergeCell ref="P156:R156"/>
    <mergeCell ref="P157:R157"/>
    <mergeCell ref="AG29:AH29"/>
    <mergeCell ref="AI29:AJ29"/>
    <mergeCell ref="AG30:AH40"/>
    <mergeCell ref="AI30:AJ40"/>
    <mergeCell ref="P152:R152"/>
    <mergeCell ref="P73:Q73"/>
    <mergeCell ref="H95:I142"/>
    <mergeCell ref="J95:K142"/>
    <mergeCell ref="P153:R153"/>
    <mergeCell ref="P154:R154"/>
    <mergeCell ref="P155:R155"/>
    <mergeCell ref="H37:J37"/>
    <mergeCell ref="K74:O90"/>
    <mergeCell ref="P74:Q90"/>
    <mergeCell ref="H94:I94"/>
    <mergeCell ref="J94:K94"/>
    <mergeCell ref="K73:O73"/>
    <mergeCell ref="H38:J45"/>
    <mergeCell ref="I48:K48"/>
    <mergeCell ref="I49:K53"/>
    <mergeCell ref="K57:M57"/>
    <mergeCell ref="K58:M70"/>
    <mergeCell ref="A1:C1"/>
    <mergeCell ref="E1:H1"/>
    <mergeCell ref="D7:I7"/>
    <mergeCell ref="D8:I8"/>
    <mergeCell ref="A28:F28"/>
    <mergeCell ref="A30:F30"/>
    <mergeCell ref="A31:F31"/>
    <mergeCell ref="A32:F32"/>
    <mergeCell ref="A34:F34"/>
    <mergeCell ref="A29:F29"/>
  </mergeCells>
  <phoneticPr fontId="31" type="noConversion"/>
  <conditionalFormatting sqref="I58:I68">
    <cfRule type="containsText" dxfId="159" priority="1" operator="containsText" text="5">
      <formula>NOT(ISERROR(SEARCH(("5"),(I58))))</formula>
    </cfRule>
    <cfRule type="containsText" dxfId="158" priority="2" operator="containsText" text="42">
      <formula>NOT(ISERROR(SEARCH(("42"),(I58))))</formula>
    </cfRule>
    <cfRule type="containsText" dxfId="157" priority="3" operator="containsText" text="Please fill in">
      <formula>NOT(ISERROR(SEARCH(("Please fill in"),(I58))))</formula>
    </cfRule>
  </conditionalFormatting>
  <dataValidations count="5">
    <dataValidation type="list" allowBlank="1" showErrorMessage="1" sqref="D50:D53 H70" xr:uid="{AEDF8F38-121F-4F35-B040-130826A1E4D5}">
      <formula1>TSAC!TypesOfTrainers</formula1>
    </dataValidation>
    <dataValidation type="list" allowBlank="1" showErrorMessage="1" sqref="B9" xr:uid="{74631B21-4FAE-42BB-903F-47F45830675A}">
      <formula1>"yes,no,partial"</formula1>
    </dataValidation>
    <dataValidation type="list" allowBlank="1" sqref="G49:G53" xr:uid="{ACF772FA-F8F8-42AB-95D1-805FF1B320EF}">
      <formula1>"yes,no"</formula1>
    </dataValidation>
    <dataValidation type="list" allowBlank="1" showErrorMessage="1" sqref="D49 H58:H69" xr:uid="{B4C0324E-C904-49B2-AE0E-91E9AB6DFFA1}">
      <formula1>'https://universiteittwente.sharepoint.com/sites/SportsCoordinatorsSUT/Gedeelde documenten/General/(WIP) FAM Sheets - Regulations 2025-28 - Version April 2025.xlsx'!TypesOfTrainers</formula1>
    </dataValidation>
    <dataValidation type="list" allowBlank="1" showErrorMessage="1" sqref="B74:B85" xr:uid="{90F72844-6500-457A-BCF8-EB9E299C54A3}">
      <formula1>'https://universiteittwente.sharepoint.com/sites/SportsCoordinatorsSUT/Gedeelde documenten/General/(WIP) FAM Sheets - Regulations 2025-28 - Version April 2025.xlsx'!LocationNames</formula1>
    </dataValidation>
  </dataValidations>
  <pageMargins left="0.7" right="0.7" top="0.75" bottom="0.75" header="0" footer="0"/>
  <pageSetup paperSize="9" orientation="portrait"/>
  <drawing r:id="rId1"/>
  <legacyDrawing r:id="rId2"/>
  <tableParts count="6">
    <tablePart r:id="rId3"/>
    <tablePart r:id="rId4"/>
    <tablePart r:id="rId5"/>
    <tablePart r:id="rId6"/>
    <tablePart r:id="rId7"/>
    <tablePart r:id="rId8"/>
  </tableParts>
  <extLst>
    <ext xmlns:x14="http://schemas.microsoft.com/office/spreadsheetml/2009/9/main" uri="{CCE6A557-97BC-4b89-ADB6-D9C93CAAB3DF}">
      <x14:dataValidations xmlns:xm="http://schemas.microsoft.com/office/excel/2006/main" count="4">
        <x14:dataValidation type="list" allowBlank="1" showInputMessage="1" showErrorMessage="1" xr:uid="{D75EC84C-586D-4BA4-80D2-9E49808A9495}">
          <x14:formula1>
            <xm:f>Constants!$C$55:$C$56</xm:f>
          </x14:formula1>
          <xm:sqref>B12</xm:sqref>
        </x14:dataValidation>
        <x14:dataValidation type="list" allowBlank="1" showErrorMessage="1" xr:uid="{5E59F031-9191-4C05-BDB8-95F2B3BB9489}">
          <x14:formula1>
            <xm:f>Constants!$H$6:$H$13</xm:f>
          </x14:formula1>
          <xm:sqref>B58:B70</xm:sqref>
        </x14:dataValidation>
        <x14:dataValidation type="list" allowBlank="1" showErrorMessage="1" xr:uid="{07662B71-91B4-4D38-90B4-8E5CC3C1865D}">
          <x14:formula1>
            <xm:f>Constants!$A$2:$AD$2</xm:f>
          </x14:formula1>
          <xm:sqref>B86:B90</xm:sqref>
        </x14:dataValidation>
        <x14:dataValidation type="list" allowBlank="1" showInputMessage="1" showErrorMessage="1" xr:uid="{12313CE9-8900-4178-BE88-D11EC4CFA1BE}">
          <x14:formula1>
            <xm:f>Constants!$M$6:$M$7</xm:f>
          </x14:formula1>
          <xm:sqref>B143:B144</xm:sqref>
        </x14:dataValidation>
      </x14:dataValidation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60E41-A330-0941-A504-F1CACE143249}">
  <dimension ref="A1:BG1003"/>
  <sheetViews>
    <sheetView topLeftCell="AA5" zoomScale="140" zoomScaleNormal="140" workbookViewId="0">
      <selection activeCell="AF30" sqref="AF30"/>
    </sheetView>
  </sheetViews>
  <sheetFormatPr defaultColWidth="12.625" defaultRowHeight="15" customHeight="1"/>
  <cols>
    <col min="1" max="1" width="36.625" customWidth="1"/>
    <col min="2" max="2" width="28.125" customWidth="1"/>
    <col min="3" max="3" width="21" customWidth="1"/>
    <col min="4" max="4" width="17.5" customWidth="1"/>
    <col min="5" max="5" width="16.125" customWidth="1"/>
    <col min="6" max="6" width="21.5" customWidth="1"/>
    <col min="7" max="7" width="22.625" customWidth="1"/>
    <col min="8" max="8" width="18.625" customWidth="1"/>
    <col min="9" max="9" width="19.625" customWidth="1"/>
    <col min="10" max="10" width="18.875" customWidth="1"/>
    <col min="11" max="11" width="21.625" customWidth="1"/>
    <col min="12" max="12" width="17.375" customWidth="1"/>
    <col min="13" max="13" width="15.125" customWidth="1"/>
    <col min="14" max="14" width="15.625" customWidth="1"/>
    <col min="15" max="15" width="28.5" customWidth="1"/>
    <col min="16" max="16" width="13.125" customWidth="1"/>
    <col min="17" max="17" width="21.875" customWidth="1"/>
    <col min="18" max="18" width="27" customWidth="1"/>
    <col min="19" max="19" width="20.5" customWidth="1"/>
    <col min="20" max="22" width="7.625" customWidth="1"/>
    <col min="23" max="23" width="31.875" customWidth="1"/>
    <col min="24" max="24" width="7.625" customWidth="1"/>
    <col min="25" max="25" width="8.375" customWidth="1"/>
    <col min="26" max="26" width="21.625" customWidth="1"/>
    <col min="27" max="27" width="12" customWidth="1"/>
    <col min="28" max="28" width="16.5" customWidth="1"/>
    <col min="29" max="29" width="6" customWidth="1"/>
    <col min="30" max="30" width="13.625" customWidth="1"/>
  </cols>
  <sheetData>
    <row r="1" spans="1:59" ht="171" customHeight="1">
      <c r="A1" s="703"/>
      <c r="B1" s="704"/>
      <c r="C1" s="705"/>
      <c r="D1" s="16"/>
      <c r="E1" s="572" t="s">
        <v>79</v>
      </c>
      <c r="F1" s="704"/>
      <c r="G1" s="704"/>
      <c r="H1" s="705"/>
      <c r="I1" s="16"/>
      <c r="J1" s="16"/>
      <c r="K1" s="16"/>
      <c r="L1" s="16"/>
      <c r="M1" s="16"/>
      <c r="N1" s="16"/>
      <c r="O1" s="16"/>
      <c r="P1" s="16"/>
      <c r="Q1" s="16"/>
      <c r="R1" s="16"/>
      <c r="S1" s="16"/>
      <c r="T1" s="16"/>
      <c r="U1" s="16"/>
      <c r="V1" s="16"/>
      <c r="W1" s="16"/>
      <c r="X1" s="16"/>
      <c r="Y1" s="16"/>
      <c r="Z1" s="16"/>
      <c r="AA1" s="16"/>
      <c r="AB1" s="16"/>
      <c r="AC1" s="16"/>
      <c r="AD1" s="16"/>
    </row>
    <row r="2" spans="1:59">
      <c r="A2" s="58" t="s">
        <v>404</v>
      </c>
      <c r="B2" s="152" t="s">
        <v>405</v>
      </c>
      <c r="C2" s="59"/>
      <c r="D2" s="16"/>
      <c r="E2" s="60" t="s">
        <v>406</v>
      </c>
      <c r="F2" s="153" t="s">
        <v>1827</v>
      </c>
      <c r="G2" s="154"/>
      <c r="H2" s="61"/>
      <c r="I2" s="16"/>
      <c r="J2" s="16"/>
      <c r="K2" s="16"/>
      <c r="L2" s="16"/>
      <c r="M2" s="16"/>
      <c r="N2" s="16"/>
      <c r="O2" s="16"/>
      <c r="P2" s="16"/>
      <c r="Q2" s="16"/>
      <c r="R2" s="16"/>
      <c r="S2" s="16"/>
      <c r="T2" s="16"/>
      <c r="U2" s="16"/>
      <c r="V2" s="16"/>
      <c r="W2" s="16"/>
      <c r="X2" s="16"/>
      <c r="Y2" s="16"/>
      <c r="Z2" s="15"/>
      <c r="AA2" s="15"/>
      <c r="AB2" s="15"/>
      <c r="AC2" s="15"/>
      <c r="AD2" s="16"/>
      <c r="AE2" s="16"/>
      <c r="AF2" s="16"/>
      <c r="AG2" s="16"/>
      <c r="AH2" s="16"/>
      <c r="AI2" s="17"/>
      <c r="AJ2" s="17"/>
      <c r="AK2" s="17"/>
      <c r="AL2" s="17"/>
      <c r="AM2" s="17"/>
      <c r="AN2" s="17"/>
      <c r="AO2" s="17"/>
      <c r="AP2" s="17"/>
      <c r="AQ2" s="17"/>
      <c r="AR2" s="18"/>
      <c r="AS2" s="17"/>
      <c r="AT2" s="17"/>
      <c r="AU2" s="16"/>
      <c r="AV2" s="16"/>
      <c r="AW2" s="16"/>
      <c r="AX2" s="16"/>
      <c r="AY2" s="16"/>
      <c r="AZ2" s="16"/>
      <c r="BA2" s="16"/>
    </row>
    <row r="3" spans="1:59">
      <c r="A3" s="62" t="s">
        <v>408</v>
      </c>
      <c r="B3" s="155">
        <v>4</v>
      </c>
      <c r="C3" s="156"/>
      <c r="D3" s="16"/>
      <c r="E3" s="63" t="s">
        <v>409</v>
      </c>
      <c r="F3" s="189">
        <v>45791</v>
      </c>
      <c r="G3" s="158"/>
      <c r="H3" s="159"/>
      <c r="I3" s="16"/>
      <c r="J3" s="16"/>
      <c r="K3" s="16"/>
      <c r="L3" s="16"/>
      <c r="M3" s="16"/>
      <c r="N3" s="16"/>
      <c r="O3" s="16"/>
      <c r="P3" s="16"/>
      <c r="Q3" s="16"/>
      <c r="R3" s="16"/>
      <c r="S3" s="16"/>
      <c r="T3" s="16"/>
      <c r="U3" s="16"/>
      <c r="V3" s="16"/>
      <c r="W3" s="16"/>
      <c r="X3" s="16"/>
      <c r="Y3" s="16"/>
      <c r="Z3" s="16"/>
      <c r="AA3" s="16"/>
      <c r="AB3" s="16"/>
      <c r="AC3" s="16"/>
      <c r="AD3" s="16"/>
    </row>
    <row r="4" spans="1:59">
      <c r="A4" s="160" t="s">
        <v>410</v>
      </c>
      <c r="B4" s="161">
        <v>45812</v>
      </c>
      <c r="C4" s="162"/>
      <c r="D4" s="16"/>
      <c r="E4" s="163"/>
      <c r="F4" s="164"/>
      <c r="G4" s="165"/>
      <c r="H4" s="166"/>
      <c r="I4" s="16"/>
      <c r="J4" s="16"/>
      <c r="K4" s="16"/>
      <c r="L4" s="16"/>
      <c r="M4" s="16"/>
      <c r="N4" s="16"/>
      <c r="O4" s="16"/>
      <c r="P4" s="16"/>
      <c r="Q4" s="16"/>
      <c r="R4" s="16"/>
      <c r="S4" s="16"/>
      <c r="T4" s="16"/>
      <c r="U4" s="16"/>
      <c r="V4" s="16"/>
      <c r="W4" s="16"/>
      <c r="X4" s="16"/>
      <c r="Y4" s="16"/>
      <c r="Z4" s="16"/>
      <c r="AA4" s="16"/>
      <c r="AB4" s="16"/>
      <c r="AC4" s="16"/>
      <c r="AD4" s="16"/>
    </row>
    <row r="5" spans="1:59">
      <c r="A5" s="167" t="s">
        <v>411</v>
      </c>
      <c r="B5" s="168"/>
      <c r="C5" s="167"/>
      <c r="D5" s="16"/>
      <c r="E5" s="169" t="s">
        <v>412</v>
      </c>
      <c r="F5" s="169"/>
      <c r="G5" s="158"/>
      <c r="H5" s="169"/>
      <c r="I5" s="16"/>
      <c r="J5" s="16"/>
      <c r="K5" s="16"/>
      <c r="L5" s="16"/>
      <c r="M5" s="16"/>
      <c r="N5" s="16"/>
      <c r="O5" s="16"/>
      <c r="P5" s="16"/>
      <c r="Q5" s="16"/>
      <c r="R5" s="16"/>
      <c r="S5" s="16"/>
      <c r="T5" s="16"/>
      <c r="U5" s="16"/>
      <c r="V5" s="16"/>
      <c r="W5" s="16"/>
      <c r="X5" s="16"/>
      <c r="Y5" s="16"/>
      <c r="Z5" s="16"/>
      <c r="AA5" s="16"/>
      <c r="AB5" s="16"/>
      <c r="AC5" s="16"/>
      <c r="AD5" s="16"/>
    </row>
    <row r="6" spans="1:59">
      <c r="A6" s="15"/>
      <c r="B6" s="64"/>
      <c r="C6" s="16"/>
      <c r="D6" s="16"/>
      <c r="E6" s="16"/>
      <c r="F6" s="16"/>
      <c r="G6" s="16"/>
      <c r="H6" s="16"/>
      <c r="I6" s="16"/>
      <c r="J6" s="64"/>
      <c r="K6" s="16"/>
      <c r="L6" s="16"/>
      <c r="M6" s="16"/>
      <c r="N6" s="16"/>
      <c r="O6" s="16"/>
      <c r="P6" s="16"/>
      <c r="Q6" s="16"/>
      <c r="R6" s="16"/>
      <c r="S6" s="16"/>
      <c r="T6" s="16"/>
      <c r="U6" s="16"/>
      <c r="V6" s="16"/>
      <c r="W6" s="16"/>
      <c r="X6" s="16"/>
      <c r="Y6" s="16"/>
      <c r="Z6" s="16"/>
      <c r="AA6" s="16"/>
      <c r="AB6" s="16"/>
      <c r="AC6" s="16"/>
      <c r="AD6" s="16"/>
    </row>
    <row r="7" spans="1:59">
      <c r="A7" s="170" t="s">
        <v>413</v>
      </c>
      <c r="B7" s="59">
        <v>36</v>
      </c>
      <c r="C7" s="16"/>
      <c r="D7" s="573" t="s">
        <v>414</v>
      </c>
      <c r="E7" s="701"/>
      <c r="F7" s="701"/>
      <c r="G7" s="701"/>
      <c r="H7" s="701"/>
      <c r="I7" s="701"/>
      <c r="J7" s="16"/>
      <c r="K7" s="16"/>
      <c r="L7" s="16"/>
      <c r="M7" s="16"/>
      <c r="N7" s="16"/>
      <c r="O7" s="16"/>
      <c r="P7" s="16"/>
      <c r="Q7" s="16"/>
      <c r="R7" s="16"/>
      <c r="S7" s="16"/>
      <c r="T7" s="16"/>
      <c r="U7" s="16"/>
      <c r="V7" s="16"/>
      <c r="W7" s="16"/>
      <c r="X7" s="16"/>
      <c r="Y7" s="16"/>
      <c r="Z7" s="16"/>
      <c r="AA7" s="16"/>
      <c r="AB7" s="16"/>
      <c r="AC7" s="16"/>
      <c r="AD7" s="16"/>
    </row>
    <row r="8" spans="1:59" ht="14.25" customHeight="1">
      <c r="A8" s="171" t="s">
        <v>415</v>
      </c>
      <c r="B8" s="172">
        <f ca="1">M21-M17</f>
        <v>2196.0765724703624</v>
      </c>
      <c r="C8" s="16" t="s">
        <v>416</v>
      </c>
      <c r="D8" s="574" t="s">
        <v>417</v>
      </c>
      <c r="E8" s="704"/>
      <c r="F8" s="704"/>
      <c r="G8" s="704"/>
      <c r="H8" s="704"/>
      <c r="I8" s="704"/>
      <c r="J8" s="16"/>
      <c r="K8" s="16"/>
      <c r="L8" s="16"/>
      <c r="M8" s="16"/>
      <c r="N8" s="16"/>
      <c r="O8" s="16"/>
      <c r="P8" s="16"/>
      <c r="Q8" s="16"/>
      <c r="R8" s="16"/>
      <c r="S8" s="16"/>
      <c r="T8" s="16"/>
      <c r="U8" s="16"/>
      <c r="V8" s="16"/>
      <c r="W8" s="16"/>
      <c r="X8" s="16"/>
      <c r="Y8" s="16"/>
      <c r="Z8" s="16"/>
      <c r="AA8" s="16"/>
      <c r="AB8" s="16"/>
      <c r="AC8" s="16"/>
    </row>
    <row r="9" spans="1:59">
      <c r="A9" s="65" t="s">
        <v>418</v>
      </c>
      <c r="B9" s="173" t="s">
        <v>419</v>
      </c>
      <c r="C9" s="16"/>
      <c r="D9" s="16"/>
      <c r="E9" s="17"/>
      <c r="F9" s="17"/>
      <c r="G9" s="17"/>
      <c r="H9" s="17"/>
      <c r="I9" s="17"/>
      <c r="J9" s="17"/>
      <c r="K9" s="17"/>
      <c r="L9" s="17"/>
      <c r="M9" s="17"/>
      <c r="N9" s="17"/>
      <c r="O9" s="17"/>
      <c r="P9" s="17"/>
      <c r="Q9" s="16"/>
      <c r="R9" s="17"/>
      <c r="S9" s="17"/>
      <c r="T9" s="17"/>
      <c r="U9" s="17"/>
      <c r="V9" s="17"/>
      <c r="W9" s="17"/>
      <c r="X9" s="17"/>
      <c r="Y9" s="17"/>
      <c r="Z9" s="17"/>
      <c r="AA9" s="17"/>
      <c r="AB9" s="17"/>
      <c r="AC9" s="17"/>
      <c r="AD9" s="18" t="s">
        <v>242</v>
      </c>
    </row>
    <row r="10" spans="1:59">
      <c r="A10" s="174" t="s">
        <v>420</v>
      </c>
      <c r="B10" s="66">
        <f>COUNTA(A38:A42)</f>
        <v>3</v>
      </c>
      <c r="C10" s="16"/>
      <c r="D10" s="16"/>
      <c r="E10" s="17"/>
      <c r="F10" s="17"/>
      <c r="G10" s="17"/>
      <c r="H10" s="17"/>
      <c r="I10" s="17"/>
      <c r="J10" s="17"/>
      <c r="K10" s="17"/>
      <c r="L10" s="17"/>
      <c r="M10" s="17"/>
      <c r="N10" s="17"/>
      <c r="O10" s="17"/>
      <c r="P10" s="17"/>
      <c r="Q10" s="16"/>
      <c r="R10" s="17"/>
      <c r="S10" s="17"/>
      <c r="T10" s="17"/>
      <c r="U10" s="17"/>
      <c r="V10" s="17"/>
      <c r="W10" s="17"/>
      <c r="X10" s="17"/>
      <c r="Y10" s="17"/>
      <c r="Z10" s="17"/>
      <c r="AA10" s="17"/>
      <c r="AB10" s="17"/>
      <c r="AC10" s="17"/>
      <c r="AD10" s="18"/>
    </row>
    <row r="11" spans="1:59">
      <c r="A11" s="171" t="s">
        <v>421</v>
      </c>
      <c r="B11" s="238">
        <f>SUM(B38:B42)</f>
        <v>39</v>
      </c>
      <c r="C11" s="16"/>
      <c r="D11" s="16"/>
      <c r="E11" s="17"/>
      <c r="F11" s="17"/>
      <c r="G11" s="17"/>
      <c r="H11" s="17"/>
      <c r="I11" s="17"/>
      <c r="J11" s="17"/>
      <c r="K11" s="17"/>
      <c r="L11" s="17"/>
      <c r="M11" s="17"/>
      <c r="N11" s="17"/>
      <c r="O11" s="17"/>
      <c r="P11" s="17"/>
      <c r="Q11" s="16"/>
      <c r="R11" s="17"/>
      <c r="S11" s="17"/>
      <c r="T11" s="17"/>
      <c r="U11" s="17"/>
      <c r="V11" s="17"/>
      <c r="W11" s="17"/>
      <c r="X11" s="17"/>
      <c r="Y11" s="17"/>
      <c r="Z11" s="17"/>
      <c r="AA11" s="17"/>
      <c r="AB11" s="17"/>
      <c r="AC11" s="17"/>
      <c r="AD11" s="18"/>
    </row>
    <row r="12" spans="1:59">
      <c r="A12" s="239" t="s">
        <v>422</v>
      </c>
      <c r="B12" s="240" t="s">
        <v>319</v>
      </c>
      <c r="C12" s="16"/>
      <c r="D12" s="16"/>
      <c r="E12" s="17"/>
      <c r="F12" s="17"/>
      <c r="G12" s="17"/>
      <c r="H12" s="17"/>
      <c r="I12" s="17"/>
      <c r="J12" s="17"/>
      <c r="K12" s="17"/>
      <c r="L12" s="17"/>
      <c r="M12" s="17"/>
      <c r="N12" s="17"/>
      <c r="O12" s="17"/>
      <c r="P12" s="17"/>
      <c r="Q12" s="16"/>
      <c r="R12" s="17"/>
      <c r="S12" s="17"/>
      <c r="T12" s="17"/>
      <c r="U12" s="17"/>
      <c r="V12" s="17"/>
      <c r="W12" s="17"/>
      <c r="X12" s="17"/>
      <c r="Y12" s="17"/>
      <c r="Z12" s="17"/>
      <c r="AA12" s="17"/>
      <c r="AB12" s="17"/>
      <c r="AC12" s="17"/>
      <c r="AD12" s="18"/>
    </row>
    <row r="13" spans="1:59">
      <c r="A13" s="16"/>
      <c r="B13" s="16"/>
      <c r="C13" s="16"/>
      <c r="D13" s="16"/>
      <c r="E13" s="17"/>
      <c r="F13" s="17"/>
      <c r="G13" s="17"/>
      <c r="H13" s="17"/>
      <c r="I13" s="17"/>
      <c r="J13" s="17"/>
      <c r="K13" s="17"/>
      <c r="L13" s="17"/>
      <c r="M13" s="17"/>
      <c r="N13" s="17"/>
      <c r="O13" s="17"/>
      <c r="P13" s="17"/>
      <c r="Q13" s="16"/>
      <c r="R13" s="17"/>
      <c r="S13" s="17"/>
      <c r="T13" s="17"/>
      <c r="U13" s="17"/>
      <c r="V13" s="17"/>
      <c r="W13" s="17"/>
      <c r="X13" s="17"/>
      <c r="Y13" s="17"/>
      <c r="Z13" s="17"/>
      <c r="AA13" s="17"/>
      <c r="AB13" s="17"/>
      <c r="AC13" s="17"/>
      <c r="AD13" s="17" t="str" cm="1">
        <f t="array" ref="AD13:BF14">Constants!A2:AC3</f>
        <v>SC1</v>
      </c>
      <c r="AE13" s="17" t="str">
        <v>SC1 - Half</v>
      </c>
      <c r="AF13" s="17" t="str">
        <v>SC2</v>
      </c>
      <c r="AG13" s="17" t="str">
        <v>SC2 - Half</v>
      </c>
      <c r="AH13" s="17" t="str">
        <v>SC3</v>
      </c>
      <c r="AI13" s="17" t="str">
        <v>SC4</v>
      </c>
      <c r="AJ13" s="17" t="str">
        <v>SC5</v>
      </c>
      <c r="AK13" s="17" t="str">
        <v>SC6</v>
      </c>
      <c r="AL13" s="17" t="str">
        <v>Dojo</v>
      </c>
      <c r="AM13" s="17" t="str">
        <v>Boulder Wall</v>
      </c>
      <c r="AN13" s="17" t="str">
        <v>Climbing Wall</v>
      </c>
      <c r="AO13" s="17" t="str">
        <v>Artificial Hockey field</v>
      </c>
      <c r="AP13" s="17" t="str">
        <v>Artificial Hockey field - Half</v>
      </c>
      <c r="AQ13" s="17" t="str">
        <v>Artificial Soccer field</v>
      </c>
      <c r="AR13" s="17" t="str">
        <v>Artificial Soccer field - Half</v>
      </c>
      <c r="AS13" s="17" t="str">
        <v>Basketball</v>
      </c>
      <c r="AT13" s="17" t="str">
        <v>Bastille field</v>
      </c>
      <c r="AU13" s="17" t="str">
        <v>Beach fields</v>
      </c>
      <c r="AV13" s="17" t="str">
        <v>Shooting range</v>
      </c>
      <c r="AW13" s="17" t="str">
        <v>Multi/Lacrosse field</v>
      </c>
      <c r="AX13" s="17" t="str">
        <v>Multi/Lacrosse field - Half</v>
      </c>
      <c r="AY13" s="17" t="str">
        <v>Bootcamp field</v>
      </c>
      <c r="AZ13" s="17" t="str">
        <v>Multi/Baseball field</v>
      </c>
      <c r="BA13" s="17" t="str">
        <v>Tennis court</v>
      </c>
      <c r="BB13" s="17" t="str">
        <v>Utrack</v>
      </c>
      <c r="BC13" s="22" t="str">
        <v>Verreveld</v>
      </c>
      <c r="BD13" s="22" t="str">
        <v>Wsc</v>
      </c>
      <c r="BE13" s="22" t="str">
        <v>Indoor pool</v>
      </c>
      <c r="BF13" s="22" t="str">
        <v>Outdoor pool</v>
      </c>
      <c r="BG13" s="22"/>
    </row>
    <row r="14" spans="1:59" ht="15.95" thickBot="1">
      <c r="A14" s="175" t="s">
        <v>423</v>
      </c>
      <c r="B14" s="16"/>
      <c r="C14" s="16"/>
      <c r="D14" s="16"/>
      <c r="E14" s="16"/>
      <c r="F14" s="16"/>
      <c r="G14" s="175" t="s">
        <v>424</v>
      </c>
      <c r="I14" s="17"/>
      <c r="J14" s="17"/>
      <c r="K14" s="176" t="s">
        <v>425</v>
      </c>
      <c r="L14" s="17"/>
      <c r="M14" s="176" t="s">
        <v>426</v>
      </c>
      <c r="N14" s="17"/>
      <c r="O14" s="17"/>
      <c r="P14" s="17"/>
      <c r="Q14" s="17"/>
      <c r="R14" s="17"/>
      <c r="S14" s="16"/>
      <c r="T14" s="17"/>
      <c r="U14" s="17"/>
      <c r="V14" s="17"/>
      <c r="W14" s="17"/>
      <c r="X14" s="17"/>
      <c r="Y14" s="17"/>
      <c r="Z14" s="17"/>
      <c r="AA14" s="17"/>
      <c r="AB14" s="17"/>
      <c r="AC14" s="17"/>
      <c r="AD14" s="19">
        <v>67.5</v>
      </c>
      <c r="AE14" s="19">
        <v>35</v>
      </c>
      <c r="AF14" s="19">
        <v>67.5</v>
      </c>
      <c r="AG14" s="19">
        <v>35</v>
      </c>
      <c r="AH14" s="19">
        <v>40</v>
      </c>
      <c r="AI14" s="19">
        <v>40</v>
      </c>
      <c r="AJ14" s="19">
        <v>35</v>
      </c>
      <c r="AK14" s="19">
        <v>35</v>
      </c>
      <c r="AL14" s="19">
        <v>40</v>
      </c>
      <c r="AM14" s="19">
        <v>27.5</v>
      </c>
      <c r="AN14" s="19">
        <v>45</v>
      </c>
      <c r="AO14" s="19">
        <v>75</v>
      </c>
      <c r="AP14" s="19">
        <v>40</v>
      </c>
      <c r="AQ14" s="19">
        <v>75</v>
      </c>
      <c r="AR14" s="19">
        <v>40</v>
      </c>
      <c r="AS14" s="19">
        <v>30</v>
      </c>
      <c r="AT14" s="19">
        <v>50</v>
      </c>
      <c r="AU14" s="19">
        <v>75</v>
      </c>
      <c r="AV14" s="19">
        <v>40</v>
      </c>
      <c r="AW14" s="19">
        <v>75</v>
      </c>
      <c r="AX14" s="19">
        <v>40</v>
      </c>
      <c r="AY14" s="19">
        <v>50</v>
      </c>
      <c r="AZ14" s="19">
        <v>65</v>
      </c>
      <c r="BA14" s="19">
        <v>35</v>
      </c>
      <c r="BB14" s="19">
        <v>45</v>
      </c>
      <c r="BC14" s="19">
        <v>50</v>
      </c>
      <c r="BD14" s="19">
        <v>0</v>
      </c>
      <c r="BE14" s="19">
        <v>65</v>
      </c>
      <c r="BF14" s="20">
        <v>70</v>
      </c>
      <c r="BG14" s="20"/>
    </row>
    <row r="15" spans="1:59" ht="15.95" thickTop="1">
      <c r="A15" s="67"/>
      <c r="B15" s="68" t="str">
        <f>Constants!H6</f>
        <v>Performance training</v>
      </c>
      <c r="C15" s="68" t="str">
        <f>Constants!H7</f>
        <v>Performance coaching</v>
      </c>
      <c r="D15" s="68" t="str">
        <f>Constants!H8</f>
        <v>Dangerous</v>
      </c>
      <c r="E15" s="69" t="str">
        <f>Constants!H9</f>
        <v>Recreational</v>
      </c>
      <c r="F15" s="69" t="s">
        <v>290</v>
      </c>
      <c r="G15" s="70"/>
      <c r="H15" s="71" t="s">
        <v>427</v>
      </c>
      <c r="I15" s="72" t="s">
        <v>272</v>
      </c>
      <c r="J15" s="70" t="s">
        <v>5</v>
      </c>
      <c r="K15" s="72" t="s">
        <v>428</v>
      </c>
      <c r="L15" s="70" t="s">
        <v>429</v>
      </c>
      <c r="M15" s="73" cm="1">
        <f t="array" ref="M15">(SUM(IF($D$46:$D$50="PT",($F$46:$F$50)/1.5+IF($G$46:$G$50="yes",1)))+SUM(IF($D$46:$D$50="Extern",($F$46:$F$50)/1.5+IF($G$46:$G$50="yes",1)))+SUM(IF($D$46:$D$50="PT-ZZP",($F$46:$F$50)/1.5+IF($G$46:$G$50="yes",1))))*Constants!B10</f>
        <v>0</v>
      </c>
      <c r="N15" s="17"/>
      <c r="O15" s="17"/>
      <c r="P15" s="17"/>
      <c r="Q15" s="17"/>
      <c r="R15" s="16"/>
      <c r="S15" s="17"/>
      <c r="T15" s="17"/>
      <c r="U15" s="17"/>
      <c r="V15" s="17"/>
      <c r="W15" s="17"/>
      <c r="X15" s="17"/>
      <c r="Y15" s="17"/>
      <c r="Z15" s="17"/>
      <c r="AA15" s="17"/>
      <c r="AB15" s="17"/>
      <c r="AC15" s="17"/>
      <c r="AD15" s="16">
        <f t="shared" ref="AD15:BF15" si="0">SUMIF($B$71:$B$88,AD13,$F$71:$F$88)</f>
        <v>0</v>
      </c>
      <c r="AE15" s="16">
        <f t="shared" si="0"/>
        <v>0</v>
      </c>
      <c r="AF15" s="16">
        <f t="shared" si="0"/>
        <v>81</v>
      </c>
      <c r="AG15" s="16">
        <f t="shared" si="0"/>
        <v>0</v>
      </c>
      <c r="AH15" s="16">
        <f t="shared" si="0"/>
        <v>0</v>
      </c>
      <c r="AI15" s="16">
        <f t="shared" si="0"/>
        <v>0</v>
      </c>
      <c r="AJ15" s="16">
        <f t="shared" si="0"/>
        <v>0</v>
      </c>
      <c r="AK15" s="16">
        <f t="shared" si="0"/>
        <v>0</v>
      </c>
      <c r="AL15" s="16">
        <f t="shared" si="0"/>
        <v>0</v>
      </c>
      <c r="AM15" s="16">
        <f t="shared" si="0"/>
        <v>0</v>
      </c>
      <c r="AN15" s="16">
        <f t="shared" si="0"/>
        <v>0</v>
      </c>
      <c r="AO15" s="16">
        <f t="shared" si="0"/>
        <v>0</v>
      </c>
      <c r="AP15" s="16">
        <f t="shared" si="0"/>
        <v>0</v>
      </c>
      <c r="AQ15" s="16">
        <f t="shared" si="0"/>
        <v>0</v>
      </c>
      <c r="AR15" s="16">
        <f t="shared" si="0"/>
        <v>0</v>
      </c>
      <c r="AS15" s="16">
        <f t="shared" si="0"/>
        <v>0</v>
      </c>
      <c r="AT15" s="16">
        <f t="shared" si="0"/>
        <v>0</v>
      </c>
      <c r="AU15" s="16">
        <f t="shared" si="0"/>
        <v>0</v>
      </c>
      <c r="AV15" s="16">
        <f t="shared" si="0"/>
        <v>0</v>
      </c>
      <c r="AW15" s="16">
        <f t="shared" si="0"/>
        <v>0</v>
      </c>
      <c r="AX15" s="16">
        <f t="shared" si="0"/>
        <v>0</v>
      </c>
      <c r="AY15" s="16">
        <f t="shared" si="0"/>
        <v>0</v>
      </c>
      <c r="AZ15" s="16">
        <f t="shared" si="0"/>
        <v>87</v>
      </c>
      <c r="BA15" s="16">
        <f t="shared" si="0"/>
        <v>0</v>
      </c>
      <c r="BB15" s="16">
        <f t="shared" si="0"/>
        <v>0</v>
      </c>
      <c r="BC15" s="16">
        <f t="shared" si="0"/>
        <v>0</v>
      </c>
      <c r="BD15" s="16">
        <f t="shared" si="0"/>
        <v>0</v>
      </c>
      <c r="BE15" s="16">
        <f t="shared" si="0"/>
        <v>0</v>
      </c>
      <c r="BF15" s="16">
        <f t="shared" si="0"/>
        <v>0</v>
      </c>
    </row>
    <row r="16" spans="1:59">
      <c r="A16" s="74" t="str">
        <f>Constants!E6</f>
        <v>PT</v>
      </c>
      <c r="B16" s="16">
        <f>SUMIFS(Vakgericht!$F$55:$F$67,Vakgericht!$B$55:$B$67, B$15,Vakgericht!$H$55:$H$67,$A16)*(1+Constants!$B$7)</f>
        <v>0</v>
      </c>
      <c r="C16" s="16">
        <f>SUMIFS(Vakgericht!$F$55:$F$67,Vakgericht!$B$55:$B$67, C$15,Vakgericht!$H$55:$H$67,$A16)</f>
        <v>0</v>
      </c>
      <c r="D16" s="16">
        <f>SUMIFS(Vakgericht!$F$55:$F$67,Vakgericht!$B$55:$B$67, D$15,Vakgericht!$H$55:$H$67,$A16)*(1+Constants!$B$7)</f>
        <v>0</v>
      </c>
      <c r="E16" s="16">
        <f>SUMIFS(Vakgericht!$F$55:$F$67,Vakgericht!$B$55:$B$67, E$15,Vakgericht!$H$55:$H$67,$A16)*(1+Constants!$B$7)</f>
        <v>0</v>
      </c>
      <c r="F16" s="16">
        <f>SUMIFS(Vakgericht!$F$55:$F$67,Vakgericht!$B$55:$B$67, F$15,Vakgericht!$H$55:$H$67,$A16)*(1+Constants!$B$7)</f>
        <v>0</v>
      </c>
      <c r="G16" s="74" t="s">
        <v>430</v>
      </c>
      <c r="H16" s="16">
        <f>SUMIF(Vakgericht!$B$71:$B$89,"&lt;&gt;External",Vakgericht!$F$71:$F$89)</f>
        <v>168</v>
      </c>
      <c r="I16" s="75">
        <f>SUMIF(Vakgericht!$B$71:$B$89,"External",Vakgericht!$F$71:$F$89)</f>
        <v>0</v>
      </c>
      <c r="J16" s="234">
        <f>SUM($F$92:$F$105)</f>
        <v>133.33333333333334</v>
      </c>
      <c r="K16" s="76">
        <f>IF(OR(ISBLANK(B7),ISBLANK(B9)), "ERROR",MAX(MIN(J16,B7*Constants!B15)-Constants!B14*B7,0)*IF(B9="yes",Constants!B16,IF(B9="no",Constants!B17,0)))</f>
        <v>0</v>
      </c>
      <c r="L16" s="77" t="s">
        <v>360</v>
      </c>
      <c r="M16" s="76">
        <f>E16*Constants!B6+E17*Constants!B8+E22+E21</f>
        <v>0</v>
      </c>
      <c r="N16" s="17"/>
      <c r="O16" s="17"/>
      <c r="P16" s="17"/>
      <c r="Q16" s="17"/>
      <c r="R16" s="16"/>
      <c r="S16" s="17"/>
      <c r="T16" s="17"/>
      <c r="U16" s="17"/>
      <c r="V16" s="17"/>
      <c r="W16" s="17"/>
      <c r="X16" s="17"/>
      <c r="Y16" s="17"/>
      <c r="Z16" s="17"/>
      <c r="AA16" s="17"/>
      <c r="AB16" s="17"/>
      <c r="AC16" s="17"/>
      <c r="AD16" s="19">
        <f t="shared" ref="AD16:BF16" si="1">AD14*AD15</f>
        <v>0</v>
      </c>
      <c r="AE16" s="19">
        <f t="shared" si="1"/>
        <v>0</v>
      </c>
      <c r="AF16" s="19">
        <f t="shared" si="1"/>
        <v>5467.5</v>
      </c>
      <c r="AG16" s="19">
        <f t="shared" si="1"/>
        <v>0</v>
      </c>
      <c r="AH16" s="19">
        <f t="shared" si="1"/>
        <v>0</v>
      </c>
      <c r="AI16" s="19">
        <f t="shared" si="1"/>
        <v>0</v>
      </c>
      <c r="AJ16" s="19">
        <f t="shared" si="1"/>
        <v>0</v>
      </c>
      <c r="AK16" s="19">
        <f t="shared" si="1"/>
        <v>0</v>
      </c>
      <c r="AL16" s="19">
        <f t="shared" si="1"/>
        <v>0</v>
      </c>
      <c r="AM16" s="19">
        <f t="shared" si="1"/>
        <v>0</v>
      </c>
      <c r="AN16" s="19">
        <f t="shared" si="1"/>
        <v>0</v>
      </c>
      <c r="AO16" s="19">
        <f t="shared" si="1"/>
        <v>0</v>
      </c>
      <c r="AP16" s="19">
        <f t="shared" si="1"/>
        <v>0</v>
      </c>
      <c r="AQ16" s="19">
        <f t="shared" si="1"/>
        <v>0</v>
      </c>
      <c r="AR16" s="19">
        <f t="shared" si="1"/>
        <v>0</v>
      </c>
      <c r="AS16" s="19">
        <f t="shared" si="1"/>
        <v>0</v>
      </c>
      <c r="AT16" s="19">
        <f t="shared" si="1"/>
        <v>0</v>
      </c>
      <c r="AU16" s="19">
        <f t="shared" si="1"/>
        <v>0</v>
      </c>
      <c r="AV16" s="19">
        <f t="shared" si="1"/>
        <v>0</v>
      </c>
      <c r="AW16" s="19">
        <f t="shared" si="1"/>
        <v>0</v>
      </c>
      <c r="AX16" s="19">
        <f t="shared" si="1"/>
        <v>0</v>
      </c>
      <c r="AY16" s="19">
        <f t="shared" si="1"/>
        <v>0</v>
      </c>
      <c r="AZ16" s="19">
        <f t="shared" si="1"/>
        <v>5655</v>
      </c>
      <c r="BA16" s="19">
        <f t="shared" si="1"/>
        <v>0</v>
      </c>
      <c r="BB16" s="19">
        <f t="shared" si="1"/>
        <v>0</v>
      </c>
      <c r="BC16" s="19">
        <f t="shared" si="1"/>
        <v>0</v>
      </c>
      <c r="BD16" s="19">
        <f t="shared" si="1"/>
        <v>0</v>
      </c>
      <c r="BE16" s="19">
        <f t="shared" si="1"/>
        <v>0</v>
      </c>
      <c r="BF16" s="19">
        <f t="shared" si="1"/>
        <v>0</v>
      </c>
    </row>
    <row r="17" spans="1:36">
      <c r="A17" s="74" t="str">
        <f>Constants!E7</f>
        <v>PT-V</v>
      </c>
      <c r="B17" s="16">
        <f>SUMIFS(Vakgericht!$F$55:$F$67,Vakgericht!$B$55:$B$67, B$15,Vakgericht!$H$55:$H$67,$A17)*(1+Constants!$B$9)</f>
        <v>73.5</v>
      </c>
      <c r="C17" s="16">
        <f>SUMIFS(Vakgericht!$F$55:$F$67,Vakgericht!$B$55:$B$67, C$15,Vakgericht!$H$55:$H$67,$A17)</f>
        <v>66</v>
      </c>
      <c r="D17" s="16">
        <f>SUMIFS(Vakgericht!$F$55:$F$67,Vakgericht!$B$55:$B$67, D$15,Vakgericht!$H$55:$H$67,$A17)*(1+Constants!$B$9)</f>
        <v>0</v>
      </c>
      <c r="E17" s="16">
        <f>SUMIFS(Vakgericht!$F$55:$F$67,Vakgericht!$B$55:$B$67, E$15,Vakgericht!$H$55:$H$67,$A17)*(1+Constants!$B$9)</f>
        <v>0</v>
      </c>
      <c r="F17" s="16">
        <f>SUMIFS(Vakgericht!$F$55:$F$67,Vakgericht!$B$55:$B$67, F$15,Vakgericht!$H$55:$H$67,$A17)</f>
        <v>0</v>
      </c>
      <c r="G17" s="74" t="s">
        <v>38</v>
      </c>
      <c r="H17" s="78">
        <f>SUM(AD16:BZ16)</f>
        <v>11122.5</v>
      </c>
      <c r="I17" s="76" cm="1">
        <f t="array" ref="I17">SUM(IF($B$71:$B$87="External",$F$71:$F$87*$H$71:$H$87,0))</f>
        <v>0</v>
      </c>
      <c r="J17" s="79"/>
      <c r="K17" s="80"/>
      <c r="L17" s="77" t="s">
        <v>63</v>
      </c>
      <c r="M17" s="76">
        <f>J16-K16</f>
        <v>133.33333333333334</v>
      </c>
      <c r="N17" s="17"/>
      <c r="O17" s="17"/>
      <c r="P17" s="17"/>
      <c r="Q17" s="17"/>
      <c r="R17" s="16"/>
      <c r="S17" s="17"/>
      <c r="T17" s="17"/>
      <c r="U17" s="17"/>
      <c r="V17" s="17"/>
      <c r="W17" s="17"/>
      <c r="X17" s="17"/>
      <c r="Y17" s="17"/>
      <c r="Z17" s="17"/>
      <c r="AA17" s="17"/>
      <c r="AB17" s="17"/>
      <c r="AC17" s="17"/>
      <c r="AD17" s="17"/>
      <c r="AE17" s="17"/>
    </row>
    <row r="18" spans="1:36">
      <c r="A18" s="74" t="str">
        <f>Constants!E8</f>
        <v>PT-ZZP</v>
      </c>
      <c r="B18" s="16">
        <f>SUMIFS(Vakgericht!$F$55:$F$67,Vakgericht!$B$55:$B$67, B$15,Vakgericht!$H$55:$H$67,$A18)*(1+Constants!$B$7)</f>
        <v>0</v>
      </c>
      <c r="C18" s="16">
        <f>SUMIFS(Vakgericht!$F$55:$F$67,Vakgericht!$B$55:$B$67, C$15,Vakgericht!$H$55:$H$67,$A18)</f>
        <v>0</v>
      </c>
      <c r="D18" s="16">
        <f>SUMIFS(Vakgericht!$F$55:$F$67,Vakgericht!$B$55:$B$67, D$15,Vakgericht!$H$55:$H$67,$A18)*(1+Constants!$B$7)</f>
        <v>0</v>
      </c>
      <c r="E18" s="16">
        <f>SUMIFS(Vakgericht!$F$55:$F$67,Vakgericht!$B$55:$B$67, E$15,Vakgericht!$H$55:$H$67,$A18)*(1+Constants!$B$7)</f>
        <v>0</v>
      </c>
      <c r="F18" s="16">
        <f>SUMIFS(Vakgericht!$F$55:$F$67,Vakgericht!$B$55:$B$67, F$15,Vakgericht!$H$55:$H$67,$A18)*(1+Constants!$B$7)</f>
        <v>0</v>
      </c>
      <c r="G18" s="74"/>
      <c r="H18" s="78"/>
      <c r="I18" s="76"/>
      <c r="J18" s="79"/>
      <c r="K18" s="80"/>
      <c r="L18" s="77" t="s">
        <v>60</v>
      </c>
      <c r="M18" s="76" t="str">
        <f>IF(I17-Constants!I17*$B$7&gt;0,$I$17-Constants!I17*$B$7,"-")</f>
        <v>-</v>
      </c>
      <c r="N18" s="17"/>
      <c r="O18" s="17"/>
      <c r="P18" s="17"/>
      <c r="Q18" s="17"/>
      <c r="R18" s="16"/>
      <c r="S18" s="17"/>
      <c r="T18" s="17"/>
      <c r="U18" s="17"/>
      <c r="V18" s="17"/>
      <c r="W18" s="17"/>
      <c r="X18" s="17"/>
      <c r="Y18" s="17"/>
      <c r="Z18" s="17"/>
      <c r="AA18" s="17"/>
      <c r="AB18" s="17"/>
      <c r="AC18" s="17"/>
      <c r="AD18" s="17"/>
      <c r="AE18" s="17"/>
    </row>
    <row r="19" spans="1:36">
      <c r="A19" s="74" t="str">
        <f>Constants!E9</f>
        <v>RT</v>
      </c>
      <c r="B19" s="16">
        <f>SUMIFS(Vakgericht!$F$55:$F$67,Vakgericht!$B$55:$B$67, B$15,Vakgericht!$H$55:$H$67,$A19)</f>
        <v>0</v>
      </c>
      <c r="C19" s="16">
        <f>SUMIFS(Vakgericht!$F$55:$F$67,Vakgericht!$B$55:$B$67, C$15,Vakgericht!$H$55:$H$67,$A19)</f>
        <v>0</v>
      </c>
      <c r="D19" s="16">
        <f>SUMIFS(Vakgericht!$F$55:$F$67,Vakgericht!$B$55:$B$67, D$15,Vakgericht!$H$55:$H$67,$A19)</f>
        <v>0</v>
      </c>
      <c r="E19" s="16">
        <f>SUMIFS(Vakgericht!$F$55:$F$67,Vakgericht!$B$55:$B$67, E$15,Vakgericht!$H$55:$H$67,$A19)</f>
        <v>126</v>
      </c>
      <c r="F19" s="16">
        <f>SUMIFS(Vakgericht!$F$55:$F$67,Vakgericht!$B$55:$B$67, F$15,Vakgericht!$H$55:$H$67,$A19)</f>
        <v>0</v>
      </c>
      <c r="G19" s="74" t="s">
        <v>396</v>
      </c>
      <c r="H19" s="78"/>
      <c r="I19" s="76">
        <f>IF(B7*Constants!I17&lt;I17,B7*Constants!I17,I17)</f>
        <v>0</v>
      </c>
      <c r="J19" s="79"/>
      <c r="K19" s="80"/>
      <c r="L19" s="77" t="s">
        <v>431</v>
      </c>
      <c r="M19" s="255">
        <f ca="1">Constants!C31*B7+Data!L34</f>
        <v>2196.0765724703624</v>
      </c>
      <c r="N19" s="17"/>
      <c r="O19" s="17"/>
      <c r="P19" s="17"/>
      <c r="Q19" s="17"/>
      <c r="R19" s="16"/>
      <c r="S19" s="17"/>
      <c r="T19" s="17"/>
      <c r="U19" s="17"/>
      <c r="V19" s="17"/>
      <c r="W19" s="17"/>
      <c r="X19" s="17"/>
      <c r="Y19" s="17"/>
      <c r="Z19" s="17"/>
      <c r="AA19" s="17"/>
      <c r="AB19" s="17"/>
      <c r="AC19" s="17"/>
      <c r="AD19" s="17"/>
      <c r="AE19" s="17"/>
    </row>
    <row r="20" spans="1:36">
      <c r="A20" s="74" t="str">
        <f>Constants!E10</f>
        <v>Extern</v>
      </c>
      <c r="B20" s="16">
        <f>SUMIFS(Vakgericht!$F$55:$F$67,Vakgericht!$B$55:$B$67, B$15,Vakgericht!$H$55:$H$67,$A20)</f>
        <v>0</v>
      </c>
      <c r="C20" s="16">
        <f>SUMIFS(Vakgericht!$F$55:$F$67,Vakgericht!$B$55:$B$67, C$15,Vakgericht!$H$55:$H$67,$A20)</f>
        <v>0</v>
      </c>
      <c r="D20" s="16">
        <f>SUMIFS(Vakgericht!$F$55:$F$67,Vakgericht!$B$55:$B$67, D$15,Vakgericht!$H$55:$H$67,$A20)</f>
        <v>0</v>
      </c>
      <c r="E20" s="16">
        <f>SUMIFS(Vakgericht!$F$55:$F$67,Vakgericht!$B$55:$B$67, E$15,Vakgericht!$H$55:$H$67,$A20)</f>
        <v>0</v>
      </c>
      <c r="F20" s="16">
        <f>SUMIFS(Vakgericht!$F$55:$F$67,Vakgericht!$B$55:$B$67, F$15,Vakgericht!$H$55:$H$67,$A20)</f>
        <v>0</v>
      </c>
      <c r="G20" s="81"/>
      <c r="H20" s="16"/>
      <c r="I20" s="75"/>
      <c r="J20" s="79"/>
      <c r="K20" s="82"/>
      <c r="L20" s="83"/>
      <c r="M20" s="84"/>
      <c r="N20" s="17"/>
      <c r="O20" s="17"/>
      <c r="P20" s="17"/>
      <c r="Q20" s="17"/>
      <c r="R20" s="16"/>
      <c r="S20" s="17"/>
      <c r="T20" s="17"/>
      <c r="U20" s="17"/>
      <c r="V20" s="17"/>
      <c r="W20" s="17"/>
      <c r="X20" s="17"/>
      <c r="Y20" s="17"/>
      <c r="Z20" s="17"/>
      <c r="AA20" s="17"/>
      <c r="AB20" s="17"/>
      <c r="AC20" s="17"/>
      <c r="AD20" s="17"/>
      <c r="AE20" s="17"/>
    </row>
    <row r="21" spans="1:36">
      <c r="A21" s="74" t="str">
        <f>CONCATENATE(A18," Costs")</f>
        <v>PT-ZZP Costs</v>
      </c>
      <c r="B21" s="78">
        <f t="array" ref="B21">SUM(IF(Vakgericht!$B$55:$B$67=B$15,IF(Vakgericht!$H$55:$H$67="PT-ZZP",Vakgericht!$F$55:$F$67*Vakgericht!$I$55:$I$67*(1+Constants!$B$7),0),0))</f>
        <v>0</v>
      </c>
      <c r="C21" s="78">
        <f t="array" ref="C21">SUM(IF(Vakgericht!$B$55:$B$67=C$15,IF(Vakgericht!$H$55:$H$67="PT-ZZP",Vakgericht!$F$55:$F$67*Vakgericht!$I$55:$I$67,0),0))</f>
        <v>0</v>
      </c>
      <c r="D21" s="78">
        <f t="array" ref="D21">SUM(IF(Vakgericht!$B$55:$B$67=D$15,IF(Vakgericht!$H$55:$H$67="PT-ZZP",Vakgericht!$F$55:$F$67*Vakgericht!$I$55:$I$67*(1+Constants!$B$7),0),0))</f>
        <v>0</v>
      </c>
      <c r="E21" s="78">
        <f t="array" ref="E21">SUM(IF(Vakgericht!$B$55:$B$67=E$15,IF(Vakgericht!$H$55:$H$67="PT-ZZP",Vakgericht!$F$55:$F$67*Vakgericht!$I$55:$I$67*(1+Constants!$B$7),0),0))</f>
        <v>0</v>
      </c>
      <c r="F21" s="78">
        <f t="array" ref="F21">SUM(IF(Vakgericht!$B$55:$B$67=F$15,IF(Vakgericht!$H$55:$H$67="PT-ZZP",Vakgericht!$F$55:$F$67*Vakgericht!$I$55:$I$67*(1+Constants!$B$7),0),0))</f>
        <v>0</v>
      </c>
      <c r="G21" s="81"/>
      <c r="H21" s="16"/>
      <c r="I21" s="75"/>
      <c r="J21" s="79"/>
      <c r="K21" s="82"/>
      <c r="L21" s="77" t="s">
        <v>5</v>
      </c>
      <c r="M21" s="76">
        <f ca="1">SUM(M15:M20)</f>
        <v>2329.4099058036959</v>
      </c>
      <c r="N21" s="17"/>
      <c r="O21" s="17"/>
      <c r="P21" s="17"/>
      <c r="Q21" s="17"/>
      <c r="R21" s="16"/>
      <c r="S21" s="17"/>
      <c r="T21" s="17"/>
      <c r="U21" s="17"/>
      <c r="V21" s="17"/>
      <c r="W21" s="17"/>
      <c r="X21" s="17"/>
      <c r="Y21" s="17"/>
      <c r="Z21" s="17"/>
      <c r="AA21" s="17"/>
      <c r="AB21" s="17"/>
      <c r="AC21" s="17"/>
      <c r="AD21" s="17"/>
      <c r="AE21" s="17"/>
    </row>
    <row r="22" spans="1:36" ht="15.75" customHeight="1" thickBot="1">
      <c r="A22" s="74" t="str">
        <f>CONCATENATE(A20," Costs")</f>
        <v>Extern Costs</v>
      </c>
      <c r="B22" s="78">
        <f t="array" ref="B22">SUM(IF(Vakgericht!$B$55:$B$67=B$15,IF(Vakgericht!$H$55:$H$67="Extern",Vakgericht!$F$55:$F$67*Vakgericht!$I$55:$I$67,0),0))</f>
        <v>0</v>
      </c>
      <c r="C22" s="78">
        <f t="array" ref="C22">SUM(IF(Vakgericht!$B$55:$B$67=C$15,IF(Vakgericht!$H$55:$H$67="Extern",Vakgericht!$F$55:$F$67*Vakgericht!$I$55:$I$67,0),0))</f>
        <v>0</v>
      </c>
      <c r="D22" s="78">
        <f t="array" ref="D22">SUM(IF(Vakgericht!$B$55:$B$67=D$15,IF(Vakgericht!$H$55:$H$67="Extern",Vakgericht!$F$55:$F$67*Vakgericht!$I$55:$I$67,0),0))</f>
        <v>0</v>
      </c>
      <c r="E22" s="78">
        <f t="array" ref="E22">SUM(IF(Vakgericht!$B$55:$B$67=E$15,IF(Vakgericht!$H$55:$H$67="Extern",Vakgericht!$F$55:$F$67*Vakgericht!$I$55:$I$67,0),0))</f>
        <v>0</v>
      </c>
      <c r="F22" s="76">
        <f t="array" ref="F22">SUM(IF(Vakgericht!$B$55:$B$67=F$15,IF(Vakgericht!$H$55:$H$67="Extern",Vakgericht!$F$55:$F$67*Vakgericht!$I$55:$I$67,0),0))</f>
        <v>0</v>
      </c>
      <c r="G22" s="85"/>
      <c r="H22" s="177"/>
      <c r="I22" s="86"/>
      <c r="J22" s="87"/>
      <c r="K22" s="88"/>
      <c r="L22" s="87"/>
      <c r="M22" s="88"/>
      <c r="N22" s="17"/>
      <c r="O22" s="17"/>
      <c r="P22" s="17"/>
      <c r="Q22" s="17"/>
      <c r="R22" s="16"/>
      <c r="S22" s="17"/>
      <c r="T22" s="17"/>
      <c r="U22" s="17"/>
      <c r="V22" s="17"/>
      <c r="W22" s="17"/>
      <c r="X22" s="17"/>
      <c r="Y22" s="17"/>
      <c r="Z22" s="17"/>
      <c r="AA22" s="17"/>
      <c r="AB22" s="17"/>
      <c r="AC22" s="17"/>
      <c r="AD22" s="17"/>
      <c r="AE22" s="17"/>
    </row>
    <row r="23" spans="1:36" ht="15" customHeight="1" thickTop="1">
      <c r="A23" s="74" t="s">
        <v>432</v>
      </c>
      <c r="B23" s="78"/>
      <c r="C23" s="78"/>
      <c r="D23" s="78"/>
      <c r="E23" s="78"/>
      <c r="F23" s="76">
        <f t="array" ref="F23">SUMIFS(Vakgericht!$F$55:$F$67,Vakgericht!$B$55:$B$67,"Mentorship",Vakgericht!$H$55:$H$67,"PT-V")*Constants!B8+SUMIFS(Vakgericht!$F$55:$F$67,Vakgericht!$B$55:$B$67,"Mentorship",Vakgericht!$H$55:$H$67,"PT")*Constants!B6+SUMPRODUCT(IF(Vakgericht!$B$55:$B$67="Mentorship",IF(Vakgericht!$H$55:$H$67="PT-ZZP",Vakgericht!$F$55:$F$67*Vakgericht!$I$55:$I$67,0)))</f>
        <v>0</v>
      </c>
    </row>
    <row r="24" spans="1:36" ht="15" customHeight="1" thickBot="1">
      <c r="A24" s="89" t="s">
        <v>433</v>
      </c>
      <c r="B24" s="178"/>
      <c r="C24" s="178"/>
      <c r="D24" s="178"/>
      <c r="E24" s="178">
        <f>SUMIF(Vakgericht!$B$55:$B$67,"External Trainer Course",Vakgericht!$I$55:$I$67)</f>
        <v>0</v>
      </c>
      <c r="F24" s="90"/>
    </row>
    <row r="25" spans="1:36" ht="15.75" customHeight="1" thickTop="1">
      <c r="A25" s="16"/>
      <c r="B25" s="16"/>
      <c r="C25" s="16"/>
      <c r="D25" s="16"/>
      <c r="E25" s="17"/>
      <c r="F25" s="17"/>
      <c r="G25" s="17"/>
      <c r="H25" s="17"/>
      <c r="I25" s="17"/>
      <c r="J25" s="17"/>
      <c r="K25" s="17"/>
      <c r="L25" s="17"/>
      <c r="M25" s="17"/>
      <c r="N25" s="17"/>
      <c r="O25" s="17"/>
      <c r="P25" s="17"/>
      <c r="Q25" s="16"/>
      <c r="R25" s="17"/>
      <c r="S25" s="17"/>
      <c r="T25" s="17"/>
      <c r="U25" s="17"/>
      <c r="V25" s="17"/>
      <c r="W25" s="17"/>
      <c r="X25" s="17"/>
      <c r="Y25" s="17"/>
      <c r="Z25" s="17"/>
      <c r="AA25" s="17"/>
      <c r="AB25" s="17"/>
      <c r="AC25" s="17"/>
      <c r="AD25" s="17"/>
    </row>
    <row r="26" spans="1:36" ht="15.75" customHeight="1">
      <c r="A26" s="16"/>
      <c r="B26" s="16"/>
      <c r="C26" s="16"/>
      <c r="D26" s="16"/>
      <c r="E26" s="17"/>
      <c r="F26" s="17"/>
      <c r="G26" s="17"/>
      <c r="H26" s="17"/>
      <c r="I26" s="17"/>
      <c r="J26" s="17"/>
      <c r="K26" s="17"/>
      <c r="L26" s="17"/>
      <c r="M26" s="17"/>
      <c r="N26" s="17"/>
      <c r="O26" s="17"/>
      <c r="P26" s="17"/>
      <c r="Q26" s="16"/>
      <c r="R26" s="17"/>
      <c r="S26" s="17"/>
      <c r="T26" s="17"/>
      <c r="U26" s="17"/>
      <c r="V26" s="17"/>
      <c r="W26" s="17"/>
      <c r="X26" s="17"/>
      <c r="Y26" s="17"/>
      <c r="Z26" s="17"/>
      <c r="AA26" s="17"/>
      <c r="AB26" s="17"/>
      <c r="AC26" s="17"/>
      <c r="AD26" s="17"/>
    </row>
    <row r="27" spans="1:36" ht="15.75" customHeight="1" thickBot="1">
      <c r="A27" s="91" t="s">
        <v>434</v>
      </c>
      <c r="B27" s="17"/>
      <c r="C27" s="17"/>
      <c r="D27" s="17"/>
      <c r="E27" s="17"/>
      <c r="F27" s="17"/>
      <c r="G27" s="92"/>
      <c r="H27" s="19"/>
      <c r="I27" s="17"/>
      <c r="J27" s="17"/>
      <c r="K27" s="17"/>
      <c r="L27" s="17"/>
      <c r="M27" s="17"/>
      <c r="N27" s="17"/>
      <c r="O27" s="17"/>
      <c r="P27" s="17"/>
      <c r="Q27" s="16"/>
      <c r="R27" s="17"/>
      <c r="S27" s="17"/>
      <c r="T27" s="17"/>
      <c r="U27" s="17"/>
      <c r="V27" s="17"/>
      <c r="W27" s="17"/>
      <c r="X27" s="17"/>
      <c r="Y27" s="17"/>
      <c r="Z27" s="17"/>
      <c r="AA27" s="17"/>
      <c r="AB27" s="17"/>
      <c r="AC27" s="17"/>
      <c r="AD27" s="17"/>
    </row>
    <row r="28" spans="1:36" ht="15.75" customHeight="1" thickTop="1" thickBot="1">
      <c r="A28" s="706" t="s">
        <v>435</v>
      </c>
      <c r="B28" s="707"/>
      <c r="C28" s="707"/>
      <c r="D28" s="707"/>
      <c r="E28" s="707"/>
      <c r="F28" s="708"/>
      <c r="G28" s="15"/>
      <c r="H28" s="17"/>
      <c r="I28" s="17"/>
      <c r="J28" s="17"/>
      <c r="K28" s="17"/>
      <c r="L28" s="17"/>
      <c r="M28" s="17"/>
      <c r="N28" s="17"/>
      <c r="O28" s="17"/>
      <c r="P28" s="17"/>
      <c r="Q28" s="16"/>
      <c r="R28" s="17"/>
      <c r="S28" s="17"/>
      <c r="T28" s="17"/>
      <c r="U28" s="17"/>
      <c r="V28" s="17"/>
      <c r="W28" s="17"/>
      <c r="X28" s="17"/>
      <c r="Y28" s="17"/>
      <c r="Z28" s="17"/>
      <c r="AA28" s="17"/>
      <c r="AB28" s="17"/>
      <c r="AC28" s="17"/>
      <c r="AD28" s="242" t="s">
        <v>436</v>
      </c>
      <c r="AE28" s="16"/>
      <c r="AF28" s="128"/>
      <c r="AG28" s="51"/>
      <c r="AH28" s="51"/>
      <c r="AI28" s="51"/>
      <c r="AJ28" s="51"/>
    </row>
    <row r="29" spans="1:36" ht="15.75" customHeight="1" thickBot="1">
      <c r="A29" s="709" t="s">
        <v>437</v>
      </c>
      <c r="B29" s="696"/>
      <c r="C29" s="696"/>
      <c r="D29" s="696"/>
      <c r="E29" s="696"/>
      <c r="F29" s="710"/>
      <c r="G29" s="17"/>
      <c r="H29" s="17"/>
      <c r="I29" s="17"/>
      <c r="J29" s="17"/>
      <c r="K29" s="17"/>
      <c r="L29" s="17"/>
      <c r="M29" s="17"/>
      <c r="N29" s="17"/>
      <c r="O29" s="17"/>
      <c r="P29" s="17"/>
      <c r="Q29" s="16"/>
      <c r="R29" s="17"/>
      <c r="S29" s="17"/>
      <c r="T29" s="17"/>
      <c r="U29" s="17"/>
      <c r="V29" s="17"/>
      <c r="W29" s="17"/>
      <c r="X29" s="17"/>
      <c r="Y29" s="17"/>
      <c r="Z29" s="17"/>
      <c r="AA29" s="17"/>
      <c r="AB29" s="17"/>
      <c r="AC29" s="17"/>
      <c r="AD29" s="243" t="s">
        <v>438</v>
      </c>
      <c r="AE29" s="243" t="s">
        <v>439</v>
      </c>
      <c r="AF29" s="243" t="s">
        <v>440</v>
      </c>
      <c r="AG29" s="711" t="s">
        <v>441</v>
      </c>
      <c r="AH29" s="712"/>
      <c r="AI29" s="711" t="s">
        <v>434</v>
      </c>
      <c r="AJ29" s="712"/>
    </row>
    <row r="30" spans="1:36" ht="15.75" customHeight="1" thickBot="1">
      <c r="A30" s="709" t="s">
        <v>442</v>
      </c>
      <c r="B30" s="696"/>
      <c r="C30" s="696"/>
      <c r="D30" s="696"/>
      <c r="E30" s="696"/>
      <c r="F30" s="710"/>
      <c r="G30" s="17"/>
      <c r="H30" s="17"/>
      <c r="I30" s="17"/>
      <c r="J30" s="17"/>
      <c r="K30" s="17"/>
      <c r="L30" s="17"/>
      <c r="M30" s="17"/>
      <c r="N30" s="17"/>
      <c r="O30" s="17"/>
      <c r="P30" s="17"/>
      <c r="Q30" s="16"/>
      <c r="R30" s="17"/>
      <c r="S30" s="17"/>
      <c r="T30" s="17"/>
      <c r="U30" s="17"/>
      <c r="V30" s="17"/>
      <c r="W30" s="17"/>
      <c r="X30" s="17"/>
      <c r="Y30" s="17"/>
      <c r="Z30" s="17"/>
      <c r="AA30" s="17"/>
      <c r="AB30" s="17"/>
      <c r="AC30" s="17"/>
      <c r="AD30" s="244" t="str">
        <f>IF($B$12="individual",Constants!F55,Constants!L55)</f>
        <v>member count</v>
      </c>
      <c r="AE30" s="244">
        <f>B7</f>
        <v>36</v>
      </c>
      <c r="AF30" s="269">
        <f>IF(AE30&gt;=301,5,IF(AE30&gt;=176,4,IF(AE30&gt;=101,3,IF(AE30&gt;=51,2,1))))</f>
        <v>1</v>
      </c>
      <c r="AG30" s="560"/>
      <c r="AH30" s="560"/>
      <c r="AI30" s="560" t="s">
        <v>443</v>
      </c>
      <c r="AJ30" s="560"/>
    </row>
    <row r="31" spans="1:36" ht="15" customHeight="1" thickBot="1">
      <c r="A31" s="709" t="s">
        <v>444</v>
      </c>
      <c r="B31" s="696"/>
      <c r="C31" s="696"/>
      <c r="D31" s="696"/>
      <c r="E31" s="696"/>
      <c r="F31" s="710"/>
      <c r="G31" s="17"/>
      <c r="H31" s="17"/>
      <c r="I31" s="17"/>
      <c r="J31" s="17"/>
      <c r="K31" s="17"/>
      <c r="L31" s="17"/>
      <c r="M31" s="17"/>
      <c r="N31" s="17"/>
      <c r="O31" s="17"/>
      <c r="P31" s="17"/>
      <c r="Q31" s="16"/>
      <c r="R31" s="17"/>
      <c r="S31" s="17"/>
      <c r="T31" s="17"/>
      <c r="U31" s="17"/>
      <c r="V31" s="17"/>
      <c r="W31" s="17"/>
      <c r="X31" s="17"/>
      <c r="Y31" s="17"/>
      <c r="Z31" s="17"/>
      <c r="AA31" s="17"/>
      <c r="AB31" s="17"/>
      <c r="AC31" s="17"/>
      <c r="AD31" s="244" t="str">
        <f>IF($B$12="individual",Constants!F56,Constants!L56)</f>
        <v>number of trainings per week</v>
      </c>
      <c r="AE31" s="244" cm="1">
        <f t="array" ref="AE31">SUMPRODUCT(C55:C67*D55:D67)/42</f>
        <v>3.3571428571428572</v>
      </c>
      <c r="AF31" s="270">
        <f>IF(AE31&gt;=4,3,IF(AE31&gt;=3,2,IF(AE31&gt;=2,1,0)))</f>
        <v>2</v>
      </c>
      <c r="AG31" s="560"/>
      <c r="AH31" s="560"/>
      <c r="AI31" s="560"/>
      <c r="AJ31" s="560"/>
    </row>
    <row r="32" spans="1:36" ht="15.75" customHeight="1" thickBot="1">
      <c r="A32" s="709" t="s">
        <v>445</v>
      </c>
      <c r="B32" s="696"/>
      <c r="C32" s="696"/>
      <c r="D32" s="696"/>
      <c r="E32" s="696"/>
      <c r="F32" s="710"/>
      <c r="G32" s="17"/>
      <c r="H32" s="16"/>
      <c r="I32" s="16"/>
      <c r="J32" s="16"/>
      <c r="K32" s="17"/>
      <c r="L32" s="17"/>
      <c r="M32" s="17"/>
      <c r="N32" s="17"/>
      <c r="O32" s="17"/>
      <c r="P32" s="17"/>
      <c r="Q32" s="16"/>
      <c r="R32" s="17"/>
      <c r="S32" s="17"/>
      <c r="T32" s="17"/>
      <c r="U32" s="17"/>
      <c r="V32" s="17"/>
      <c r="W32" s="17"/>
      <c r="X32" s="17"/>
      <c r="Y32" s="17"/>
      <c r="Z32" s="17"/>
      <c r="AA32" s="17"/>
      <c r="AB32" s="17"/>
      <c r="AC32" s="17"/>
      <c r="AD32" s="244" t="str">
        <f>IF($B$12="individual",Constants!F57,Constants!L57)</f>
        <v>number of trainings weeks per year</v>
      </c>
      <c r="AE32" s="252">
        <f>MAX(C55:C67)</f>
        <v>42</v>
      </c>
      <c r="AF32" s="250">
        <f>IF(AE32&gt;=40,3,IF(AE32&gt;=35,2,1))</f>
        <v>3</v>
      </c>
      <c r="AG32" s="560"/>
      <c r="AH32" s="560"/>
      <c r="AI32" s="560"/>
      <c r="AJ32" s="560"/>
    </row>
    <row r="33" spans="1:58" ht="15.75" customHeight="1" thickBot="1">
      <c r="A33" s="93" t="s">
        <v>446</v>
      </c>
      <c r="F33" s="94"/>
      <c r="G33" s="17"/>
      <c r="H33" s="16"/>
      <c r="I33" s="16"/>
      <c r="J33" s="16"/>
      <c r="K33" s="17"/>
      <c r="L33" s="17"/>
      <c r="M33" s="17"/>
      <c r="N33" s="17"/>
      <c r="O33" s="17"/>
      <c r="P33" s="17"/>
      <c r="Q33" s="16"/>
      <c r="R33" s="17"/>
      <c r="S33" s="17"/>
      <c r="T33" s="17"/>
      <c r="U33" s="17"/>
      <c r="V33" s="17"/>
      <c r="W33" s="17"/>
      <c r="X33" s="17"/>
      <c r="Y33" s="17"/>
      <c r="Z33" s="17"/>
      <c r="AA33" s="17"/>
      <c r="AB33" s="17"/>
      <c r="AC33" s="17"/>
      <c r="AD33" s="244" t="str">
        <f>IF($B$12="individual",Constants!F58,Constants!L58)</f>
        <v>number of training hours by RT / PT-V</v>
      </c>
      <c r="AE33" s="251">
        <f>(SUMIF(H55:H67,"RT",F55:F67)+SUMIF(H55:H67,"PT-V",F55:F67))/SUM(F55:F67)</f>
        <v>1</v>
      </c>
      <c r="AF33" s="270">
        <f>IF(AE33&gt;0.9,3,IF(AE33&gt;0.6,2,IF(AE33&gt;0.3,1,0)))</f>
        <v>3</v>
      </c>
      <c r="AG33" s="560"/>
      <c r="AH33" s="560"/>
      <c r="AI33" s="560"/>
      <c r="AJ33" s="560"/>
    </row>
    <row r="34" spans="1:58" ht="15.75" customHeight="1" thickBot="1">
      <c r="A34" s="713" t="s">
        <v>447</v>
      </c>
      <c r="B34" s="714"/>
      <c r="C34" s="714"/>
      <c r="D34" s="714"/>
      <c r="E34" s="714"/>
      <c r="F34" s="715"/>
      <c r="G34" s="17"/>
      <c r="H34" s="16"/>
      <c r="I34" s="16"/>
      <c r="J34" s="16"/>
      <c r="K34" s="17"/>
      <c r="L34" s="17"/>
      <c r="M34" s="17"/>
      <c r="N34" s="17"/>
      <c r="O34" s="17"/>
      <c r="P34" s="17"/>
      <c r="Q34" s="16"/>
      <c r="R34" s="17"/>
      <c r="S34" s="17"/>
      <c r="T34" s="17"/>
      <c r="U34" s="17"/>
      <c r="V34" s="17"/>
      <c r="W34" s="17"/>
      <c r="X34" s="17"/>
      <c r="Y34" s="17"/>
      <c r="Z34" s="17"/>
      <c r="AA34" s="17"/>
      <c r="AB34" s="17"/>
      <c r="AC34" s="17"/>
      <c r="AD34" s="244" t="str">
        <f>IF($B$12="individual",Constants!F59,Constants!L59)</f>
        <v>number of training groups / teams</v>
      </c>
      <c r="AE34" s="244">
        <f>B10</f>
        <v>3</v>
      </c>
      <c r="AF34" s="271">
        <f>IF(AE34&gt;9,3,IF(AE34&gt;4,2,IF(AE34&gt;2,1,0)))</f>
        <v>1</v>
      </c>
      <c r="AG34" s="560"/>
      <c r="AH34" s="560"/>
      <c r="AI34" s="560"/>
      <c r="AJ34" s="560"/>
    </row>
    <row r="35" spans="1:58" ht="15.75" customHeight="1" thickTop="1" thickBot="1">
      <c r="A35" s="16"/>
      <c r="G35" s="17"/>
      <c r="H35" s="16"/>
      <c r="I35" s="16"/>
      <c r="J35" s="16"/>
      <c r="K35" s="17"/>
      <c r="L35" s="17"/>
      <c r="M35" s="17"/>
      <c r="N35" s="17"/>
      <c r="O35" s="17"/>
      <c r="P35" s="17"/>
      <c r="Q35" s="16"/>
      <c r="R35" s="17"/>
      <c r="S35" s="17"/>
      <c r="T35" s="17"/>
      <c r="U35" s="17"/>
      <c r="V35" s="17"/>
      <c r="W35" s="17"/>
      <c r="X35" s="17"/>
      <c r="Y35" s="17"/>
      <c r="Z35" s="17"/>
      <c r="AA35" s="17"/>
      <c r="AB35" s="17"/>
      <c r="AC35" s="17"/>
      <c r="AD35" s="244" t="str">
        <f>IF($B$12="individual",Constants!F60,Constants!L60)</f>
        <v>number of competitions organised</v>
      </c>
      <c r="AE35" s="249">
        <v>2</v>
      </c>
      <c r="AF35" s="271">
        <f>IF(AE35&gt;=4,5,IF(AE35&gt;=2,3,IF(AE35&gt;=1,1,0)))</f>
        <v>3</v>
      </c>
      <c r="AG35" s="560"/>
      <c r="AH35" s="560"/>
      <c r="AI35" s="560"/>
      <c r="AJ35" s="560"/>
    </row>
    <row r="36" spans="1:58" ht="15.75" customHeight="1" thickBot="1">
      <c r="A36" s="179" t="s">
        <v>448</v>
      </c>
      <c r="B36" s="16"/>
      <c r="C36" s="16"/>
      <c r="D36" s="16"/>
      <c r="E36" s="16"/>
      <c r="F36" s="16"/>
      <c r="G36" s="16"/>
      <c r="H36" s="16"/>
      <c r="I36" s="16"/>
      <c r="J36" s="16"/>
      <c r="K36" s="16"/>
      <c r="L36" s="16"/>
      <c r="M36" s="16"/>
      <c r="N36" s="16"/>
      <c r="O36" s="16"/>
      <c r="P36" s="16"/>
      <c r="Q36" s="16"/>
      <c r="R36" s="16"/>
      <c r="S36" s="16"/>
      <c r="T36" s="16"/>
      <c r="U36" s="16"/>
      <c r="V36" s="16"/>
      <c r="W36" s="16"/>
      <c r="X36" s="16"/>
      <c r="Y36" s="16"/>
      <c r="Z36" s="16"/>
      <c r="AA36" s="16"/>
      <c r="AB36" s="18"/>
      <c r="AC36" s="16"/>
      <c r="AD36" s="244" t="str">
        <f>IF($B$12="individual",Constants!F61,Constants!L61)</f>
        <v>number of social activities</v>
      </c>
      <c r="AE36" s="249">
        <v>25</v>
      </c>
      <c r="AF36" s="271">
        <f>IF(AE36&gt;=20,2,IF(AE36&gt;=10,1,0))</f>
        <v>2</v>
      </c>
      <c r="AG36" s="560"/>
      <c r="AH36" s="560"/>
      <c r="AI36" s="560"/>
      <c r="AJ36" s="560"/>
    </row>
    <row r="37" spans="1:58" ht="15" customHeight="1" thickTop="1" thickBot="1">
      <c r="A37" s="258" t="s">
        <v>449</v>
      </c>
      <c r="B37" s="259" t="s">
        <v>450</v>
      </c>
      <c r="C37" s="258" t="s">
        <v>451</v>
      </c>
      <c r="D37" s="258" t="s">
        <v>452</v>
      </c>
      <c r="E37" s="258" t="s">
        <v>453</v>
      </c>
      <c r="F37" s="258" t="s">
        <v>454</v>
      </c>
      <c r="G37" s="259" t="s">
        <v>455</v>
      </c>
      <c r="H37" s="561" t="s">
        <v>456</v>
      </c>
      <c r="I37" s="716"/>
      <c r="J37" s="717"/>
      <c r="K37" s="98"/>
      <c r="L37" s="98"/>
      <c r="M37" s="98"/>
      <c r="N37" s="98"/>
      <c r="O37" s="98"/>
      <c r="P37" s="98"/>
      <c r="Q37" s="98"/>
      <c r="R37" s="98"/>
      <c r="S37" s="98"/>
      <c r="T37" s="98"/>
      <c r="U37" s="96"/>
      <c r="V37" s="96"/>
      <c r="W37" s="96"/>
      <c r="X37" s="96"/>
      <c r="Y37" s="99"/>
      <c r="Z37" s="96"/>
      <c r="AA37" s="96"/>
      <c r="AB37" s="100"/>
      <c r="AC37" s="100"/>
      <c r="AD37" s="244" t="str">
        <f>IF($B$12="individual",Constants!F62,Constants!L62)</f>
        <v>number of bar days</v>
      </c>
      <c r="AE37" s="249">
        <v>11</v>
      </c>
      <c r="AF37" s="271">
        <f>IF(AE37&gt;=15,2,IF(AE37&gt;=8,1,0))</f>
        <v>1</v>
      </c>
      <c r="AG37" s="560"/>
      <c r="AH37" s="560"/>
      <c r="AI37" s="560"/>
      <c r="AJ37" s="560"/>
      <c r="AK37" s="100"/>
      <c r="AL37" s="100"/>
      <c r="AM37" s="100"/>
      <c r="AN37" s="100"/>
      <c r="AO37" s="100"/>
      <c r="AP37" s="100"/>
      <c r="AQ37" s="100"/>
      <c r="AR37" s="100"/>
      <c r="AS37" s="100"/>
      <c r="AT37" s="100"/>
      <c r="AU37" s="100"/>
      <c r="AV37" s="100"/>
      <c r="AW37" s="100"/>
      <c r="AX37" s="100"/>
      <c r="AY37" s="100"/>
      <c r="AZ37" s="100"/>
      <c r="BA37" s="100"/>
      <c r="BB37" s="100"/>
      <c r="BC37" s="100"/>
      <c r="BD37" s="100"/>
      <c r="BE37" s="100"/>
      <c r="BF37" s="100"/>
    </row>
    <row r="38" spans="1:58" ht="14.25" customHeight="1" thickTop="1" thickBot="1">
      <c r="A38" s="312" t="s">
        <v>1828</v>
      </c>
      <c r="B38" s="323">
        <v>11</v>
      </c>
      <c r="C38" s="312">
        <v>1</v>
      </c>
      <c r="D38" s="312">
        <v>42</v>
      </c>
      <c r="E38" s="312" t="s">
        <v>281</v>
      </c>
      <c r="F38" s="484" t="s">
        <v>1829</v>
      </c>
      <c r="G38" s="397" t="s">
        <v>1830</v>
      </c>
      <c r="H38" s="654" t="s">
        <v>1831</v>
      </c>
      <c r="I38" s="741"/>
      <c r="J38" s="742"/>
      <c r="K38" s="16"/>
      <c r="L38" s="16"/>
      <c r="M38" s="16"/>
      <c r="N38" s="16"/>
      <c r="O38" s="16"/>
      <c r="P38" s="16"/>
      <c r="Q38" s="16"/>
      <c r="R38" s="16"/>
      <c r="S38" s="16"/>
      <c r="T38" s="16"/>
      <c r="U38" s="16"/>
      <c r="V38" s="16"/>
      <c r="W38" s="16"/>
      <c r="X38" s="16"/>
      <c r="Y38" s="17"/>
      <c r="Z38" s="16"/>
      <c r="AA38" s="16"/>
      <c r="AD38" s="244" t="str">
        <f>IF($B$12="individual",Constants!F63,Constants!L63)</f>
        <v>own bar / extra location</v>
      </c>
      <c r="AE38" s="249">
        <v>0</v>
      </c>
      <c r="AF38" s="271">
        <f>IF(AE38&gt;=15,2,IF(AE38&gt;=8,1,0))</f>
        <v>0</v>
      </c>
      <c r="AG38" s="560"/>
      <c r="AH38" s="560"/>
      <c r="AI38" s="560"/>
      <c r="AJ38" s="560"/>
    </row>
    <row r="39" spans="1:58" ht="14.25" customHeight="1" thickBot="1">
      <c r="A39" s="312" t="s">
        <v>1832</v>
      </c>
      <c r="B39" s="323">
        <v>19</v>
      </c>
      <c r="C39" s="312">
        <v>2</v>
      </c>
      <c r="D39" s="312">
        <v>42</v>
      </c>
      <c r="E39" s="328" t="s">
        <v>55</v>
      </c>
      <c r="F39" s="327" t="s">
        <v>1833</v>
      </c>
      <c r="G39" s="325"/>
      <c r="H39" s="743"/>
      <c r="I39" s="744"/>
      <c r="J39" s="745"/>
      <c r="K39" s="16"/>
      <c r="L39" s="16"/>
      <c r="M39" s="16"/>
      <c r="N39" s="16"/>
      <c r="O39" s="16"/>
      <c r="P39" s="16"/>
      <c r="Q39" s="16"/>
      <c r="R39" s="16"/>
      <c r="S39" s="16"/>
      <c r="T39" s="16"/>
      <c r="U39" s="16"/>
      <c r="V39" s="16"/>
      <c r="W39" s="16"/>
      <c r="X39" s="16"/>
      <c r="Y39" s="17"/>
      <c r="Z39" s="16"/>
      <c r="AA39" s="16"/>
      <c r="AD39" s="244" t="str">
        <f>IF($B$12="individual",Constants!F65,Constants!L64)</f>
        <v>number of facilities used</v>
      </c>
      <c r="AE39" s="249">
        <v>3</v>
      </c>
      <c r="AF39" s="273">
        <f>IF(B12="individual", IF(AE39&gt;10, 5, IF(AE39&gt;6, 3, IF(AE39&gt;2, 1, 0))), IF(AE39&gt;3, 3, IF(AE39&gt;1, 2, 1)))</f>
        <v>2</v>
      </c>
      <c r="AG39" s="560"/>
      <c r="AH39" s="560"/>
      <c r="AI39" s="560"/>
      <c r="AJ39" s="560"/>
    </row>
    <row r="40" spans="1:58" ht="15.75" customHeight="1" thickBot="1">
      <c r="A40" s="323" t="s">
        <v>1834</v>
      </c>
      <c r="B40" s="323">
        <v>9</v>
      </c>
      <c r="C40" s="323">
        <v>2</v>
      </c>
      <c r="D40" s="323">
        <v>42</v>
      </c>
      <c r="E40" s="328" t="s">
        <v>55</v>
      </c>
      <c r="F40" s="327" t="s">
        <v>1835</v>
      </c>
      <c r="G40" s="323" t="s">
        <v>1836</v>
      </c>
      <c r="H40" s="743"/>
      <c r="I40" s="744"/>
      <c r="J40" s="745"/>
      <c r="K40" s="16"/>
      <c r="L40" s="16"/>
      <c r="M40" s="16"/>
      <c r="N40" s="16"/>
      <c r="O40" s="16"/>
      <c r="P40" s="16"/>
      <c r="Q40" s="16"/>
      <c r="R40" s="16"/>
      <c r="S40" s="16"/>
      <c r="T40" s="16"/>
      <c r="U40" s="16"/>
      <c r="V40" s="16"/>
      <c r="W40" s="16"/>
      <c r="X40" s="16"/>
      <c r="Y40" s="16"/>
      <c r="Z40" s="16"/>
      <c r="AA40" s="16"/>
      <c r="AD40" s="231" t="str">
        <f>IF($B$12="individual",Constants!F64,Constants!L65)</f>
        <v>ratio of competing teams / training teams</v>
      </c>
      <c r="AE40" s="231">
        <f>IF(AD40="n/a","",COUNTA(A46:A50)/COUNTA(A38:A42))</f>
        <v>0.33333333333333331</v>
      </c>
      <c r="AF40" s="272">
        <f>IF(B12="group", IF(AE40&gt;0.15, 5, IF(AE40&gt;0.1, 3, IF(AE40&gt;0.05, 1, 0))), " ")</f>
        <v>5</v>
      </c>
      <c r="AG40" s="560"/>
      <c r="AH40" s="560"/>
      <c r="AI40" s="560"/>
      <c r="AJ40" s="560"/>
    </row>
    <row r="41" spans="1:58" ht="15.75" customHeight="1" thickBot="1">
      <c r="A41" s="231"/>
      <c r="B41" s="232"/>
      <c r="C41" s="231"/>
      <c r="D41" s="232"/>
      <c r="E41" s="245"/>
      <c r="F41" s="261"/>
      <c r="G41" s="231"/>
      <c r="H41" s="743"/>
      <c r="I41" s="744"/>
      <c r="J41" s="745"/>
      <c r="K41" s="16"/>
      <c r="L41" s="16"/>
      <c r="M41" s="16"/>
      <c r="N41" s="16"/>
      <c r="O41" s="16"/>
      <c r="P41" s="16"/>
      <c r="Q41" s="16"/>
      <c r="R41" s="16"/>
      <c r="S41" s="16"/>
      <c r="T41" s="16"/>
      <c r="U41" s="16"/>
      <c r="V41" s="16"/>
      <c r="W41" s="16"/>
      <c r="X41" s="16"/>
      <c r="Y41" s="16"/>
      <c r="Z41" s="16"/>
      <c r="AA41" s="16"/>
      <c r="AD41" s="16"/>
      <c r="AE41" s="275" t="s">
        <v>461</v>
      </c>
      <c r="AF41" s="277">
        <f>SUM(AF30:AF40)</f>
        <v>23</v>
      </c>
      <c r="AG41" s="247"/>
      <c r="AH41" s="245"/>
      <c r="AI41" s="246"/>
      <c r="AJ41" s="247"/>
    </row>
    <row r="42" spans="1:58" ht="15.75" customHeight="1" thickBot="1">
      <c r="A42" s="231"/>
      <c r="B42" s="326"/>
      <c r="C42" s="245"/>
      <c r="D42" s="232"/>
      <c r="E42" s="261"/>
      <c r="F42" s="261"/>
      <c r="G42" s="231"/>
      <c r="H42" s="746"/>
      <c r="I42" s="747"/>
      <c r="J42" s="748"/>
      <c r="K42" s="16"/>
      <c r="L42" s="16"/>
      <c r="M42" s="16"/>
      <c r="N42" s="16"/>
      <c r="O42" s="16"/>
      <c r="P42" s="16"/>
      <c r="Q42" s="16"/>
      <c r="R42" s="16"/>
      <c r="S42" s="16"/>
      <c r="T42" s="16"/>
      <c r="U42" s="16"/>
      <c r="V42" s="16"/>
      <c r="W42" s="16"/>
      <c r="X42" s="16"/>
      <c r="Y42" s="16"/>
      <c r="Z42" s="16"/>
      <c r="AA42" s="16"/>
    </row>
    <row r="43" spans="1:58" ht="15.75" customHeight="1" thickTop="1">
      <c r="A43" s="18"/>
      <c r="B43" s="18"/>
      <c r="C43" s="18"/>
      <c r="D43" s="18"/>
      <c r="E43" s="18"/>
      <c r="F43" s="18"/>
      <c r="G43" s="17"/>
      <c r="H43" s="17"/>
      <c r="I43" s="17"/>
      <c r="J43" s="17"/>
      <c r="K43" s="17"/>
      <c r="L43" s="17"/>
      <c r="M43" s="17"/>
      <c r="N43" s="17"/>
      <c r="O43" s="17"/>
      <c r="P43" s="17"/>
      <c r="Q43" s="16"/>
      <c r="R43" s="17"/>
      <c r="S43" s="17"/>
      <c r="T43" s="17"/>
      <c r="U43" s="17"/>
      <c r="V43" s="17"/>
      <c r="W43" s="17"/>
      <c r="X43" s="17"/>
      <c r="Y43" s="17"/>
      <c r="Z43" s="17"/>
      <c r="AA43" s="17"/>
      <c r="AB43" s="17"/>
      <c r="AC43" s="17"/>
      <c r="AD43" s="17"/>
    </row>
    <row r="44" spans="1:58" ht="15.75" customHeight="1" thickBot="1">
      <c r="A44" s="179" t="s">
        <v>462</v>
      </c>
      <c r="B44" s="169"/>
      <c r="C44" s="16"/>
      <c r="D44" s="16"/>
      <c r="E44" s="16"/>
      <c r="F44" s="16"/>
      <c r="G44" s="16"/>
      <c r="H44" s="16"/>
      <c r="I44" s="16"/>
      <c r="J44" s="16"/>
      <c r="K44" s="16"/>
      <c r="L44" s="16"/>
      <c r="M44" s="16"/>
      <c r="N44" s="16"/>
      <c r="O44" s="16"/>
      <c r="P44" s="16"/>
      <c r="Q44" s="16"/>
      <c r="R44" s="16"/>
      <c r="S44" s="16"/>
      <c r="T44" s="16"/>
      <c r="U44" s="16"/>
      <c r="V44" s="16"/>
      <c r="W44" s="16"/>
      <c r="X44" s="16"/>
      <c r="Y44" s="16"/>
      <c r="Z44" s="16"/>
      <c r="AA44" s="16"/>
      <c r="AB44" s="18"/>
      <c r="AC44" s="16"/>
      <c r="AD44" s="16"/>
    </row>
    <row r="45" spans="1:58" ht="15" customHeight="1" thickTop="1" thickBot="1">
      <c r="A45" s="258" t="s">
        <v>449</v>
      </c>
      <c r="B45" s="259" t="s">
        <v>450</v>
      </c>
      <c r="C45" s="258" t="s">
        <v>463</v>
      </c>
      <c r="D45" s="258" t="s">
        <v>464</v>
      </c>
      <c r="E45" s="258" t="s">
        <v>465</v>
      </c>
      <c r="F45" s="258" t="s">
        <v>466</v>
      </c>
      <c r="G45" s="258" t="s">
        <v>467</v>
      </c>
      <c r="H45" s="259" t="s">
        <v>455</v>
      </c>
      <c r="I45" s="561" t="s">
        <v>456</v>
      </c>
      <c r="J45" s="716"/>
      <c r="K45" s="717"/>
      <c r="L45" s="98"/>
      <c r="M45" s="98"/>
      <c r="N45" s="98"/>
      <c r="O45" s="98"/>
      <c r="P45" s="98"/>
      <c r="Q45" s="98"/>
      <c r="R45" s="98"/>
      <c r="S45" s="98"/>
      <c r="T45" s="98"/>
      <c r="U45" s="98"/>
      <c r="V45" s="96"/>
      <c r="W45" s="96"/>
      <c r="X45" s="96"/>
      <c r="Y45" s="96"/>
      <c r="Z45" s="99"/>
      <c r="AA45" s="96"/>
      <c r="AB45" s="96"/>
      <c r="AC45" s="100"/>
      <c r="AD45" s="100"/>
      <c r="AE45" s="100"/>
      <c r="AF45" s="100"/>
      <c r="AG45" s="100"/>
      <c r="AH45" s="100"/>
      <c r="AI45" s="100"/>
      <c r="AJ45" s="100"/>
      <c r="AK45" s="100"/>
      <c r="AL45" s="100"/>
      <c r="AM45" s="100"/>
      <c r="AN45" s="100"/>
      <c r="AO45" s="100"/>
      <c r="AP45" s="100"/>
      <c r="AQ45" s="100"/>
      <c r="AR45" s="100"/>
      <c r="AS45" s="100"/>
      <c r="AT45" s="100"/>
      <c r="AU45" s="100"/>
      <c r="AV45" s="100"/>
      <c r="AW45" s="100"/>
      <c r="AX45" s="100"/>
      <c r="AY45" s="100"/>
      <c r="AZ45" s="100"/>
      <c r="BA45" s="100"/>
      <c r="BB45" s="100"/>
      <c r="BC45" s="100"/>
      <c r="BD45" s="100"/>
      <c r="BE45" s="100"/>
      <c r="BF45" s="100"/>
    </row>
    <row r="46" spans="1:58" ht="14.25" customHeight="1" thickTop="1">
      <c r="A46" s="312" t="s">
        <v>1828</v>
      </c>
      <c r="B46" s="323">
        <v>11</v>
      </c>
      <c r="C46" s="269"/>
      <c r="D46" s="269" t="s">
        <v>281</v>
      </c>
      <c r="E46" s="327">
        <v>1</v>
      </c>
      <c r="F46" s="327">
        <v>1.5</v>
      </c>
      <c r="G46" s="231" t="s">
        <v>419</v>
      </c>
      <c r="H46" s="323" t="s">
        <v>1837</v>
      </c>
      <c r="I46" s="654"/>
      <c r="J46" s="741"/>
      <c r="K46" s="742"/>
      <c r="L46" s="16"/>
      <c r="M46" s="16"/>
      <c r="N46" s="16"/>
      <c r="O46" s="16"/>
      <c r="P46" s="16"/>
      <c r="Q46" s="16"/>
      <c r="R46" s="16"/>
      <c r="S46" s="16"/>
      <c r="T46" s="16"/>
      <c r="U46" s="16"/>
      <c r="V46" s="16"/>
      <c r="W46" s="16"/>
      <c r="X46" s="16"/>
      <c r="Y46" s="16"/>
      <c r="Z46" s="17"/>
      <c r="AA46" s="16"/>
      <c r="AB46" s="16"/>
    </row>
    <row r="47" spans="1:58" ht="14.25" customHeight="1">
      <c r="A47" s="312"/>
      <c r="B47" s="232"/>
      <c r="C47" s="269"/>
      <c r="D47" s="269"/>
      <c r="E47" s="245"/>
      <c r="F47" s="261"/>
      <c r="G47" s="231"/>
      <c r="H47" s="323"/>
      <c r="I47" s="743"/>
      <c r="J47" s="744"/>
      <c r="K47" s="745"/>
      <c r="L47" s="16"/>
      <c r="M47" s="16"/>
      <c r="N47" s="16"/>
      <c r="O47" s="16"/>
      <c r="P47" s="16"/>
      <c r="Q47" s="16"/>
      <c r="R47" s="16"/>
      <c r="S47" s="16"/>
      <c r="T47" s="16"/>
      <c r="U47" s="16"/>
      <c r="V47" s="16"/>
      <c r="W47" s="16"/>
      <c r="X47" s="16"/>
      <c r="Y47" s="16"/>
      <c r="Z47" s="17"/>
      <c r="AA47" s="16"/>
      <c r="AB47" s="16"/>
    </row>
    <row r="48" spans="1:58" ht="15.75" customHeight="1">
      <c r="A48" s="323"/>
      <c r="B48" s="323"/>
      <c r="C48" s="323"/>
      <c r="D48" s="312"/>
      <c r="E48" s="328"/>
      <c r="F48" s="327"/>
      <c r="G48" s="329"/>
      <c r="H48" s="323"/>
      <c r="I48" s="743"/>
      <c r="J48" s="744"/>
      <c r="K48" s="745"/>
      <c r="L48" s="16"/>
      <c r="M48" s="16"/>
      <c r="N48" s="16"/>
      <c r="O48" s="16"/>
      <c r="P48" s="16"/>
      <c r="Q48" s="16"/>
      <c r="R48" s="16"/>
      <c r="S48" s="16"/>
      <c r="T48" s="16"/>
      <c r="U48" s="16"/>
      <c r="V48" s="16"/>
      <c r="W48" s="16"/>
      <c r="X48" s="16"/>
      <c r="Y48" s="16"/>
      <c r="Z48" s="16"/>
      <c r="AA48" s="16"/>
      <c r="AB48" s="16"/>
    </row>
    <row r="49" spans="1:30" ht="15.75" customHeight="1">
      <c r="A49" s="231"/>
      <c r="B49" s="232"/>
      <c r="C49" s="231"/>
      <c r="D49" s="269"/>
      <c r="E49" s="245"/>
      <c r="F49" s="261"/>
      <c r="G49" s="263"/>
      <c r="H49" s="231"/>
      <c r="I49" s="743"/>
      <c r="J49" s="744"/>
      <c r="K49" s="745"/>
      <c r="L49" s="16"/>
      <c r="M49" s="16"/>
      <c r="N49" s="16"/>
      <c r="O49" s="16"/>
      <c r="P49" s="16"/>
      <c r="Q49" s="16"/>
      <c r="R49" s="16"/>
      <c r="S49" s="16"/>
      <c r="T49" s="16"/>
      <c r="U49" s="16"/>
      <c r="V49" s="16"/>
      <c r="W49" s="16"/>
      <c r="X49" s="16"/>
      <c r="Y49" s="16"/>
      <c r="Z49" s="16"/>
      <c r="AA49" s="16"/>
      <c r="AB49" s="16"/>
    </row>
    <row r="50" spans="1:30" ht="15.75" customHeight="1" thickBot="1">
      <c r="A50" s="231"/>
      <c r="B50" s="326"/>
      <c r="C50" s="245"/>
      <c r="D50" s="245"/>
      <c r="E50" s="261"/>
      <c r="F50" s="261"/>
      <c r="G50" s="263"/>
      <c r="H50" s="231"/>
      <c r="I50" s="746"/>
      <c r="J50" s="747"/>
      <c r="K50" s="748"/>
      <c r="L50" s="16"/>
      <c r="M50" s="16"/>
      <c r="N50" s="16"/>
      <c r="O50" s="16"/>
      <c r="P50" s="16"/>
      <c r="Q50" s="16"/>
      <c r="R50" s="16"/>
      <c r="S50" s="16"/>
      <c r="T50" s="16"/>
      <c r="U50" s="16"/>
      <c r="V50" s="16"/>
      <c r="W50" s="16"/>
      <c r="X50" s="16"/>
      <c r="Y50" s="16"/>
      <c r="Z50" s="16"/>
      <c r="AA50" s="16"/>
      <c r="AB50" s="16"/>
    </row>
    <row r="51" spans="1:30" ht="15.75" customHeight="1" thickTop="1">
      <c r="A51" s="15"/>
      <c r="B51" s="16"/>
      <c r="C51" s="16"/>
      <c r="D51" s="16"/>
      <c r="E51" s="16"/>
      <c r="F51" s="16"/>
      <c r="G51" s="16"/>
      <c r="H51" s="16"/>
      <c r="I51" s="16"/>
      <c r="J51" s="16"/>
      <c r="K51" s="16"/>
      <c r="L51" s="16"/>
      <c r="M51" s="16"/>
      <c r="N51" s="16"/>
      <c r="O51" s="16"/>
      <c r="P51" s="16"/>
      <c r="Q51" s="16"/>
      <c r="R51" s="16"/>
      <c r="S51" s="16"/>
      <c r="T51" s="16"/>
      <c r="U51" s="16"/>
      <c r="V51" s="16"/>
      <c r="W51" s="16"/>
      <c r="X51" s="16"/>
      <c r="Y51" s="16"/>
      <c r="Z51" s="16"/>
      <c r="AA51" s="16"/>
      <c r="AB51" s="16"/>
      <c r="AC51" s="16"/>
      <c r="AD51" s="16"/>
    </row>
    <row r="52" spans="1:30" ht="15.75" customHeight="1">
      <c r="A52" s="15"/>
      <c r="B52" s="16"/>
      <c r="C52" s="16"/>
      <c r="D52" s="16"/>
      <c r="E52" s="16"/>
      <c r="F52" s="16"/>
      <c r="G52" s="16"/>
      <c r="H52" s="16"/>
      <c r="I52" s="16"/>
      <c r="J52" s="16"/>
      <c r="K52" s="16"/>
      <c r="L52" s="16"/>
      <c r="M52" s="16"/>
      <c r="N52" s="16"/>
      <c r="O52" s="16"/>
      <c r="P52" s="16"/>
      <c r="Q52" s="16"/>
      <c r="W52" s="16"/>
      <c r="X52" s="16"/>
      <c r="Y52" s="16"/>
      <c r="Z52" s="16"/>
      <c r="AA52" s="16"/>
      <c r="AB52" s="16"/>
      <c r="AC52" s="16"/>
      <c r="AD52" s="16"/>
    </row>
    <row r="53" spans="1:30" ht="15.75" customHeight="1" thickBot="1">
      <c r="A53" s="186" t="s">
        <v>475</v>
      </c>
      <c r="B53" s="231"/>
      <c r="C53" s="231"/>
      <c r="D53" s="231"/>
      <c r="E53" s="231"/>
      <c r="F53" s="231"/>
      <c r="G53" s="231"/>
      <c r="H53" s="231"/>
      <c r="I53" s="231"/>
      <c r="J53" s="231"/>
      <c r="K53" s="16"/>
      <c r="L53" s="16"/>
      <c r="M53" s="16"/>
      <c r="N53" s="16"/>
      <c r="O53" s="16"/>
      <c r="P53" s="16"/>
      <c r="Q53" s="16"/>
      <c r="W53" s="16"/>
      <c r="X53" s="16"/>
      <c r="Y53" s="16"/>
      <c r="Z53" s="16"/>
      <c r="AA53" s="16"/>
      <c r="AB53" s="16"/>
      <c r="AC53" s="16"/>
      <c r="AD53" s="16"/>
    </row>
    <row r="54" spans="1:30" ht="15.75" customHeight="1" thickTop="1" thickBot="1">
      <c r="A54" s="230" t="s">
        <v>476</v>
      </c>
      <c r="B54" s="230" t="s">
        <v>477</v>
      </c>
      <c r="C54" s="230" t="s">
        <v>478</v>
      </c>
      <c r="D54" s="230" t="s">
        <v>479</v>
      </c>
      <c r="E54" s="230" t="s">
        <v>480</v>
      </c>
      <c r="F54" s="230" t="s">
        <v>481</v>
      </c>
      <c r="G54" s="230" t="s">
        <v>482</v>
      </c>
      <c r="H54" s="230" t="s">
        <v>453</v>
      </c>
      <c r="I54" s="230" t="s">
        <v>483</v>
      </c>
      <c r="J54" s="230" t="s">
        <v>484</v>
      </c>
      <c r="K54" s="721" t="s">
        <v>485</v>
      </c>
      <c r="L54" s="716"/>
      <c r="M54" s="722"/>
      <c r="N54" s="15"/>
      <c r="O54" s="16"/>
      <c r="P54" s="16"/>
      <c r="Q54" s="16"/>
      <c r="W54" s="16"/>
      <c r="X54" s="16"/>
      <c r="Y54" s="16"/>
      <c r="Z54" s="16"/>
      <c r="AA54" s="16"/>
      <c r="AB54" s="16"/>
    </row>
    <row r="55" spans="1:30" ht="15" customHeight="1" thickTop="1">
      <c r="A55" s="327" t="s">
        <v>1828</v>
      </c>
      <c r="B55" s="327" t="s">
        <v>278</v>
      </c>
      <c r="C55" s="323">
        <v>35</v>
      </c>
      <c r="D55" s="323">
        <v>1</v>
      </c>
      <c r="E55" s="323">
        <v>1.5</v>
      </c>
      <c r="F55" s="231">
        <f>IF(Table_4168272[[#This Row],['# Weeks]]="","",Table_4168272[[#This Row],['# Weeks]]*Table_4168272[[#This Row],[Total hours/week]])</f>
        <v>52.5</v>
      </c>
      <c r="G55" s="384"/>
      <c r="H55" s="327" t="s">
        <v>281</v>
      </c>
      <c r="I55" s="400"/>
      <c r="J55" s="323" t="s">
        <v>1838</v>
      </c>
      <c r="K55" s="564" t="s">
        <v>1839</v>
      </c>
      <c r="L55" s="741"/>
      <c r="M55" s="742"/>
      <c r="N55" s="16"/>
      <c r="O55" s="16"/>
      <c r="P55" s="16"/>
      <c r="Q55" s="16"/>
      <c r="W55" s="16"/>
      <c r="X55" s="16"/>
      <c r="Y55" s="16"/>
      <c r="Z55" s="16"/>
      <c r="AA55" s="16"/>
      <c r="AB55" s="16"/>
    </row>
    <row r="56" spans="1:30" ht="15.75" customHeight="1">
      <c r="A56" s="485" t="s">
        <v>1840</v>
      </c>
      <c r="B56" s="319" t="s">
        <v>287</v>
      </c>
      <c r="C56" s="327">
        <v>42</v>
      </c>
      <c r="D56" s="327">
        <v>2</v>
      </c>
      <c r="E56" s="327">
        <v>3</v>
      </c>
      <c r="F56" s="231">
        <f>IF(Table_4168272[[#This Row],['# Weeks]]="","",Table_4168272[[#This Row],['# Weeks]]*Table_4168272[[#This Row],[Total hours/week]])</f>
        <v>126</v>
      </c>
      <c r="G56" s="384"/>
      <c r="H56" s="319" t="s">
        <v>55</v>
      </c>
      <c r="I56" s="339"/>
      <c r="J56" s="231"/>
      <c r="K56" s="749"/>
      <c r="L56" s="744"/>
      <c r="M56" s="745"/>
      <c r="N56" s="16"/>
      <c r="O56" s="16"/>
      <c r="P56" s="16"/>
      <c r="Q56" s="16"/>
      <c r="W56" s="16"/>
      <c r="X56" s="16"/>
      <c r="Y56" s="16"/>
      <c r="Z56" s="16"/>
      <c r="AA56" s="16"/>
      <c r="AB56" s="16"/>
    </row>
    <row r="57" spans="1:30" ht="14.25" customHeight="1">
      <c r="A57" s="319" t="s">
        <v>1841</v>
      </c>
      <c r="B57" s="319" t="s">
        <v>282</v>
      </c>
      <c r="C57" s="327">
        <v>22</v>
      </c>
      <c r="D57" s="327">
        <v>1</v>
      </c>
      <c r="E57" s="327">
        <v>3</v>
      </c>
      <c r="F57" s="231">
        <f>IF(Table_4168272[[#This Row],['# Weeks]]="","",Table_4168272[[#This Row],['# Weeks]]*Table_4168272[[#This Row],[Total hours/week]])</f>
        <v>66</v>
      </c>
      <c r="G57" s="319"/>
      <c r="H57" s="319" t="s">
        <v>281</v>
      </c>
      <c r="I57" s="339"/>
      <c r="J57" s="231"/>
      <c r="K57" s="749"/>
      <c r="L57" s="744"/>
      <c r="M57" s="745"/>
      <c r="N57" s="16"/>
      <c r="O57" s="16"/>
      <c r="P57" s="16"/>
      <c r="Q57" s="16"/>
      <c r="W57" s="16"/>
      <c r="X57" s="16"/>
      <c r="Y57" s="16"/>
      <c r="Z57" s="16"/>
      <c r="AA57" s="16"/>
      <c r="AB57" s="16"/>
    </row>
    <row r="58" spans="1:30" ht="15.75" customHeight="1">
      <c r="A58" s="319"/>
      <c r="B58" s="319"/>
      <c r="C58" s="231"/>
      <c r="D58" s="231"/>
      <c r="E58" s="231"/>
      <c r="F58" s="231" t="str">
        <f>IF(Table_4168272[[#This Row],['# Weeks]]="","",Table_4168272[[#This Row],['# Weeks]]*Table_4168272[[#This Row],[Total hours/week]])</f>
        <v/>
      </c>
      <c r="G58" s="231"/>
      <c r="H58" s="319"/>
      <c r="I58" s="331"/>
      <c r="J58" s="231"/>
      <c r="K58" s="749"/>
      <c r="L58" s="744"/>
      <c r="M58" s="745"/>
      <c r="N58" s="16"/>
      <c r="O58" s="16"/>
      <c r="P58" s="16"/>
      <c r="Q58" s="16"/>
      <c r="W58" s="16"/>
      <c r="X58" s="16"/>
      <c r="Y58" s="16"/>
      <c r="Z58" s="16"/>
      <c r="AA58" s="16"/>
      <c r="AB58" s="16"/>
    </row>
    <row r="59" spans="1:30" ht="15.75" customHeight="1">
      <c r="A59" s="319"/>
      <c r="B59" s="319"/>
      <c r="C59" s="231"/>
      <c r="D59" s="231"/>
      <c r="E59" s="231"/>
      <c r="F59" s="231" t="str">
        <f>IF(Table_4168272[[#This Row],['# Weeks]]="","",Table_4168272[[#This Row],['# Weeks]]*Table_4168272[[#This Row],[Total hours/week]])</f>
        <v/>
      </c>
      <c r="G59" s="231"/>
      <c r="H59" s="319"/>
      <c r="I59" s="331"/>
      <c r="J59" s="231"/>
      <c r="K59" s="749"/>
      <c r="L59" s="744"/>
      <c r="M59" s="745"/>
      <c r="N59" s="16"/>
      <c r="O59" s="16"/>
      <c r="P59" s="16"/>
      <c r="Q59" s="16"/>
      <c r="W59" s="16"/>
      <c r="X59" s="16"/>
      <c r="Y59" s="16"/>
      <c r="Z59" s="16"/>
      <c r="AA59" s="16"/>
      <c r="AB59" s="16"/>
    </row>
    <row r="60" spans="1:30" ht="15.75" customHeight="1">
      <c r="A60" s="319"/>
      <c r="B60" s="319"/>
      <c r="C60" s="231"/>
      <c r="D60" s="231"/>
      <c r="E60" s="231"/>
      <c r="F60" s="231" t="str">
        <f>IF(Table_4168272[[#This Row],['# Weeks]]="","",Table_4168272[[#This Row],['# Weeks]]*Table_4168272[[#This Row],[Total hours/week]])</f>
        <v/>
      </c>
      <c r="G60" s="319"/>
      <c r="H60" s="319"/>
      <c r="I60" s="331"/>
      <c r="J60" s="231"/>
      <c r="K60" s="749"/>
      <c r="L60" s="744"/>
      <c r="M60" s="745"/>
      <c r="N60" s="16"/>
      <c r="O60" s="16"/>
      <c r="P60" s="16"/>
      <c r="Q60" s="16"/>
      <c r="W60" s="16"/>
      <c r="X60" s="16"/>
      <c r="Y60" s="16"/>
      <c r="Z60" s="16"/>
      <c r="AA60" s="16"/>
      <c r="AB60" s="16"/>
    </row>
    <row r="61" spans="1:30" ht="15.75" customHeight="1">
      <c r="A61" s="319"/>
      <c r="B61" s="319"/>
      <c r="C61" s="231"/>
      <c r="D61" s="231"/>
      <c r="E61" s="231"/>
      <c r="F61" s="231" t="str">
        <f>IF(Table_4168272[[#This Row],['# Weeks]]="","",Table_4168272[[#This Row],['# Weeks]]*Table_4168272[[#This Row],[Total hours/week]])</f>
        <v/>
      </c>
      <c r="G61" s="319"/>
      <c r="H61" s="319"/>
      <c r="I61" s="331"/>
      <c r="J61" s="231"/>
      <c r="K61" s="749"/>
      <c r="L61" s="744"/>
      <c r="M61" s="745"/>
      <c r="N61" s="16"/>
      <c r="O61" s="16"/>
      <c r="P61" s="16"/>
      <c r="Q61" s="16"/>
      <c r="W61" s="16"/>
      <c r="X61" s="16"/>
      <c r="Y61" s="16"/>
      <c r="Z61" s="16"/>
      <c r="AA61" s="16"/>
      <c r="AB61" s="16"/>
    </row>
    <row r="62" spans="1:30" ht="15.75" customHeight="1">
      <c r="A62" s="319"/>
      <c r="B62" s="319"/>
      <c r="C62" s="261"/>
      <c r="D62" s="261"/>
      <c r="E62" s="261"/>
      <c r="F62" s="231" t="str">
        <f>IF(Table_4168272[[#This Row],['# Weeks]]="","",Table_4168272[[#This Row],['# Weeks]]*Table_4168272[[#This Row],[Total hours/week]])</f>
        <v/>
      </c>
      <c r="G62" s="319"/>
      <c r="H62" s="319"/>
      <c r="I62" s="331"/>
      <c r="J62" s="231"/>
      <c r="K62" s="749"/>
      <c r="L62" s="744"/>
      <c r="M62" s="745"/>
      <c r="N62" s="16"/>
      <c r="O62" s="16"/>
      <c r="P62" s="16"/>
      <c r="Q62" s="16"/>
      <c r="W62" s="16"/>
      <c r="X62" s="16"/>
      <c r="Y62" s="16"/>
      <c r="Z62" s="16"/>
      <c r="AA62" s="16"/>
      <c r="AB62" s="16"/>
    </row>
    <row r="63" spans="1:30" ht="15.75" customHeight="1">
      <c r="A63" s="319"/>
      <c r="B63" s="319"/>
      <c r="C63" s="261"/>
      <c r="D63" s="261"/>
      <c r="E63" s="261"/>
      <c r="F63" s="231" t="str">
        <f>IF(Table_4168272[[#This Row],['# Weeks]]="","",Table_4168272[[#This Row],['# Weeks]]*Table_4168272[[#This Row],[Total hours/week]])</f>
        <v/>
      </c>
      <c r="G63" s="319"/>
      <c r="H63" s="319"/>
      <c r="I63" s="331"/>
      <c r="J63" s="231"/>
      <c r="K63" s="749"/>
      <c r="L63" s="744"/>
      <c r="M63" s="745"/>
      <c r="N63" s="16"/>
      <c r="O63" s="16"/>
      <c r="P63" s="16"/>
      <c r="Q63" s="16"/>
      <c r="W63" s="16"/>
      <c r="X63" s="16"/>
      <c r="Y63" s="16"/>
      <c r="Z63" s="16"/>
      <c r="AA63" s="16"/>
      <c r="AB63" s="16"/>
    </row>
    <row r="64" spans="1:30" ht="15.75" customHeight="1">
      <c r="A64" s="231"/>
      <c r="B64" s="319"/>
      <c r="C64" s="232"/>
      <c r="D64" s="232"/>
      <c r="E64" s="261"/>
      <c r="F64" s="231" t="str">
        <f>IF(Table_4168272[[#This Row],['# Weeks]]="","",Table_4168272[[#This Row],['# Weeks]]*Table_4168272[[#This Row],[Total hours/week]])</f>
        <v/>
      </c>
      <c r="G64" s="231"/>
      <c r="H64" s="319"/>
      <c r="I64" s="331"/>
      <c r="J64" s="231"/>
      <c r="K64" s="749"/>
      <c r="L64" s="744"/>
      <c r="M64" s="745"/>
      <c r="N64" s="16"/>
      <c r="O64" s="16"/>
      <c r="P64" s="16"/>
      <c r="Q64" s="16"/>
      <c r="W64" s="16"/>
      <c r="X64" s="16"/>
      <c r="Y64" s="16"/>
      <c r="Z64" s="16"/>
      <c r="AA64" s="16"/>
      <c r="AB64" s="16"/>
    </row>
    <row r="65" spans="1:30" ht="15.75" customHeight="1">
      <c r="A65" s="231"/>
      <c r="B65" s="319"/>
      <c r="C65" s="232"/>
      <c r="D65" s="232"/>
      <c r="E65" s="261"/>
      <c r="F65" s="231" t="str">
        <f>IF(Table_4168272[[#This Row],['# Weeks]]="","",Table_4168272[[#This Row],['# Weeks]]*Table_4168272[[#This Row],[Total hours/week]])</f>
        <v/>
      </c>
      <c r="G65" s="231"/>
      <c r="H65" s="319"/>
      <c r="I65" s="331"/>
      <c r="J65" s="231"/>
      <c r="K65" s="749"/>
      <c r="L65" s="744"/>
      <c r="M65" s="745"/>
      <c r="N65" s="16"/>
      <c r="O65" s="16"/>
      <c r="P65" s="16"/>
      <c r="Q65" s="16"/>
      <c r="W65" s="16"/>
      <c r="X65" s="16"/>
      <c r="Y65" s="16"/>
      <c r="Z65" s="16"/>
      <c r="AA65" s="16"/>
      <c r="AB65" s="16"/>
    </row>
    <row r="66" spans="1:30" ht="15.75" customHeight="1">
      <c r="A66" s="231"/>
      <c r="B66" s="319"/>
      <c r="C66" s="232"/>
      <c r="D66" s="232"/>
      <c r="E66" s="261"/>
      <c r="F66" s="231" t="str">
        <f>IF(Table_4168272[[#This Row],['# Weeks]]="","",Table_4168272[[#This Row],['# Weeks]]*Table_4168272[[#This Row],[Total hours/week]])</f>
        <v/>
      </c>
      <c r="G66" s="231"/>
      <c r="H66" s="319"/>
      <c r="I66" s="331"/>
      <c r="J66" s="231"/>
      <c r="K66" s="749"/>
      <c r="L66" s="744"/>
      <c r="M66" s="745"/>
      <c r="N66" s="16"/>
      <c r="O66" s="16"/>
      <c r="P66" s="16"/>
      <c r="Q66" s="16"/>
      <c r="W66" s="16"/>
      <c r="X66" s="16"/>
      <c r="Y66" s="16"/>
      <c r="Z66" s="16"/>
      <c r="AA66" s="16"/>
      <c r="AB66" s="16"/>
    </row>
    <row r="67" spans="1:30" ht="15.75" customHeight="1" thickBot="1">
      <c r="A67" s="231"/>
      <c r="B67" s="319"/>
      <c r="C67" s="245"/>
      <c r="D67" s="232"/>
      <c r="E67" s="261"/>
      <c r="F67" s="231" t="str">
        <f>IF(Table_4168272[[#This Row],['# Weeks]]="","",Table_4168272[[#This Row],['# Weeks]]*Table_4168272[[#This Row],[Total hours/week]])</f>
        <v/>
      </c>
      <c r="G67" s="263"/>
      <c r="H67" s="263"/>
      <c r="I67" s="264"/>
      <c r="J67" s="231"/>
      <c r="K67" s="746"/>
      <c r="L67" s="747"/>
      <c r="M67" s="748"/>
      <c r="N67" s="16"/>
      <c r="O67" s="16"/>
      <c r="P67" s="16"/>
      <c r="Q67" s="16"/>
      <c r="W67" s="16"/>
      <c r="X67" s="16"/>
      <c r="Y67" s="16"/>
      <c r="Z67" s="16"/>
      <c r="AA67" s="16"/>
      <c r="AB67" s="16"/>
    </row>
    <row r="68" spans="1:30" ht="15.75" customHeight="1" thickTop="1">
      <c r="A68" s="16"/>
      <c r="B68" s="16"/>
      <c r="C68" s="16"/>
      <c r="D68" s="16"/>
      <c r="E68" s="16"/>
      <c r="F68" s="16"/>
      <c r="G68" s="16"/>
      <c r="H68" s="16"/>
      <c r="I68" s="16"/>
      <c r="J68" s="16"/>
      <c r="K68" s="16"/>
      <c r="L68" s="16"/>
      <c r="M68" s="16"/>
      <c r="N68" s="16"/>
      <c r="O68" s="16"/>
      <c r="P68" s="16"/>
      <c r="Q68" s="16"/>
      <c r="W68" s="16"/>
      <c r="X68" s="16"/>
      <c r="Y68" s="16"/>
      <c r="Z68" s="16"/>
      <c r="AA68" s="16"/>
      <c r="AB68" s="16"/>
      <c r="AC68" s="16"/>
      <c r="AD68" s="16"/>
    </row>
    <row r="69" spans="1:30" ht="15.75" customHeight="1" thickBot="1">
      <c r="A69" s="186" t="s">
        <v>499</v>
      </c>
      <c r="B69" s="231"/>
      <c r="C69" s="231"/>
      <c r="D69" s="231"/>
      <c r="E69" s="231"/>
      <c r="F69" s="231"/>
      <c r="G69" s="231"/>
      <c r="H69" s="231"/>
      <c r="I69" s="231"/>
      <c r="J69" s="231"/>
      <c r="K69" s="123"/>
      <c r="L69" s="123"/>
      <c r="M69" s="16"/>
      <c r="N69" s="16"/>
      <c r="O69" s="16"/>
      <c r="P69" s="16"/>
      <c r="Q69" s="16"/>
      <c r="W69" s="16"/>
      <c r="X69" s="16"/>
      <c r="Y69" s="16"/>
      <c r="Z69" s="16"/>
      <c r="AA69" s="16"/>
      <c r="AB69" s="16"/>
      <c r="AC69" s="16"/>
      <c r="AD69" s="16"/>
    </row>
    <row r="70" spans="1:30" ht="15.75" customHeight="1" thickTop="1" thickBot="1">
      <c r="A70" s="230" t="s">
        <v>476</v>
      </c>
      <c r="B70" s="230" t="s">
        <v>500</v>
      </c>
      <c r="C70" s="230" t="s">
        <v>501</v>
      </c>
      <c r="D70" s="230" t="s">
        <v>502</v>
      </c>
      <c r="E70" s="230" t="s">
        <v>503</v>
      </c>
      <c r="F70" s="230" t="s">
        <v>504</v>
      </c>
      <c r="G70" s="230" t="s">
        <v>505</v>
      </c>
      <c r="H70" s="230" t="s">
        <v>506</v>
      </c>
      <c r="I70" s="230" t="s">
        <v>507</v>
      </c>
      <c r="J70" s="230" t="s">
        <v>508</v>
      </c>
      <c r="K70" s="561" t="s">
        <v>441</v>
      </c>
      <c r="L70" s="561"/>
      <c r="M70" s="561"/>
      <c r="N70" s="561"/>
      <c r="O70" s="570"/>
      <c r="P70" s="726" t="s">
        <v>434</v>
      </c>
      <c r="Q70" s="727"/>
      <c r="R70" s="16"/>
      <c r="S70" s="16"/>
      <c r="V70" s="16"/>
      <c r="W70" s="16"/>
      <c r="X70" s="16"/>
      <c r="Y70" s="16"/>
      <c r="Z70" s="16"/>
      <c r="AA70" s="16"/>
    </row>
    <row r="71" spans="1:30" ht="15.75" customHeight="1" thickTop="1">
      <c r="A71" s="327" t="s">
        <v>1842</v>
      </c>
      <c r="B71" s="323" t="s">
        <v>245</v>
      </c>
      <c r="C71" s="323" t="s">
        <v>512</v>
      </c>
      <c r="D71" s="323">
        <v>1.5</v>
      </c>
      <c r="E71" s="328">
        <v>20</v>
      </c>
      <c r="F71" s="326">
        <f>Vakgericht!$D71*Vakgericht!$E71</f>
        <v>30</v>
      </c>
      <c r="G71" s="328">
        <v>4</v>
      </c>
      <c r="H71" s="332">
        <f>IF($B71= "","-",IF($B71= "External","Specify location tariff", INDEX(Constants!$3:$3,MATCH($B71,Constants!$2:$2,0))))</f>
        <v>67.5</v>
      </c>
      <c r="I71" s="333">
        <f t="shared" ref="I71:I87" si="2">IF($H71="-","-",IF($H71="Specify location tariff","-",$H71*$F71))</f>
        <v>2025</v>
      </c>
      <c r="J71" s="486" t="s">
        <v>1843</v>
      </c>
      <c r="K71" s="611"/>
      <c r="L71" s="611"/>
      <c r="M71" s="611"/>
      <c r="N71" s="611"/>
      <c r="O71" s="612"/>
      <c r="P71" s="564" t="s">
        <v>511</v>
      </c>
      <c r="Q71" s="565"/>
      <c r="R71" s="16"/>
      <c r="S71" s="16"/>
      <c r="V71" s="16"/>
      <c r="W71" s="16"/>
      <c r="X71" s="16"/>
      <c r="Y71" s="16"/>
      <c r="Z71" s="16"/>
      <c r="AA71" s="16"/>
    </row>
    <row r="72" spans="1:30" ht="15.75" customHeight="1">
      <c r="A72" s="323" t="s">
        <v>1842</v>
      </c>
      <c r="B72" s="323" t="s">
        <v>245</v>
      </c>
      <c r="C72" s="323" t="s">
        <v>516</v>
      </c>
      <c r="D72" s="323">
        <v>1.5</v>
      </c>
      <c r="E72" s="328">
        <v>20</v>
      </c>
      <c r="F72" s="326">
        <f>Vakgericht!$D72*Vakgericht!$E72</f>
        <v>30</v>
      </c>
      <c r="G72" s="328">
        <v>1</v>
      </c>
      <c r="H72" s="332">
        <f>IF($B72= "","-",IF($B72= "External","Specify location tariff", INDEX(Constants!$3:$3,MATCH($B72,Constants!$2:$2,0))))</f>
        <v>67.5</v>
      </c>
      <c r="I72" s="333">
        <f t="shared" si="2"/>
        <v>2025</v>
      </c>
      <c r="J72" s="486" t="s">
        <v>1844</v>
      </c>
      <c r="K72" s="562"/>
      <c r="L72" s="562"/>
      <c r="M72" s="562"/>
      <c r="N72" s="562"/>
      <c r="O72" s="614"/>
      <c r="P72" s="566"/>
      <c r="Q72" s="567"/>
      <c r="R72" s="16"/>
      <c r="S72" s="16"/>
      <c r="V72" s="16"/>
      <c r="W72" s="16"/>
      <c r="X72" s="16"/>
      <c r="Y72" s="16"/>
      <c r="Z72" s="16"/>
      <c r="AA72" s="16"/>
    </row>
    <row r="73" spans="1:30" ht="15.75" customHeight="1">
      <c r="A73" s="323" t="s">
        <v>1842</v>
      </c>
      <c r="B73" s="323" t="s">
        <v>265</v>
      </c>
      <c r="C73" s="323" t="s">
        <v>512</v>
      </c>
      <c r="D73" s="323">
        <v>1.5</v>
      </c>
      <c r="E73" s="328">
        <v>22</v>
      </c>
      <c r="F73" s="326">
        <f>Vakgericht!$D73*Vakgericht!$E73</f>
        <v>33</v>
      </c>
      <c r="G73" s="328">
        <v>4</v>
      </c>
      <c r="H73" s="332">
        <f>IF($B73= "","-",IF($B73= "External","Specify location tariff", INDEX(Constants!$3:$3,MATCH($B73,Constants!$2:$2,0))))</f>
        <v>65</v>
      </c>
      <c r="I73" s="333">
        <f t="shared" si="2"/>
        <v>2145</v>
      </c>
      <c r="J73" s="486" t="s">
        <v>1845</v>
      </c>
      <c r="K73" s="562"/>
      <c r="L73" s="562"/>
      <c r="M73" s="562"/>
      <c r="N73" s="562"/>
      <c r="O73" s="614"/>
      <c r="P73" s="566"/>
      <c r="Q73" s="567"/>
      <c r="R73" s="16"/>
      <c r="S73" s="16"/>
      <c r="V73" s="16"/>
      <c r="W73" s="16"/>
      <c r="X73" s="16"/>
      <c r="Y73" s="16"/>
      <c r="Z73" s="16"/>
      <c r="AA73" s="16"/>
    </row>
    <row r="74" spans="1:30" ht="15.75" customHeight="1">
      <c r="A74" s="327" t="s">
        <v>1842</v>
      </c>
      <c r="B74" s="323" t="s">
        <v>265</v>
      </c>
      <c r="C74" s="323" t="s">
        <v>516</v>
      </c>
      <c r="D74" s="323">
        <v>1.5</v>
      </c>
      <c r="E74" s="328">
        <v>22</v>
      </c>
      <c r="F74" s="326">
        <f>Vakgericht!$D74*Vakgericht!$E74</f>
        <v>33</v>
      </c>
      <c r="G74" s="328">
        <v>1</v>
      </c>
      <c r="H74" s="332">
        <f>IF($B74= "","-",IF($B74= "External","Specify location tariff", INDEX(Constants!$3:$3,MATCH($B74,Constants!$2:$2,0))))</f>
        <v>65</v>
      </c>
      <c r="I74" s="333">
        <f t="shared" si="2"/>
        <v>2145</v>
      </c>
      <c r="J74" s="486" t="s">
        <v>1846</v>
      </c>
      <c r="K74" s="562"/>
      <c r="L74" s="562"/>
      <c r="M74" s="562"/>
      <c r="N74" s="562"/>
      <c r="O74" s="614"/>
      <c r="P74" s="566"/>
      <c r="Q74" s="567"/>
      <c r="R74" s="16"/>
      <c r="S74" s="16"/>
      <c r="V74" s="16"/>
      <c r="W74" s="16"/>
      <c r="X74" s="16"/>
      <c r="Y74" s="16"/>
      <c r="Z74" s="16"/>
      <c r="AA74" s="16"/>
    </row>
    <row r="75" spans="1:30" ht="15.75" customHeight="1">
      <c r="A75" s="323" t="s">
        <v>1847</v>
      </c>
      <c r="B75" s="323" t="s">
        <v>265</v>
      </c>
      <c r="C75" s="323" t="s">
        <v>1006</v>
      </c>
      <c r="D75" s="323">
        <v>1.5</v>
      </c>
      <c r="E75" s="328">
        <v>8</v>
      </c>
      <c r="F75" s="326">
        <f>Vakgericht!$D75*Vakgericht!$E75</f>
        <v>12</v>
      </c>
      <c r="G75" s="328">
        <v>0</v>
      </c>
      <c r="H75" s="332">
        <f>IF($B75= "","-",IF($B75= "External","Specify location tariff", INDEX(Constants!$3:$3,MATCH($B75,Constants!$2:$2,0))))</f>
        <v>65</v>
      </c>
      <c r="I75" s="333">
        <f t="shared" si="2"/>
        <v>780</v>
      </c>
      <c r="J75" s="486" t="s">
        <v>1848</v>
      </c>
      <c r="K75" s="562"/>
      <c r="L75" s="562"/>
      <c r="M75" s="562"/>
      <c r="N75" s="562"/>
      <c r="O75" s="614"/>
      <c r="P75" s="566"/>
      <c r="Q75" s="567"/>
      <c r="R75" s="16"/>
      <c r="S75" s="16"/>
      <c r="V75" s="16"/>
      <c r="W75" s="16"/>
      <c r="X75" s="16"/>
      <c r="Y75" s="16"/>
      <c r="Z75" s="16"/>
      <c r="AA75" s="16"/>
    </row>
    <row r="76" spans="1:30" ht="15.75" customHeight="1">
      <c r="A76" s="327" t="s">
        <v>1847</v>
      </c>
      <c r="B76" s="323" t="s">
        <v>245</v>
      </c>
      <c r="C76" s="323" t="s">
        <v>1006</v>
      </c>
      <c r="D76" s="323">
        <v>1.5</v>
      </c>
      <c r="E76" s="328">
        <v>8</v>
      </c>
      <c r="F76" s="326">
        <f>Vakgericht!$D76*Vakgericht!$E76</f>
        <v>12</v>
      </c>
      <c r="G76" s="328">
        <v>0</v>
      </c>
      <c r="H76" s="332">
        <f>IF($B76= "","-",IF($B76= "External","Specify location tariff", INDEX(Constants!$3:$3,MATCH($B76,Constants!$2:$2,0))))</f>
        <v>67.5</v>
      </c>
      <c r="I76" s="333">
        <f t="shared" si="2"/>
        <v>810</v>
      </c>
      <c r="J76" s="486" t="s">
        <v>1849</v>
      </c>
      <c r="K76" s="562"/>
      <c r="L76" s="562"/>
      <c r="M76" s="562"/>
      <c r="N76" s="562"/>
      <c r="O76" s="614"/>
      <c r="P76" s="566"/>
      <c r="Q76" s="567"/>
      <c r="R76" s="16"/>
      <c r="S76" s="16"/>
      <c r="V76" s="16"/>
      <c r="W76" s="16"/>
      <c r="X76" s="16"/>
      <c r="Y76" s="16"/>
      <c r="Z76" s="16"/>
      <c r="AA76" s="16"/>
    </row>
    <row r="77" spans="1:30" ht="15.75" customHeight="1">
      <c r="A77" s="323" t="s">
        <v>1850</v>
      </c>
      <c r="B77" s="323" t="s">
        <v>265</v>
      </c>
      <c r="C77" s="323" t="s">
        <v>513</v>
      </c>
      <c r="D77" s="323">
        <v>1.5</v>
      </c>
      <c r="E77" s="328">
        <v>6</v>
      </c>
      <c r="F77" s="326">
        <f>Vakgericht!$D77*Vakgericht!$E77</f>
        <v>9</v>
      </c>
      <c r="G77" s="328">
        <v>0</v>
      </c>
      <c r="H77" s="332">
        <f>IF($B77= "","-",IF($B77= "External","Specify location tariff", INDEX(Constants!$3:$3,MATCH($B77,Constants!$2:$2,0))))</f>
        <v>65</v>
      </c>
      <c r="I77" s="333">
        <f t="shared" si="2"/>
        <v>585</v>
      </c>
      <c r="J77" s="486" t="s">
        <v>1851</v>
      </c>
      <c r="K77" s="562"/>
      <c r="L77" s="562"/>
      <c r="M77" s="562"/>
      <c r="N77" s="562"/>
      <c r="O77" s="614"/>
      <c r="P77" s="566"/>
      <c r="Q77" s="567"/>
      <c r="R77" s="16"/>
      <c r="S77" s="16"/>
      <c r="V77" s="16"/>
      <c r="W77" s="16"/>
      <c r="X77" s="16"/>
      <c r="Y77" s="16"/>
      <c r="Z77" s="16"/>
      <c r="AA77" s="16"/>
    </row>
    <row r="78" spans="1:30" ht="15.75" customHeight="1">
      <c r="A78" s="327" t="s">
        <v>1850</v>
      </c>
      <c r="B78" s="323" t="s">
        <v>245</v>
      </c>
      <c r="C78" s="323" t="s">
        <v>516</v>
      </c>
      <c r="D78" s="323">
        <v>1.5</v>
      </c>
      <c r="E78" s="328">
        <v>6</v>
      </c>
      <c r="F78" s="326">
        <f>Vakgericht!$D78*Vakgericht!$E78</f>
        <v>9</v>
      </c>
      <c r="G78" s="328">
        <v>0</v>
      </c>
      <c r="H78" s="332">
        <f>IF($B78= "","-",IF($B78= "External","Specify location tariff", INDEX(Constants!$3:$3,MATCH($B78,Constants!$2:$2,0))))</f>
        <v>67.5</v>
      </c>
      <c r="I78" s="333">
        <f t="shared" si="2"/>
        <v>607.5</v>
      </c>
      <c r="J78" s="487" t="s">
        <v>1852</v>
      </c>
      <c r="K78" s="562"/>
      <c r="L78" s="562"/>
      <c r="M78" s="562"/>
      <c r="N78" s="562"/>
      <c r="O78" s="614"/>
      <c r="P78" s="566"/>
      <c r="Q78" s="567"/>
      <c r="R78" s="16"/>
      <c r="S78" s="16"/>
      <c r="V78" s="16"/>
      <c r="W78" s="16"/>
      <c r="X78" s="16"/>
      <c r="Y78" s="16"/>
      <c r="Z78" s="16"/>
      <c r="AA78" s="16"/>
    </row>
    <row r="79" spans="1:30" ht="15.75" customHeight="1">
      <c r="A79" s="231"/>
      <c r="B79" s="231"/>
      <c r="C79" s="232"/>
      <c r="D79" s="261"/>
      <c r="E79" s="245"/>
      <c r="F79" s="326">
        <f>Vakgericht!$D79*Vakgericht!$E79</f>
        <v>0</v>
      </c>
      <c r="G79" s="245"/>
      <c r="H79" s="332" t="str">
        <f>IF($B79= "","-",IF($B79= "External","Specify location tariff", INDEX(Constants!$3:$3,MATCH($B79,Constants!$2:$2,0))))</f>
        <v>-</v>
      </c>
      <c r="I79" s="333" t="str">
        <f t="shared" si="2"/>
        <v>-</v>
      </c>
      <c r="J79" s="247"/>
      <c r="K79" s="562"/>
      <c r="L79" s="562"/>
      <c r="M79" s="562"/>
      <c r="N79" s="562"/>
      <c r="O79" s="614"/>
      <c r="P79" s="566"/>
      <c r="Q79" s="567"/>
      <c r="R79" s="16"/>
      <c r="S79" s="16"/>
      <c r="V79" s="16"/>
      <c r="W79" s="16"/>
      <c r="X79" s="16"/>
      <c r="Y79" s="16"/>
      <c r="Z79" s="16"/>
      <c r="AA79" s="16"/>
    </row>
    <row r="80" spans="1:30" ht="15.75" customHeight="1">
      <c r="A80" s="231"/>
      <c r="B80" s="231"/>
      <c r="C80" s="232"/>
      <c r="D80" s="261"/>
      <c r="E80" s="245"/>
      <c r="F80" s="326">
        <f>Vakgericht!$D80*Vakgericht!$E80</f>
        <v>0</v>
      </c>
      <c r="G80" s="245"/>
      <c r="H80" s="332" t="str">
        <f>IF($B80= "","-",IF($B80= "External","Specify location tariff", INDEX(Constants!$3:$3,MATCH($B80,Constants!$2:$2,0))))</f>
        <v>-</v>
      </c>
      <c r="I80" s="333" t="str">
        <f t="shared" si="2"/>
        <v>-</v>
      </c>
      <c r="J80" s="247"/>
      <c r="K80" s="562"/>
      <c r="L80" s="562"/>
      <c r="M80" s="562"/>
      <c r="N80" s="562"/>
      <c r="O80" s="614"/>
      <c r="P80" s="566"/>
      <c r="Q80" s="567"/>
      <c r="R80" s="16"/>
      <c r="S80" s="16"/>
      <c r="V80" s="16"/>
      <c r="W80" s="16"/>
      <c r="X80" s="16"/>
      <c r="Y80" s="16"/>
      <c r="Z80" s="16"/>
      <c r="AA80" s="16"/>
    </row>
    <row r="81" spans="1:30" ht="15.75" customHeight="1">
      <c r="A81" s="231"/>
      <c r="B81" s="231"/>
      <c r="C81" s="232"/>
      <c r="D81" s="261"/>
      <c r="E81" s="245"/>
      <c r="F81" s="326">
        <f>Vakgericht!$D81*Vakgericht!$E81</f>
        <v>0</v>
      </c>
      <c r="G81" s="245"/>
      <c r="H81" s="332" t="str">
        <f>IF($B81= "","-",IF($B81= "External","Specify location tariff", INDEX(Constants!$3:$3,MATCH($B81,Constants!$2:$2,0))))</f>
        <v>-</v>
      </c>
      <c r="I81" s="333" t="str">
        <f t="shared" si="2"/>
        <v>-</v>
      </c>
      <c r="J81" s="247"/>
      <c r="K81" s="562"/>
      <c r="L81" s="562"/>
      <c r="M81" s="562"/>
      <c r="N81" s="562"/>
      <c r="O81" s="614"/>
      <c r="P81" s="566"/>
      <c r="Q81" s="567"/>
      <c r="R81" s="16"/>
      <c r="S81" s="16"/>
      <c r="V81" s="16"/>
      <c r="W81" s="16"/>
      <c r="X81" s="16"/>
      <c r="Y81" s="16"/>
      <c r="Z81" s="16"/>
      <c r="AA81" s="16"/>
    </row>
    <row r="82" spans="1:30" ht="15.75" customHeight="1">
      <c r="A82" s="231"/>
      <c r="B82" s="231"/>
      <c r="C82" s="232"/>
      <c r="D82" s="261"/>
      <c r="E82" s="245"/>
      <c r="F82" s="326">
        <f>Vakgericht!$D82*Vakgericht!$E82</f>
        <v>0</v>
      </c>
      <c r="G82" s="245"/>
      <c r="H82" s="332" t="str">
        <f>IF($B82= "","-",IF($B82= "External","Specify location tariff", INDEX(Constants!$3:$3,MATCH($B82,Constants!$2:$2,0))))</f>
        <v>-</v>
      </c>
      <c r="I82" s="333" t="str">
        <f t="shared" si="2"/>
        <v>-</v>
      </c>
      <c r="J82" s="247"/>
      <c r="K82" s="562"/>
      <c r="L82" s="562"/>
      <c r="M82" s="562"/>
      <c r="N82" s="562"/>
      <c r="O82" s="614"/>
      <c r="P82" s="566"/>
      <c r="Q82" s="567"/>
      <c r="R82" s="16"/>
      <c r="S82" s="16"/>
      <c r="V82" s="16"/>
      <c r="W82" s="16"/>
      <c r="X82" s="16"/>
      <c r="Y82" s="16"/>
      <c r="Z82" s="16"/>
      <c r="AA82" s="16"/>
    </row>
    <row r="83" spans="1:30" ht="15.75" customHeight="1">
      <c r="A83" s="231"/>
      <c r="B83" s="231"/>
      <c r="C83" s="232"/>
      <c r="D83" s="261"/>
      <c r="E83" s="245"/>
      <c r="F83" s="326">
        <f>Vakgericht!$D83*Vakgericht!$E83</f>
        <v>0</v>
      </c>
      <c r="G83" s="245"/>
      <c r="H83" s="332" t="str">
        <f>IF($B83= "","-",IF($B83= "External","Specify location tariff", INDEX(Constants!$3:$3,MATCH($B83,Constants!$2:$2,0))))</f>
        <v>-</v>
      </c>
      <c r="I83" s="333" t="str">
        <f t="shared" si="2"/>
        <v>-</v>
      </c>
      <c r="J83" s="247"/>
      <c r="K83" s="562"/>
      <c r="L83" s="562"/>
      <c r="M83" s="562"/>
      <c r="N83" s="562"/>
      <c r="O83" s="614"/>
      <c r="P83" s="566"/>
      <c r="Q83" s="567"/>
      <c r="R83" s="16"/>
      <c r="S83" s="16"/>
      <c r="V83" s="16"/>
      <c r="W83" s="16"/>
      <c r="X83" s="16"/>
      <c r="Y83" s="16"/>
      <c r="Z83" s="16"/>
      <c r="AA83" s="16"/>
    </row>
    <row r="84" spans="1:30" ht="15.75" customHeight="1">
      <c r="A84" s="231"/>
      <c r="B84" s="231"/>
      <c r="C84" s="232"/>
      <c r="D84" s="261"/>
      <c r="E84" s="245"/>
      <c r="F84" s="326">
        <f>Vakgericht!$D84*Vakgericht!$E84</f>
        <v>0</v>
      </c>
      <c r="G84" s="245"/>
      <c r="H84" s="332" t="str">
        <f>IF($B84= "","-",IF($B84= "External","Specify location tariff", INDEX(Constants!$3:$3,MATCH($B84,Constants!$2:$2,0))))</f>
        <v>-</v>
      </c>
      <c r="I84" s="333" t="str">
        <f t="shared" si="2"/>
        <v>-</v>
      </c>
      <c r="J84" s="247"/>
      <c r="K84" s="562"/>
      <c r="L84" s="562"/>
      <c r="M84" s="562"/>
      <c r="N84" s="562"/>
      <c r="O84" s="614"/>
      <c r="P84" s="566"/>
      <c r="Q84" s="567"/>
      <c r="R84" s="16"/>
      <c r="S84" s="16"/>
      <c r="V84" s="16"/>
      <c r="W84" s="16"/>
      <c r="X84" s="16"/>
      <c r="Y84" s="16"/>
      <c r="Z84" s="16"/>
      <c r="AA84" s="16"/>
    </row>
    <row r="85" spans="1:30" ht="15.75" customHeight="1">
      <c r="A85" s="231"/>
      <c r="B85" s="231"/>
      <c r="C85" s="232"/>
      <c r="D85" s="261"/>
      <c r="E85" s="245"/>
      <c r="F85" s="326">
        <f>Vakgericht!$D85*Vakgericht!$E85</f>
        <v>0</v>
      </c>
      <c r="G85" s="245"/>
      <c r="H85" s="332" t="str">
        <f>IF($B85= "","-",IF($B85= "External","Specify location tariff", INDEX(Constants!$3:$3,MATCH($B85,Constants!$2:$2,0))))</f>
        <v>-</v>
      </c>
      <c r="I85" s="333" t="str">
        <f t="shared" si="2"/>
        <v>-</v>
      </c>
      <c r="J85" s="247"/>
      <c r="K85" s="562"/>
      <c r="L85" s="562"/>
      <c r="M85" s="562"/>
      <c r="N85" s="562"/>
      <c r="O85" s="614"/>
      <c r="P85" s="566"/>
      <c r="Q85" s="567"/>
      <c r="R85" s="16"/>
      <c r="S85" s="16"/>
      <c r="V85" s="16"/>
      <c r="W85" s="16"/>
      <c r="X85" s="16"/>
      <c r="Y85" s="16"/>
      <c r="Z85" s="16"/>
      <c r="AA85" s="16"/>
    </row>
    <row r="86" spans="1:30" ht="15.75" customHeight="1">
      <c r="A86" s="231"/>
      <c r="B86" s="231"/>
      <c r="C86" s="232"/>
      <c r="D86" s="261"/>
      <c r="E86" s="245"/>
      <c r="F86" s="326">
        <f>Vakgericht!$D86*Vakgericht!$E86</f>
        <v>0</v>
      </c>
      <c r="G86" s="245"/>
      <c r="H86" s="332" t="str">
        <f>IF($B86= "","-",IF($B86= "External","Specify location tariff", INDEX(Constants!$3:$3,MATCH($B86,Constants!$2:$2,0))))</f>
        <v>-</v>
      </c>
      <c r="I86" s="333" t="str">
        <f t="shared" si="2"/>
        <v>-</v>
      </c>
      <c r="J86" s="247"/>
      <c r="K86" s="562"/>
      <c r="L86" s="562"/>
      <c r="M86" s="562"/>
      <c r="N86" s="562"/>
      <c r="O86" s="614"/>
      <c r="P86" s="566"/>
      <c r="Q86" s="567"/>
      <c r="R86" s="16"/>
      <c r="S86" s="16"/>
      <c r="V86" s="16"/>
      <c r="W86" s="16"/>
      <c r="X86" s="16"/>
      <c r="Y86" s="16"/>
      <c r="Z86" s="16"/>
      <c r="AA86" s="16"/>
    </row>
    <row r="87" spans="1:30" ht="15.75" customHeight="1" thickBot="1">
      <c r="A87" s="231"/>
      <c r="B87" s="231"/>
      <c r="C87" s="232"/>
      <c r="D87" s="261"/>
      <c r="E87" s="245"/>
      <c r="F87" s="326">
        <f>Vakgericht!$D87*Vakgericht!$E87</f>
        <v>0</v>
      </c>
      <c r="G87" s="245"/>
      <c r="H87" s="332" t="str">
        <f>IF($B87= "","-",IF($B87= "External","Specify location tariff", INDEX(Constants!$3:$3,MATCH($B87,Constants!$2:$2,0))))</f>
        <v>-</v>
      </c>
      <c r="I87" s="333" t="str">
        <f t="shared" si="2"/>
        <v>-</v>
      </c>
      <c r="J87" s="247"/>
      <c r="K87" s="616"/>
      <c r="L87" s="616"/>
      <c r="M87" s="616"/>
      <c r="N87" s="616"/>
      <c r="O87" s="617"/>
      <c r="P87" s="568"/>
      <c r="Q87" s="569"/>
      <c r="R87" s="16"/>
      <c r="S87" s="16"/>
      <c r="V87" s="16"/>
      <c r="W87" s="16"/>
      <c r="X87" s="16"/>
      <c r="Y87" s="16"/>
      <c r="Z87" s="16"/>
      <c r="AA87" s="16"/>
    </row>
    <row r="88" spans="1:30" ht="15.75" customHeight="1" thickTop="1">
      <c r="A88" s="15"/>
      <c r="B88" s="16"/>
      <c r="C88" s="16"/>
      <c r="D88" s="16"/>
      <c r="E88" s="16"/>
      <c r="F88" s="16"/>
      <c r="G88" s="16"/>
      <c r="H88" s="16"/>
      <c r="I88" s="16"/>
      <c r="J88" s="16"/>
      <c r="K88" s="16"/>
      <c r="L88" s="16"/>
      <c r="M88" s="16"/>
      <c r="N88" s="16"/>
      <c r="O88" s="16"/>
      <c r="P88" s="16"/>
      <c r="Q88" s="16"/>
      <c r="R88" s="16"/>
      <c r="S88" s="16"/>
      <c r="T88" s="16"/>
      <c r="U88" s="16"/>
      <c r="V88" s="16"/>
      <c r="W88" s="16"/>
      <c r="X88" s="16"/>
      <c r="Y88" s="16"/>
      <c r="Z88" s="16"/>
      <c r="AA88" s="16"/>
      <c r="AB88" s="16"/>
      <c r="AC88" s="16"/>
      <c r="AD88" s="16"/>
    </row>
    <row r="89" spans="1:30" ht="15.75" customHeight="1">
      <c r="A89" s="15"/>
      <c r="B89" s="16"/>
      <c r="C89" s="16"/>
      <c r="D89" s="16"/>
      <c r="E89" s="16"/>
      <c r="F89" s="16"/>
      <c r="G89" s="16"/>
      <c r="H89" s="16"/>
      <c r="I89" s="16"/>
      <c r="J89" s="16"/>
      <c r="K89" s="16"/>
      <c r="L89" s="16"/>
      <c r="M89" s="16"/>
      <c r="N89" s="16"/>
      <c r="O89" s="16"/>
      <c r="P89" s="16"/>
      <c r="Q89" s="16"/>
      <c r="R89" s="16"/>
      <c r="S89" s="16"/>
      <c r="T89" s="16"/>
      <c r="U89" s="16"/>
      <c r="V89" s="16"/>
      <c r="W89" s="16"/>
      <c r="X89" s="16"/>
      <c r="Y89" s="16"/>
      <c r="Z89" s="16"/>
      <c r="AA89" s="16"/>
      <c r="AB89" s="16"/>
      <c r="AC89" s="16"/>
      <c r="AD89" s="16"/>
    </row>
    <row r="90" spans="1:30" ht="15.75" customHeight="1" thickBot="1">
      <c r="A90" s="186" t="s">
        <v>519</v>
      </c>
      <c r="B90" s="16"/>
      <c r="C90" s="128"/>
      <c r="D90" s="51"/>
      <c r="E90" s="51"/>
      <c r="F90" s="51"/>
      <c r="G90" s="51"/>
      <c r="H90" s="51"/>
      <c r="I90" s="51"/>
      <c r="J90" s="51"/>
      <c r="K90" s="51"/>
      <c r="L90" s="232"/>
      <c r="M90" s="231"/>
      <c r="N90" s="16"/>
      <c r="O90" s="16"/>
      <c r="P90" s="16"/>
      <c r="Q90" s="16"/>
      <c r="R90" s="16"/>
      <c r="S90" s="16"/>
      <c r="T90" s="16"/>
      <c r="U90" s="16"/>
      <c r="V90" s="16"/>
      <c r="W90" s="16"/>
      <c r="X90" s="16"/>
      <c r="Y90" s="16"/>
      <c r="Z90" s="16"/>
      <c r="AA90" s="16"/>
      <c r="AB90" s="16"/>
      <c r="AC90" s="16"/>
      <c r="AD90" s="16"/>
    </row>
    <row r="91" spans="1:30" ht="15" customHeight="1" thickTop="1" thickBot="1">
      <c r="A91" s="230" t="s">
        <v>438</v>
      </c>
      <c r="B91" s="230" t="s">
        <v>439</v>
      </c>
      <c r="C91" s="230" t="s">
        <v>520</v>
      </c>
      <c r="D91" s="230" t="s">
        <v>521</v>
      </c>
      <c r="E91" s="230" t="s">
        <v>522</v>
      </c>
      <c r="F91" s="230" t="s">
        <v>523</v>
      </c>
      <c r="G91" s="230" t="s">
        <v>508</v>
      </c>
      <c r="H91" s="721" t="s">
        <v>441</v>
      </c>
      <c r="I91" s="728"/>
      <c r="J91" s="729" t="s">
        <v>434</v>
      </c>
      <c r="K91" s="730"/>
      <c r="L91" s="16"/>
      <c r="M91" s="16"/>
      <c r="N91" s="16"/>
      <c r="O91" s="16"/>
      <c r="P91" s="117"/>
      <c r="Q91" s="15"/>
      <c r="R91" s="16"/>
      <c r="S91" s="130"/>
      <c r="T91" s="16"/>
      <c r="U91" s="16"/>
      <c r="V91" s="16"/>
      <c r="W91" s="241"/>
      <c r="X91" s="16"/>
      <c r="Y91" s="16"/>
      <c r="Z91" s="16"/>
      <c r="AA91" s="16"/>
      <c r="AB91" s="16"/>
    </row>
    <row r="92" spans="1:30" ht="14.25" customHeight="1" thickTop="1">
      <c r="A92" s="231" t="s">
        <v>1853</v>
      </c>
      <c r="B92" s="231" t="s">
        <v>279</v>
      </c>
      <c r="C92" s="246">
        <v>400</v>
      </c>
      <c r="D92" s="326">
        <v>3</v>
      </c>
      <c r="E92" s="245">
        <v>10</v>
      </c>
      <c r="F92" s="246">
        <f>Table_6170274[[#This Row],[Purchase / Running costs]]/Table_6170274[[#This Row],[Depreciation period]]</f>
        <v>133.33333333333334</v>
      </c>
      <c r="G92" s="247"/>
      <c r="H92" s="653"/>
      <c r="I92" s="750"/>
      <c r="J92" s="628" t="s">
        <v>526</v>
      </c>
      <c r="K92" s="730"/>
      <c r="L92" s="16"/>
      <c r="M92" s="16"/>
      <c r="N92" s="16"/>
      <c r="O92" s="16"/>
      <c r="P92" s="16"/>
      <c r="Q92" s="133"/>
      <c r="R92" s="16"/>
      <c r="S92" s="16"/>
      <c r="T92" s="16"/>
      <c r="U92" s="16"/>
      <c r="V92" s="16"/>
      <c r="W92" s="16"/>
      <c r="X92" s="16"/>
      <c r="Y92" s="16"/>
      <c r="Z92" s="16"/>
      <c r="AA92" s="16"/>
      <c r="AB92" s="16"/>
    </row>
    <row r="93" spans="1:30" ht="15.75" customHeight="1">
      <c r="A93" s="231"/>
      <c r="B93" s="248"/>
      <c r="C93" s="246">
        <v>0</v>
      </c>
      <c r="D93" s="247"/>
      <c r="E93" s="245"/>
      <c r="F93" s="246">
        <v>0</v>
      </c>
      <c r="G93" s="247"/>
      <c r="H93" s="744"/>
      <c r="I93" s="751"/>
      <c r="J93" s="702"/>
      <c r="K93" s="732"/>
      <c r="L93" s="16"/>
      <c r="M93" s="16"/>
      <c r="N93" s="16"/>
      <c r="O93" s="16"/>
      <c r="P93" s="16"/>
      <c r="Q93" s="16"/>
      <c r="R93" s="16"/>
      <c r="S93" s="16"/>
      <c r="T93" s="16"/>
      <c r="U93" s="16"/>
      <c r="V93" s="16"/>
      <c r="W93" s="16"/>
      <c r="X93" s="16"/>
      <c r="Y93" s="16"/>
      <c r="Z93" s="16"/>
      <c r="AA93" s="16"/>
      <c r="AB93" s="16"/>
    </row>
    <row r="94" spans="1:30" ht="15.75" customHeight="1">
      <c r="A94" s="231"/>
      <c r="B94" s="248"/>
      <c r="C94" s="246">
        <v>0</v>
      </c>
      <c r="D94" s="247"/>
      <c r="E94" s="245"/>
      <c r="F94" s="246">
        <v>0</v>
      </c>
      <c r="G94" s="247"/>
      <c r="H94" s="744"/>
      <c r="I94" s="751"/>
      <c r="J94" s="702"/>
      <c r="K94" s="732"/>
      <c r="L94" s="16"/>
      <c r="M94" s="16"/>
      <c r="N94" s="16"/>
      <c r="O94" s="16"/>
      <c r="P94" s="16"/>
      <c r="Q94" s="16"/>
      <c r="R94" s="16"/>
      <c r="S94" s="16"/>
      <c r="T94" s="16"/>
      <c r="U94" s="16"/>
      <c r="V94" s="16"/>
      <c r="W94" s="16"/>
      <c r="X94" s="16"/>
      <c r="Y94" s="16"/>
      <c r="Z94" s="16"/>
      <c r="AA94" s="16"/>
      <c r="AB94" s="16"/>
    </row>
    <row r="95" spans="1:30" ht="15.75" customHeight="1">
      <c r="A95" s="231"/>
      <c r="B95" s="248"/>
      <c r="C95" s="246">
        <v>0</v>
      </c>
      <c r="D95" s="247"/>
      <c r="E95" s="245"/>
      <c r="F95" s="246">
        <v>0</v>
      </c>
      <c r="G95" s="247"/>
      <c r="H95" s="744"/>
      <c r="I95" s="751"/>
      <c r="J95" s="702"/>
      <c r="K95" s="732"/>
      <c r="L95" s="16"/>
      <c r="M95" s="16"/>
      <c r="N95" s="16"/>
      <c r="O95" s="16"/>
      <c r="P95" s="16"/>
      <c r="Q95" s="16"/>
      <c r="R95" s="16"/>
      <c r="S95" s="16"/>
      <c r="T95" s="16"/>
      <c r="U95" s="16"/>
      <c r="V95" s="16"/>
      <c r="W95" s="16"/>
      <c r="X95" s="16"/>
      <c r="Y95" s="16"/>
      <c r="Z95" s="16"/>
      <c r="AA95" s="16"/>
      <c r="AB95" s="16"/>
    </row>
    <row r="96" spans="1:30" ht="15.75" customHeight="1">
      <c r="A96" s="231"/>
      <c r="B96" s="248"/>
      <c r="C96" s="246">
        <v>0</v>
      </c>
      <c r="D96" s="247"/>
      <c r="E96" s="245"/>
      <c r="F96" s="246">
        <v>0</v>
      </c>
      <c r="G96" s="247"/>
      <c r="H96" s="744"/>
      <c r="I96" s="751"/>
      <c r="J96" s="702"/>
      <c r="K96" s="732"/>
      <c r="L96" s="16"/>
      <c r="M96" s="16"/>
      <c r="N96" s="16"/>
      <c r="O96" s="16"/>
      <c r="P96" s="16"/>
      <c r="Q96" s="16"/>
      <c r="R96" s="16"/>
      <c r="S96" s="16"/>
      <c r="T96" s="16"/>
      <c r="U96" s="16"/>
      <c r="V96" s="16"/>
      <c r="W96" s="16"/>
      <c r="X96" s="16"/>
      <c r="Y96" s="16"/>
      <c r="Z96" s="16"/>
      <c r="AA96" s="16"/>
      <c r="AB96" s="16"/>
    </row>
    <row r="97" spans="1:30" ht="15.75" customHeight="1">
      <c r="A97" s="231"/>
      <c r="B97" s="248"/>
      <c r="C97" s="246">
        <v>0</v>
      </c>
      <c r="D97" s="247"/>
      <c r="E97" s="245"/>
      <c r="F97" s="246">
        <v>0</v>
      </c>
      <c r="G97" s="247"/>
      <c r="H97" s="744"/>
      <c r="I97" s="751"/>
      <c r="J97" s="702"/>
      <c r="K97" s="732"/>
      <c r="L97" s="16"/>
      <c r="M97" s="16"/>
      <c r="N97" s="16"/>
      <c r="O97" s="16"/>
      <c r="P97" s="16"/>
      <c r="Q97" s="16"/>
      <c r="R97" s="16"/>
      <c r="S97" s="16"/>
      <c r="T97" s="16"/>
      <c r="U97" s="16"/>
      <c r="V97" s="16"/>
      <c r="W97" s="16"/>
      <c r="X97" s="16"/>
      <c r="Y97" s="16"/>
      <c r="Z97" s="16"/>
      <c r="AA97" s="16"/>
      <c r="AB97" s="16"/>
    </row>
    <row r="98" spans="1:30" ht="15.75" customHeight="1">
      <c r="A98" s="231"/>
      <c r="B98" s="244"/>
      <c r="C98" s="246">
        <v>0</v>
      </c>
      <c r="D98" s="247"/>
      <c r="E98" s="245"/>
      <c r="F98" s="246">
        <v>0</v>
      </c>
      <c r="G98" s="247"/>
      <c r="H98" s="744"/>
      <c r="I98" s="751"/>
      <c r="J98" s="702"/>
      <c r="K98" s="732"/>
      <c r="L98" s="16"/>
      <c r="M98" s="16"/>
      <c r="N98" s="16"/>
      <c r="O98" s="16"/>
      <c r="P98" s="16"/>
      <c r="Q98" s="16"/>
      <c r="R98" s="16"/>
      <c r="S98" s="16"/>
      <c r="T98" s="16"/>
      <c r="U98" s="16"/>
      <c r="V98" s="16"/>
      <c r="W98" s="16"/>
      <c r="X98" s="16"/>
      <c r="Y98" s="16"/>
      <c r="Z98" s="16"/>
      <c r="AA98" s="16"/>
      <c r="AB98" s="16"/>
    </row>
    <row r="99" spans="1:30" ht="15.75" customHeight="1">
      <c r="A99" s="231"/>
      <c r="B99" s="244"/>
      <c r="C99" s="246">
        <v>0</v>
      </c>
      <c r="D99" s="247"/>
      <c r="E99" s="245"/>
      <c r="F99" s="246">
        <v>0</v>
      </c>
      <c r="G99" s="247"/>
      <c r="H99" s="744"/>
      <c r="I99" s="751"/>
      <c r="J99" s="702"/>
      <c r="K99" s="732"/>
      <c r="L99" s="16"/>
      <c r="M99" s="16"/>
      <c r="N99" s="16"/>
      <c r="O99" s="16"/>
      <c r="P99" s="16"/>
      <c r="Q99" s="16"/>
      <c r="R99" s="16"/>
      <c r="S99" s="16"/>
      <c r="T99" s="16"/>
      <c r="U99" s="16"/>
      <c r="V99" s="16"/>
      <c r="W99" s="16"/>
      <c r="X99" s="16"/>
      <c r="Y99" s="16"/>
      <c r="Z99" s="16"/>
      <c r="AA99" s="16"/>
      <c r="AB99" s="16"/>
    </row>
    <row r="100" spans="1:30" ht="15.75" customHeight="1">
      <c r="A100" s="231"/>
      <c r="B100" s="244"/>
      <c r="C100" s="246">
        <v>0</v>
      </c>
      <c r="D100" s="247"/>
      <c r="E100" s="245"/>
      <c r="F100" s="246">
        <v>0</v>
      </c>
      <c r="G100" s="247"/>
      <c r="H100" s="744"/>
      <c r="I100" s="751"/>
      <c r="J100" s="702"/>
      <c r="K100" s="732"/>
      <c r="L100" s="16"/>
      <c r="M100" s="16"/>
      <c r="N100" s="16"/>
      <c r="O100" s="16"/>
      <c r="P100" s="16"/>
      <c r="Q100" s="16"/>
      <c r="R100" s="16"/>
      <c r="S100" s="16"/>
      <c r="T100" s="16"/>
      <c r="U100" s="16"/>
      <c r="V100" s="16"/>
      <c r="W100" s="16"/>
      <c r="X100" s="16"/>
      <c r="Y100" s="16"/>
      <c r="Z100" s="16"/>
      <c r="AA100" s="16"/>
      <c r="AB100" s="16"/>
    </row>
    <row r="101" spans="1:30" ht="15.75" customHeight="1">
      <c r="A101" s="231"/>
      <c r="B101" s="244"/>
      <c r="C101" s="246">
        <v>0</v>
      </c>
      <c r="D101" s="247"/>
      <c r="E101" s="245"/>
      <c r="F101" s="246">
        <v>0</v>
      </c>
      <c r="G101" s="247"/>
      <c r="H101" s="744"/>
      <c r="I101" s="751"/>
      <c r="J101" s="702"/>
      <c r="K101" s="732"/>
      <c r="L101" s="16"/>
      <c r="M101" s="16"/>
      <c r="N101" s="16"/>
      <c r="O101" s="16"/>
      <c r="P101" s="16"/>
      <c r="Q101" s="16"/>
      <c r="R101" s="16"/>
      <c r="S101" s="16"/>
      <c r="T101" s="16"/>
      <c r="U101" s="16"/>
      <c r="V101" s="16"/>
      <c r="W101" s="16"/>
      <c r="X101" s="16"/>
      <c r="Y101" s="16"/>
      <c r="Z101" s="16"/>
      <c r="AA101" s="16"/>
      <c r="AB101" s="16"/>
    </row>
    <row r="102" spans="1:30" ht="15.75" customHeight="1">
      <c r="A102" s="231"/>
      <c r="B102" s="244"/>
      <c r="C102" s="246">
        <v>0</v>
      </c>
      <c r="D102" s="247"/>
      <c r="E102" s="245"/>
      <c r="F102" s="246">
        <v>0</v>
      </c>
      <c r="G102" s="247"/>
      <c r="H102" s="744"/>
      <c r="I102" s="751"/>
      <c r="J102" s="702"/>
      <c r="K102" s="732"/>
      <c r="L102" s="16"/>
      <c r="M102" s="16"/>
      <c r="N102" s="16"/>
      <c r="O102" s="16"/>
      <c r="P102" s="16"/>
      <c r="Q102" s="16"/>
      <c r="R102" s="16"/>
      <c r="S102" s="16"/>
      <c r="T102" s="16"/>
      <c r="U102" s="16"/>
      <c r="V102" s="16"/>
      <c r="W102" s="16"/>
      <c r="X102" s="16"/>
      <c r="Y102" s="16"/>
      <c r="Z102" s="16"/>
      <c r="AA102" s="16"/>
      <c r="AB102" s="16"/>
    </row>
    <row r="103" spans="1:30" ht="15.75" customHeight="1">
      <c r="A103" s="231"/>
      <c r="B103" s="244"/>
      <c r="C103" s="246">
        <v>0</v>
      </c>
      <c r="D103" s="247"/>
      <c r="E103" s="245"/>
      <c r="F103" s="246">
        <v>0</v>
      </c>
      <c r="G103" s="247"/>
      <c r="H103" s="744"/>
      <c r="I103" s="751"/>
      <c r="J103" s="702"/>
      <c r="K103" s="732"/>
      <c r="L103" s="16"/>
      <c r="M103" s="16"/>
      <c r="N103" s="16"/>
      <c r="O103" s="16"/>
      <c r="P103" s="16"/>
      <c r="Q103" s="16"/>
      <c r="R103" s="16"/>
      <c r="S103" s="16"/>
      <c r="T103" s="16"/>
      <c r="U103" s="16"/>
      <c r="V103" s="16"/>
      <c r="W103" s="16"/>
      <c r="X103" s="16"/>
      <c r="Y103" s="16"/>
      <c r="Z103" s="16"/>
      <c r="AA103" s="16"/>
      <c r="AB103" s="16"/>
    </row>
    <row r="104" spans="1:30" ht="15.75" customHeight="1">
      <c r="A104" s="231"/>
      <c r="B104" s="244"/>
      <c r="C104" s="246">
        <v>0</v>
      </c>
      <c r="D104" s="247"/>
      <c r="E104" s="245"/>
      <c r="F104" s="246">
        <v>0</v>
      </c>
      <c r="G104" s="247"/>
      <c r="H104" s="744"/>
      <c r="I104" s="751"/>
      <c r="J104" s="702"/>
      <c r="K104" s="732"/>
      <c r="L104" s="16"/>
      <c r="M104" s="16"/>
      <c r="N104" s="16"/>
      <c r="O104" s="16"/>
      <c r="P104" s="16"/>
      <c r="Q104" s="16"/>
      <c r="R104" s="16"/>
      <c r="S104" s="16"/>
      <c r="T104" s="16"/>
      <c r="U104" s="16"/>
      <c r="V104" s="16"/>
      <c r="W104" s="16"/>
      <c r="X104" s="16"/>
      <c r="Y104" s="16"/>
      <c r="Z104" s="16"/>
      <c r="AA104" s="16"/>
      <c r="AB104" s="16"/>
    </row>
    <row r="105" spans="1:30" ht="15.75" customHeight="1" thickBot="1">
      <c r="A105" s="231"/>
      <c r="B105" s="244"/>
      <c r="C105" s="246">
        <v>0</v>
      </c>
      <c r="D105" s="247"/>
      <c r="E105" s="245"/>
      <c r="F105" s="246">
        <v>0</v>
      </c>
      <c r="G105" s="247"/>
      <c r="H105" s="747"/>
      <c r="I105" s="748"/>
      <c r="J105" s="752"/>
      <c r="K105" s="734"/>
      <c r="L105" s="16"/>
      <c r="M105" s="16"/>
      <c r="N105" s="16"/>
      <c r="O105" s="16"/>
      <c r="P105" s="16"/>
      <c r="Q105" s="16"/>
      <c r="R105" s="16"/>
      <c r="S105" s="16"/>
      <c r="T105" s="16"/>
      <c r="U105" s="16"/>
      <c r="V105" s="16"/>
      <c r="W105" s="16"/>
      <c r="X105" s="16"/>
      <c r="Y105" s="16"/>
      <c r="Z105" s="16"/>
      <c r="AA105" s="16"/>
      <c r="AB105" s="16"/>
    </row>
    <row r="106" spans="1:30" ht="15.75" customHeight="1" thickTop="1">
      <c r="A106" s="15"/>
      <c r="B106" s="131"/>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c r="AD106" s="16"/>
    </row>
    <row r="107" spans="1:30" ht="15.75" customHeight="1">
      <c r="A107" s="15"/>
      <c r="B107" s="131"/>
      <c r="C107" s="16"/>
      <c r="D107" s="16"/>
      <c r="E107" s="16"/>
      <c r="F107" s="16"/>
      <c r="G107" s="16"/>
      <c r="I107" s="16"/>
      <c r="J107" s="16"/>
      <c r="K107" s="16"/>
      <c r="L107" s="16"/>
      <c r="M107" s="16"/>
      <c r="N107" s="16"/>
      <c r="O107" s="16"/>
      <c r="P107" s="16"/>
      <c r="Q107" s="16"/>
      <c r="R107" s="16"/>
      <c r="S107" s="16"/>
      <c r="T107" s="16"/>
      <c r="U107" s="16"/>
      <c r="V107" s="16"/>
      <c r="W107" s="16"/>
      <c r="X107" s="16"/>
      <c r="Y107" s="16"/>
      <c r="Z107" s="16"/>
      <c r="AA107" s="16"/>
      <c r="AB107" s="16"/>
      <c r="AC107" s="16"/>
      <c r="AD107" s="16"/>
    </row>
    <row r="108" spans="1:30" ht="15.75" customHeight="1">
      <c r="H108" s="51"/>
      <c r="I108" s="51"/>
      <c r="J108" s="51"/>
      <c r="K108" s="51"/>
      <c r="L108" s="16"/>
      <c r="M108" s="16"/>
      <c r="N108" s="16"/>
      <c r="O108" s="16"/>
      <c r="P108" s="16"/>
      <c r="Q108" s="16"/>
      <c r="R108" s="16"/>
      <c r="S108" s="16"/>
      <c r="T108" s="16"/>
      <c r="U108" s="16"/>
      <c r="V108" s="16"/>
      <c r="W108" s="16"/>
      <c r="X108" s="16"/>
      <c r="Y108" s="16"/>
      <c r="Z108" s="16"/>
      <c r="AA108" s="16"/>
      <c r="AB108" s="16"/>
      <c r="AC108" s="16"/>
      <c r="AD108" s="16"/>
    </row>
    <row r="109" spans="1:30" ht="15.75" customHeight="1">
      <c r="L109" s="16"/>
      <c r="M109" s="16"/>
      <c r="N109" s="16"/>
      <c r="O109" s="16"/>
      <c r="P109" s="16"/>
      <c r="Q109" s="16"/>
      <c r="R109" s="16"/>
      <c r="S109" s="16"/>
      <c r="T109" s="16"/>
      <c r="U109" s="16"/>
      <c r="V109" s="16"/>
      <c r="W109" s="16"/>
      <c r="X109" s="16"/>
      <c r="Y109" s="16"/>
      <c r="Z109" s="16"/>
      <c r="AA109" s="16"/>
      <c r="AB109" s="16"/>
      <c r="AC109" s="16"/>
      <c r="AD109" s="16"/>
    </row>
    <row r="110" spans="1:30" ht="15.75" customHeight="1">
      <c r="L110" s="16"/>
      <c r="M110" s="16"/>
      <c r="N110" s="16"/>
      <c r="O110" s="16"/>
      <c r="P110" s="16"/>
      <c r="Q110" s="16"/>
      <c r="R110" s="16"/>
      <c r="S110" s="16"/>
      <c r="T110" s="16"/>
      <c r="U110" s="16"/>
      <c r="V110" s="16"/>
      <c r="W110" s="16"/>
      <c r="X110" s="16"/>
      <c r="Y110" s="16"/>
      <c r="Z110" s="16"/>
      <c r="AA110" s="16"/>
      <c r="AB110" s="16"/>
      <c r="AC110" s="16"/>
      <c r="AD110" s="16"/>
    </row>
    <row r="111" spans="1:30" ht="15.75" customHeight="1">
      <c r="L111" s="16"/>
      <c r="M111" s="16"/>
      <c r="N111" s="16"/>
      <c r="O111" s="16"/>
      <c r="P111" s="16"/>
      <c r="Q111" s="16"/>
      <c r="R111" s="16"/>
      <c r="S111" s="16"/>
      <c r="T111" s="16"/>
      <c r="U111" s="16"/>
      <c r="V111" s="16"/>
      <c r="W111" s="16"/>
      <c r="X111" s="16"/>
      <c r="Y111" s="16"/>
      <c r="Z111" s="16"/>
      <c r="AA111" s="16"/>
      <c r="AB111" s="16"/>
      <c r="AC111" s="16"/>
      <c r="AD111" s="16"/>
    </row>
    <row r="112" spans="1:30" ht="15.75" customHeight="1">
      <c r="L112" s="16"/>
      <c r="M112" s="16"/>
      <c r="N112" s="16"/>
      <c r="O112" s="16"/>
      <c r="P112" s="16"/>
      <c r="Q112" s="16"/>
      <c r="R112" s="16"/>
      <c r="S112" s="16"/>
      <c r="T112" s="16"/>
      <c r="U112" s="16"/>
      <c r="V112" s="16"/>
      <c r="W112" s="16"/>
      <c r="X112" s="16"/>
      <c r="Y112" s="16"/>
      <c r="Z112" s="16"/>
      <c r="AA112" s="16"/>
      <c r="AB112" s="16"/>
      <c r="AC112" s="16"/>
      <c r="AD112" s="16"/>
    </row>
    <row r="113" spans="1:30" ht="15.75" customHeight="1">
      <c r="L113" s="16"/>
      <c r="M113" s="16"/>
      <c r="N113" s="16"/>
      <c r="O113" s="16"/>
      <c r="P113" s="16"/>
      <c r="Q113" s="16"/>
      <c r="R113" s="16"/>
      <c r="S113" s="16"/>
      <c r="T113" s="16"/>
      <c r="U113" s="16"/>
      <c r="V113" s="16"/>
      <c r="W113" s="16"/>
      <c r="X113" s="16"/>
      <c r="Y113" s="16"/>
      <c r="Z113" s="16"/>
      <c r="AA113" s="16"/>
      <c r="AB113" s="16"/>
      <c r="AC113" s="16"/>
      <c r="AD113" s="16"/>
    </row>
    <row r="114" spans="1:30" ht="15.75" customHeight="1">
      <c r="L114" s="16"/>
      <c r="M114" s="16"/>
      <c r="N114" s="16"/>
      <c r="O114" s="16"/>
      <c r="P114" s="16"/>
      <c r="Q114" s="16"/>
      <c r="R114" s="16"/>
      <c r="S114" s="16"/>
      <c r="T114" s="16"/>
      <c r="U114" s="16"/>
      <c r="V114" s="16"/>
      <c r="W114" s="16"/>
      <c r="X114" s="16"/>
      <c r="Y114" s="16"/>
      <c r="Z114" s="16"/>
      <c r="AA114" s="16"/>
      <c r="AB114" s="16"/>
      <c r="AC114" s="16"/>
      <c r="AD114" s="16"/>
    </row>
    <row r="115" spans="1:30" ht="15.75" customHeight="1">
      <c r="L115" s="16"/>
      <c r="M115" s="16"/>
      <c r="N115" s="16"/>
      <c r="O115" s="16"/>
      <c r="P115" s="735"/>
      <c r="Q115" s="696"/>
      <c r="R115" s="696"/>
      <c r="S115" s="16"/>
      <c r="T115" s="16"/>
      <c r="U115" s="16"/>
      <c r="V115" s="16"/>
      <c r="W115" s="16"/>
      <c r="X115" s="16"/>
      <c r="Y115" s="16"/>
      <c r="Z115" s="16"/>
      <c r="AA115" s="16"/>
      <c r="AB115" s="16"/>
      <c r="AC115" s="16"/>
      <c r="AD115" s="16"/>
    </row>
    <row r="116" spans="1:30" ht="15.75" customHeight="1">
      <c r="L116" s="16"/>
      <c r="M116" s="16"/>
      <c r="N116" s="16"/>
      <c r="O116" s="16"/>
      <c r="P116" s="735"/>
      <c r="Q116" s="696"/>
      <c r="R116" s="696"/>
      <c r="S116" s="16"/>
      <c r="T116" s="16"/>
      <c r="U116" s="16"/>
      <c r="V116" s="16"/>
      <c r="W116" s="16"/>
      <c r="X116" s="16"/>
      <c r="Y116" s="16"/>
      <c r="Z116" s="16"/>
      <c r="AA116" s="16"/>
      <c r="AB116" s="16"/>
      <c r="AC116" s="16"/>
      <c r="AD116" s="16"/>
    </row>
    <row r="117" spans="1:30" ht="15.75" customHeight="1">
      <c r="L117" s="16"/>
      <c r="M117" s="16"/>
      <c r="N117" s="16"/>
      <c r="O117" s="16"/>
      <c r="P117" s="735"/>
      <c r="Q117" s="696"/>
      <c r="R117" s="696"/>
      <c r="S117" s="16"/>
      <c r="T117" s="16"/>
      <c r="U117" s="16"/>
      <c r="V117" s="16"/>
      <c r="W117" s="16"/>
      <c r="X117" s="16"/>
      <c r="Y117" s="16"/>
      <c r="Z117" s="16"/>
      <c r="AA117" s="16"/>
      <c r="AB117" s="16"/>
      <c r="AC117" s="16"/>
      <c r="AD117" s="16"/>
    </row>
    <row r="118" spans="1:30" ht="15.75" customHeight="1">
      <c r="L118" s="16"/>
      <c r="M118" s="16"/>
      <c r="N118" s="16"/>
      <c r="O118" s="16"/>
      <c r="P118" s="735"/>
      <c r="Q118" s="696"/>
      <c r="R118" s="696"/>
      <c r="S118" s="16"/>
      <c r="T118" s="16"/>
      <c r="U118" s="16"/>
      <c r="V118" s="16"/>
      <c r="W118" s="16"/>
      <c r="X118" s="16"/>
      <c r="Y118" s="16"/>
      <c r="Z118" s="16"/>
      <c r="AA118" s="16"/>
      <c r="AB118" s="16"/>
      <c r="AC118" s="16"/>
      <c r="AD118" s="16"/>
    </row>
    <row r="119" spans="1:30" ht="15.75" customHeight="1">
      <c r="L119" s="16"/>
      <c r="M119" s="16"/>
      <c r="N119" s="16"/>
      <c r="O119" s="16"/>
      <c r="P119" s="735"/>
      <c r="Q119" s="696"/>
      <c r="R119" s="696"/>
      <c r="S119" s="16"/>
      <c r="T119" s="16"/>
      <c r="U119" s="16"/>
      <c r="V119" s="16"/>
      <c r="W119" s="16"/>
      <c r="X119" s="16"/>
      <c r="Y119" s="16"/>
      <c r="Z119" s="16"/>
      <c r="AA119" s="16"/>
      <c r="AB119" s="16"/>
      <c r="AC119" s="16"/>
      <c r="AD119" s="16"/>
    </row>
    <row r="120" spans="1:30" ht="15.75" customHeight="1">
      <c r="L120" s="16"/>
      <c r="M120" s="16"/>
      <c r="N120" s="16"/>
      <c r="O120" s="16"/>
      <c r="P120" s="735"/>
      <c r="Q120" s="696"/>
      <c r="R120" s="696"/>
      <c r="S120" s="16"/>
      <c r="T120" s="16"/>
      <c r="U120" s="16"/>
      <c r="V120" s="16"/>
      <c r="W120" s="16"/>
      <c r="X120" s="16"/>
      <c r="Y120" s="16"/>
      <c r="Z120" s="16"/>
      <c r="AA120" s="16"/>
      <c r="AB120" s="16"/>
      <c r="AC120" s="16"/>
      <c r="AD120" s="16"/>
    </row>
    <row r="121" spans="1:30" ht="15.75" customHeight="1">
      <c r="H121" s="248"/>
      <c r="I121" s="248"/>
      <c r="J121" s="228"/>
      <c r="K121" s="228"/>
      <c r="L121" s="16"/>
      <c r="M121" s="16"/>
      <c r="N121" s="16"/>
      <c r="O121" s="16"/>
      <c r="P121" s="735"/>
      <c r="Q121" s="696"/>
      <c r="R121" s="696"/>
      <c r="S121" s="16"/>
      <c r="T121" s="16"/>
      <c r="U121" s="16"/>
      <c r="V121" s="16"/>
      <c r="W121" s="16"/>
      <c r="X121" s="16"/>
      <c r="Y121" s="16"/>
      <c r="Z121" s="16"/>
      <c r="AA121" s="16"/>
      <c r="AB121" s="16"/>
      <c r="AC121" s="16"/>
      <c r="AD121" s="16"/>
    </row>
    <row r="122" spans="1:30" ht="15.75" customHeight="1">
      <c r="A122" s="231"/>
      <c r="B122" s="231"/>
      <c r="C122" s="246"/>
      <c r="D122" s="247"/>
      <c r="E122" s="245"/>
      <c r="F122" s="246"/>
      <c r="G122" s="247"/>
      <c r="H122" s="248"/>
      <c r="I122" s="248"/>
      <c r="J122" s="228"/>
      <c r="K122" s="228"/>
      <c r="L122" s="16"/>
      <c r="M122" s="16"/>
      <c r="N122" s="16"/>
      <c r="O122" s="16"/>
      <c r="P122" s="16"/>
      <c r="Q122" s="16"/>
      <c r="R122" s="16"/>
      <c r="S122" s="16"/>
      <c r="T122" s="16"/>
      <c r="U122" s="16"/>
      <c r="V122" s="16"/>
      <c r="W122" s="16"/>
      <c r="X122" s="16"/>
      <c r="Y122" s="16"/>
      <c r="Z122" s="16"/>
      <c r="AA122" s="16"/>
      <c r="AB122" s="16"/>
      <c r="AC122" s="16"/>
      <c r="AD122" s="16"/>
    </row>
    <row r="123" spans="1:30" ht="15.75" customHeight="1">
      <c r="A123" s="231"/>
      <c r="B123" s="16"/>
      <c r="C123" s="246"/>
      <c r="D123" s="247"/>
      <c r="E123" s="245"/>
      <c r="F123" s="246"/>
      <c r="G123" s="247"/>
      <c r="H123" s="228"/>
      <c r="I123" s="228"/>
      <c r="J123" s="228"/>
      <c r="K123" s="228"/>
      <c r="L123" s="16"/>
      <c r="M123" s="735"/>
      <c r="N123" s="696"/>
      <c r="O123" s="696"/>
      <c r="P123" s="735"/>
      <c r="Q123" s="696"/>
      <c r="R123" s="696"/>
      <c r="S123" s="696"/>
      <c r="T123" s="696"/>
      <c r="U123" s="16"/>
      <c r="V123" s="16"/>
      <c r="W123" s="16"/>
      <c r="X123" s="16"/>
      <c r="Y123" s="16"/>
      <c r="Z123" s="16"/>
      <c r="AA123" s="16"/>
      <c r="AB123" s="16"/>
      <c r="AC123" s="16"/>
      <c r="AD123" s="16"/>
    </row>
    <row r="124" spans="1:30" ht="15.75" customHeight="1">
      <c r="A124" s="16"/>
      <c r="B124" s="16"/>
      <c r="C124" s="16"/>
      <c r="D124" s="16"/>
      <c r="E124" s="16"/>
      <c r="F124" s="16"/>
      <c r="G124" s="16"/>
      <c r="H124" s="16"/>
      <c r="I124" s="16"/>
      <c r="J124" s="16"/>
      <c r="K124" s="16"/>
      <c r="L124" s="16"/>
      <c r="M124" s="735"/>
      <c r="N124" s="696"/>
      <c r="O124" s="696"/>
      <c r="P124" s="735"/>
      <c r="Q124" s="696"/>
      <c r="R124" s="696"/>
      <c r="S124" s="696"/>
      <c r="T124" s="696"/>
      <c r="U124" s="16"/>
      <c r="V124" s="16"/>
      <c r="W124" s="16"/>
      <c r="X124" s="16"/>
      <c r="Y124" s="16"/>
      <c r="Z124" s="16"/>
      <c r="AA124" s="16"/>
      <c r="AB124" s="16"/>
      <c r="AC124" s="16"/>
      <c r="AD124" s="16"/>
    </row>
    <row r="125" spans="1:30" ht="15.75" customHeight="1">
      <c r="A125" s="16"/>
      <c r="B125" s="16"/>
      <c r="C125" s="16"/>
      <c r="D125" s="16"/>
      <c r="E125" s="16"/>
      <c r="F125" s="16"/>
      <c r="G125" s="16"/>
      <c r="H125" s="16"/>
      <c r="I125" s="16"/>
      <c r="J125" s="16"/>
      <c r="K125" s="16"/>
      <c r="L125" s="16"/>
      <c r="M125" s="735"/>
      <c r="N125" s="696"/>
      <c r="O125" s="696"/>
      <c r="P125" s="696"/>
      <c r="Q125" s="696"/>
      <c r="R125" s="696"/>
      <c r="S125" s="696"/>
      <c r="T125" s="696"/>
      <c r="U125" s="16"/>
      <c r="V125" s="16"/>
      <c r="W125" s="16"/>
      <c r="X125" s="16"/>
      <c r="Y125" s="16"/>
      <c r="Z125" s="16"/>
      <c r="AA125" s="16"/>
      <c r="AB125" s="16"/>
      <c r="AC125" s="16"/>
      <c r="AD125" s="16"/>
    </row>
    <row r="126" spans="1:30" ht="15.75" customHeight="1">
      <c r="A126" s="16"/>
      <c r="B126" s="16"/>
      <c r="C126" s="16"/>
      <c r="D126" s="16"/>
      <c r="E126" s="16"/>
      <c r="F126" s="16"/>
      <c r="G126" s="16"/>
      <c r="H126" s="16"/>
      <c r="I126" s="16"/>
      <c r="J126" s="16"/>
      <c r="K126" s="16"/>
      <c r="L126" s="16"/>
      <c r="M126" s="735"/>
      <c r="N126" s="696"/>
      <c r="O126" s="696"/>
      <c r="P126" s="696"/>
      <c r="Q126" s="696"/>
      <c r="R126" s="696"/>
      <c r="S126" s="696"/>
      <c r="T126" s="696"/>
      <c r="U126" s="16"/>
      <c r="V126" s="16"/>
      <c r="W126" s="16"/>
      <c r="X126" s="16"/>
      <c r="Y126" s="16"/>
      <c r="Z126" s="16"/>
      <c r="AA126" s="16"/>
      <c r="AB126" s="16"/>
      <c r="AC126" s="16"/>
      <c r="AD126" s="16"/>
    </row>
    <row r="127" spans="1:30" ht="15.75" customHeight="1">
      <c r="A127" s="16"/>
      <c r="B127" s="16"/>
      <c r="C127" s="16"/>
      <c r="D127" s="16"/>
      <c r="E127" s="16"/>
      <c r="F127" s="16"/>
      <c r="G127" s="16"/>
      <c r="H127" s="16"/>
      <c r="I127" s="16"/>
      <c r="J127" s="16"/>
      <c r="K127" s="16"/>
      <c r="L127" s="16"/>
      <c r="M127" s="735"/>
      <c r="N127" s="696"/>
      <c r="O127" s="696"/>
      <c r="P127" s="696"/>
      <c r="Q127" s="696"/>
      <c r="R127" s="696"/>
      <c r="S127" s="696"/>
      <c r="T127" s="696"/>
      <c r="U127" s="16"/>
      <c r="V127" s="16"/>
      <c r="W127" s="16"/>
      <c r="X127" s="16"/>
      <c r="Y127" s="16"/>
      <c r="Z127" s="16"/>
      <c r="AA127" s="16"/>
      <c r="AB127" s="16"/>
      <c r="AC127" s="16"/>
      <c r="AD127" s="16"/>
    </row>
    <row r="128" spans="1:30" ht="15.75" customHeight="1">
      <c r="A128" s="16"/>
      <c r="B128" s="16"/>
      <c r="C128" s="16"/>
      <c r="D128" s="16"/>
      <c r="E128" s="16"/>
      <c r="F128" s="16"/>
      <c r="G128" s="16"/>
      <c r="H128" s="16"/>
      <c r="I128" s="16"/>
      <c r="J128" s="16"/>
      <c r="K128" s="16"/>
      <c r="L128" s="16"/>
      <c r="M128" s="735"/>
      <c r="N128" s="696"/>
      <c r="O128" s="696"/>
      <c r="P128" s="696"/>
      <c r="Q128" s="696"/>
      <c r="R128" s="696"/>
      <c r="S128" s="696"/>
      <c r="T128" s="696"/>
      <c r="U128" s="16"/>
      <c r="V128" s="16"/>
      <c r="W128" s="16"/>
      <c r="X128" s="16"/>
      <c r="Y128" s="16"/>
      <c r="Z128" s="16"/>
      <c r="AA128" s="16"/>
      <c r="AB128" s="16"/>
      <c r="AC128" s="16"/>
      <c r="AD128" s="16"/>
    </row>
    <row r="129" spans="1:30" ht="15.75" customHeight="1">
      <c r="A129" s="16"/>
      <c r="B129" s="16"/>
      <c r="C129" s="16"/>
      <c r="D129" s="16"/>
      <c r="E129" s="16"/>
      <c r="F129" s="16"/>
      <c r="G129" s="16"/>
      <c r="H129" s="16"/>
      <c r="I129" s="16"/>
      <c r="J129" s="16"/>
      <c r="K129" s="16"/>
      <c r="L129" s="16"/>
      <c r="M129" s="735"/>
      <c r="N129" s="696"/>
      <c r="O129" s="696"/>
      <c r="P129" s="696"/>
      <c r="Q129" s="696"/>
      <c r="R129" s="696"/>
      <c r="S129" s="696"/>
      <c r="T129" s="696"/>
      <c r="U129" s="16"/>
      <c r="V129" s="16"/>
      <c r="W129" s="16"/>
      <c r="X129" s="16"/>
      <c r="Y129" s="16"/>
      <c r="Z129" s="16"/>
      <c r="AA129" s="16"/>
      <c r="AB129" s="16"/>
      <c r="AC129" s="16"/>
      <c r="AD129" s="16"/>
    </row>
    <row r="130" spans="1:30" ht="15.75" customHeight="1">
      <c r="A130" s="16"/>
      <c r="B130" s="16"/>
      <c r="C130" s="16"/>
      <c r="D130" s="16"/>
      <c r="E130" s="16"/>
      <c r="F130" s="16"/>
      <c r="G130" s="16"/>
      <c r="H130" s="16"/>
      <c r="I130" s="16"/>
      <c r="J130" s="16"/>
      <c r="K130" s="16"/>
      <c r="L130" s="16"/>
      <c r="M130" s="735"/>
      <c r="N130" s="696"/>
      <c r="O130" s="696"/>
      <c r="P130" s="696"/>
      <c r="Q130" s="696"/>
      <c r="R130" s="696"/>
      <c r="S130" s="696"/>
      <c r="T130" s="696"/>
      <c r="U130" s="16"/>
      <c r="V130" s="16"/>
      <c r="W130" s="16"/>
      <c r="X130" s="16"/>
      <c r="Y130" s="16"/>
      <c r="Z130" s="16"/>
      <c r="AA130" s="16"/>
      <c r="AB130" s="16"/>
      <c r="AC130" s="16"/>
      <c r="AD130" s="16"/>
    </row>
    <row r="131" spans="1:30" ht="15.75" customHeight="1">
      <c r="A131" s="16"/>
      <c r="B131" s="16"/>
      <c r="C131" s="16"/>
      <c r="D131" s="16"/>
      <c r="E131" s="16"/>
      <c r="F131" s="16"/>
      <c r="G131" s="16"/>
      <c r="H131" s="16"/>
      <c r="I131" s="16"/>
      <c r="J131" s="16"/>
      <c r="K131" s="16"/>
      <c r="L131" s="16"/>
      <c r="M131" s="735"/>
      <c r="N131" s="696"/>
      <c r="O131" s="696"/>
      <c r="P131" s="696"/>
      <c r="Q131" s="696"/>
      <c r="R131" s="696"/>
      <c r="S131" s="696"/>
      <c r="T131" s="696"/>
      <c r="U131" s="16"/>
      <c r="V131" s="16"/>
      <c r="W131" s="16"/>
      <c r="X131" s="16"/>
      <c r="Y131" s="16"/>
      <c r="Z131" s="16"/>
      <c r="AA131" s="16"/>
      <c r="AB131" s="16"/>
      <c r="AC131" s="16"/>
      <c r="AD131" s="16"/>
    </row>
    <row r="132" spans="1:30" ht="15.75" customHeight="1">
      <c r="A132" s="16"/>
      <c r="B132" s="16"/>
      <c r="C132" s="16"/>
      <c r="D132" s="16"/>
      <c r="E132" s="16"/>
      <c r="F132" s="16"/>
      <c r="G132" s="16"/>
      <c r="H132" s="16"/>
      <c r="I132" s="16"/>
      <c r="J132" s="16"/>
      <c r="K132" s="16"/>
      <c r="L132" s="16"/>
      <c r="M132" s="735"/>
      <c r="N132" s="696"/>
      <c r="O132" s="696"/>
      <c r="P132" s="696"/>
      <c r="Q132" s="696"/>
      <c r="R132" s="696"/>
      <c r="S132" s="696"/>
      <c r="T132" s="696"/>
      <c r="U132" s="16"/>
      <c r="V132" s="16"/>
      <c r="W132" s="16"/>
      <c r="X132" s="16"/>
      <c r="Y132" s="16"/>
      <c r="Z132" s="16"/>
      <c r="AA132" s="16"/>
      <c r="AB132" s="16"/>
      <c r="AC132" s="16"/>
      <c r="AD132" s="16"/>
    </row>
    <row r="133" spans="1:30" ht="15.75" customHeight="1">
      <c r="A133" s="16"/>
      <c r="B133" s="16"/>
      <c r="C133" s="16"/>
      <c r="D133" s="16"/>
      <c r="E133" s="16"/>
      <c r="F133" s="16"/>
      <c r="G133" s="16"/>
      <c r="H133" s="16"/>
      <c r="I133" s="16"/>
      <c r="J133" s="16"/>
      <c r="K133" s="16"/>
      <c r="L133" s="16"/>
      <c r="M133" s="735"/>
      <c r="N133" s="696"/>
      <c r="O133" s="696"/>
      <c r="P133" s="696"/>
      <c r="Q133" s="696"/>
      <c r="R133" s="696"/>
      <c r="S133" s="696"/>
      <c r="T133" s="696"/>
      <c r="U133" s="16"/>
      <c r="V133" s="16"/>
      <c r="W133" s="16"/>
      <c r="X133" s="16"/>
      <c r="Y133" s="16"/>
      <c r="Z133" s="16"/>
      <c r="AA133" s="16"/>
      <c r="AB133" s="16"/>
      <c r="AC133" s="16"/>
      <c r="AD133" s="16"/>
    </row>
    <row r="134" spans="1:30" ht="15.75" customHeight="1">
      <c r="A134" s="16"/>
      <c r="B134" s="16"/>
      <c r="C134" s="16"/>
      <c r="D134" s="16"/>
      <c r="E134" s="16"/>
      <c r="F134" s="16"/>
      <c r="G134" s="16"/>
      <c r="H134" s="16"/>
      <c r="I134" s="16"/>
      <c r="J134" s="16"/>
      <c r="K134" s="16"/>
      <c r="L134" s="16"/>
      <c r="M134" s="735"/>
      <c r="N134" s="696"/>
      <c r="O134" s="696"/>
      <c r="P134" s="696"/>
      <c r="Q134" s="696"/>
      <c r="R134" s="696"/>
      <c r="S134" s="696"/>
      <c r="T134" s="696"/>
      <c r="U134" s="16"/>
      <c r="V134" s="16"/>
      <c r="W134" s="16"/>
      <c r="X134" s="16"/>
      <c r="Y134" s="16"/>
      <c r="Z134" s="16"/>
      <c r="AA134" s="16"/>
      <c r="AB134" s="16"/>
      <c r="AC134" s="16"/>
      <c r="AD134" s="16"/>
    </row>
    <row r="135" spans="1:30" ht="15.75" customHeight="1">
      <c r="A135" s="16"/>
      <c r="B135" s="16"/>
      <c r="C135" s="16"/>
      <c r="D135" s="16"/>
      <c r="E135" s="16"/>
      <c r="F135" s="16"/>
      <c r="G135" s="16"/>
      <c r="H135" s="16"/>
      <c r="I135" s="16"/>
      <c r="J135" s="16"/>
      <c r="K135" s="16"/>
      <c r="L135" s="16"/>
      <c r="M135" s="735"/>
      <c r="N135" s="696"/>
      <c r="O135" s="696"/>
      <c r="P135" s="696"/>
      <c r="Q135" s="696"/>
      <c r="R135" s="696"/>
      <c r="S135" s="696"/>
      <c r="T135" s="696"/>
      <c r="U135" s="16"/>
      <c r="V135" s="16"/>
      <c r="W135" s="16"/>
      <c r="X135" s="16"/>
      <c r="Y135" s="16"/>
      <c r="Z135" s="16"/>
      <c r="AA135" s="16"/>
      <c r="AB135" s="16"/>
      <c r="AC135" s="16"/>
      <c r="AD135" s="16"/>
    </row>
    <row r="136" spans="1:30" ht="15.75" customHeight="1">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c r="AA136" s="16"/>
      <c r="AB136" s="16"/>
      <c r="AC136" s="16"/>
      <c r="AD136" s="16"/>
    </row>
    <row r="137" spans="1:30" ht="15.75" customHeight="1">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c r="AA137" s="16"/>
      <c r="AB137" s="16"/>
      <c r="AC137" s="16"/>
      <c r="AD137" s="16"/>
    </row>
    <row r="138" spans="1:30" ht="15.75" customHeight="1">
      <c r="A138" s="16"/>
      <c r="B138" s="16"/>
      <c r="C138" s="16"/>
      <c r="D138" s="16"/>
      <c r="E138" s="16"/>
      <c r="F138" s="16"/>
      <c r="G138" s="16"/>
      <c r="H138" s="16"/>
      <c r="I138" s="16"/>
      <c r="J138" s="16"/>
      <c r="K138" s="16"/>
      <c r="L138" s="16"/>
      <c r="M138" s="735"/>
      <c r="N138" s="696"/>
      <c r="O138" s="696"/>
      <c r="P138" s="735"/>
      <c r="Q138" s="696"/>
      <c r="R138" s="696"/>
      <c r="S138" s="696"/>
      <c r="T138" s="696"/>
      <c r="U138" s="16"/>
      <c r="V138" s="16"/>
      <c r="W138" s="16"/>
      <c r="X138" s="16"/>
      <c r="Y138" s="16"/>
      <c r="Z138" s="16"/>
      <c r="AA138" s="16"/>
      <c r="AB138" s="16"/>
      <c r="AC138" s="16"/>
      <c r="AD138" s="16"/>
    </row>
    <row r="139" spans="1:30" ht="15.75" customHeight="1">
      <c r="A139" s="16"/>
      <c r="B139" s="16"/>
      <c r="C139" s="16"/>
      <c r="D139" s="16"/>
      <c r="E139" s="16"/>
      <c r="F139" s="16"/>
      <c r="G139" s="16"/>
      <c r="H139" s="16"/>
      <c r="I139" s="16"/>
      <c r="J139" s="16"/>
      <c r="K139" s="16"/>
      <c r="L139" s="16"/>
      <c r="M139" s="735"/>
      <c r="N139" s="696"/>
      <c r="O139" s="696"/>
      <c r="P139" s="735"/>
      <c r="Q139" s="696"/>
      <c r="R139" s="696"/>
      <c r="S139" s="696"/>
      <c r="T139" s="696"/>
      <c r="U139" s="16"/>
      <c r="V139" s="16"/>
      <c r="W139" s="16"/>
      <c r="X139" s="16"/>
      <c r="Y139" s="16"/>
      <c r="Z139" s="16"/>
      <c r="AA139" s="16"/>
      <c r="AB139" s="16"/>
      <c r="AC139" s="16"/>
      <c r="AD139" s="16"/>
    </row>
    <row r="140" spans="1:30" ht="15.75" customHeight="1">
      <c r="A140" s="16"/>
      <c r="B140" s="16"/>
      <c r="C140" s="16"/>
      <c r="D140" s="16"/>
      <c r="E140" s="16"/>
      <c r="F140" s="16"/>
      <c r="G140" s="16"/>
      <c r="H140" s="16"/>
      <c r="I140" s="16"/>
      <c r="J140" s="16"/>
      <c r="K140" s="16"/>
      <c r="L140" s="16"/>
      <c r="M140" s="735"/>
      <c r="N140" s="696"/>
      <c r="O140" s="696"/>
      <c r="P140" s="696"/>
      <c r="Q140" s="696"/>
      <c r="R140" s="696"/>
      <c r="S140" s="696"/>
      <c r="T140" s="696"/>
      <c r="U140" s="16"/>
      <c r="V140" s="16"/>
      <c r="W140" s="16"/>
      <c r="X140" s="16"/>
      <c r="Y140" s="16"/>
      <c r="Z140" s="16"/>
      <c r="AA140" s="16"/>
      <c r="AB140" s="16"/>
      <c r="AC140" s="16"/>
      <c r="AD140" s="16"/>
    </row>
    <row r="141" spans="1:30" ht="15.75" customHeight="1">
      <c r="A141" s="16"/>
      <c r="B141" s="16"/>
      <c r="C141" s="16"/>
      <c r="D141" s="16"/>
      <c r="E141" s="16"/>
      <c r="F141" s="16"/>
      <c r="G141" s="16"/>
      <c r="H141" s="16"/>
      <c r="I141" s="16"/>
      <c r="J141" s="16"/>
      <c r="K141" s="16"/>
      <c r="L141" s="16"/>
      <c r="M141" s="735"/>
      <c r="N141" s="696"/>
      <c r="O141" s="696"/>
      <c r="P141" s="696"/>
      <c r="Q141" s="696"/>
      <c r="R141" s="696"/>
      <c r="S141" s="696"/>
      <c r="T141" s="696"/>
      <c r="U141" s="16"/>
      <c r="V141" s="16"/>
      <c r="W141" s="16"/>
      <c r="X141" s="16"/>
      <c r="Y141" s="16"/>
      <c r="Z141" s="16"/>
      <c r="AA141" s="16"/>
      <c r="AB141" s="16"/>
      <c r="AC141" s="16"/>
      <c r="AD141" s="16"/>
    </row>
    <row r="142" spans="1:30" ht="15.75" customHeight="1">
      <c r="A142" s="16"/>
      <c r="B142" s="16"/>
      <c r="C142" s="16"/>
      <c r="D142" s="16"/>
      <c r="E142" s="16"/>
      <c r="F142" s="16"/>
      <c r="G142" s="16"/>
      <c r="H142" s="16"/>
      <c r="I142" s="16"/>
      <c r="J142" s="16"/>
      <c r="K142" s="16"/>
      <c r="L142" s="16"/>
      <c r="M142" s="735"/>
      <c r="N142" s="696"/>
      <c r="O142" s="696"/>
      <c r="P142" s="696"/>
      <c r="Q142" s="696"/>
      <c r="R142" s="696"/>
      <c r="S142" s="696"/>
      <c r="T142" s="696"/>
      <c r="U142" s="16"/>
      <c r="V142" s="16"/>
      <c r="W142" s="16"/>
      <c r="X142" s="16"/>
      <c r="Y142" s="16"/>
      <c r="Z142" s="16"/>
      <c r="AA142" s="16"/>
      <c r="AB142" s="16"/>
      <c r="AC142" s="16"/>
      <c r="AD142" s="16"/>
    </row>
    <row r="143" spans="1:30" ht="15.75" customHeight="1">
      <c r="A143" s="16"/>
      <c r="B143" s="16"/>
      <c r="C143" s="16"/>
      <c r="D143" s="16"/>
      <c r="E143" s="16"/>
      <c r="F143" s="16"/>
      <c r="G143" s="16"/>
      <c r="H143" s="16"/>
      <c r="I143" s="16"/>
      <c r="J143" s="16"/>
      <c r="K143" s="16"/>
      <c r="L143" s="16"/>
      <c r="M143" s="735"/>
      <c r="N143" s="696"/>
      <c r="O143" s="696"/>
      <c r="P143" s="696"/>
      <c r="Q143" s="696"/>
      <c r="R143" s="696"/>
      <c r="S143" s="696"/>
      <c r="T143" s="696"/>
      <c r="U143" s="16"/>
      <c r="V143" s="16"/>
      <c r="W143" s="16"/>
      <c r="X143" s="16"/>
      <c r="Y143" s="16"/>
      <c r="Z143" s="16"/>
      <c r="AA143" s="16"/>
      <c r="AB143" s="16"/>
      <c r="AC143" s="16"/>
      <c r="AD143" s="16"/>
    </row>
    <row r="144" spans="1:30" ht="15.75" customHeight="1">
      <c r="A144" s="16"/>
      <c r="B144" s="16"/>
      <c r="C144" s="16"/>
      <c r="D144" s="16"/>
      <c r="E144" s="16"/>
      <c r="F144" s="16"/>
      <c r="G144" s="16"/>
      <c r="H144" s="16"/>
      <c r="I144" s="16"/>
      <c r="J144" s="16"/>
      <c r="K144" s="16"/>
      <c r="L144" s="16"/>
      <c r="M144" s="735"/>
      <c r="N144" s="696"/>
      <c r="O144" s="696"/>
      <c r="P144" s="696"/>
      <c r="Q144" s="696"/>
      <c r="R144" s="696"/>
      <c r="S144" s="696"/>
      <c r="T144" s="696"/>
      <c r="U144" s="16"/>
      <c r="V144" s="16"/>
      <c r="W144" s="16"/>
      <c r="X144" s="16"/>
      <c r="Y144" s="16"/>
      <c r="Z144" s="16"/>
      <c r="AA144" s="16"/>
      <c r="AB144" s="16"/>
      <c r="AC144" s="16"/>
      <c r="AD144" s="16"/>
    </row>
    <row r="145" spans="1:30" ht="15.75" customHeight="1">
      <c r="A145" s="16"/>
      <c r="B145" s="16"/>
      <c r="C145" s="16"/>
      <c r="D145" s="16"/>
      <c r="E145" s="16"/>
      <c r="F145" s="16"/>
      <c r="G145" s="16"/>
      <c r="H145" s="16"/>
      <c r="I145" s="16"/>
      <c r="J145" s="16"/>
      <c r="K145" s="16"/>
      <c r="L145" s="16"/>
      <c r="M145" s="735"/>
      <c r="N145" s="696"/>
      <c r="O145" s="696"/>
      <c r="P145" s="696"/>
      <c r="Q145" s="696"/>
      <c r="R145" s="696"/>
      <c r="S145" s="696"/>
      <c r="T145" s="696"/>
      <c r="U145" s="16"/>
      <c r="V145" s="16"/>
      <c r="W145" s="16"/>
      <c r="X145" s="16"/>
      <c r="Y145" s="16"/>
      <c r="Z145" s="16"/>
      <c r="AA145" s="16"/>
      <c r="AB145" s="16"/>
      <c r="AC145" s="16"/>
      <c r="AD145" s="16"/>
    </row>
    <row r="146" spans="1:30" ht="15.75" customHeight="1">
      <c r="A146" s="16"/>
      <c r="B146" s="16"/>
      <c r="C146" s="16"/>
      <c r="D146" s="16"/>
      <c r="E146" s="16"/>
      <c r="F146" s="16"/>
      <c r="G146" s="16"/>
      <c r="H146" s="16"/>
      <c r="I146" s="16"/>
      <c r="J146" s="16"/>
      <c r="K146" s="16"/>
      <c r="L146" s="16"/>
      <c r="M146" s="735"/>
      <c r="N146" s="696"/>
      <c r="O146" s="696"/>
      <c r="P146" s="696"/>
      <c r="Q146" s="696"/>
      <c r="R146" s="696"/>
      <c r="S146" s="696"/>
      <c r="T146" s="696"/>
      <c r="U146" s="16"/>
      <c r="V146" s="16"/>
      <c r="W146" s="16"/>
      <c r="X146" s="16"/>
      <c r="Y146" s="16"/>
      <c r="Z146" s="16"/>
      <c r="AA146" s="16"/>
      <c r="AB146" s="16"/>
      <c r="AC146" s="16"/>
      <c r="AD146" s="16"/>
    </row>
    <row r="147" spans="1:30" ht="15.75" customHeight="1">
      <c r="A147" s="16"/>
      <c r="B147" s="16"/>
      <c r="C147" s="16"/>
      <c r="D147" s="16"/>
      <c r="E147" s="16"/>
      <c r="F147" s="16"/>
      <c r="G147" s="16"/>
      <c r="H147" s="16"/>
      <c r="I147" s="16"/>
      <c r="J147" s="16"/>
      <c r="K147" s="16"/>
      <c r="L147" s="16"/>
      <c r="M147" s="735"/>
      <c r="N147" s="696"/>
      <c r="O147" s="696"/>
      <c r="P147" s="696"/>
      <c r="Q147" s="696"/>
      <c r="R147" s="696"/>
      <c r="S147" s="696"/>
      <c r="T147" s="696"/>
      <c r="U147" s="16"/>
      <c r="V147" s="16"/>
      <c r="W147" s="16"/>
      <c r="X147" s="16"/>
      <c r="Y147" s="16"/>
      <c r="Z147" s="16"/>
      <c r="AA147" s="16"/>
      <c r="AB147" s="16"/>
      <c r="AC147" s="16"/>
      <c r="AD147" s="16"/>
    </row>
    <row r="148" spans="1:30" ht="15.75" customHeight="1">
      <c r="A148" s="16"/>
      <c r="B148" s="16"/>
      <c r="C148" s="16"/>
      <c r="D148" s="16"/>
      <c r="E148" s="16"/>
      <c r="F148" s="16"/>
      <c r="G148" s="16"/>
      <c r="H148" s="16"/>
      <c r="I148" s="16"/>
      <c r="J148" s="16"/>
      <c r="K148" s="16"/>
      <c r="L148" s="16"/>
      <c r="M148" s="735"/>
      <c r="N148" s="696"/>
      <c r="O148" s="696"/>
      <c r="P148" s="696"/>
      <c r="Q148" s="696"/>
      <c r="R148" s="696"/>
      <c r="S148" s="696"/>
      <c r="T148" s="696"/>
      <c r="U148" s="16"/>
      <c r="V148" s="16"/>
      <c r="W148" s="16"/>
      <c r="X148" s="16"/>
      <c r="Y148" s="16"/>
      <c r="Z148" s="16"/>
      <c r="AA148" s="16"/>
      <c r="AB148" s="16"/>
      <c r="AC148" s="16"/>
      <c r="AD148" s="16"/>
    </row>
    <row r="149" spans="1:30" ht="15.75" customHeight="1">
      <c r="A149" s="16"/>
      <c r="B149" s="16"/>
      <c r="C149" s="16"/>
      <c r="D149" s="16"/>
      <c r="E149" s="16"/>
      <c r="F149" s="16"/>
      <c r="G149" s="16"/>
      <c r="H149" s="16"/>
      <c r="I149" s="16"/>
      <c r="J149" s="16"/>
      <c r="K149" s="16"/>
      <c r="L149" s="16"/>
      <c r="M149" s="735"/>
      <c r="N149" s="696"/>
      <c r="O149" s="696"/>
      <c r="P149" s="696"/>
      <c r="Q149" s="696"/>
      <c r="R149" s="696"/>
      <c r="S149" s="696"/>
      <c r="T149" s="696"/>
      <c r="U149" s="16"/>
      <c r="V149" s="16"/>
      <c r="W149" s="16"/>
      <c r="X149" s="16"/>
      <c r="Y149" s="16"/>
      <c r="Z149" s="16"/>
      <c r="AA149" s="16"/>
      <c r="AB149" s="16"/>
      <c r="AC149" s="16"/>
      <c r="AD149" s="16"/>
    </row>
    <row r="150" spans="1:30" ht="15.75" customHeight="1">
      <c r="A150" s="16"/>
      <c r="B150" s="16"/>
      <c r="C150" s="16"/>
      <c r="D150" s="16"/>
      <c r="E150" s="16"/>
      <c r="F150" s="16"/>
      <c r="G150" s="16"/>
      <c r="H150" s="16"/>
      <c r="I150" s="16"/>
      <c r="J150" s="16"/>
      <c r="K150" s="16"/>
      <c r="L150" s="16"/>
      <c r="M150" s="735"/>
      <c r="N150" s="696"/>
      <c r="O150" s="696"/>
      <c r="P150" s="696"/>
      <c r="Q150" s="696"/>
      <c r="R150" s="696"/>
      <c r="S150" s="696"/>
      <c r="T150" s="696"/>
      <c r="U150" s="16"/>
      <c r="V150" s="16"/>
      <c r="W150" s="16"/>
      <c r="X150" s="16"/>
      <c r="Y150" s="16"/>
      <c r="Z150" s="16"/>
      <c r="AA150" s="16"/>
      <c r="AB150" s="16"/>
      <c r="AC150" s="16"/>
      <c r="AD150" s="16"/>
    </row>
    <row r="151" spans="1:30" ht="15.75" customHeight="1">
      <c r="A151" s="16"/>
      <c r="B151" s="16"/>
      <c r="C151" s="16"/>
      <c r="D151" s="16"/>
      <c r="E151" s="16"/>
      <c r="F151" s="16"/>
      <c r="G151" s="16"/>
      <c r="H151" s="16"/>
      <c r="I151" s="16"/>
      <c r="J151" s="16"/>
      <c r="K151" s="16"/>
      <c r="L151" s="16"/>
      <c r="M151" s="735"/>
      <c r="N151" s="696"/>
      <c r="O151" s="696"/>
      <c r="P151" s="696"/>
      <c r="Q151" s="696"/>
      <c r="R151" s="696"/>
      <c r="S151" s="696"/>
      <c r="T151" s="696"/>
      <c r="U151" s="16"/>
      <c r="V151" s="16"/>
      <c r="W151" s="16"/>
      <c r="X151" s="16"/>
      <c r="Y151" s="16"/>
      <c r="Z151" s="16"/>
      <c r="AA151" s="16"/>
      <c r="AB151" s="16"/>
      <c r="AC151" s="16"/>
      <c r="AD151" s="16"/>
    </row>
    <row r="152" spans="1:30" ht="15.75" customHeight="1">
      <c r="A152" s="16"/>
      <c r="B152" s="16"/>
      <c r="C152" s="16"/>
      <c r="D152" s="16"/>
      <c r="E152" s="16"/>
      <c r="F152" s="16"/>
      <c r="G152" s="16"/>
      <c r="H152" s="16"/>
      <c r="I152" s="16"/>
      <c r="J152" s="16"/>
      <c r="K152" s="16"/>
      <c r="L152" s="16"/>
      <c r="M152" s="735"/>
      <c r="N152" s="696"/>
      <c r="O152" s="696"/>
      <c r="P152" s="696"/>
      <c r="Q152" s="696"/>
      <c r="R152" s="696"/>
      <c r="S152" s="696"/>
      <c r="T152" s="696"/>
      <c r="U152" s="16"/>
      <c r="V152" s="16"/>
      <c r="W152" s="16"/>
      <c r="X152" s="16"/>
      <c r="Y152" s="16"/>
      <c r="Z152" s="16"/>
      <c r="AA152" s="16"/>
      <c r="AB152" s="16"/>
      <c r="AC152" s="16"/>
      <c r="AD152" s="16"/>
    </row>
    <row r="153" spans="1:30" ht="15.75" customHeight="1">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c r="AA153" s="16"/>
      <c r="AB153" s="16"/>
      <c r="AC153" s="16"/>
      <c r="AD153" s="16"/>
    </row>
    <row r="154" spans="1:30" ht="15.75" customHeight="1">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c r="AA154" s="16"/>
      <c r="AB154" s="16"/>
      <c r="AC154" s="16"/>
      <c r="AD154" s="16"/>
    </row>
    <row r="155" spans="1:30" ht="15.75" customHeight="1">
      <c r="A155" s="16"/>
      <c r="B155" s="735"/>
      <c r="C155" s="696"/>
      <c r="D155" s="16"/>
      <c r="E155" s="16"/>
      <c r="F155" s="16"/>
      <c r="G155" s="16"/>
      <c r="H155" s="16"/>
      <c r="I155" s="16"/>
      <c r="J155" s="16"/>
      <c r="K155" s="16"/>
      <c r="L155" s="16"/>
      <c r="M155" s="735"/>
      <c r="N155" s="696"/>
      <c r="O155" s="696"/>
      <c r="P155" s="735"/>
      <c r="Q155" s="696"/>
      <c r="R155" s="696"/>
      <c r="S155" s="696"/>
      <c r="T155" s="696"/>
      <c r="U155" s="16"/>
      <c r="V155" s="16"/>
      <c r="W155" s="16"/>
      <c r="X155" s="16"/>
      <c r="Y155" s="16"/>
      <c r="Z155" s="16"/>
      <c r="AA155" s="16"/>
      <c r="AB155" s="16"/>
      <c r="AC155" s="16"/>
      <c r="AD155" s="16"/>
    </row>
    <row r="156" spans="1:30" ht="15.75" customHeight="1">
      <c r="A156" s="16"/>
      <c r="B156" s="735"/>
      <c r="C156" s="696"/>
      <c r="D156" s="16"/>
      <c r="E156" s="16"/>
      <c r="F156" s="16"/>
      <c r="G156" s="16"/>
      <c r="H156" s="16"/>
      <c r="I156" s="16"/>
      <c r="J156" s="16"/>
      <c r="K156" s="16"/>
      <c r="L156" s="16"/>
      <c r="M156" s="735"/>
      <c r="N156" s="696"/>
      <c r="O156" s="696"/>
      <c r="P156" s="735"/>
      <c r="Q156" s="696"/>
      <c r="R156" s="696"/>
      <c r="S156" s="696"/>
      <c r="T156" s="696"/>
      <c r="U156" s="16"/>
      <c r="V156" s="16"/>
      <c r="W156" s="16"/>
      <c r="X156" s="16"/>
      <c r="Y156" s="16"/>
      <c r="Z156" s="16"/>
      <c r="AA156" s="16"/>
      <c r="AB156" s="16"/>
      <c r="AC156" s="16"/>
      <c r="AD156" s="16"/>
    </row>
    <row r="157" spans="1:30" ht="15.75" customHeight="1">
      <c r="A157" s="16"/>
      <c r="B157" s="735"/>
      <c r="C157" s="696"/>
      <c r="D157" s="16"/>
      <c r="E157" s="16"/>
      <c r="F157" s="16"/>
      <c r="G157" s="16"/>
      <c r="H157" s="16"/>
      <c r="I157" s="16"/>
      <c r="J157" s="16"/>
      <c r="K157" s="16"/>
      <c r="L157" s="16"/>
      <c r="M157" s="735"/>
      <c r="N157" s="696"/>
      <c r="O157" s="696"/>
      <c r="P157" s="696"/>
      <c r="Q157" s="696"/>
      <c r="R157" s="696"/>
      <c r="S157" s="696"/>
      <c r="T157" s="696"/>
      <c r="U157" s="16"/>
      <c r="V157" s="16"/>
      <c r="W157" s="16"/>
      <c r="X157" s="16"/>
      <c r="Y157" s="16"/>
      <c r="Z157" s="16"/>
      <c r="AA157" s="16"/>
      <c r="AB157" s="16"/>
      <c r="AC157" s="16"/>
      <c r="AD157" s="16"/>
    </row>
    <row r="158" spans="1:30" ht="15.75" customHeight="1">
      <c r="A158" s="16"/>
      <c r="B158" s="735"/>
      <c r="C158" s="696"/>
      <c r="D158" s="16"/>
      <c r="E158" s="16"/>
      <c r="F158" s="16"/>
      <c r="G158" s="16"/>
      <c r="H158" s="16"/>
      <c r="I158" s="16"/>
      <c r="J158" s="16"/>
      <c r="K158" s="16"/>
      <c r="L158" s="16"/>
      <c r="M158" s="735"/>
      <c r="N158" s="696"/>
      <c r="O158" s="696"/>
      <c r="P158" s="696"/>
      <c r="Q158" s="696"/>
      <c r="R158" s="696"/>
      <c r="S158" s="696"/>
      <c r="T158" s="696"/>
      <c r="U158" s="16"/>
      <c r="V158" s="16"/>
      <c r="W158" s="16"/>
      <c r="X158" s="16"/>
      <c r="Y158" s="16"/>
      <c r="Z158" s="16"/>
      <c r="AA158" s="16"/>
      <c r="AB158" s="16"/>
      <c r="AC158" s="16"/>
      <c r="AD158" s="16"/>
    </row>
    <row r="159" spans="1:30" ht="15.75" customHeight="1">
      <c r="A159" s="16"/>
      <c r="B159" s="735"/>
      <c r="C159" s="696"/>
      <c r="D159" s="16"/>
      <c r="E159" s="16"/>
      <c r="F159" s="16"/>
      <c r="G159" s="16"/>
      <c r="H159" s="16"/>
      <c r="I159" s="16"/>
      <c r="J159" s="16"/>
      <c r="K159" s="16"/>
      <c r="L159" s="16"/>
      <c r="M159" s="735"/>
      <c r="N159" s="696"/>
      <c r="O159" s="696"/>
      <c r="P159" s="696"/>
      <c r="Q159" s="696"/>
      <c r="R159" s="696"/>
      <c r="S159" s="696"/>
      <c r="T159" s="696"/>
      <c r="U159" s="16"/>
      <c r="V159" s="16"/>
      <c r="W159" s="16"/>
      <c r="X159" s="16"/>
      <c r="Y159" s="16"/>
      <c r="Z159" s="16"/>
      <c r="AA159" s="16"/>
      <c r="AB159" s="16"/>
      <c r="AC159" s="16"/>
      <c r="AD159" s="16"/>
    </row>
    <row r="160" spans="1:30" ht="15.75" customHeight="1">
      <c r="A160" s="16"/>
      <c r="B160" s="735"/>
      <c r="C160" s="696"/>
      <c r="D160" s="16"/>
      <c r="E160" s="16"/>
      <c r="F160" s="16"/>
      <c r="G160" s="16"/>
      <c r="H160" s="16"/>
      <c r="I160" s="16"/>
      <c r="J160" s="16"/>
      <c r="K160" s="16"/>
      <c r="L160" s="16"/>
      <c r="M160" s="735"/>
      <c r="N160" s="696"/>
      <c r="O160" s="696"/>
      <c r="P160" s="696"/>
      <c r="Q160" s="696"/>
      <c r="R160" s="696"/>
      <c r="S160" s="696"/>
      <c r="T160" s="696"/>
      <c r="U160" s="16"/>
      <c r="V160" s="16"/>
      <c r="W160" s="16"/>
      <c r="X160" s="16"/>
      <c r="Y160" s="16"/>
      <c r="Z160" s="16"/>
      <c r="AA160" s="16"/>
      <c r="AB160" s="16"/>
      <c r="AC160" s="16"/>
      <c r="AD160" s="16"/>
    </row>
    <row r="161" spans="1:30" ht="15.75" customHeight="1">
      <c r="A161" s="16"/>
      <c r="B161" s="735"/>
      <c r="C161" s="696"/>
      <c r="D161" s="16"/>
      <c r="E161" s="16"/>
      <c r="F161" s="16"/>
      <c r="G161" s="16"/>
      <c r="H161" s="16"/>
      <c r="I161" s="16"/>
      <c r="J161" s="16"/>
      <c r="K161" s="16"/>
      <c r="L161" s="16"/>
      <c r="M161" s="735"/>
      <c r="N161" s="696"/>
      <c r="O161" s="696"/>
      <c r="P161" s="696"/>
      <c r="Q161" s="696"/>
      <c r="R161" s="696"/>
      <c r="S161" s="696"/>
      <c r="T161" s="696"/>
      <c r="U161" s="16"/>
      <c r="V161" s="16"/>
      <c r="W161" s="16"/>
      <c r="X161" s="16"/>
      <c r="Y161" s="16"/>
      <c r="Z161" s="16"/>
      <c r="AA161" s="16"/>
      <c r="AB161" s="16"/>
      <c r="AC161" s="16"/>
      <c r="AD161" s="16"/>
    </row>
    <row r="162" spans="1:30" ht="15.75" customHeight="1">
      <c r="A162" s="16"/>
      <c r="B162" s="735"/>
      <c r="C162" s="696"/>
      <c r="D162" s="16"/>
      <c r="E162" s="16"/>
      <c r="F162" s="16"/>
      <c r="G162" s="16"/>
      <c r="H162" s="16"/>
      <c r="I162" s="16"/>
      <c r="J162" s="16"/>
      <c r="K162" s="16"/>
      <c r="L162" s="16"/>
      <c r="M162" s="735"/>
      <c r="N162" s="696"/>
      <c r="O162" s="696"/>
      <c r="P162" s="696"/>
      <c r="Q162" s="696"/>
      <c r="R162" s="696"/>
      <c r="S162" s="696"/>
      <c r="T162" s="696"/>
      <c r="U162" s="16"/>
      <c r="V162" s="16"/>
      <c r="W162" s="16"/>
      <c r="X162" s="16"/>
      <c r="Y162" s="16"/>
      <c r="Z162" s="16"/>
      <c r="AA162" s="16"/>
      <c r="AB162" s="16"/>
      <c r="AC162" s="16"/>
      <c r="AD162" s="16"/>
    </row>
    <row r="163" spans="1:30" ht="15.75" customHeight="1">
      <c r="A163" s="16"/>
      <c r="B163" s="735"/>
      <c r="C163" s="696"/>
      <c r="D163" s="16"/>
      <c r="E163" s="16"/>
      <c r="F163" s="16"/>
      <c r="G163" s="16"/>
      <c r="H163" s="16"/>
      <c r="I163" s="16"/>
      <c r="J163" s="16"/>
      <c r="K163" s="16"/>
      <c r="L163" s="16"/>
      <c r="M163" s="735"/>
      <c r="N163" s="696"/>
      <c r="O163" s="696"/>
      <c r="P163" s="696"/>
      <c r="Q163" s="696"/>
      <c r="R163" s="696"/>
      <c r="S163" s="696"/>
      <c r="T163" s="696"/>
      <c r="U163" s="16"/>
      <c r="V163" s="16"/>
      <c r="W163" s="16"/>
      <c r="X163" s="16"/>
      <c r="Y163" s="16"/>
      <c r="Z163" s="16"/>
      <c r="AA163" s="16"/>
      <c r="AB163" s="16"/>
      <c r="AC163" s="16"/>
      <c r="AD163" s="16"/>
    </row>
    <row r="164" spans="1:30" ht="15.75" customHeight="1">
      <c r="A164" s="16"/>
      <c r="B164" s="735"/>
      <c r="C164" s="696"/>
      <c r="D164" s="16"/>
      <c r="E164" s="16"/>
      <c r="F164" s="16"/>
      <c r="G164" s="16"/>
      <c r="H164" s="16"/>
      <c r="I164" s="16"/>
      <c r="J164" s="16"/>
      <c r="K164" s="16"/>
      <c r="L164" s="16"/>
      <c r="M164" s="735"/>
      <c r="N164" s="696"/>
      <c r="O164" s="696"/>
      <c r="P164" s="696"/>
      <c r="Q164" s="696"/>
      <c r="R164" s="696"/>
      <c r="S164" s="696"/>
      <c r="T164" s="696"/>
      <c r="U164" s="16"/>
      <c r="V164" s="16"/>
      <c r="W164" s="16"/>
      <c r="X164" s="16"/>
      <c r="Y164" s="16"/>
      <c r="Z164" s="16"/>
      <c r="AA164" s="16"/>
      <c r="AB164" s="16"/>
      <c r="AC164" s="16"/>
      <c r="AD164" s="16"/>
    </row>
    <row r="165" spans="1:30" ht="15.75" customHeight="1">
      <c r="A165" s="16"/>
      <c r="B165" s="735"/>
      <c r="C165" s="696"/>
      <c r="D165" s="16"/>
      <c r="E165" s="16"/>
      <c r="F165" s="16"/>
      <c r="G165" s="16"/>
      <c r="H165" s="16"/>
      <c r="I165" s="16"/>
      <c r="J165" s="16"/>
      <c r="K165" s="16"/>
      <c r="L165" s="16"/>
      <c r="M165" s="735"/>
      <c r="N165" s="696"/>
      <c r="O165" s="696"/>
      <c r="P165" s="696"/>
      <c r="Q165" s="696"/>
      <c r="R165" s="696"/>
      <c r="S165" s="696"/>
      <c r="T165" s="696"/>
      <c r="U165" s="16"/>
      <c r="V165" s="16"/>
      <c r="W165" s="16"/>
      <c r="X165" s="16"/>
      <c r="Y165" s="16"/>
      <c r="Z165" s="16"/>
      <c r="AA165" s="16"/>
      <c r="AB165" s="16"/>
      <c r="AC165" s="16"/>
      <c r="AD165" s="16"/>
    </row>
    <row r="166" spans="1:30" ht="15.75" customHeight="1">
      <c r="A166" s="16"/>
      <c r="B166" s="735"/>
      <c r="C166" s="696"/>
      <c r="D166" s="16"/>
      <c r="E166" s="16"/>
      <c r="F166" s="16"/>
      <c r="G166" s="16"/>
      <c r="H166" s="16"/>
      <c r="I166" s="16"/>
      <c r="J166" s="16"/>
      <c r="K166" s="16"/>
      <c r="L166" s="16"/>
      <c r="M166" s="735"/>
      <c r="N166" s="696"/>
      <c r="O166" s="696"/>
      <c r="P166" s="696"/>
      <c r="Q166" s="696"/>
      <c r="R166" s="696"/>
      <c r="S166" s="696"/>
      <c r="T166" s="696"/>
      <c r="U166" s="16"/>
      <c r="V166" s="16"/>
      <c r="W166" s="16"/>
      <c r="X166" s="16"/>
      <c r="Y166" s="16"/>
      <c r="Z166" s="16"/>
      <c r="AA166" s="16"/>
      <c r="AB166" s="16"/>
      <c r="AC166" s="16"/>
      <c r="AD166" s="16"/>
    </row>
    <row r="167" spans="1:30" ht="15.75" customHeight="1">
      <c r="A167" s="16"/>
      <c r="B167" s="735"/>
      <c r="C167" s="696"/>
      <c r="D167" s="16"/>
      <c r="E167" s="16"/>
      <c r="F167" s="16"/>
      <c r="G167" s="16"/>
      <c r="H167" s="16"/>
      <c r="I167" s="16"/>
      <c r="J167" s="16"/>
      <c r="K167" s="16"/>
      <c r="L167" s="16"/>
      <c r="M167" s="735"/>
      <c r="N167" s="696"/>
      <c r="O167" s="696"/>
      <c r="P167" s="696"/>
      <c r="Q167" s="696"/>
      <c r="R167" s="696"/>
      <c r="S167" s="696"/>
      <c r="T167" s="696"/>
      <c r="U167" s="16"/>
      <c r="V167" s="16"/>
      <c r="W167" s="16"/>
      <c r="X167" s="16"/>
      <c r="Y167" s="16"/>
      <c r="Z167" s="16"/>
      <c r="AA167" s="16"/>
      <c r="AB167" s="16"/>
      <c r="AC167" s="16"/>
      <c r="AD167" s="16"/>
    </row>
    <row r="168" spans="1:30" ht="15.75" customHeight="1">
      <c r="A168" s="16"/>
      <c r="B168" s="735"/>
      <c r="C168" s="696"/>
      <c r="D168" s="16"/>
      <c r="E168" s="16"/>
      <c r="F168" s="16"/>
      <c r="G168" s="16"/>
      <c r="H168" s="16"/>
      <c r="I168" s="16"/>
      <c r="J168" s="16"/>
      <c r="K168" s="16"/>
      <c r="L168" s="16"/>
      <c r="M168" s="735"/>
      <c r="N168" s="696"/>
      <c r="O168" s="696"/>
      <c r="P168" s="696"/>
      <c r="Q168" s="696"/>
      <c r="R168" s="696"/>
      <c r="S168" s="696"/>
      <c r="T168" s="696"/>
      <c r="U168" s="16"/>
      <c r="V168" s="16"/>
      <c r="W168" s="16"/>
      <c r="X168" s="16"/>
      <c r="Y168" s="16"/>
      <c r="Z168" s="16"/>
      <c r="AA168" s="16"/>
      <c r="AB168" s="16"/>
      <c r="AC168" s="16"/>
      <c r="AD168" s="16"/>
    </row>
    <row r="169" spans="1:30" ht="15.75" customHeight="1">
      <c r="A169" s="16"/>
      <c r="B169" s="735"/>
      <c r="C169" s="696"/>
      <c r="D169" s="16"/>
      <c r="E169" s="16"/>
      <c r="F169" s="16"/>
      <c r="G169" s="16"/>
      <c r="H169" s="16"/>
      <c r="I169" s="16"/>
      <c r="J169" s="16"/>
      <c r="K169" s="16"/>
      <c r="L169" s="16"/>
      <c r="M169" s="735"/>
      <c r="N169" s="696"/>
      <c r="O169" s="696"/>
      <c r="P169" s="696"/>
      <c r="Q169" s="696"/>
      <c r="R169" s="696"/>
      <c r="S169" s="696"/>
      <c r="T169" s="696"/>
      <c r="U169" s="16"/>
      <c r="V169" s="16"/>
      <c r="W169" s="16"/>
      <c r="X169" s="16"/>
      <c r="Y169" s="16"/>
      <c r="Z169" s="16"/>
      <c r="AA169" s="16"/>
      <c r="AB169" s="16"/>
      <c r="AC169" s="16"/>
      <c r="AD169" s="16"/>
    </row>
    <row r="170" spans="1:30" ht="15.75" customHeight="1">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c r="AA170" s="16"/>
      <c r="AB170" s="16"/>
      <c r="AC170" s="16"/>
      <c r="AD170" s="16"/>
    </row>
    <row r="171" spans="1:30" ht="15.75" customHeight="1">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c r="AA171" s="16"/>
      <c r="AB171" s="16"/>
      <c r="AC171" s="16"/>
      <c r="AD171" s="16"/>
    </row>
    <row r="172" spans="1:30" ht="15.75" customHeight="1">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row>
    <row r="173" spans="1:30" ht="15.75" customHeight="1">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c r="AC173" s="16"/>
      <c r="AD173" s="16"/>
    </row>
    <row r="174" spans="1:30" ht="15.75" customHeight="1">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c r="AC174" s="16"/>
      <c r="AD174" s="16"/>
    </row>
    <row r="175" spans="1:30" ht="15.75" customHeight="1">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c r="AA175" s="16"/>
      <c r="AB175" s="16"/>
      <c r="AC175" s="16"/>
      <c r="AD175" s="16"/>
    </row>
    <row r="176" spans="1:30" ht="15.75" customHeight="1">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c r="AD176" s="16"/>
    </row>
    <row r="177" spans="1:30" ht="15.75" customHeight="1">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c r="AD177" s="16"/>
    </row>
    <row r="178" spans="1:30" ht="15.75" customHeight="1">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c r="AA178" s="16"/>
      <c r="AB178" s="16"/>
      <c r="AC178" s="16"/>
      <c r="AD178" s="16"/>
    </row>
    <row r="179" spans="1:30" ht="15.75" customHeight="1">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c r="AD179" s="16"/>
    </row>
    <row r="180" spans="1:30" ht="15.75" customHeight="1">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c r="AD180" s="16"/>
    </row>
    <row r="181" spans="1:30" ht="15.75" customHeight="1">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c r="AD181" s="16"/>
    </row>
    <row r="182" spans="1:30" ht="15.75" customHeight="1">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c r="AD182" s="16"/>
    </row>
    <row r="183" spans="1:30" ht="15.75" customHeight="1">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c r="AD183" s="16"/>
    </row>
    <row r="184" spans="1:30" ht="15.75" customHeight="1">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c r="AD184" s="16"/>
    </row>
    <row r="185" spans="1:30" ht="15.75" customHeight="1">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c r="AD185" s="16"/>
    </row>
    <row r="186" spans="1:30" ht="15.75" customHeight="1">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c r="AD186" s="16"/>
    </row>
    <row r="187" spans="1:30" ht="15.75" customHeight="1">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16"/>
      <c r="AB187" s="16"/>
      <c r="AC187" s="16"/>
      <c r="AD187" s="16"/>
    </row>
    <row r="188" spans="1:30" ht="15.75" customHeight="1">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c r="AD188" s="16"/>
    </row>
    <row r="189" spans="1:30" ht="15.75" customHeight="1">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c r="AD189" s="16"/>
    </row>
    <row r="190" spans="1:30" ht="15.75" customHeight="1">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c r="AD190" s="16"/>
    </row>
    <row r="191" spans="1:30" ht="15.75" customHeight="1">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c r="AD191" s="16"/>
    </row>
    <row r="192" spans="1:30" ht="15.75" customHeight="1">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c r="AD192" s="16"/>
    </row>
    <row r="193" spans="1:30" ht="15.75" customHeight="1">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c r="AA193" s="16"/>
      <c r="AB193" s="16"/>
      <c r="AC193" s="16"/>
      <c r="AD193" s="16"/>
    </row>
    <row r="194" spans="1:30" ht="15.75" customHeight="1">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c r="AA194" s="16"/>
      <c r="AB194" s="16"/>
      <c r="AC194" s="16"/>
      <c r="AD194" s="16"/>
    </row>
    <row r="195" spans="1:30" ht="15.75" customHeight="1">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c r="AA195" s="16"/>
      <c r="AB195" s="16"/>
      <c r="AC195" s="16"/>
      <c r="AD195" s="16"/>
    </row>
    <row r="196" spans="1:30" ht="15.75" customHeight="1">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c r="AA196" s="16"/>
      <c r="AB196" s="16"/>
      <c r="AC196" s="16"/>
      <c r="AD196" s="16"/>
    </row>
    <row r="197" spans="1:30" ht="15.75" customHeight="1">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c r="AD197" s="16"/>
    </row>
    <row r="198" spans="1:30" ht="15.75" customHeight="1">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c r="AD198" s="16"/>
    </row>
    <row r="199" spans="1:30" ht="15.75" customHeight="1">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c r="AA199" s="16"/>
      <c r="AB199" s="16"/>
      <c r="AC199" s="16"/>
      <c r="AD199" s="16"/>
    </row>
    <row r="200" spans="1:30" ht="15.75" customHeight="1">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c r="AA200" s="16"/>
      <c r="AB200" s="16"/>
      <c r="AC200" s="16"/>
      <c r="AD200" s="16"/>
    </row>
    <row r="201" spans="1:30" ht="15.75" customHeight="1">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c r="AD201" s="16"/>
    </row>
    <row r="202" spans="1:30" ht="15.75" customHeight="1">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c r="AD202" s="16"/>
    </row>
    <row r="203" spans="1:30" ht="15.75" customHeight="1">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c r="AA203" s="16"/>
      <c r="AB203" s="16"/>
      <c r="AC203" s="16"/>
      <c r="AD203" s="16"/>
    </row>
    <row r="204" spans="1:30" ht="15.75" customHeight="1">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c r="AA204" s="16"/>
      <c r="AB204" s="16"/>
      <c r="AC204" s="16"/>
      <c r="AD204" s="16"/>
    </row>
    <row r="205" spans="1:30" ht="15.75" customHeight="1">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c r="AD205" s="16"/>
    </row>
    <row r="206" spans="1:30" ht="15.75" customHeight="1">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row>
    <row r="207" spans="1:30" ht="15.75" customHeight="1">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c r="AD207" s="16"/>
    </row>
    <row r="208" spans="1:30" ht="15.75" customHeight="1">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c r="AD208" s="16"/>
    </row>
    <row r="209" spans="1:30" ht="15.75" customHeight="1">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c r="AD209" s="16"/>
    </row>
    <row r="210" spans="1:30" ht="15.75" customHeight="1">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c r="AD210" s="16"/>
    </row>
    <row r="211" spans="1:30" ht="15.75" customHeight="1">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row>
    <row r="212" spans="1:30" ht="15.75" customHeight="1">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c r="AD212" s="16"/>
    </row>
    <row r="213" spans="1:30" ht="15.75" customHeight="1">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c r="AD213" s="16"/>
    </row>
    <row r="214" spans="1:30" ht="15.75" customHeight="1">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row>
    <row r="215" spans="1:30" ht="15.75" customHeight="1">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c r="AD215" s="16"/>
    </row>
    <row r="216" spans="1:30" ht="15.75" customHeight="1">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c r="AD216" s="16"/>
    </row>
    <row r="217" spans="1:30" ht="15.75" customHeight="1">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c r="AD217" s="16"/>
    </row>
    <row r="218" spans="1:30" ht="15.75" customHeight="1">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c r="AD218" s="16"/>
    </row>
    <row r="219" spans="1:30" ht="15.75" customHeight="1">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c r="AD219" s="16"/>
    </row>
    <row r="220" spans="1:30" ht="15.75" customHeight="1">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c r="AD220" s="16"/>
    </row>
    <row r="221" spans="1:30" ht="15.75" customHeight="1">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row>
    <row r="222" spans="1:30" ht="15.75" customHeight="1">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row>
    <row r="223" spans="1:30" ht="15.75" customHeight="1">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c r="AD223" s="16"/>
    </row>
    <row r="224" spans="1:30" ht="15.75" customHeight="1">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c r="AD224" s="16"/>
    </row>
    <row r="225" spans="1:30" ht="15.75" customHeight="1">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16"/>
    </row>
    <row r="226" spans="1:30" ht="15.75" customHeight="1">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row>
    <row r="227" spans="1:30" ht="15.75" customHeight="1">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16"/>
    </row>
    <row r="228" spans="1:30" ht="15.75" customHeight="1">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c r="AD228" s="16"/>
    </row>
    <row r="229" spans="1:30" ht="15.75" customHeight="1">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c r="AD229" s="16"/>
    </row>
    <row r="230" spans="1:30" ht="15.75" customHeight="1">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row>
    <row r="231" spans="1:30" ht="15.75" customHeight="1">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c r="AD231" s="16"/>
    </row>
    <row r="232" spans="1:30" ht="15.75" customHeight="1">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c r="AD232" s="16"/>
    </row>
    <row r="233" spans="1:30" ht="15.75" customHeight="1">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c r="AD233" s="16"/>
    </row>
    <row r="234" spans="1:30" ht="15.75" customHeight="1">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c r="AD234" s="16"/>
    </row>
    <row r="235" spans="1:30" ht="15.75" customHeight="1">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row>
    <row r="236" spans="1:30" ht="15.75" customHeight="1">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c r="AD236" s="16"/>
    </row>
    <row r="237" spans="1:30" ht="15.75" customHeight="1">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c r="AD237" s="16"/>
    </row>
    <row r="238" spans="1:30" ht="15.75" customHeight="1">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c r="AD238" s="16"/>
    </row>
    <row r="239" spans="1:30" ht="15.75" customHeight="1">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c r="AD239" s="16"/>
    </row>
    <row r="240" spans="1:30" ht="15.75" customHeight="1">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c r="AD240" s="16"/>
    </row>
    <row r="241" spans="1:30" ht="15.75" customHeight="1">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c r="AD241" s="16"/>
    </row>
    <row r="242" spans="1:30" ht="15.75" customHeight="1">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c r="AD242" s="16"/>
    </row>
    <row r="243" spans="1:30" ht="15.75" customHeight="1">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c r="AD243" s="16"/>
    </row>
    <row r="244" spans="1:30" ht="15.75" customHeight="1">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16"/>
    </row>
    <row r="245" spans="1:30" ht="15.75" customHeight="1">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c r="AD245" s="16"/>
    </row>
    <row r="246" spans="1:30" ht="15.75" customHeight="1">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row>
    <row r="247" spans="1:30" ht="15.75" customHeight="1">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c r="AD247" s="16"/>
    </row>
    <row r="248" spans="1:30" ht="15.75" customHeight="1">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row>
    <row r="249" spans="1:30" ht="15.75" customHeight="1">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row>
    <row r="250" spans="1:30" ht="15.75" customHeight="1">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c r="AD250" s="16"/>
    </row>
    <row r="251" spans="1:30" ht="15.75" customHeight="1">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row>
    <row r="252" spans="1:30" ht="15.75" customHeight="1">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16"/>
    </row>
    <row r="253" spans="1:30" ht="15.75" customHeight="1">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c r="AD253" s="16"/>
    </row>
    <row r="254" spans="1:30" ht="15.75" customHeight="1">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row>
    <row r="255" spans="1:30" ht="15.75" customHeight="1">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c r="AD255" s="16"/>
    </row>
    <row r="256" spans="1:30" ht="15.75" customHeight="1">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row>
    <row r="257" spans="1:30" ht="15.75" customHeight="1">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c r="AD257" s="16"/>
    </row>
    <row r="258" spans="1:30" ht="15.75" customHeight="1">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c r="AD258" s="16"/>
    </row>
    <row r="259" spans="1:30" ht="15.75" customHeight="1">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row>
    <row r="260" spans="1:30" ht="15.75" customHeight="1">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row>
    <row r="261" spans="1:30" ht="15.75" customHeight="1">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c r="AD261" s="16"/>
    </row>
    <row r="262" spans="1:30" ht="15.75" customHeight="1">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row>
    <row r="263" spans="1:30" ht="15.75" customHeight="1">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row>
    <row r="264" spans="1:30" ht="15.75" customHeight="1">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c r="AD264" s="16"/>
    </row>
    <row r="265" spans="1:30" ht="15.75" customHeight="1">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row>
    <row r="266" spans="1:30" ht="15.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row>
    <row r="267" spans="1:30" ht="15.75" customHeight="1">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row>
    <row r="268" spans="1:30" ht="15.75" customHeight="1">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c r="AD268" s="16"/>
    </row>
    <row r="269" spans="1:30" ht="15.75" customHeight="1">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row>
    <row r="270" spans="1:30" ht="15.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row>
    <row r="271" spans="1:30" ht="15.75" customHeight="1">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c r="AD271" s="16"/>
    </row>
    <row r="272" spans="1:30" ht="15.75" customHeight="1">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c r="AD272" s="16"/>
    </row>
    <row r="273" spans="1:30" ht="15.75" customHeight="1">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c r="AD273" s="16"/>
    </row>
    <row r="274" spans="1:30" ht="15.75" customHeight="1">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c r="AD274" s="16"/>
    </row>
    <row r="275" spans="1:30" ht="15.75" customHeight="1">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c r="AD275" s="16"/>
    </row>
    <row r="276" spans="1:30" ht="15.75" customHeight="1">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row>
    <row r="277" spans="1:30" ht="15.75" customHeight="1">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16"/>
    </row>
    <row r="278" spans="1:30" ht="15.75" customHeight="1">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row>
    <row r="279" spans="1:30" ht="15.75" customHeight="1">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16"/>
    </row>
    <row r="280" spans="1:30" ht="15.75" customHeight="1">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c r="AD280" s="16"/>
    </row>
    <row r="281" spans="1:30" ht="15.75" customHeight="1">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c r="AD281" s="16"/>
    </row>
    <row r="282" spans="1:30" ht="15.75" customHeight="1">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c r="AD282" s="16"/>
    </row>
    <row r="283" spans="1:30" ht="15.75" customHeight="1">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c r="AD283" s="16"/>
    </row>
    <row r="284" spans="1:30" ht="15.75" customHeight="1">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c r="AD284" s="16"/>
    </row>
    <row r="285" spans="1:30" ht="15.75" customHeight="1">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c r="AD285" s="16"/>
    </row>
    <row r="286" spans="1:30" ht="15.75" customHeight="1">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row>
    <row r="287" spans="1:30" ht="15.75" customHeight="1">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row>
    <row r="288" spans="1:30" ht="15.75" customHeight="1">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row>
    <row r="289" spans="1:30" ht="15.75" customHeight="1">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row>
    <row r="290" spans="1:30" ht="15.75" customHeight="1">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row>
    <row r="291" spans="1:30" ht="15.75" customHeight="1">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c r="AD291" s="16"/>
    </row>
    <row r="292" spans="1:30" ht="15.75" customHeight="1">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row>
    <row r="293" spans="1:30" ht="15.75" customHeight="1">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row>
    <row r="294" spans="1:30" ht="15.75" customHeight="1">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row>
    <row r="295" spans="1:30" ht="15.75" customHeight="1">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row>
    <row r="296" spans="1:30" ht="15.75" customHeight="1">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row>
    <row r="297" spans="1:30" ht="15.75" customHeight="1">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row>
    <row r="298" spans="1:30" ht="15.75" customHeight="1">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row>
    <row r="299" spans="1:30" ht="15.75" customHeight="1">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row>
    <row r="300" spans="1:30" ht="15.75" customHeight="1">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row>
    <row r="301" spans="1:30" ht="15.75" customHeight="1">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c r="AD301" s="16"/>
    </row>
    <row r="302" spans="1:30" ht="15.75" customHeight="1">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c r="AD302" s="16"/>
    </row>
    <row r="303" spans="1:30" ht="15.75" customHeight="1">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row>
    <row r="304" spans="1:30" ht="15.75" customHeight="1">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c r="AD304" s="16"/>
    </row>
    <row r="305" spans="1:30" ht="15.75" customHeight="1">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c r="AD305" s="16"/>
    </row>
    <row r="306" spans="1:30" ht="15.75" customHeight="1"/>
    <row r="307" spans="1:30" ht="15.75" customHeight="1"/>
    <row r="308" spans="1:30" ht="15.75" customHeight="1"/>
    <row r="309" spans="1:30" ht="15.75" customHeight="1"/>
    <row r="310" spans="1:30" ht="15.75" customHeight="1"/>
    <row r="311" spans="1:30" ht="15.75" customHeight="1"/>
    <row r="312" spans="1:30" ht="15.75" customHeight="1"/>
    <row r="313" spans="1:30" ht="15.75" customHeight="1"/>
    <row r="314" spans="1:30" ht="15.75" customHeight="1"/>
    <row r="315" spans="1:30" ht="15.75" customHeight="1"/>
    <row r="316" spans="1:30" ht="15.75" customHeight="1"/>
    <row r="317" spans="1:30" ht="15.75" customHeight="1"/>
    <row r="318" spans="1:30" ht="15.75" customHeight="1"/>
    <row r="319" spans="1:30" ht="15.75" customHeight="1"/>
    <row r="320" spans="1:3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99">
    <mergeCell ref="K55:M67"/>
    <mergeCell ref="A30:F30"/>
    <mergeCell ref="A31:F31"/>
    <mergeCell ref="A32:F32"/>
    <mergeCell ref="A34:F34"/>
    <mergeCell ref="A29:F29"/>
    <mergeCell ref="A1:C1"/>
    <mergeCell ref="E1:H1"/>
    <mergeCell ref="D7:I7"/>
    <mergeCell ref="D8:I8"/>
    <mergeCell ref="A28:F28"/>
    <mergeCell ref="H92:I105"/>
    <mergeCell ref="J92:K105"/>
    <mergeCell ref="AG29:AH29"/>
    <mergeCell ref="AI29:AJ29"/>
    <mergeCell ref="AG30:AH40"/>
    <mergeCell ref="AI30:AJ40"/>
    <mergeCell ref="H37:J37"/>
    <mergeCell ref="K71:O87"/>
    <mergeCell ref="P71:Q87"/>
    <mergeCell ref="H91:I91"/>
    <mergeCell ref="J91:K91"/>
    <mergeCell ref="K70:O70"/>
    <mergeCell ref="H38:J42"/>
    <mergeCell ref="I45:K45"/>
    <mergeCell ref="I46:K50"/>
    <mergeCell ref="K54:M54"/>
    <mergeCell ref="P115:R115"/>
    <mergeCell ref="P70:Q70"/>
    <mergeCell ref="P116:R116"/>
    <mergeCell ref="P117:R117"/>
    <mergeCell ref="P118:R118"/>
    <mergeCell ref="P119:R119"/>
    <mergeCell ref="P120:R120"/>
    <mergeCell ref="M135:O135"/>
    <mergeCell ref="P121:R121"/>
    <mergeCell ref="M123:O123"/>
    <mergeCell ref="P123:T123"/>
    <mergeCell ref="M124:O124"/>
    <mergeCell ref="P124:T135"/>
    <mergeCell ref="M125:O125"/>
    <mergeCell ref="M126:O126"/>
    <mergeCell ref="M127:O127"/>
    <mergeCell ref="M128:O128"/>
    <mergeCell ref="M129:O129"/>
    <mergeCell ref="M130:O130"/>
    <mergeCell ref="M131:O131"/>
    <mergeCell ref="M132:O132"/>
    <mergeCell ref="M133:O133"/>
    <mergeCell ref="M134:O134"/>
    <mergeCell ref="M151:O151"/>
    <mergeCell ref="M138:O138"/>
    <mergeCell ref="P138:T138"/>
    <mergeCell ref="M139:O139"/>
    <mergeCell ref="P139:T152"/>
    <mergeCell ref="M140:O140"/>
    <mergeCell ref="M141:O141"/>
    <mergeCell ref="M142:O142"/>
    <mergeCell ref="M143:O143"/>
    <mergeCell ref="M144:O144"/>
    <mergeCell ref="M145:O145"/>
    <mergeCell ref="M146:O146"/>
    <mergeCell ref="M147:O147"/>
    <mergeCell ref="M148:O148"/>
    <mergeCell ref="M149:O149"/>
    <mergeCell ref="M150:O150"/>
    <mergeCell ref="P155:T155"/>
    <mergeCell ref="B156:C156"/>
    <mergeCell ref="M156:O156"/>
    <mergeCell ref="P156:T169"/>
    <mergeCell ref="B157:C157"/>
    <mergeCell ref="M157:O157"/>
    <mergeCell ref="B158:C158"/>
    <mergeCell ref="B161:C161"/>
    <mergeCell ref="M161:O161"/>
    <mergeCell ref="B160:C160"/>
    <mergeCell ref="M160:O160"/>
    <mergeCell ref="B162:C162"/>
    <mergeCell ref="M162:O162"/>
    <mergeCell ref="B163:C163"/>
    <mergeCell ref="M163:O163"/>
    <mergeCell ref="B164:C164"/>
    <mergeCell ref="M152:O152"/>
    <mergeCell ref="B155:C155"/>
    <mergeCell ref="M155:O155"/>
    <mergeCell ref="M158:O158"/>
    <mergeCell ref="B159:C159"/>
    <mergeCell ref="M159:O159"/>
    <mergeCell ref="M164:O164"/>
    <mergeCell ref="B168:C168"/>
    <mergeCell ref="M168:O168"/>
    <mergeCell ref="B169:C169"/>
    <mergeCell ref="M169:O169"/>
    <mergeCell ref="B165:C165"/>
    <mergeCell ref="M165:O165"/>
    <mergeCell ref="B166:C166"/>
    <mergeCell ref="M166:O166"/>
    <mergeCell ref="B167:C167"/>
    <mergeCell ref="M167:O167"/>
  </mergeCells>
  <conditionalFormatting sqref="I55:I66">
    <cfRule type="containsText" dxfId="136" priority="1" operator="containsText" text="5">
      <formula>NOT(ISERROR(SEARCH(("5"),(I55))))</formula>
    </cfRule>
    <cfRule type="containsText" dxfId="135" priority="2" operator="containsText" text="42">
      <formula>NOT(ISERROR(SEARCH(("42"),(I55))))</formula>
    </cfRule>
    <cfRule type="containsText" dxfId="134" priority="3" operator="containsText" text="Please fill in">
      <formula>NOT(ISERROR(SEARCH(("Please fill in"),(I55))))</formula>
    </cfRule>
  </conditionalFormatting>
  <dataValidations count="5">
    <dataValidation type="list" allowBlank="1" showErrorMessage="1" sqref="H58:H67 D48:D50" xr:uid="{89DD96B9-7600-A648-A3E3-28A114AB7016}">
      <formula1>Vakgericht!TypesOfTrainers</formula1>
    </dataValidation>
    <dataValidation type="list" allowBlank="1" showErrorMessage="1" sqref="B9" xr:uid="{D5E4C3CA-E672-AB45-B085-4A504FECEBC4}">
      <formula1>"yes,no,partial"</formula1>
    </dataValidation>
    <dataValidation type="list" allowBlank="1" sqref="G46:G50" xr:uid="{7FEE07CD-62FB-5348-962D-F4CBE5163FBA}">
      <formula1>"yes,no"</formula1>
    </dataValidation>
    <dataValidation type="list" allowBlank="1" showErrorMessage="1" sqref="B71:B78" xr:uid="{7A101358-3B4E-5C4F-ACD5-EBDDEC8E1D71}">
      <formula1>'https://universiteittwente.sharepoint.com/sites/SportsCoordinatorsSUT/Gedeelde documenten/General/(WIP) FAM Sheets - Regulations 2025-28 - Version April 2025.xlsx'!LocationNames</formula1>
    </dataValidation>
    <dataValidation type="list" allowBlank="1" showErrorMessage="1" sqref="H55:H57 D46:D47" xr:uid="{80B7FF40-DC6A-7F43-BA45-4A8ABF198C3E}">
      <formula1>'https://universiteittwente.sharepoint.com/sites/SportsCoordinatorsSUT/Gedeelde documenten/General/(WIP) FAM Sheets - Regulations 2025-28 - Version April 2025.xlsx'!TypesOfTrainers</formula1>
    </dataValidation>
  </dataValidations>
  <pageMargins left="0.7" right="0.7" top="0.75" bottom="0.75" header="0" footer="0"/>
  <pageSetup paperSize="9" orientation="portrait"/>
  <ignoredErrors>
    <ignoredError sqref="F93 F94:F106" calculatedColumn="1"/>
  </ignoredErrors>
  <drawing r:id="rId1"/>
  <legacyDrawing r:id="rId2"/>
  <tableParts count="6">
    <tablePart r:id="rId3"/>
    <tablePart r:id="rId4"/>
    <tablePart r:id="rId5"/>
    <tablePart r:id="rId6"/>
    <tablePart r:id="rId7"/>
    <tablePart r:id="rId8"/>
  </tableParts>
  <extLst>
    <ext xmlns:x14="http://schemas.microsoft.com/office/spreadsheetml/2009/9/main" uri="{CCE6A557-97BC-4b89-ADB6-D9C93CAAB3DF}">
      <x14:dataValidations xmlns:xm="http://schemas.microsoft.com/office/excel/2006/main" count="4">
        <x14:dataValidation type="list" allowBlank="1" showInputMessage="1" showErrorMessage="1" xr:uid="{5E827258-F2BA-0B47-B3D8-94FA2FADE370}">
          <x14:formula1>
            <xm:f>Constants!$M$6:$M$7</xm:f>
          </x14:formula1>
          <xm:sqref>B93:B107</xm:sqref>
        </x14:dataValidation>
        <x14:dataValidation type="list" allowBlank="1" showInputMessage="1" showErrorMessage="1" xr:uid="{6C2AB51B-8869-3B4D-A27D-F9BA970352C4}">
          <x14:formula1>
            <xm:f>Constants!$C$55:$C$56</xm:f>
          </x14:formula1>
          <xm:sqref>B12</xm:sqref>
        </x14:dataValidation>
        <x14:dataValidation type="list" allowBlank="1" showErrorMessage="1" xr:uid="{B21FBFCF-CD2F-F248-BB4D-76CC0F9F4BE0}">
          <x14:formula1>
            <xm:f>Constants!$H$6:$H$13</xm:f>
          </x14:formula1>
          <xm:sqref>B55:B67</xm:sqref>
        </x14:dataValidation>
        <x14:dataValidation type="list" allowBlank="1" showErrorMessage="1" xr:uid="{528854EE-13F9-1643-A21C-000581EE7239}">
          <x14:formula1>
            <xm:f>Constants!$A$2:$AD$2</xm:f>
          </x14:formula1>
          <xm:sqref>B79:B87</xm:sqref>
        </x14:dataValidation>
      </x14:dataValidations>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40870A-C2D3-4EDE-B95B-FA53C666D65C}">
  <dimension ref="A1:BG1031"/>
  <sheetViews>
    <sheetView topLeftCell="AA16" workbookViewId="0">
      <selection activeCell="AF30" sqref="AF30"/>
    </sheetView>
  </sheetViews>
  <sheetFormatPr defaultColWidth="12.625" defaultRowHeight="15" customHeight="1"/>
  <cols>
    <col min="1" max="1" width="36.625" customWidth="1"/>
    <col min="2" max="2" width="28.125" customWidth="1"/>
    <col min="3" max="3" width="21" customWidth="1"/>
    <col min="4" max="4" width="17.5" customWidth="1"/>
    <col min="5" max="5" width="16.125" customWidth="1"/>
    <col min="6" max="6" width="21.5" customWidth="1"/>
    <col min="7" max="7" width="22.625" customWidth="1"/>
    <col min="8" max="8" width="18.625" customWidth="1"/>
    <col min="9" max="9" width="19.625" customWidth="1"/>
    <col min="10" max="10" width="18.875" customWidth="1"/>
    <col min="11" max="11" width="21.625" customWidth="1"/>
    <col min="12" max="12" width="17.375" customWidth="1"/>
    <col min="13" max="13" width="15.125" customWidth="1"/>
    <col min="14" max="14" width="15.625" customWidth="1"/>
    <col min="15" max="15" width="28.5" customWidth="1"/>
    <col min="16" max="16" width="13.125" customWidth="1"/>
    <col min="17" max="17" width="21.875" customWidth="1"/>
    <col min="18" max="18" width="27" customWidth="1"/>
    <col min="19" max="19" width="20.5" customWidth="1"/>
    <col min="20" max="22" width="7.625" customWidth="1"/>
    <col min="23" max="23" width="31.875" customWidth="1"/>
    <col min="24" max="24" width="7.625" customWidth="1"/>
    <col min="25" max="25" width="8.375" customWidth="1"/>
    <col min="26" max="26" width="21.625" customWidth="1"/>
    <col min="27" max="27" width="12" customWidth="1"/>
    <col min="28" max="28" width="16.5" customWidth="1"/>
    <col min="29" max="29" width="6" customWidth="1"/>
    <col min="30" max="30" width="13.625" customWidth="1"/>
  </cols>
  <sheetData>
    <row r="1" spans="1:59" ht="171" customHeight="1">
      <c r="A1" s="703"/>
      <c r="B1" s="704"/>
      <c r="C1" s="705"/>
      <c r="D1" s="16"/>
      <c r="E1" s="572" t="s">
        <v>222</v>
      </c>
      <c r="F1" s="704"/>
      <c r="G1" s="704"/>
      <c r="H1" s="705"/>
      <c r="I1" s="16"/>
      <c r="J1" s="16"/>
      <c r="K1" s="16"/>
      <c r="L1" s="16"/>
      <c r="M1" s="16"/>
      <c r="N1" s="16"/>
      <c r="O1" s="16"/>
      <c r="P1" s="16"/>
      <c r="Q1" s="16"/>
      <c r="R1" s="16"/>
      <c r="S1" s="16"/>
      <c r="T1" s="16"/>
      <c r="U1" s="16"/>
      <c r="V1" s="16"/>
      <c r="W1" s="16"/>
      <c r="X1" s="16"/>
      <c r="Y1" s="16"/>
      <c r="Z1" s="16"/>
      <c r="AA1" s="16"/>
      <c r="AB1" s="16"/>
      <c r="AC1" s="16"/>
      <c r="AD1" s="16"/>
    </row>
    <row r="2" spans="1:59">
      <c r="A2" s="58" t="s">
        <v>404</v>
      </c>
      <c r="B2" s="152" t="s">
        <v>221</v>
      </c>
      <c r="C2" s="59"/>
      <c r="D2" s="16"/>
      <c r="E2" s="60" t="s">
        <v>406</v>
      </c>
      <c r="F2" s="153"/>
      <c r="G2" s="154"/>
      <c r="H2" s="61"/>
      <c r="I2" s="16"/>
      <c r="J2" s="16"/>
      <c r="K2" s="16"/>
      <c r="L2" s="16"/>
      <c r="M2" s="16"/>
      <c r="N2" s="16"/>
      <c r="O2" s="16"/>
      <c r="P2" s="16"/>
      <c r="Q2" s="16"/>
      <c r="R2" s="16"/>
      <c r="S2" s="16"/>
      <c r="T2" s="16"/>
      <c r="U2" s="16"/>
      <c r="V2" s="16"/>
      <c r="W2" s="16"/>
      <c r="X2" s="16"/>
      <c r="Y2" s="16"/>
      <c r="Z2" s="15"/>
      <c r="AA2" s="15"/>
      <c r="AB2" s="15"/>
      <c r="AC2" s="15"/>
      <c r="AD2" s="16"/>
      <c r="AE2" s="16"/>
      <c r="AF2" s="16"/>
      <c r="AG2" s="16"/>
      <c r="AH2" s="16"/>
      <c r="AI2" s="17"/>
      <c r="AJ2" s="17"/>
      <c r="AK2" s="17"/>
      <c r="AL2" s="17"/>
      <c r="AM2" s="17"/>
      <c r="AN2" s="17"/>
      <c r="AO2" s="17"/>
      <c r="AP2" s="17"/>
      <c r="AQ2" s="17"/>
      <c r="AR2" s="18"/>
      <c r="AS2" s="17"/>
      <c r="AT2" s="17"/>
      <c r="AU2" s="16"/>
      <c r="AV2" s="16"/>
      <c r="AW2" s="16"/>
      <c r="AX2" s="16"/>
      <c r="AY2" s="16"/>
      <c r="AZ2" s="16"/>
      <c r="BA2" s="16"/>
    </row>
    <row r="3" spans="1:59">
      <c r="A3" s="62" t="s">
        <v>408</v>
      </c>
      <c r="B3" s="155">
        <v>2</v>
      </c>
      <c r="C3" s="156"/>
      <c r="D3" s="16"/>
      <c r="E3" s="63" t="s">
        <v>409</v>
      </c>
      <c r="F3" s="157"/>
      <c r="G3" s="158"/>
      <c r="H3" s="159"/>
      <c r="I3" s="16"/>
      <c r="J3" s="16"/>
      <c r="K3" s="16"/>
      <c r="L3" s="16"/>
      <c r="M3" s="16"/>
      <c r="N3" s="16"/>
      <c r="O3" s="16"/>
      <c r="P3" s="16"/>
      <c r="Q3" s="16"/>
      <c r="R3" s="16"/>
      <c r="S3" s="16"/>
      <c r="T3" s="16"/>
      <c r="U3" s="16"/>
      <c r="V3" s="16"/>
      <c r="W3" s="16"/>
      <c r="X3" s="16"/>
      <c r="Y3" s="16"/>
      <c r="Z3" s="16"/>
      <c r="AA3" s="16"/>
      <c r="AB3" s="16"/>
      <c r="AC3" s="16"/>
      <c r="AD3" s="16"/>
    </row>
    <row r="4" spans="1:59">
      <c r="A4" s="160" t="s">
        <v>410</v>
      </c>
      <c r="B4" s="161">
        <v>45812</v>
      </c>
      <c r="C4" s="162"/>
      <c r="D4" s="16"/>
      <c r="E4" s="163"/>
      <c r="F4" s="164"/>
      <c r="G4" s="165"/>
      <c r="H4" s="166"/>
      <c r="I4" s="16"/>
      <c r="J4" s="16"/>
      <c r="K4" s="16"/>
      <c r="L4" s="16"/>
      <c r="M4" s="16"/>
      <c r="N4" s="16"/>
      <c r="O4" s="16"/>
      <c r="P4" s="16"/>
      <c r="Q4" s="16"/>
      <c r="R4" s="16"/>
      <c r="S4" s="16"/>
      <c r="T4" s="16"/>
      <c r="U4" s="16"/>
      <c r="V4" s="16"/>
      <c r="W4" s="16"/>
      <c r="X4" s="16"/>
      <c r="Y4" s="16"/>
      <c r="Z4" s="16"/>
      <c r="AA4" s="16"/>
      <c r="AB4" s="16"/>
      <c r="AC4" s="16"/>
      <c r="AD4" s="16"/>
    </row>
    <row r="5" spans="1:59">
      <c r="A5" s="167" t="s">
        <v>411</v>
      </c>
      <c r="B5" s="168"/>
      <c r="C5" s="167"/>
      <c r="D5" s="16"/>
      <c r="E5" s="169" t="s">
        <v>412</v>
      </c>
      <c r="F5" s="169"/>
      <c r="G5" s="158"/>
      <c r="H5" s="169"/>
      <c r="I5" s="16"/>
      <c r="J5" s="16"/>
      <c r="K5" s="16"/>
      <c r="L5" s="16"/>
      <c r="M5" s="16"/>
      <c r="N5" s="16"/>
      <c r="O5" s="16"/>
      <c r="P5" s="16"/>
      <c r="Q5" s="16"/>
      <c r="R5" s="16"/>
      <c r="S5" s="16"/>
      <c r="T5" s="16"/>
      <c r="U5" s="16"/>
      <c r="V5" s="16"/>
      <c r="W5" s="16"/>
      <c r="X5" s="16"/>
      <c r="Y5" s="16"/>
      <c r="Z5" s="16"/>
      <c r="AA5" s="16"/>
      <c r="AB5" s="16"/>
      <c r="AC5" s="16"/>
      <c r="AD5" s="16"/>
    </row>
    <row r="6" spans="1:59">
      <c r="A6" s="15"/>
      <c r="B6" s="64"/>
      <c r="C6" s="16"/>
      <c r="D6" s="16"/>
      <c r="E6" s="16"/>
      <c r="F6" s="16"/>
      <c r="G6" s="16"/>
      <c r="H6" s="16"/>
      <c r="I6" s="16"/>
      <c r="J6" s="64"/>
      <c r="K6" s="16"/>
      <c r="L6" s="16"/>
      <c r="M6" s="16"/>
      <c r="N6" s="16"/>
      <c r="O6" s="16"/>
      <c r="P6" s="16"/>
      <c r="Q6" s="16"/>
      <c r="R6" s="16"/>
      <c r="S6" s="16"/>
      <c r="T6" s="16"/>
      <c r="U6" s="16"/>
      <c r="V6" s="16"/>
      <c r="W6" s="16"/>
      <c r="X6" s="16"/>
      <c r="Y6" s="16"/>
      <c r="Z6" s="16"/>
      <c r="AA6" s="16"/>
      <c r="AB6" s="16"/>
      <c r="AC6" s="16"/>
      <c r="AD6" s="16"/>
    </row>
    <row r="7" spans="1:59">
      <c r="A7" s="170" t="s">
        <v>413</v>
      </c>
      <c r="B7" s="59">
        <v>228</v>
      </c>
      <c r="C7" s="16"/>
      <c r="D7" s="573" t="s">
        <v>414</v>
      </c>
      <c r="E7" s="701"/>
      <c r="F7" s="701"/>
      <c r="G7" s="701"/>
      <c r="H7" s="701"/>
      <c r="I7" s="701"/>
      <c r="J7" s="16"/>
      <c r="K7" s="16"/>
      <c r="L7" s="16"/>
      <c r="M7" s="16"/>
      <c r="N7" s="16"/>
      <c r="O7" s="16"/>
      <c r="P7" s="16"/>
      <c r="Q7" s="16"/>
      <c r="R7" s="16"/>
      <c r="S7" s="16"/>
      <c r="T7" s="16"/>
      <c r="U7" s="16"/>
      <c r="V7" s="16"/>
      <c r="W7" s="16"/>
      <c r="X7" s="16"/>
      <c r="Y7" s="16"/>
      <c r="Z7" s="16"/>
      <c r="AA7" s="16"/>
      <c r="AB7" s="16"/>
      <c r="AC7" s="16"/>
      <c r="AD7" s="16"/>
    </row>
    <row r="8" spans="1:59" ht="14.25" customHeight="1">
      <c r="A8" s="171" t="s">
        <v>415</v>
      </c>
      <c r="B8" s="172">
        <f ca="1">M21-M17</f>
        <v>20403.940400283045</v>
      </c>
      <c r="C8" s="16" t="s">
        <v>416</v>
      </c>
      <c r="D8" s="574" t="s">
        <v>417</v>
      </c>
      <c r="E8" s="704"/>
      <c r="F8" s="704"/>
      <c r="G8" s="704"/>
      <c r="H8" s="704"/>
      <c r="I8" s="704"/>
      <c r="J8" s="16"/>
      <c r="K8" s="16"/>
      <c r="L8" s="16"/>
      <c r="M8" s="16"/>
      <c r="N8" s="16"/>
      <c r="O8" s="16"/>
      <c r="P8" s="16"/>
      <c r="Q8" s="16"/>
      <c r="R8" s="16"/>
      <c r="S8" s="16"/>
      <c r="T8" s="16"/>
      <c r="U8" s="16"/>
      <c r="V8" s="16"/>
      <c r="W8" s="16"/>
      <c r="X8" s="16"/>
      <c r="Y8" s="16"/>
      <c r="Z8" s="16"/>
      <c r="AA8" s="16"/>
      <c r="AB8" s="16"/>
      <c r="AC8" s="16"/>
    </row>
    <row r="9" spans="1:59">
      <c r="A9" s="65" t="s">
        <v>418</v>
      </c>
      <c r="B9" s="173" t="s">
        <v>419</v>
      </c>
      <c r="C9" s="16"/>
      <c r="D9" s="16"/>
      <c r="E9" s="17"/>
      <c r="F9" s="17"/>
      <c r="G9" s="17"/>
      <c r="H9" s="17"/>
      <c r="I9" s="17"/>
      <c r="J9" s="17"/>
      <c r="K9" s="17"/>
      <c r="L9" s="17"/>
      <c r="M9" s="17"/>
      <c r="N9" s="17"/>
      <c r="O9" s="17"/>
      <c r="P9" s="17"/>
      <c r="Q9" s="16"/>
      <c r="R9" s="17"/>
      <c r="S9" s="17"/>
      <c r="T9" s="17"/>
      <c r="U9" s="17"/>
      <c r="V9" s="17"/>
      <c r="W9" s="17"/>
      <c r="X9" s="17"/>
      <c r="Y9" s="17"/>
      <c r="Z9" s="17"/>
      <c r="AA9" s="17"/>
      <c r="AB9" s="17"/>
      <c r="AC9" s="17"/>
      <c r="AD9" s="18" t="s">
        <v>242</v>
      </c>
    </row>
    <row r="10" spans="1:59">
      <c r="A10" s="174" t="s">
        <v>420</v>
      </c>
      <c r="B10" s="257">
        <f>COUNTA(A38:A52)+COUNTA(A56:A61)</f>
        <v>18</v>
      </c>
      <c r="C10" s="16"/>
      <c r="D10" s="16"/>
      <c r="E10" s="17"/>
      <c r="F10" s="17"/>
      <c r="G10" s="17"/>
      <c r="H10" s="17"/>
      <c r="I10" s="17"/>
      <c r="J10" s="17"/>
      <c r="K10" s="17"/>
      <c r="L10" s="17"/>
      <c r="M10" s="17"/>
      <c r="N10" s="17"/>
      <c r="O10" s="17"/>
      <c r="P10" s="17"/>
      <c r="Q10" s="16"/>
      <c r="R10" s="17"/>
      <c r="S10" s="17"/>
      <c r="T10" s="17"/>
      <c r="U10" s="17"/>
      <c r="V10" s="17"/>
      <c r="W10" s="17"/>
      <c r="X10" s="17"/>
      <c r="Y10" s="17"/>
      <c r="Z10" s="17"/>
      <c r="AA10" s="17"/>
      <c r="AB10" s="17"/>
      <c r="AC10" s="17"/>
      <c r="AD10" s="18"/>
    </row>
    <row r="11" spans="1:59">
      <c r="A11" s="171" t="s">
        <v>421</v>
      </c>
      <c r="B11" s="256">
        <f>SUM(B38:B52)+SUM(B56:B61)</f>
        <v>297</v>
      </c>
      <c r="C11" s="16"/>
      <c r="D11" s="16"/>
      <c r="E11" s="17"/>
      <c r="F11" s="17"/>
      <c r="G11" s="17"/>
      <c r="H11" s="17"/>
      <c r="I11" s="17"/>
      <c r="J11" s="17"/>
      <c r="K11" s="17"/>
      <c r="L11" s="17"/>
      <c r="M11" s="17"/>
      <c r="N11" s="17"/>
      <c r="O11" s="17"/>
      <c r="P11" s="17"/>
      <c r="Q11" s="16"/>
      <c r="R11" s="17"/>
      <c r="S11" s="17"/>
      <c r="T11" s="17"/>
      <c r="U11" s="17"/>
      <c r="V11" s="17"/>
      <c r="W11" s="17"/>
      <c r="X11" s="17"/>
      <c r="Y11" s="17"/>
      <c r="Z11" s="17"/>
      <c r="AA11" s="17"/>
      <c r="AB11" s="17"/>
      <c r="AC11" s="17"/>
      <c r="AD11" s="18"/>
    </row>
    <row r="12" spans="1:59">
      <c r="A12" s="239" t="s">
        <v>422</v>
      </c>
      <c r="B12" s="240" t="s">
        <v>319</v>
      </c>
      <c r="C12" s="16"/>
      <c r="D12" s="16"/>
      <c r="E12" s="17"/>
      <c r="F12" s="17"/>
      <c r="G12" s="17"/>
      <c r="H12" s="17"/>
      <c r="I12" s="17"/>
      <c r="J12" s="17"/>
      <c r="K12" s="17"/>
      <c r="L12" s="17"/>
      <c r="M12" s="17"/>
      <c r="N12" s="17"/>
      <c r="O12" s="17"/>
      <c r="P12" s="17"/>
      <c r="Q12" s="16"/>
      <c r="R12" s="17"/>
      <c r="S12" s="17"/>
      <c r="T12" s="17"/>
      <c r="U12" s="17"/>
      <c r="V12" s="17"/>
      <c r="W12" s="17"/>
      <c r="X12" s="17"/>
      <c r="Y12" s="17"/>
      <c r="Z12" s="17"/>
      <c r="AA12" s="17"/>
      <c r="AB12" s="17"/>
      <c r="AC12" s="17"/>
      <c r="AD12" s="18"/>
    </row>
    <row r="13" spans="1:59">
      <c r="A13" s="16"/>
      <c r="B13" s="16"/>
      <c r="C13" s="16"/>
      <c r="D13" s="16"/>
      <c r="E13" s="17"/>
      <c r="F13" s="17"/>
      <c r="G13" s="17"/>
      <c r="H13" s="17"/>
      <c r="I13" s="17"/>
      <c r="J13" s="17"/>
      <c r="K13" s="17"/>
      <c r="L13" s="17"/>
      <c r="M13" s="17"/>
      <c r="N13" s="17"/>
      <c r="O13" s="17"/>
      <c r="P13" s="17"/>
      <c r="Q13" s="16"/>
      <c r="R13" s="17"/>
      <c r="S13" s="17"/>
      <c r="T13" s="17"/>
      <c r="U13" s="17"/>
      <c r="V13" s="17"/>
      <c r="W13" s="17"/>
      <c r="X13" s="17"/>
      <c r="Y13" s="17"/>
      <c r="Z13" s="17"/>
      <c r="AA13" s="17"/>
      <c r="AB13" s="17"/>
      <c r="AC13" s="17"/>
      <c r="AD13" s="17" t="str" cm="1">
        <f t="array" ref="AD13:BF14">Constants!A2:AC3</f>
        <v>SC1</v>
      </c>
      <c r="AE13" s="17" t="str">
        <v>SC1 - Half</v>
      </c>
      <c r="AF13" s="17" t="str">
        <v>SC2</v>
      </c>
      <c r="AG13" s="17" t="str">
        <v>SC2 - Half</v>
      </c>
      <c r="AH13" s="17" t="str">
        <v>SC3</v>
      </c>
      <c r="AI13" s="17" t="str">
        <v>SC4</v>
      </c>
      <c r="AJ13" s="17" t="str">
        <v>SC5</v>
      </c>
      <c r="AK13" s="17" t="str">
        <v>SC6</v>
      </c>
      <c r="AL13" s="17" t="str">
        <v>Dojo</v>
      </c>
      <c r="AM13" s="17" t="str">
        <v>Boulder Wall</v>
      </c>
      <c r="AN13" s="17" t="str">
        <v>Climbing Wall</v>
      </c>
      <c r="AO13" s="17" t="str">
        <v>Artificial Hockey field</v>
      </c>
      <c r="AP13" s="17" t="str">
        <v>Artificial Hockey field - Half</v>
      </c>
      <c r="AQ13" s="17" t="str">
        <v>Artificial Soccer field</v>
      </c>
      <c r="AR13" s="17" t="str">
        <v>Artificial Soccer field - Half</v>
      </c>
      <c r="AS13" s="17" t="str">
        <v>Basketball</v>
      </c>
      <c r="AT13" s="17" t="str">
        <v>Bastille field</v>
      </c>
      <c r="AU13" s="17" t="str">
        <v>Beach fields</v>
      </c>
      <c r="AV13" s="17" t="str">
        <v>Shooting range</v>
      </c>
      <c r="AW13" s="17" t="str">
        <v>Multi/Lacrosse field</v>
      </c>
      <c r="AX13" s="17" t="str">
        <v>Multi/Lacrosse field - Half</v>
      </c>
      <c r="AY13" s="17" t="str">
        <v>Bootcamp field</v>
      </c>
      <c r="AZ13" s="17" t="str">
        <v>Multi/Baseball field</v>
      </c>
      <c r="BA13" s="17" t="str">
        <v>Tennis court</v>
      </c>
      <c r="BB13" s="17" t="str">
        <v>Utrack</v>
      </c>
      <c r="BC13" s="22" t="str">
        <v>Verreveld</v>
      </c>
      <c r="BD13" s="22" t="str">
        <v>Wsc</v>
      </c>
      <c r="BE13" s="22" t="str">
        <v>Indoor pool</v>
      </c>
      <c r="BF13" s="22" t="str">
        <v>Outdoor pool</v>
      </c>
      <c r="BG13" s="22"/>
    </row>
    <row r="14" spans="1:59">
      <c r="A14" s="175" t="s">
        <v>423</v>
      </c>
      <c r="B14" s="16"/>
      <c r="C14" s="16"/>
      <c r="D14" s="16"/>
      <c r="E14" s="16"/>
      <c r="F14" s="16"/>
      <c r="G14" s="175" t="s">
        <v>424</v>
      </c>
      <c r="I14" s="17"/>
      <c r="J14" s="17"/>
      <c r="K14" s="176" t="s">
        <v>425</v>
      </c>
      <c r="L14" s="17"/>
      <c r="M14" s="176" t="s">
        <v>426</v>
      </c>
      <c r="N14" s="17"/>
      <c r="O14" s="17"/>
      <c r="P14" s="17"/>
      <c r="Q14" s="17"/>
      <c r="R14" s="17"/>
      <c r="S14" s="16"/>
      <c r="T14" s="17"/>
      <c r="U14" s="17"/>
      <c r="V14" s="17"/>
      <c r="W14" s="17"/>
      <c r="X14" s="17"/>
      <c r="Y14" s="17"/>
      <c r="Z14" s="17"/>
      <c r="AA14" s="17"/>
      <c r="AB14" s="17"/>
      <c r="AC14" s="17"/>
      <c r="AD14" s="19">
        <v>67.5</v>
      </c>
      <c r="AE14" s="19">
        <v>35</v>
      </c>
      <c r="AF14" s="19">
        <v>67.5</v>
      </c>
      <c r="AG14" s="19">
        <v>35</v>
      </c>
      <c r="AH14" s="19">
        <v>40</v>
      </c>
      <c r="AI14" s="19">
        <v>40</v>
      </c>
      <c r="AJ14" s="19">
        <v>35</v>
      </c>
      <c r="AK14" s="19">
        <v>35</v>
      </c>
      <c r="AL14" s="19">
        <v>40</v>
      </c>
      <c r="AM14" s="19">
        <v>27.5</v>
      </c>
      <c r="AN14" s="19">
        <v>45</v>
      </c>
      <c r="AO14" s="19">
        <v>75</v>
      </c>
      <c r="AP14" s="19">
        <v>40</v>
      </c>
      <c r="AQ14" s="19">
        <v>75</v>
      </c>
      <c r="AR14" s="19">
        <v>40</v>
      </c>
      <c r="AS14" s="19">
        <v>30</v>
      </c>
      <c r="AT14" s="19">
        <v>50</v>
      </c>
      <c r="AU14" s="19">
        <v>75</v>
      </c>
      <c r="AV14" s="19">
        <v>40</v>
      </c>
      <c r="AW14" s="19">
        <v>75</v>
      </c>
      <c r="AX14" s="19">
        <v>40</v>
      </c>
      <c r="AY14" s="19">
        <v>50</v>
      </c>
      <c r="AZ14" s="19">
        <v>65</v>
      </c>
      <c r="BA14" s="19">
        <v>35</v>
      </c>
      <c r="BB14" s="19">
        <v>45</v>
      </c>
      <c r="BC14" s="19">
        <v>50</v>
      </c>
      <c r="BD14" s="19">
        <v>0</v>
      </c>
      <c r="BE14" s="19">
        <v>65</v>
      </c>
      <c r="BF14" s="20">
        <v>70</v>
      </c>
      <c r="BG14" s="20"/>
    </row>
    <row r="15" spans="1:59">
      <c r="A15" s="67"/>
      <c r="B15" s="68" t="str">
        <f>Constants!H6</f>
        <v>Performance training</v>
      </c>
      <c r="C15" s="68" t="str">
        <f>Constants!H7</f>
        <v>Performance coaching</v>
      </c>
      <c r="D15" s="68" t="str">
        <f>Constants!H8</f>
        <v>Dangerous</v>
      </c>
      <c r="E15" s="69" t="str">
        <f>Constants!H9</f>
        <v>Recreational</v>
      </c>
      <c r="F15" s="69" t="s">
        <v>290</v>
      </c>
      <c r="G15" s="70"/>
      <c r="H15" s="71" t="s">
        <v>427</v>
      </c>
      <c r="I15" s="72" t="s">
        <v>272</v>
      </c>
      <c r="J15" s="70" t="s">
        <v>5</v>
      </c>
      <c r="K15" s="72" t="s">
        <v>428</v>
      </c>
      <c r="L15" s="70" t="s">
        <v>429</v>
      </c>
      <c r="M15" s="73" cm="1">
        <f t="array" ref="M15">(SUM(IF($D$56:$D$61="PT",($F$56:$F$61)/1.5+IF($G$56:$G$61="yes",1)))+SUM(IF($D$56:$D$61="Extern",($F$56:$F$61)/1.5+IF($G$56:$G$61="yes",1)))+SUM(IF($D$56:$D$61="PT-ZZP",($F$56:$F$61)/1.5+IF($G$56:$G$61="yes",1))))*Constants!B10</f>
        <v>5000</v>
      </c>
      <c r="N15" s="17"/>
      <c r="O15" s="17"/>
      <c r="P15" s="17"/>
      <c r="Q15" s="17"/>
      <c r="R15" s="16"/>
      <c r="S15" s="17"/>
      <c r="T15" s="17"/>
      <c r="U15" s="17"/>
      <c r="V15" s="17"/>
      <c r="W15" s="17"/>
      <c r="X15" s="17"/>
      <c r="Y15" s="17"/>
      <c r="Z15" s="17"/>
      <c r="AA15" s="17"/>
      <c r="AB15" s="17"/>
      <c r="AC15" s="17"/>
      <c r="AD15" s="16">
        <f t="shared" ref="AD15:BF15" si="0">SUMIF($B$102:$B$116,AD13,$F$102:$F$116)</f>
        <v>77</v>
      </c>
      <c r="AE15" s="16">
        <f t="shared" si="0"/>
        <v>0</v>
      </c>
      <c r="AF15" s="16">
        <f t="shared" si="0"/>
        <v>89</v>
      </c>
      <c r="AG15" s="16">
        <f t="shared" si="0"/>
        <v>0</v>
      </c>
      <c r="AH15" s="16">
        <f t="shared" si="0"/>
        <v>0</v>
      </c>
      <c r="AI15" s="16">
        <f t="shared" si="0"/>
        <v>0</v>
      </c>
      <c r="AJ15" s="16">
        <f t="shared" si="0"/>
        <v>0</v>
      </c>
      <c r="AK15" s="16">
        <f t="shared" si="0"/>
        <v>0</v>
      </c>
      <c r="AL15" s="16">
        <f t="shared" si="0"/>
        <v>0</v>
      </c>
      <c r="AM15" s="16">
        <f t="shared" si="0"/>
        <v>0</v>
      </c>
      <c r="AN15" s="16">
        <f t="shared" si="0"/>
        <v>0</v>
      </c>
      <c r="AO15" s="16">
        <f t="shared" si="0"/>
        <v>0</v>
      </c>
      <c r="AP15" s="16">
        <f t="shared" si="0"/>
        <v>0</v>
      </c>
      <c r="AQ15" s="16">
        <f t="shared" si="0"/>
        <v>832.5</v>
      </c>
      <c r="AR15" s="16">
        <f t="shared" si="0"/>
        <v>0</v>
      </c>
      <c r="AS15" s="16">
        <f t="shared" si="0"/>
        <v>0</v>
      </c>
      <c r="AT15" s="16">
        <f t="shared" si="0"/>
        <v>0</v>
      </c>
      <c r="AU15" s="16">
        <f t="shared" si="0"/>
        <v>0</v>
      </c>
      <c r="AV15" s="16">
        <f t="shared" si="0"/>
        <v>0</v>
      </c>
      <c r="AW15" s="16">
        <f t="shared" si="0"/>
        <v>0</v>
      </c>
      <c r="AX15" s="16">
        <f t="shared" si="0"/>
        <v>0</v>
      </c>
      <c r="AY15" s="16">
        <f t="shared" si="0"/>
        <v>0</v>
      </c>
      <c r="AZ15" s="16">
        <f t="shared" si="0"/>
        <v>0</v>
      </c>
      <c r="BA15" s="16">
        <f t="shared" si="0"/>
        <v>0</v>
      </c>
      <c r="BB15" s="16">
        <f t="shared" si="0"/>
        <v>0</v>
      </c>
      <c r="BC15" s="16">
        <f t="shared" si="0"/>
        <v>0</v>
      </c>
      <c r="BD15" s="16">
        <f t="shared" si="0"/>
        <v>0</v>
      </c>
      <c r="BE15" s="16">
        <f t="shared" si="0"/>
        <v>0</v>
      </c>
      <c r="BF15" s="16">
        <f t="shared" si="0"/>
        <v>0</v>
      </c>
    </row>
    <row r="16" spans="1:59">
      <c r="A16" s="74" t="str">
        <f>Constants!E6</f>
        <v>PT</v>
      </c>
      <c r="B16">
        <f>SUMIFS('VV Drienerlo'!$F$66:$F$98,'VV Drienerlo'!$B$66:$B$98, B$15,'VV Drienerlo'!$H$66:$H$98,$A16)*(1+Constants!$B$7)</f>
        <v>378</v>
      </c>
      <c r="C16">
        <f>SUMIFS('VV Drienerlo'!$F$66:$F$98,'VV Drienerlo'!$B$66:$B$98, C$15,'VV Drienerlo'!$H$66:$H$98,$A16)</f>
        <v>180</v>
      </c>
      <c r="D16">
        <f>SUMIFS('VV Drienerlo'!$F$66:$F$98,'VV Drienerlo'!$B$66:$B$98, D$15,'VV Drienerlo'!$H$66:$H$98,$A16)*(1+Constants!$B$7)</f>
        <v>0</v>
      </c>
      <c r="E16">
        <f>SUMIFS('VV Drienerlo'!$F$66:$F$98,'VV Drienerlo'!$B$66:$B$98, E$15,'VV Drienerlo'!$H$66:$H$98,$A16)*(1+Constants!$B$7)</f>
        <v>0</v>
      </c>
      <c r="F16">
        <f>SUMIFS('VV Drienerlo'!$F$66:$F$98,'VV Drienerlo'!$B$66:$B$98, F$15,'VV Drienerlo'!$H$66:$H$98,$A16)*(1+Constants!$B$7)</f>
        <v>100.8</v>
      </c>
      <c r="G16" s="74" t="s">
        <v>430</v>
      </c>
      <c r="H16" s="16">
        <f>SUMIF('VV Drienerlo'!$B$102:$B$117,"&lt;&gt;External",'VV Drienerlo'!$F$102:$F$117)</f>
        <v>998.5</v>
      </c>
      <c r="I16" s="75">
        <f>SUMIF('VV Drienerlo'!$B$104:$B$117,"External",'VV Drienerlo'!$F$104:$F$117)</f>
        <v>0</v>
      </c>
      <c r="J16" s="234">
        <f>SUM($F$120:$F$133)</f>
        <v>0</v>
      </c>
      <c r="K16" s="76">
        <f>IF(OR(ISBLANK(B7),ISBLANK(B9)), "ERROR",MAX(MIN(J16,B7*Constants!B15)-Constants!B14*B7,0)*IF(B9="yes",Constants!B16,IF(B9="no",Constants!B17,0)))</f>
        <v>0</v>
      </c>
      <c r="L16" s="77" t="s">
        <v>360</v>
      </c>
      <c r="M16" s="76">
        <f>E16*Constants!B6+E17*Constants!B8+E22+E21</f>
        <v>0</v>
      </c>
      <c r="N16" s="17"/>
      <c r="O16" s="17"/>
      <c r="P16" s="17"/>
      <c r="Q16" s="17"/>
      <c r="R16" s="16"/>
      <c r="S16" s="17"/>
      <c r="T16" s="17"/>
      <c r="U16" s="17"/>
      <c r="V16" s="17"/>
      <c r="W16" s="17"/>
      <c r="X16" s="17"/>
      <c r="Y16" s="17"/>
      <c r="Z16" s="17"/>
      <c r="AA16" s="17"/>
      <c r="AB16" s="17"/>
      <c r="AC16" s="17"/>
      <c r="AD16" s="19">
        <f t="shared" ref="AD16:BF16" si="1">AD14*AD15</f>
        <v>5197.5</v>
      </c>
      <c r="AE16" s="19">
        <f t="shared" si="1"/>
        <v>0</v>
      </c>
      <c r="AF16" s="19">
        <f t="shared" si="1"/>
        <v>6007.5</v>
      </c>
      <c r="AG16" s="19">
        <f t="shared" si="1"/>
        <v>0</v>
      </c>
      <c r="AH16" s="19">
        <f t="shared" si="1"/>
        <v>0</v>
      </c>
      <c r="AI16" s="19">
        <f t="shared" si="1"/>
        <v>0</v>
      </c>
      <c r="AJ16" s="19">
        <f t="shared" si="1"/>
        <v>0</v>
      </c>
      <c r="AK16" s="19">
        <f t="shared" si="1"/>
        <v>0</v>
      </c>
      <c r="AL16" s="19">
        <f t="shared" si="1"/>
        <v>0</v>
      </c>
      <c r="AM16" s="19">
        <f t="shared" si="1"/>
        <v>0</v>
      </c>
      <c r="AN16" s="19">
        <f t="shared" si="1"/>
        <v>0</v>
      </c>
      <c r="AO16" s="19">
        <f t="shared" si="1"/>
        <v>0</v>
      </c>
      <c r="AP16" s="19">
        <f t="shared" si="1"/>
        <v>0</v>
      </c>
      <c r="AQ16" s="19">
        <f t="shared" si="1"/>
        <v>62437.5</v>
      </c>
      <c r="AR16" s="19">
        <f t="shared" si="1"/>
        <v>0</v>
      </c>
      <c r="AS16" s="19">
        <f t="shared" si="1"/>
        <v>0</v>
      </c>
      <c r="AT16" s="19">
        <f t="shared" si="1"/>
        <v>0</v>
      </c>
      <c r="AU16" s="19">
        <f t="shared" si="1"/>
        <v>0</v>
      </c>
      <c r="AV16" s="19">
        <f t="shared" si="1"/>
        <v>0</v>
      </c>
      <c r="AW16" s="19">
        <f t="shared" si="1"/>
        <v>0</v>
      </c>
      <c r="AX16" s="19">
        <f t="shared" si="1"/>
        <v>0</v>
      </c>
      <c r="AY16" s="19">
        <f t="shared" si="1"/>
        <v>0</v>
      </c>
      <c r="AZ16" s="19">
        <f t="shared" si="1"/>
        <v>0</v>
      </c>
      <c r="BA16" s="19">
        <f t="shared" si="1"/>
        <v>0</v>
      </c>
      <c r="BB16" s="19">
        <f t="shared" si="1"/>
        <v>0</v>
      </c>
      <c r="BC16" s="19">
        <f t="shared" si="1"/>
        <v>0</v>
      </c>
      <c r="BD16" s="19">
        <f t="shared" si="1"/>
        <v>0</v>
      </c>
      <c r="BE16" s="19">
        <f t="shared" si="1"/>
        <v>0</v>
      </c>
      <c r="BF16" s="19">
        <f t="shared" si="1"/>
        <v>0</v>
      </c>
    </row>
    <row r="17" spans="1:36">
      <c r="A17" s="74" t="str">
        <f>Constants!E7</f>
        <v>PT-V</v>
      </c>
      <c r="B17">
        <f>SUMIFS('VV Drienerlo'!$F$66:$F$98,'VV Drienerlo'!$B$66:$B$98, B$15,'VV Drienerlo'!$H$66:$H$98,$A17)*(1+Constants!$B$9)</f>
        <v>0</v>
      </c>
      <c r="C17">
        <f>SUMIFS('VV Drienerlo'!$F$66:$F$98,'VV Drienerlo'!$B$66:$B$98, C$15,'VV Drienerlo'!$H$66:$H$98,$A17)</f>
        <v>0</v>
      </c>
      <c r="D17">
        <f>SUMIFS('VV Drienerlo'!$F$66:$F$98,'VV Drienerlo'!$B$66:$B$98, D$15,'VV Drienerlo'!$H$66:$H$98,$A17)*(1+Constants!$B$9)</f>
        <v>0</v>
      </c>
      <c r="E17">
        <f>SUMIFS('VV Drienerlo'!$F$66:$F$98,'VV Drienerlo'!$B$66:$B$98, E$15,'VV Drienerlo'!$H$66:$H$98,$A17)*(1+Constants!$B$9)</f>
        <v>0</v>
      </c>
      <c r="F17">
        <f>SUMIFS('VV Drienerlo'!$F$66:$F$98,'VV Drienerlo'!$B$66:$B$98, F$15,'VV Drienerlo'!$H$66:$H$98,$A17)</f>
        <v>0</v>
      </c>
      <c r="G17" s="74" t="s">
        <v>38</v>
      </c>
      <c r="H17" s="78">
        <f>SUM(AD16:BZ16)</f>
        <v>73642.5</v>
      </c>
      <c r="I17" s="76" cm="1">
        <f t="array" ref="I17">SUM(IF($B$102:$B$115="External",$F$102:$F$115*$H$102:$H$115,0))</f>
        <v>0</v>
      </c>
      <c r="J17" s="79"/>
      <c r="K17" s="80"/>
      <c r="L17" s="77" t="s">
        <v>63</v>
      </c>
      <c r="M17" s="76">
        <f>J16-K16</f>
        <v>0</v>
      </c>
      <c r="N17" s="17"/>
      <c r="O17" s="17"/>
      <c r="P17" s="17"/>
      <c r="Q17" s="17"/>
      <c r="R17" s="16"/>
      <c r="S17" s="17"/>
      <c r="T17" s="17"/>
      <c r="U17" s="17"/>
      <c r="V17" s="17"/>
      <c r="W17" s="17"/>
      <c r="X17" s="17"/>
      <c r="Y17" s="17"/>
      <c r="Z17" s="17"/>
      <c r="AA17" s="17"/>
      <c r="AB17" s="17"/>
      <c r="AC17" s="17"/>
      <c r="AD17" s="17"/>
      <c r="AE17" s="17"/>
    </row>
    <row r="18" spans="1:36">
      <c r="A18" s="74" t="str">
        <f>Constants!E8</f>
        <v>PT-ZZP</v>
      </c>
      <c r="B18">
        <f>SUMIFS('VV Drienerlo'!$F$66:$F$98,'VV Drienerlo'!$B$66:$B$98, B$15,'VV Drienerlo'!$H$66:$H$98,$A18)*(1+Constants!$B$7)</f>
        <v>151.19999999999999</v>
      </c>
      <c r="C18">
        <f>SUMIFS('VV Drienerlo'!$F$66:$F$98,'VV Drienerlo'!$B$66:$B$98, C$15,'VV Drienerlo'!$H$66:$H$98,$A18)</f>
        <v>66</v>
      </c>
      <c r="D18">
        <f>SUMIFS('VV Drienerlo'!$F$66:$F$98,'VV Drienerlo'!$B$66:$B$98, D$15,'VV Drienerlo'!$H$66:$H$98,$A18)*(1+Constants!$B$7)</f>
        <v>0</v>
      </c>
      <c r="E18">
        <f>SUMIFS('VV Drienerlo'!$F$66:$F$98,'VV Drienerlo'!$B$66:$B$98, E$15,'VV Drienerlo'!$H$66:$H$98,$A18)*(1+Constants!$B$7)</f>
        <v>0</v>
      </c>
      <c r="F18">
        <f>SUMIFS('VV Drienerlo'!$F$66:$F$98,'VV Drienerlo'!$B$66:$B$98, F$15,'VV Drienerlo'!$H$66:$H$98,$A18)*(1+Constants!$B$7)</f>
        <v>0</v>
      </c>
      <c r="G18" s="74"/>
      <c r="H18" s="78"/>
      <c r="I18" s="76"/>
      <c r="J18" s="79"/>
      <c r="K18" s="80"/>
      <c r="L18" s="77" t="s">
        <v>60</v>
      </c>
      <c r="M18" s="76" t="str">
        <f>IF(I17-Constants!I17*$B$7&gt;0,$I$17-Constants!I17*$B$7,"-")</f>
        <v>-</v>
      </c>
      <c r="N18" s="17"/>
      <c r="O18" s="17"/>
      <c r="P18" s="17"/>
      <c r="Q18" s="17"/>
      <c r="R18" s="16"/>
      <c r="S18" s="17"/>
      <c r="T18" s="17"/>
      <c r="U18" s="17"/>
      <c r="V18" s="17"/>
      <c r="W18" s="17"/>
      <c r="X18" s="17"/>
      <c r="Y18" s="17"/>
      <c r="Z18" s="17"/>
      <c r="AA18" s="17"/>
      <c r="AB18" s="17"/>
      <c r="AC18" s="17"/>
      <c r="AD18" s="17"/>
      <c r="AE18" s="17"/>
    </row>
    <row r="19" spans="1:36">
      <c r="A19" s="74" t="str">
        <f>Constants!E9</f>
        <v>RT</v>
      </c>
      <c r="B19">
        <f>SUMIFS('VV Drienerlo'!$F$66:$F$98,'VV Drienerlo'!$B$66:$B$98, B$15,'VV Drienerlo'!$H$66:$H$98,$A19)</f>
        <v>63</v>
      </c>
      <c r="C19">
        <f>SUMIFS('VV Drienerlo'!$F$66:$F$98,'VV Drienerlo'!$B$66:$B$98, C$15,'VV Drienerlo'!$H$66:$H$98,$A19)</f>
        <v>0</v>
      </c>
      <c r="D19">
        <f>SUMIFS('VV Drienerlo'!$F$66:$F$98,'VV Drienerlo'!$B$66:$B$98, D$15,'VV Drienerlo'!$H$66:$H$98,$A19)</f>
        <v>0</v>
      </c>
      <c r="E19">
        <f>SUMIFS('VV Drienerlo'!$F$66:$F$98,'VV Drienerlo'!$B$66:$B$98, E$15,'VV Drienerlo'!$H$66:$H$98,$A19)</f>
        <v>1119</v>
      </c>
      <c r="F19">
        <f>SUMIFS('VV Drienerlo'!$F$66:$F$98,'VV Drienerlo'!$B$66:$B$98, F$15,'VV Drienerlo'!$H$66:$H$98,$A19)</f>
        <v>0</v>
      </c>
      <c r="G19" s="74" t="s">
        <v>396</v>
      </c>
      <c r="H19" s="78"/>
      <c r="I19" s="76">
        <f>IF(B7*Constants!I17&lt;I17,B7*Constants!I17,I17)</f>
        <v>0</v>
      </c>
      <c r="J19" s="79"/>
      <c r="K19" s="80"/>
      <c r="L19" s="77" t="s">
        <v>431</v>
      </c>
      <c r="M19" s="255">
        <f ca="1">Constants!C31*B7+Data!L35</f>
        <v>15403.940400283045</v>
      </c>
      <c r="N19" s="17"/>
      <c r="O19" s="17"/>
      <c r="P19" s="17"/>
      <c r="Q19" s="17"/>
      <c r="R19" s="16"/>
      <c r="S19" s="17"/>
      <c r="T19" s="17"/>
      <c r="U19" s="17"/>
      <c r="V19" s="17"/>
      <c r="W19" s="17"/>
      <c r="X19" s="17"/>
      <c r="Y19" s="17"/>
      <c r="Z19" s="17"/>
      <c r="AA19" s="17"/>
      <c r="AB19" s="17"/>
      <c r="AC19" s="17"/>
      <c r="AD19" s="17"/>
      <c r="AE19" s="17"/>
    </row>
    <row r="20" spans="1:36">
      <c r="A20" s="74" t="str">
        <f>Constants!E10</f>
        <v>Extern</v>
      </c>
      <c r="B20">
        <f>SUMIFS('VV Drienerlo'!$F$66:$F$98,'VV Drienerlo'!$B$66:$B$98, B$15,'VV Drienerlo'!$H$66:$H$98,$A20)</f>
        <v>0</v>
      </c>
      <c r="C20">
        <f>SUMIFS('VV Drienerlo'!$F$66:$F$98,'VV Drienerlo'!$B$66:$B$98, C$15,'VV Drienerlo'!$H$66:$H$98,$A20)</f>
        <v>0</v>
      </c>
      <c r="D20">
        <f>SUMIFS('VV Drienerlo'!$F$66:$F$98,'VV Drienerlo'!$B$66:$B$98, D$15,'VV Drienerlo'!$H$66:$H$98,$A20)</f>
        <v>0</v>
      </c>
      <c r="E20">
        <f>SUMIFS('VV Drienerlo'!$F$66:$F$98,'VV Drienerlo'!$B$66:$B$98, E$15,'VV Drienerlo'!$H$66:$H$98,$A20)</f>
        <v>0</v>
      </c>
      <c r="F20">
        <f>SUMIFS('VV Drienerlo'!$F$66:$F$98,'VV Drienerlo'!$B$66:$B$98, F$15,'VV Drienerlo'!$H$66:$H$98,$A20)</f>
        <v>0</v>
      </c>
      <c r="G20" s="81"/>
      <c r="H20" s="16"/>
      <c r="I20" s="75"/>
      <c r="J20" s="79"/>
      <c r="K20" s="82"/>
      <c r="L20" s="83"/>
      <c r="M20" s="84"/>
      <c r="N20" s="17"/>
      <c r="O20" s="17"/>
      <c r="P20" s="17"/>
      <c r="Q20" s="17"/>
      <c r="R20" s="16"/>
      <c r="S20" s="17"/>
      <c r="T20" s="17"/>
      <c r="U20" s="17"/>
      <c r="V20" s="17"/>
      <c r="W20" s="17"/>
      <c r="X20" s="17"/>
      <c r="Y20" s="17"/>
      <c r="Z20" s="17"/>
      <c r="AA20" s="17"/>
      <c r="AB20" s="17"/>
      <c r="AC20" s="17"/>
      <c r="AD20" s="17"/>
      <c r="AE20" s="17"/>
    </row>
    <row r="21" spans="1:36">
      <c r="A21" s="74" t="str">
        <f>CONCATENATE(A18," Costs")</f>
        <v>PT-ZZP Costs</v>
      </c>
      <c r="B21" s="78">
        <f t="array" ref="B21">SUM(IF('VV Drienerlo'!$B$66:$B$98=B$15,IF('VV Drienerlo'!$H$66:$H$98="PT-ZZP",'VV Drienerlo'!$F$66:$F$98*'VV Drienerlo'!$I$66:$I$98*(1+Constants!$B$7),0),0))</f>
        <v>6220.3680000000004</v>
      </c>
      <c r="C21" s="78">
        <f t="array" ref="C21">SUM(IF('VV Drienerlo'!$B$66:$B$98=C$15,IF('VV Drienerlo'!$H$66:$H$98="PT-ZZP",'VV Drienerlo'!$F$66:$F$98*'VV Drienerlo'!$I$66:$I$98,0),0))</f>
        <v>2715.2400000000002</v>
      </c>
      <c r="D21" s="78">
        <f t="array" ref="D21">SUM(IF('VV Drienerlo'!$B$66:$B$98=D$15,IF('VV Drienerlo'!$H$66:$H$98="PT-ZZP",'VV Drienerlo'!$F$66:$F$98*'VV Drienerlo'!$I$66:$I$98*(1+Constants!$B$7),0),0))</f>
        <v>0</v>
      </c>
      <c r="E21" s="78">
        <f t="array" ref="E21">SUM(IF('VV Drienerlo'!$B$66:$B$98=E$15,IF('VV Drienerlo'!$H$66:$H$98="PT-ZZP",'VV Drienerlo'!$F$66:$F$98*'VV Drienerlo'!$I$66:$I$98*(1+Constants!$B$7),0),0))</f>
        <v>0</v>
      </c>
      <c r="F21" s="78">
        <f t="array" ref="F21">SUM(IF('VV Drienerlo'!$B$66:$B$98=F$15,IF('VV Drienerlo'!$H$66:$H$98="PT-ZZP",'VV Drienerlo'!$F$66:$F$98*'VV Drienerlo'!$I$66:$I$98*(1+Constants!$B$7),0),0))</f>
        <v>0</v>
      </c>
      <c r="G21" s="81"/>
      <c r="H21" s="16"/>
      <c r="I21" s="75"/>
      <c r="J21" s="79"/>
      <c r="K21" s="82"/>
      <c r="L21" s="77" t="s">
        <v>5</v>
      </c>
      <c r="M21" s="76">
        <f ca="1">SUM(M15:M20)</f>
        <v>20403.940400283045</v>
      </c>
      <c r="N21" s="17"/>
      <c r="O21" s="17"/>
      <c r="P21" s="17"/>
      <c r="Q21" s="17"/>
      <c r="R21" s="16"/>
      <c r="S21" s="17"/>
      <c r="T21" s="17"/>
      <c r="U21" s="17"/>
      <c r="V21" s="17"/>
      <c r="W21" s="17"/>
      <c r="X21" s="17"/>
      <c r="Y21" s="17"/>
      <c r="Z21" s="17"/>
      <c r="AA21" s="17"/>
      <c r="AB21" s="17"/>
      <c r="AC21" s="17"/>
      <c r="AD21" s="17"/>
      <c r="AE21" s="17"/>
    </row>
    <row r="22" spans="1:36" ht="15.75" customHeight="1">
      <c r="A22" s="74" t="str">
        <f>CONCATENATE(A20," Costs")</f>
        <v>Extern Costs</v>
      </c>
      <c r="B22" s="78">
        <f t="array" ref="B22">SUM(IF('VV Drienerlo'!$B$66:$B$98=B$15,IF('VV Drienerlo'!$H$66:$H$98="Extern",'VV Drienerlo'!$F$66:$F$98*'VV Drienerlo'!$I$66:$I$98,0),0))</f>
        <v>0</v>
      </c>
      <c r="C22" s="78">
        <f t="array" ref="C22">SUM(IF('VV Drienerlo'!$B$66:$B$98=C$15,IF('VV Drienerlo'!$H$66:$H$98="Extern",'VV Drienerlo'!$F$66:$F$98*'VV Drienerlo'!$I$66:$I$98,0),0))</f>
        <v>0</v>
      </c>
      <c r="D22" s="78">
        <f t="array" ref="D22">SUM(IF('VV Drienerlo'!$B$66:$B$98=D$15,IF('VV Drienerlo'!$H$66:$H$98="Extern",'VV Drienerlo'!$F$66:$F$98*'VV Drienerlo'!$I$66:$I$98,0),0))</f>
        <v>0</v>
      </c>
      <c r="E22" s="78">
        <f t="array" ref="E22">SUM(IF('VV Drienerlo'!$B$66:$B$98=E$15,IF('VV Drienerlo'!$H$66:$H$98="Extern",'VV Drienerlo'!$F$66:$F$98*'VV Drienerlo'!$I$66:$I$98,0),0))</f>
        <v>0</v>
      </c>
      <c r="F22" s="76">
        <f t="array" ref="F22">SUM(IF('VV Drienerlo'!$B$66:$B$98=F$15,IF('VV Drienerlo'!$H$66:$H$98="Extern",'VV Drienerlo'!$F$66:$F$98*'VV Drienerlo'!$I$66:$I$98,0),0))</f>
        <v>0</v>
      </c>
      <c r="G22" s="85"/>
      <c r="H22" s="177"/>
      <c r="I22" s="86"/>
      <c r="J22" s="87"/>
      <c r="K22" s="88"/>
      <c r="L22" s="87"/>
      <c r="M22" s="88"/>
      <c r="N22" s="17"/>
      <c r="O22" s="17"/>
      <c r="P22" s="17"/>
      <c r="Q22" s="17"/>
      <c r="R22" s="16"/>
      <c r="S22" s="17"/>
      <c r="T22" s="17"/>
      <c r="U22" s="17"/>
      <c r="V22" s="17"/>
      <c r="W22" s="17"/>
      <c r="X22" s="17"/>
      <c r="Y22" s="17"/>
      <c r="Z22" s="17"/>
      <c r="AA22" s="17"/>
      <c r="AB22" s="17"/>
      <c r="AC22" s="17"/>
      <c r="AD22" s="17"/>
      <c r="AE22" s="17"/>
    </row>
    <row r="23" spans="1:36" ht="15" customHeight="1">
      <c r="A23" s="74" t="s">
        <v>432</v>
      </c>
      <c r="B23" s="78"/>
      <c r="C23" s="78"/>
      <c r="D23" s="78"/>
      <c r="E23" s="78"/>
      <c r="F23" s="76">
        <f t="array" ref="F23">SUMIFS('VV Drienerlo'!$F$66:$F$98,'VV Drienerlo'!$B$66:$B$98,"Mentorship",'VV Drienerlo'!$H$66:$H$98,"PT-V")*Constants!B8+SUMIFS('VV Drienerlo'!$F$66:$F$98,'VV Drienerlo'!$B$66:$B$98,"Mentorship",'VV Drienerlo'!$H$66:$H$98,"PT")*Constants!B6+SUMPRODUCT(IF('VV Drienerlo'!$B$66:$B$98="Mentorship",IF('VV Drienerlo'!$H$66:$H$98="PT-ZZP",'VV Drienerlo'!$F$66:$F$98*'VV Drienerlo'!$I$66:$I$98,0)))</f>
        <v>4200</v>
      </c>
    </row>
    <row r="24" spans="1:36" ht="15" customHeight="1">
      <c r="A24" s="89" t="s">
        <v>433</v>
      </c>
      <c r="B24" s="178"/>
      <c r="C24" s="178"/>
      <c r="D24" s="178"/>
      <c r="E24" s="267">
        <f>SUMIF('VV Drienerlo'!$B$66:$B$98,"External Trainer Course",'VV Drienerlo'!$I$66:$I$98)</f>
        <v>0</v>
      </c>
      <c r="F24" s="90"/>
    </row>
    <row r="25" spans="1:36" ht="15.75" customHeight="1">
      <c r="A25" s="16"/>
      <c r="B25" s="16"/>
      <c r="C25" s="16"/>
      <c r="D25" s="16"/>
      <c r="E25" s="17"/>
      <c r="F25" s="17"/>
      <c r="G25" s="17"/>
      <c r="H25" s="17"/>
      <c r="I25" s="17"/>
      <c r="J25" s="17"/>
      <c r="K25" s="17"/>
      <c r="L25" s="17"/>
      <c r="M25" s="17"/>
      <c r="N25" s="17"/>
      <c r="O25" s="17"/>
      <c r="P25" s="17"/>
      <c r="Q25" s="16"/>
      <c r="R25" s="17"/>
      <c r="S25" s="17"/>
      <c r="T25" s="17"/>
      <c r="U25" s="17"/>
      <c r="V25" s="17"/>
      <c r="W25" s="17"/>
      <c r="X25" s="17"/>
      <c r="Y25" s="17"/>
      <c r="Z25" s="17"/>
      <c r="AA25" s="17"/>
      <c r="AB25" s="17"/>
      <c r="AC25" s="17"/>
      <c r="AD25" s="17"/>
    </row>
    <row r="26" spans="1:36" ht="15.75" customHeight="1">
      <c r="A26" s="16"/>
      <c r="B26" s="16"/>
      <c r="C26" s="16"/>
      <c r="D26" s="16"/>
      <c r="E26" s="17"/>
      <c r="F26" s="17"/>
      <c r="G26" s="17"/>
      <c r="H26" s="17"/>
      <c r="I26" s="17"/>
      <c r="J26" s="17"/>
      <c r="K26" s="17"/>
      <c r="L26" s="17"/>
      <c r="M26" s="17"/>
      <c r="N26" s="17"/>
      <c r="O26" s="17"/>
      <c r="P26" s="17"/>
      <c r="Q26" s="16"/>
      <c r="R26" s="17"/>
      <c r="S26" s="17"/>
      <c r="T26" s="17"/>
      <c r="U26" s="17"/>
      <c r="V26" s="17"/>
      <c r="W26" s="17"/>
      <c r="X26" s="17"/>
      <c r="Y26" s="17"/>
      <c r="Z26" s="17"/>
      <c r="AA26" s="17"/>
      <c r="AB26" s="17"/>
      <c r="AC26" s="17"/>
      <c r="AD26" s="17"/>
    </row>
    <row r="27" spans="1:36" ht="15.75" customHeight="1" thickBot="1">
      <c r="A27" s="91" t="s">
        <v>434</v>
      </c>
      <c r="B27" s="17"/>
      <c r="C27" s="17"/>
      <c r="D27" s="17"/>
      <c r="E27" s="17"/>
      <c r="F27" s="17"/>
      <c r="G27" s="92"/>
      <c r="H27" s="19"/>
      <c r="I27" s="17"/>
      <c r="J27" s="17"/>
      <c r="K27" s="17"/>
      <c r="L27" s="17"/>
      <c r="M27" s="17"/>
      <c r="N27" s="17"/>
      <c r="O27" s="17"/>
      <c r="P27" s="17"/>
      <c r="Q27" s="16"/>
      <c r="R27" s="17"/>
      <c r="S27" s="17"/>
      <c r="T27" s="17"/>
      <c r="U27" s="17"/>
      <c r="V27" s="17"/>
      <c r="W27" s="17"/>
      <c r="X27" s="17"/>
      <c r="Y27" s="17"/>
      <c r="Z27" s="17"/>
      <c r="AA27" s="17"/>
      <c r="AB27" s="17"/>
      <c r="AC27" s="17"/>
      <c r="AD27" s="17"/>
    </row>
    <row r="28" spans="1:36" ht="15.75" customHeight="1" thickTop="1" thickBot="1">
      <c r="A28" s="706" t="s">
        <v>435</v>
      </c>
      <c r="B28" s="707"/>
      <c r="C28" s="707"/>
      <c r="D28" s="707"/>
      <c r="E28" s="707"/>
      <c r="F28" s="708"/>
      <c r="G28" s="15"/>
      <c r="H28" s="17"/>
      <c r="I28" s="17"/>
      <c r="J28" s="17"/>
      <c r="K28" s="17"/>
      <c r="L28" s="17"/>
      <c r="M28" s="17"/>
      <c r="N28" s="17"/>
      <c r="O28" s="17"/>
      <c r="P28" s="17"/>
      <c r="Q28" s="16"/>
      <c r="R28" s="17"/>
      <c r="S28" s="17"/>
      <c r="T28" s="17"/>
      <c r="U28" s="17"/>
      <c r="V28" s="17"/>
      <c r="W28" s="17"/>
      <c r="X28" s="17"/>
      <c r="Y28" s="17"/>
      <c r="Z28" s="17"/>
      <c r="AA28" s="17"/>
      <c r="AB28" s="17"/>
      <c r="AC28" s="17"/>
      <c r="AD28" s="242" t="s">
        <v>436</v>
      </c>
      <c r="AE28" s="16"/>
      <c r="AF28" s="128"/>
      <c r="AG28" s="51"/>
      <c r="AH28" s="51"/>
      <c r="AI28" s="51"/>
      <c r="AJ28" s="51"/>
    </row>
    <row r="29" spans="1:36" ht="15.75" customHeight="1" thickBot="1">
      <c r="A29" s="709" t="s">
        <v>437</v>
      </c>
      <c r="B29" s="696"/>
      <c r="C29" s="696"/>
      <c r="D29" s="696"/>
      <c r="E29" s="696"/>
      <c r="F29" s="710"/>
      <c r="G29" s="17"/>
      <c r="H29" s="17"/>
      <c r="I29" s="17"/>
      <c r="J29" s="17"/>
      <c r="K29" s="17"/>
      <c r="L29" s="17"/>
      <c r="M29" s="17"/>
      <c r="N29" s="17"/>
      <c r="O29" s="17"/>
      <c r="P29" s="17"/>
      <c r="Q29" s="16"/>
      <c r="R29" s="17"/>
      <c r="S29" s="17"/>
      <c r="T29" s="17"/>
      <c r="U29" s="17"/>
      <c r="V29" s="17"/>
      <c r="W29" s="17"/>
      <c r="X29" s="17"/>
      <c r="Y29" s="17"/>
      <c r="Z29" s="17"/>
      <c r="AA29" s="17"/>
      <c r="AB29" s="17"/>
      <c r="AC29" s="17"/>
      <c r="AD29" s="243" t="s">
        <v>438</v>
      </c>
      <c r="AE29" s="243" t="s">
        <v>439</v>
      </c>
      <c r="AF29" s="243" t="s">
        <v>440</v>
      </c>
      <c r="AG29" s="711" t="s">
        <v>441</v>
      </c>
      <c r="AH29" s="712"/>
      <c r="AI29" s="711" t="s">
        <v>434</v>
      </c>
      <c r="AJ29" s="712"/>
    </row>
    <row r="30" spans="1:36" ht="15.75" customHeight="1" thickBot="1">
      <c r="A30" s="709" t="s">
        <v>442</v>
      </c>
      <c r="B30" s="696"/>
      <c r="C30" s="696"/>
      <c r="D30" s="696"/>
      <c r="E30" s="696"/>
      <c r="F30" s="710"/>
      <c r="G30" s="17"/>
      <c r="H30" s="17"/>
      <c r="I30" s="17"/>
      <c r="J30" s="17"/>
      <c r="K30" s="17"/>
      <c r="L30" s="17"/>
      <c r="M30" s="17"/>
      <c r="N30" s="17"/>
      <c r="O30" s="17"/>
      <c r="P30" s="17"/>
      <c r="Q30" s="16"/>
      <c r="R30" s="17"/>
      <c r="S30" s="17"/>
      <c r="T30" s="17"/>
      <c r="U30" s="17"/>
      <c r="V30" s="17"/>
      <c r="W30" s="17"/>
      <c r="X30" s="17"/>
      <c r="Y30" s="17"/>
      <c r="Z30" s="17"/>
      <c r="AA30" s="17"/>
      <c r="AB30" s="17"/>
      <c r="AC30" s="17"/>
      <c r="AD30" s="244" t="str">
        <f>IF($B$12="individual",Constants!F55,Constants!L55)</f>
        <v>member count</v>
      </c>
      <c r="AE30" s="244">
        <f>B7</f>
        <v>228</v>
      </c>
      <c r="AF30" s="269">
        <f>IF(AE30&gt;=301,5,IF(AE30&gt;=176,4,IF(AE30&gt;=101,3,IF(AE30&gt;=51,2,1))))</f>
        <v>4</v>
      </c>
      <c r="AG30" s="560"/>
      <c r="AH30" s="560"/>
      <c r="AI30" s="560" t="s">
        <v>443</v>
      </c>
      <c r="AJ30" s="560"/>
    </row>
    <row r="31" spans="1:36" ht="15" customHeight="1" thickBot="1">
      <c r="A31" s="709" t="s">
        <v>444</v>
      </c>
      <c r="B31" s="696"/>
      <c r="C31" s="696"/>
      <c r="D31" s="696"/>
      <c r="E31" s="696"/>
      <c r="F31" s="710"/>
      <c r="G31" s="17"/>
      <c r="H31" s="17"/>
      <c r="I31" s="17"/>
      <c r="J31" s="17"/>
      <c r="K31" s="17"/>
      <c r="L31" s="17"/>
      <c r="M31" s="17"/>
      <c r="N31" s="17"/>
      <c r="O31" s="17"/>
      <c r="P31" s="17"/>
      <c r="Q31" s="16"/>
      <c r="R31" s="17"/>
      <c r="S31" s="17"/>
      <c r="T31" s="17"/>
      <c r="U31" s="17"/>
      <c r="V31" s="17"/>
      <c r="W31" s="17"/>
      <c r="X31" s="17"/>
      <c r="Y31" s="17"/>
      <c r="Z31" s="17"/>
      <c r="AA31" s="17"/>
      <c r="AB31" s="17"/>
      <c r="AC31" s="17"/>
      <c r="AD31" s="244" t="str">
        <f>IF($B$12="individual",Constants!F56,Constants!L56)</f>
        <v>number of trainings per week</v>
      </c>
      <c r="AE31" s="244" cm="1">
        <f t="array" ref="AE31">SUMPRODUCT(C66:C98*D66:D98)/42</f>
        <v>27.857142857142858</v>
      </c>
      <c r="AF31" s="270">
        <f>IF(AE31&gt;=4,3,IF(AE31&gt;=3,2,IF(AE31&gt;=2,1,0)))</f>
        <v>3</v>
      </c>
      <c r="AG31" s="560"/>
      <c r="AH31" s="560"/>
      <c r="AI31" s="560"/>
      <c r="AJ31" s="560"/>
    </row>
    <row r="32" spans="1:36" ht="15.75" customHeight="1" thickBot="1">
      <c r="A32" s="709" t="s">
        <v>445</v>
      </c>
      <c r="B32" s="696"/>
      <c r="C32" s="696"/>
      <c r="D32" s="696"/>
      <c r="E32" s="696"/>
      <c r="F32" s="710"/>
      <c r="G32" s="17"/>
      <c r="H32" s="16"/>
      <c r="I32" s="16"/>
      <c r="J32" s="16"/>
      <c r="K32" s="17"/>
      <c r="L32" s="17"/>
      <c r="M32" s="17"/>
      <c r="N32" s="17"/>
      <c r="O32" s="17"/>
      <c r="P32" s="17"/>
      <c r="Q32" s="16"/>
      <c r="R32" s="17"/>
      <c r="S32" s="17"/>
      <c r="T32" s="17"/>
      <c r="U32" s="17"/>
      <c r="V32" s="17"/>
      <c r="W32" s="17"/>
      <c r="X32" s="17"/>
      <c r="Y32" s="17"/>
      <c r="Z32" s="17"/>
      <c r="AA32" s="17"/>
      <c r="AB32" s="17"/>
      <c r="AC32" s="17"/>
      <c r="AD32" s="244" t="str">
        <f>IF($B$12="individual",Constants!F57,Constants!L57)</f>
        <v>number of trainings weeks per year</v>
      </c>
      <c r="AE32" s="266">
        <f>MAX(C66:C98)</f>
        <v>42</v>
      </c>
      <c r="AF32" s="250">
        <f>IF(AE32&gt;=40,3,IF(AE32&gt;=35,2,1))</f>
        <v>3</v>
      </c>
      <c r="AG32" s="560"/>
      <c r="AH32" s="560"/>
      <c r="AI32" s="560"/>
      <c r="AJ32" s="560"/>
    </row>
    <row r="33" spans="1:58" ht="15.75" customHeight="1" thickBot="1">
      <c r="A33" s="93" t="s">
        <v>446</v>
      </c>
      <c r="F33" s="94"/>
      <c r="G33" s="17"/>
      <c r="H33" s="16"/>
      <c r="I33" s="16"/>
      <c r="J33" s="16"/>
      <c r="K33" s="17"/>
      <c r="L33" s="17"/>
      <c r="M33" s="17"/>
      <c r="N33" s="17"/>
      <c r="O33" s="17"/>
      <c r="P33" s="17"/>
      <c r="Q33" s="16"/>
      <c r="R33" s="17"/>
      <c r="S33" s="17"/>
      <c r="T33" s="17"/>
      <c r="U33" s="17"/>
      <c r="V33" s="17"/>
      <c r="W33" s="17"/>
      <c r="X33" s="17"/>
      <c r="Y33" s="17"/>
      <c r="Z33" s="17"/>
      <c r="AA33" s="17"/>
      <c r="AB33" s="17"/>
      <c r="AC33" s="17"/>
      <c r="AD33" s="244" t="str">
        <f>IF($B$12="individual",Constants!F58,Constants!L58)</f>
        <v>number of training hours by RT / PT-V</v>
      </c>
      <c r="AE33" s="265">
        <f>(SUMIF(H66:H98,"RT",F66:F98)+SUMIF(H66:H98,"PT-V",F66:F98))/SUM(F66:F98)</f>
        <v>0.60522273425499229</v>
      </c>
      <c r="AF33" s="270">
        <f>IF(AE33&gt;0.9,3,IF(AE33&gt;0.6,2,IF(AE33&gt;0.3,1,0)))</f>
        <v>2</v>
      </c>
      <c r="AG33" s="560"/>
      <c r="AH33" s="560"/>
      <c r="AI33" s="560"/>
      <c r="AJ33" s="560"/>
    </row>
    <row r="34" spans="1:58" ht="15.75" customHeight="1" thickBot="1">
      <c r="A34" s="713" t="s">
        <v>447</v>
      </c>
      <c r="B34" s="714"/>
      <c r="C34" s="714"/>
      <c r="D34" s="714"/>
      <c r="E34" s="714"/>
      <c r="F34" s="715"/>
      <c r="G34" s="17"/>
      <c r="H34" s="16"/>
      <c r="I34" s="16"/>
      <c r="J34" s="16"/>
      <c r="K34" s="17"/>
      <c r="L34" s="17"/>
      <c r="M34" s="17"/>
      <c r="N34" s="17"/>
      <c r="O34" s="17"/>
      <c r="P34" s="17"/>
      <c r="Q34" s="16"/>
      <c r="R34" s="17"/>
      <c r="S34" s="17"/>
      <c r="T34" s="17"/>
      <c r="U34" s="17"/>
      <c r="V34" s="17"/>
      <c r="W34" s="17"/>
      <c r="X34" s="17"/>
      <c r="Y34" s="17"/>
      <c r="Z34" s="17"/>
      <c r="AA34" s="17"/>
      <c r="AB34" s="17"/>
      <c r="AC34" s="17"/>
      <c r="AD34" s="244" t="str">
        <f>IF($B$12="individual",Constants!F59,Constants!L59)</f>
        <v>number of training groups / teams</v>
      </c>
      <c r="AE34" s="244">
        <f>B10</f>
        <v>18</v>
      </c>
      <c r="AF34" s="271">
        <f>IF(AE34&gt;9,3,IF(AE34&gt;4,2,IF(AE34&gt;2,1,0)))</f>
        <v>3</v>
      </c>
      <c r="AG34" s="560"/>
      <c r="AH34" s="560"/>
      <c r="AI34" s="560"/>
      <c r="AJ34" s="560"/>
    </row>
    <row r="35" spans="1:58" ht="15.75" customHeight="1" thickTop="1" thickBot="1">
      <c r="A35" s="16"/>
      <c r="G35" s="17"/>
      <c r="H35" s="16"/>
      <c r="I35" s="16"/>
      <c r="J35" s="16"/>
      <c r="K35" s="17"/>
      <c r="L35" s="17"/>
      <c r="M35" s="17"/>
      <c r="N35" s="17"/>
      <c r="O35" s="17"/>
      <c r="P35" s="17"/>
      <c r="Q35" s="16"/>
      <c r="R35" s="17"/>
      <c r="S35" s="17"/>
      <c r="T35" s="17"/>
      <c r="U35" s="17"/>
      <c r="V35" s="17"/>
      <c r="W35" s="17"/>
      <c r="X35" s="17"/>
      <c r="Y35" s="17"/>
      <c r="Z35" s="17"/>
      <c r="AA35" s="17"/>
      <c r="AB35" s="17"/>
      <c r="AC35" s="17"/>
      <c r="AD35" s="244" t="str">
        <f>IF($B$12="individual",Constants!F60,Constants!L60)</f>
        <v>number of competitions organised</v>
      </c>
      <c r="AE35" s="249">
        <v>6</v>
      </c>
      <c r="AF35" s="271">
        <f>IF(AE35&gt;=4,5,IF(AE35&gt;=2,3,IF(AE35&gt;=1,1,0)))</f>
        <v>5</v>
      </c>
      <c r="AG35" s="560"/>
      <c r="AH35" s="560"/>
      <c r="AI35" s="560"/>
      <c r="AJ35" s="560"/>
    </row>
    <row r="36" spans="1:58" ht="15.75" customHeight="1" thickBot="1">
      <c r="A36" s="179" t="s">
        <v>448</v>
      </c>
      <c r="B36" s="16"/>
      <c r="C36" s="16"/>
      <c r="D36" s="16"/>
      <c r="E36" s="16"/>
      <c r="F36" s="16"/>
      <c r="G36" s="16"/>
      <c r="H36" s="16"/>
      <c r="I36" s="16"/>
      <c r="J36" s="16"/>
      <c r="K36" s="16"/>
      <c r="L36" s="16"/>
      <c r="M36" s="16"/>
      <c r="N36" s="16"/>
      <c r="O36" s="16"/>
      <c r="P36" s="16"/>
      <c r="Q36" s="16"/>
      <c r="R36" s="16"/>
      <c r="S36" s="16"/>
      <c r="T36" s="16"/>
      <c r="U36" s="16"/>
      <c r="V36" s="16"/>
      <c r="W36" s="16"/>
      <c r="X36" s="16"/>
      <c r="Y36" s="16"/>
      <c r="Z36" s="16"/>
      <c r="AA36" s="16"/>
      <c r="AB36" s="18"/>
      <c r="AC36" s="16"/>
      <c r="AD36" s="244" t="str">
        <f>IF($B$12="individual",Constants!F61,Constants!L61)</f>
        <v>number of social activities</v>
      </c>
      <c r="AE36" s="249">
        <v>24</v>
      </c>
      <c r="AF36" s="271">
        <f>IF(AE36&gt;=20,2,IF(AE36&gt;=10,1,0))</f>
        <v>2</v>
      </c>
      <c r="AG36" s="560"/>
      <c r="AH36" s="560"/>
      <c r="AI36" s="560"/>
      <c r="AJ36" s="560"/>
    </row>
    <row r="37" spans="1:58" ht="15" customHeight="1" thickTop="1" thickBot="1">
      <c r="A37" s="258" t="s">
        <v>449</v>
      </c>
      <c r="B37" s="259" t="s">
        <v>450</v>
      </c>
      <c r="C37" s="258" t="s">
        <v>451</v>
      </c>
      <c r="D37" s="258" t="s">
        <v>452</v>
      </c>
      <c r="E37" s="258" t="s">
        <v>453</v>
      </c>
      <c r="F37" s="258" t="s">
        <v>454</v>
      </c>
      <c r="G37" s="259" t="s">
        <v>455</v>
      </c>
      <c r="H37" s="561" t="s">
        <v>456</v>
      </c>
      <c r="I37" s="716"/>
      <c r="J37" s="717"/>
      <c r="K37" s="98"/>
      <c r="L37" s="98"/>
      <c r="M37" s="98"/>
      <c r="N37" s="98"/>
      <c r="O37" s="98"/>
      <c r="P37" s="98"/>
      <c r="Q37" s="98"/>
      <c r="R37" s="98"/>
      <c r="S37" s="98"/>
      <c r="T37" s="98"/>
      <c r="U37" s="96"/>
      <c r="V37" s="96"/>
      <c r="W37" s="96"/>
      <c r="X37" s="96"/>
      <c r="Y37" s="99"/>
      <c r="Z37" s="96"/>
      <c r="AA37" s="96"/>
      <c r="AB37" s="100"/>
      <c r="AC37" s="100"/>
      <c r="AD37" s="244" t="str">
        <f>IF($B$12="individual",Constants!F62,Constants!L62)</f>
        <v>number of bar days</v>
      </c>
      <c r="AE37" s="249">
        <v>22</v>
      </c>
      <c r="AF37" s="271">
        <f>IF(AE37&gt;=15,2,IF(AE37&gt;=8,1,0))</f>
        <v>2</v>
      </c>
      <c r="AG37" s="560"/>
      <c r="AH37" s="560"/>
      <c r="AI37" s="560"/>
      <c r="AJ37" s="560"/>
      <c r="AK37" s="100"/>
      <c r="AL37" s="100"/>
      <c r="AM37" s="100"/>
      <c r="AN37" s="100"/>
      <c r="AO37" s="100"/>
      <c r="AP37" s="100"/>
      <c r="AQ37" s="100"/>
      <c r="AR37" s="100"/>
      <c r="AS37" s="100"/>
      <c r="AT37" s="100"/>
      <c r="AU37" s="100"/>
      <c r="AV37" s="100"/>
      <c r="AW37" s="100"/>
      <c r="AX37" s="100"/>
      <c r="AY37" s="100"/>
      <c r="AZ37" s="100"/>
      <c r="BA37" s="100"/>
      <c r="BB37" s="100"/>
      <c r="BC37" s="100"/>
      <c r="BD37" s="100"/>
      <c r="BE37" s="100"/>
      <c r="BF37" s="100"/>
    </row>
    <row r="38" spans="1:58" ht="15" customHeight="1" thickTop="1" thickBot="1">
      <c r="A38" s="312" t="s">
        <v>1854</v>
      </c>
      <c r="B38" s="323">
        <v>24</v>
      </c>
      <c r="C38" s="312">
        <v>2</v>
      </c>
      <c r="D38" s="312">
        <v>42</v>
      </c>
      <c r="E38" s="312" t="s">
        <v>1855</v>
      </c>
      <c r="F38" s="324" t="s">
        <v>1856</v>
      </c>
      <c r="G38" s="325"/>
      <c r="H38" s="594"/>
      <c r="I38" s="606"/>
      <c r="J38" s="595"/>
      <c r="K38" s="98"/>
      <c r="L38" s="98"/>
      <c r="M38" s="98"/>
      <c r="N38" s="98"/>
      <c r="O38" s="98"/>
      <c r="P38" s="98"/>
      <c r="Q38" s="98"/>
      <c r="R38" s="98"/>
      <c r="S38" s="98"/>
      <c r="T38" s="98"/>
      <c r="U38" s="96"/>
      <c r="V38" s="96"/>
      <c r="W38" s="96"/>
      <c r="X38" s="96"/>
      <c r="Y38" s="99"/>
      <c r="Z38" s="96"/>
      <c r="AA38" s="96"/>
      <c r="AB38" s="100"/>
      <c r="AC38" s="100"/>
      <c r="AD38" s="244" t="str">
        <f>IF($B$12="individual",Constants!F63,Constants!L63)</f>
        <v>own bar / extra location</v>
      </c>
      <c r="AE38" s="249">
        <v>0</v>
      </c>
      <c r="AF38" s="271">
        <f>IF(AE38&gt;=15,2,IF(AE38&gt;=8,1,0))</f>
        <v>0</v>
      </c>
      <c r="AG38" s="560"/>
      <c r="AH38" s="560"/>
      <c r="AI38" s="560"/>
      <c r="AJ38" s="560"/>
      <c r="AK38" s="100"/>
      <c r="AL38" s="100"/>
      <c r="AM38" s="100"/>
      <c r="AN38" s="100"/>
      <c r="AO38" s="100"/>
      <c r="AP38" s="100"/>
      <c r="AQ38" s="100"/>
      <c r="AR38" s="100"/>
      <c r="AS38" s="100"/>
      <c r="AT38" s="100"/>
      <c r="AU38" s="100"/>
      <c r="AV38" s="100"/>
      <c r="AW38" s="100"/>
      <c r="AX38" s="100"/>
      <c r="AY38" s="100"/>
      <c r="AZ38" s="100"/>
      <c r="BA38" s="100"/>
      <c r="BB38" s="100"/>
      <c r="BC38" s="100"/>
      <c r="BD38" s="100"/>
      <c r="BE38" s="100"/>
      <c r="BF38" s="100"/>
    </row>
    <row r="39" spans="1:58" ht="15" customHeight="1" thickBot="1">
      <c r="A39" s="312" t="s">
        <v>1857</v>
      </c>
      <c r="B39" s="323">
        <v>25</v>
      </c>
      <c r="C39" s="312">
        <v>2</v>
      </c>
      <c r="D39" s="312">
        <v>42</v>
      </c>
      <c r="E39" s="312" t="s">
        <v>570</v>
      </c>
      <c r="F39" s="324" t="s">
        <v>1858</v>
      </c>
      <c r="G39" s="325"/>
      <c r="H39" s="596"/>
      <c r="I39" s="589"/>
      <c r="J39" s="597"/>
      <c r="K39" s="98"/>
      <c r="L39" s="98"/>
      <c r="M39" s="98"/>
      <c r="N39" s="98"/>
      <c r="O39" s="98"/>
      <c r="P39" s="98"/>
      <c r="Q39" s="98"/>
      <c r="R39" s="98"/>
      <c r="S39" s="98"/>
      <c r="T39" s="98"/>
      <c r="U39" s="96"/>
      <c r="V39" s="96"/>
      <c r="W39" s="96"/>
      <c r="X39" s="96"/>
      <c r="Y39" s="99"/>
      <c r="Z39" s="96"/>
      <c r="AA39" s="96"/>
      <c r="AB39" s="100"/>
      <c r="AC39" s="100"/>
      <c r="AD39" s="244" t="str">
        <f>IF($B$12="individual",Constants!F65,Constants!L64)</f>
        <v>number of facilities used</v>
      </c>
      <c r="AE39" s="249">
        <v>2</v>
      </c>
      <c r="AF39" s="273">
        <f>IF(B12="individual", IF(AE39&gt;10, 5, IF(AE39&gt;6, 3, IF(AE39&gt;2, 1, 0))), IF(AE39&gt;3, 3, IF(AE39&gt;1, 2, 1)))</f>
        <v>2</v>
      </c>
      <c r="AG39" s="560"/>
      <c r="AH39" s="560"/>
      <c r="AI39" s="560"/>
      <c r="AJ39" s="560"/>
      <c r="AK39" s="100"/>
      <c r="AL39" s="100"/>
      <c r="AM39" s="100"/>
      <c r="AN39" s="100"/>
      <c r="AO39" s="100"/>
      <c r="AP39" s="100"/>
      <c r="AQ39" s="100"/>
      <c r="AR39" s="100"/>
      <c r="AS39" s="100"/>
      <c r="AT39" s="100"/>
      <c r="AU39" s="100"/>
      <c r="AV39" s="100"/>
      <c r="AW39" s="100"/>
      <c r="AX39" s="100"/>
      <c r="AY39" s="100"/>
      <c r="AZ39" s="100"/>
      <c r="BA39" s="100"/>
      <c r="BB39" s="100"/>
      <c r="BC39" s="100"/>
      <c r="BD39" s="100"/>
      <c r="BE39" s="100"/>
      <c r="BF39" s="100"/>
    </row>
    <row r="40" spans="1:58" ht="15" customHeight="1" thickBot="1">
      <c r="A40" s="312" t="s">
        <v>1859</v>
      </c>
      <c r="B40" s="323">
        <v>20</v>
      </c>
      <c r="C40" s="312">
        <v>2</v>
      </c>
      <c r="D40" s="312">
        <v>42</v>
      </c>
      <c r="E40" s="312" t="s">
        <v>1855</v>
      </c>
      <c r="F40" s="324" t="s">
        <v>1856</v>
      </c>
      <c r="G40" s="325"/>
      <c r="H40" s="596"/>
      <c r="I40" s="589"/>
      <c r="J40" s="597"/>
      <c r="K40" s="98"/>
      <c r="L40" s="98"/>
      <c r="M40" s="98"/>
      <c r="N40" s="98"/>
      <c r="O40" s="98"/>
      <c r="P40" s="98"/>
      <c r="Q40" s="98"/>
      <c r="R40" s="98"/>
      <c r="S40" s="98"/>
      <c r="T40" s="98"/>
      <c r="U40" s="96"/>
      <c r="V40" s="96"/>
      <c r="W40" s="96"/>
      <c r="X40" s="96"/>
      <c r="Y40" s="99"/>
      <c r="Z40" s="96"/>
      <c r="AA40" s="96"/>
      <c r="AB40" s="100"/>
      <c r="AC40" s="100"/>
      <c r="AD40" s="231" t="str">
        <f>IF($B$12="individual",Constants!F64,Constants!L65)</f>
        <v>ratio of competing teams / training teams</v>
      </c>
      <c r="AE40" s="248">
        <f>IF(AD40="n/a","",COUNTA(A56:A61)/COUNTA(A38:A52))</f>
        <v>0.38461538461538464</v>
      </c>
      <c r="AF40" s="272">
        <f>IF(B12="group", IF(AE40&gt;0.15, 5, IF(AE40&gt;0.1, 3, IF(AE40&gt;0.05, 1, 0))), " ")</f>
        <v>5</v>
      </c>
      <c r="AG40" s="560"/>
      <c r="AH40" s="560"/>
      <c r="AI40" s="560"/>
      <c r="AJ40" s="560"/>
      <c r="AK40" s="100"/>
      <c r="AL40" s="100"/>
      <c r="AM40" s="100"/>
      <c r="AN40" s="100"/>
      <c r="AO40" s="100"/>
      <c r="AP40" s="100"/>
      <c r="AQ40" s="100"/>
      <c r="AR40" s="100"/>
      <c r="AS40" s="100"/>
      <c r="AT40" s="100"/>
      <c r="AU40" s="100"/>
      <c r="AV40" s="100"/>
      <c r="AW40" s="100"/>
      <c r="AX40" s="100"/>
      <c r="AY40" s="100"/>
      <c r="AZ40" s="100"/>
      <c r="BA40" s="100"/>
      <c r="BB40" s="100"/>
      <c r="BC40" s="100"/>
      <c r="BD40" s="100"/>
      <c r="BE40" s="100"/>
      <c r="BF40" s="100"/>
    </row>
    <row r="41" spans="1:58" ht="15" customHeight="1" thickBot="1">
      <c r="A41" s="312" t="s">
        <v>1860</v>
      </c>
      <c r="B41" s="323">
        <v>20</v>
      </c>
      <c r="C41" s="312">
        <v>2</v>
      </c>
      <c r="D41" s="312">
        <v>42</v>
      </c>
      <c r="E41" s="312" t="s">
        <v>1855</v>
      </c>
      <c r="F41" s="324" t="s">
        <v>1861</v>
      </c>
      <c r="G41" s="325"/>
      <c r="H41" s="596"/>
      <c r="I41" s="589"/>
      <c r="J41" s="597"/>
      <c r="K41" s="98"/>
      <c r="L41" s="98"/>
      <c r="M41" s="98"/>
      <c r="N41" s="98"/>
      <c r="O41" s="98"/>
      <c r="P41" s="98"/>
      <c r="Q41" s="98"/>
      <c r="R41" s="98"/>
      <c r="S41" s="98"/>
      <c r="T41" s="98"/>
      <c r="U41" s="96"/>
      <c r="V41" s="96"/>
      <c r="W41" s="96"/>
      <c r="X41" s="96"/>
      <c r="Y41" s="99"/>
      <c r="Z41" s="96"/>
      <c r="AA41" s="96"/>
      <c r="AB41" s="100"/>
      <c r="AC41" s="100"/>
      <c r="AD41" s="16"/>
      <c r="AE41" s="275" t="s">
        <v>461</v>
      </c>
      <c r="AF41" s="276">
        <f>SUM(AF30:AF40)</f>
        <v>31</v>
      </c>
      <c r="AG41" s="247"/>
      <c r="AH41" s="245"/>
      <c r="AI41" s="246"/>
      <c r="AJ41" s="247"/>
      <c r="AK41" s="100"/>
      <c r="AL41" s="100"/>
      <c r="AM41" s="100"/>
      <c r="AN41" s="100"/>
      <c r="AO41" s="100"/>
      <c r="AP41" s="100"/>
      <c r="AQ41" s="100"/>
      <c r="AR41" s="100"/>
      <c r="AS41" s="100"/>
      <c r="AT41" s="100"/>
      <c r="AU41" s="100"/>
      <c r="AV41" s="100"/>
      <c r="AW41" s="100"/>
      <c r="AX41" s="100"/>
      <c r="AY41" s="100"/>
      <c r="AZ41" s="100"/>
      <c r="BA41" s="100"/>
      <c r="BB41" s="100"/>
      <c r="BC41" s="100"/>
      <c r="BD41" s="100"/>
      <c r="BE41" s="100"/>
      <c r="BF41" s="100"/>
    </row>
    <row r="42" spans="1:58" ht="15" customHeight="1">
      <c r="A42" s="312" t="s">
        <v>1862</v>
      </c>
      <c r="B42" s="323">
        <v>28</v>
      </c>
      <c r="C42" s="312">
        <v>2</v>
      </c>
      <c r="D42" s="312">
        <v>42</v>
      </c>
      <c r="E42" s="312" t="s">
        <v>570</v>
      </c>
      <c r="F42" s="327" t="s">
        <v>1863</v>
      </c>
      <c r="G42" s="325"/>
      <c r="H42" s="596"/>
      <c r="I42" s="589"/>
      <c r="J42" s="597"/>
      <c r="K42" s="98"/>
      <c r="L42" s="98"/>
      <c r="M42" s="98"/>
      <c r="N42" s="98"/>
      <c r="O42" s="98"/>
      <c r="P42" s="98"/>
      <c r="Q42" s="98"/>
      <c r="R42" s="98"/>
      <c r="S42" s="98"/>
      <c r="T42" s="98"/>
      <c r="U42" s="96"/>
      <c r="V42" s="96"/>
      <c r="W42" s="96"/>
      <c r="X42" s="96"/>
      <c r="Y42" s="99"/>
      <c r="Z42" s="96"/>
      <c r="AA42" s="96"/>
      <c r="AB42" s="100"/>
      <c r="AC42" s="100"/>
      <c r="AD42" s="100"/>
      <c r="AE42" s="100"/>
      <c r="AF42" s="100"/>
      <c r="AG42" s="100"/>
      <c r="AH42" s="100"/>
      <c r="AI42" s="100"/>
      <c r="AJ42" s="100"/>
      <c r="AK42" s="100"/>
      <c r="AL42" s="100"/>
      <c r="AM42" s="100"/>
      <c r="AN42" s="100"/>
      <c r="AO42" s="100"/>
      <c r="AP42" s="100"/>
      <c r="AQ42" s="100"/>
      <c r="AR42" s="100"/>
      <c r="AS42" s="100"/>
      <c r="AT42" s="100"/>
      <c r="AU42" s="100"/>
      <c r="AV42" s="100"/>
      <c r="AW42" s="100"/>
      <c r="AX42" s="100"/>
      <c r="AY42" s="100"/>
      <c r="AZ42" s="100"/>
      <c r="BA42" s="100"/>
      <c r="BB42" s="100"/>
      <c r="BC42" s="100"/>
      <c r="BD42" s="100"/>
      <c r="BE42" s="100"/>
      <c r="BF42" s="100"/>
    </row>
    <row r="43" spans="1:58" ht="15" customHeight="1">
      <c r="A43" s="312" t="s">
        <v>1864</v>
      </c>
      <c r="B43" s="323">
        <v>20</v>
      </c>
      <c r="C43" s="312">
        <v>2</v>
      </c>
      <c r="D43" s="312">
        <v>42</v>
      </c>
      <c r="E43" s="312" t="s">
        <v>570</v>
      </c>
      <c r="F43" s="324" t="s">
        <v>1865</v>
      </c>
      <c r="G43" s="325"/>
      <c r="H43" s="596"/>
      <c r="I43" s="589"/>
      <c r="J43" s="597"/>
      <c r="K43" s="98"/>
      <c r="L43" s="98"/>
      <c r="M43" s="98"/>
      <c r="N43" s="98"/>
      <c r="O43" s="98"/>
      <c r="P43" s="98"/>
      <c r="Q43" s="98"/>
      <c r="R43" s="98"/>
      <c r="S43" s="98"/>
      <c r="T43" s="98"/>
      <c r="U43" s="96"/>
      <c r="V43" s="96"/>
      <c r="W43" s="96"/>
      <c r="X43" s="96"/>
      <c r="Y43" s="99"/>
      <c r="Z43" s="96"/>
      <c r="AA43" s="96"/>
      <c r="AB43" s="100"/>
      <c r="AC43" s="100"/>
      <c r="AD43" s="100"/>
      <c r="AE43" s="100"/>
      <c r="AF43" s="100"/>
      <c r="AG43" s="100"/>
      <c r="AH43" s="100"/>
      <c r="AI43" s="100"/>
      <c r="AJ43" s="100"/>
      <c r="AK43" s="100"/>
      <c r="AL43" s="100"/>
      <c r="AM43" s="100"/>
      <c r="AN43" s="100"/>
      <c r="AO43" s="100"/>
      <c r="AP43" s="100"/>
      <c r="AQ43" s="100"/>
      <c r="AR43" s="100"/>
      <c r="AS43" s="100"/>
      <c r="AT43" s="100"/>
      <c r="AU43" s="100"/>
      <c r="AV43" s="100"/>
      <c r="AW43" s="100"/>
      <c r="AX43" s="100"/>
      <c r="AY43" s="100"/>
      <c r="AZ43" s="100"/>
      <c r="BA43" s="100"/>
      <c r="BB43" s="100"/>
      <c r="BC43" s="100"/>
      <c r="BD43" s="100"/>
      <c r="BE43" s="100"/>
      <c r="BF43" s="100"/>
    </row>
    <row r="44" spans="1:58" ht="15" customHeight="1">
      <c r="A44" s="312" t="s">
        <v>1866</v>
      </c>
      <c r="B44" s="323">
        <v>20</v>
      </c>
      <c r="C44" s="312">
        <v>1</v>
      </c>
      <c r="D44" s="312">
        <v>42</v>
      </c>
      <c r="E44" s="312" t="s">
        <v>570</v>
      </c>
      <c r="F44" s="324" t="s">
        <v>1865</v>
      </c>
      <c r="G44" s="325"/>
      <c r="H44" s="596"/>
      <c r="I44" s="589"/>
      <c r="J44" s="597"/>
      <c r="K44" s="98"/>
      <c r="L44" s="98"/>
      <c r="M44" s="98"/>
      <c r="N44" s="98"/>
      <c r="O44" s="98"/>
      <c r="P44" s="98"/>
      <c r="Q44" s="98"/>
      <c r="R44" s="98"/>
      <c r="S44" s="98"/>
      <c r="T44" s="98"/>
      <c r="U44" s="96"/>
      <c r="V44" s="96"/>
      <c r="W44" s="96"/>
      <c r="X44" s="96"/>
      <c r="Y44" s="99"/>
      <c r="Z44" s="96"/>
      <c r="AA44" s="96"/>
      <c r="AB44" s="100"/>
      <c r="AC44" s="100"/>
      <c r="AD44" s="100"/>
      <c r="AE44" s="100"/>
      <c r="AF44" s="100"/>
      <c r="AG44" s="100"/>
      <c r="AH44" s="100"/>
      <c r="AI44" s="100"/>
      <c r="AJ44" s="100"/>
      <c r="AK44" s="100"/>
      <c r="AL44" s="100"/>
      <c r="AM44" s="100"/>
      <c r="AN44" s="100"/>
      <c r="AO44" s="100"/>
      <c r="AP44" s="100"/>
      <c r="AQ44" s="100"/>
      <c r="AR44" s="100"/>
      <c r="AS44" s="100"/>
      <c r="AT44" s="100"/>
      <c r="AU44" s="100"/>
      <c r="AV44" s="100"/>
      <c r="AW44" s="100"/>
      <c r="AX44" s="100"/>
      <c r="AY44" s="100"/>
      <c r="AZ44" s="100"/>
      <c r="BA44" s="100"/>
      <c r="BB44" s="100"/>
      <c r="BC44" s="100"/>
      <c r="BD44" s="100"/>
      <c r="BE44" s="100"/>
      <c r="BF44" s="100"/>
    </row>
    <row r="45" spans="1:58" ht="15" customHeight="1">
      <c r="A45" s="312" t="s">
        <v>1867</v>
      </c>
      <c r="B45" s="323">
        <v>28</v>
      </c>
      <c r="C45" s="312">
        <v>2</v>
      </c>
      <c r="D45" s="312">
        <v>42</v>
      </c>
      <c r="E45" s="312" t="s">
        <v>570</v>
      </c>
      <c r="F45" s="324" t="s">
        <v>1865</v>
      </c>
      <c r="G45" s="325"/>
      <c r="H45" s="596"/>
      <c r="I45" s="589"/>
      <c r="J45" s="597"/>
      <c r="K45" s="98"/>
      <c r="L45" s="98"/>
      <c r="M45" s="98"/>
      <c r="N45" s="98"/>
      <c r="O45" s="98"/>
      <c r="P45" s="98"/>
      <c r="Q45" s="98"/>
      <c r="R45" s="98"/>
      <c r="S45" s="98"/>
      <c r="T45" s="98"/>
      <c r="U45" s="96"/>
      <c r="V45" s="96"/>
      <c r="W45" s="96"/>
      <c r="X45" s="96"/>
      <c r="Y45" s="99"/>
      <c r="Z45" s="96"/>
      <c r="AA45" s="96"/>
      <c r="AB45" s="100"/>
      <c r="AC45" s="100"/>
      <c r="AD45" s="100"/>
      <c r="AE45" s="100"/>
      <c r="AF45" s="100"/>
      <c r="AG45" s="100"/>
      <c r="AH45" s="100"/>
      <c r="AI45" s="100"/>
      <c r="AJ45" s="100"/>
      <c r="AK45" s="100"/>
      <c r="AL45" s="100"/>
      <c r="AM45" s="100"/>
      <c r="AN45" s="100"/>
      <c r="AO45" s="100"/>
      <c r="AP45" s="100"/>
      <c r="AQ45" s="100"/>
      <c r="AR45" s="100"/>
      <c r="AS45" s="100"/>
      <c r="AT45" s="100"/>
      <c r="AU45" s="100"/>
      <c r="AV45" s="100"/>
      <c r="AW45" s="100"/>
      <c r="AX45" s="100"/>
      <c r="AY45" s="100"/>
      <c r="AZ45" s="100"/>
      <c r="BA45" s="100"/>
      <c r="BB45" s="100"/>
      <c r="BC45" s="100"/>
      <c r="BD45" s="100"/>
      <c r="BE45" s="100"/>
      <c r="BF45" s="100"/>
    </row>
    <row r="46" spans="1:58" ht="15" customHeight="1">
      <c r="A46" s="312" t="s">
        <v>1868</v>
      </c>
      <c r="B46" s="323">
        <v>28</v>
      </c>
      <c r="C46" s="312">
        <v>2</v>
      </c>
      <c r="D46" s="312">
        <v>42</v>
      </c>
      <c r="E46" s="312" t="s">
        <v>570</v>
      </c>
      <c r="F46" s="327" t="s">
        <v>1869</v>
      </c>
      <c r="G46" s="325"/>
      <c r="H46" s="596"/>
      <c r="I46" s="589"/>
      <c r="J46" s="597"/>
      <c r="K46" s="98"/>
      <c r="L46" s="98"/>
      <c r="M46" s="98"/>
      <c r="N46" s="98"/>
      <c r="O46" s="98"/>
      <c r="P46" s="98"/>
      <c r="Q46" s="98"/>
      <c r="R46" s="98"/>
      <c r="S46" s="98"/>
      <c r="T46" s="98"/>
      <c r="U46" s="96"/>
      <c r="V46" s="96"/>
      <c r="W46" s="96"/>
      <c r="X46" s="96"/>
      <c r="Y46" s="99"/>
      <c r="Z46" s="96"/>
      <c r="AA46" s="96"/>
      <c r="AB46" s="100"/>
      <c r="AC46" s="100"/>
      <c r="AD46" s="100"/>
      <c r="AE46" s="100"/>
      <c r="AF46" s="100"/>
      <c r="AG46" s="100"/>
      <c r="AH46" s="100"/>
      <c r="AI46" s="100"/>
      <c r="AJ46" s="100"/>
      <c r="AK46" s="100"/>
      <c r="AL46" s="100"/>
      <c r="AM46" s="100"/>
      <c r="AN46" s="100"/>
      <c r="AO46" s="100"/>
      <c r="AP46" s="100"/>
      <c r="AQ46" s="100"/>
      <c r="AR46" s="100"/>
      <c r="AS46" s="100"/>
      <c r="AT46" s="100"/>
      <c r="AU46" s="100"/>
      <c r="AV46" s="100"/>
      <c r="AW46" s="100"/>
      <c r="AX46" s="100"/>
      <c r="AY46" s="100"/>
      <c r="AZ46" s="100"/>
      <c r="BA46" s="100"/>
      <c r="BB46" s="100"/>
      <c r="BC46" s="100"/>
      <c r="BD46" s="100"/>
      <c r="BE46" s="100"/>
      <c r="BF46" s="100"/>
    </row>
    <row r="47" spans="1:58" ht="15" customHeight="1">
      <c r="A47" s="312" t="s">
        <v>1870</v>
      </c>
      <c r="B47" s="323">
        <v>28</v>
      </c>
      <c r="C47" s="312">
        <v>2</v>
      </c>
      <c r="D47" s="312">
        <v>42</v>
      </c>
      <c r="E47" s="312" t="s">
        <v>570</v>
      </c>
      <c r="F47" s="327" t="s">
        <v>1871</v>
      </c>
      <c r="G47" s="325"/>
      <c r="H47" s="596"/>
      <c r="I47" s="589"/>
      <c r="J47" s="597"/>
      <c r="K47" s="98"/>
      <c r="L47" s="98"/>
      <c r="M47" s="98"/>
      <c r="N47" s="98"/>
      <c r="O47" s="98"/>
      <c r="P47" s="98"/>
      <c r="Q47" s="98"/>
      <c r="R47" s="98"/>
      <c r="S47" s="98"/>
      <c r="T47" s="98"/>
      <c r="U47" s="96"/>
      <c r="V47" s="96"/>
      <c r="W47" s="96"/>
      <c r="X47" s="96"/>
      <c r="Y47" s="99"/>
      <c r="Z47" s="96"/>
      <c r="AA47" s="96"/>
      <c r="AB47" s="100"/>
      <c r="AC47" s="100"/>
      <c r="AD47" s="100"/>
      <c r="AE47" s="100"/>
      <c r="AF47" s="100"/>
      <c r="AG47" s="100"/>
      <c r="AH47" s="100"/>
      <c r="AI47" s="100"/>
      <c r="AJ47" s="100"/>
      <c r="AK47" s="100"/>
      <c r="AL47" s="100"/>
      <c r="AM47" s="100"/>
      <c r="AN47" s="100"/>
      <c r="AO47" s="100"/>
      <c r="AP47" s="100"/>
      <c r="AQ47" s="100"/>
      <c r="AR47" s="100"/>
      <c r="AS47" s="100"/>
      <c r="AT47" s="100"/>
      <c r="AU47" s="100"/>
      <c r="AV47" s="100"/>
      <c r="AW47" s="100"/>
      <c r="AX47" s="100"/>
      <c r="AY47" s="100"/>
      <c r="AZ47" s="100"/>
      <c r="BA47" s="100"/>
      <c r="BB47" s="100"/>
      <c r="BC47" s="100"/>
      <c r="BD47" s="100"/>
      <c r="BE47" s="100"/>
      <c r="BF47" s="100"/>
    </row>
    <row r="48" spans="1:58" ht="14.25" customHeight="1">
      <c r="A48" s="312" t="s">
        <v>1872</v>
      </c>
      <c r="B48" s="323">
        <v>12</v>
      </c>
      <c r="C48" s="312">
        <v>2</v>
      </c>
      <c r="D48" s="312">
        <v>42</v>
      </c>
      <c r="E48" s="328" t="s">
        <v>1855</v>
      </c>
      <c r="F48" s="327" t="s">
        <v>1873</v>
      </c>
      <c r="G48" s="325"/>
      <c r="H48" s="596"/>
      <c r="I48" s="589"/>
      <c r="J48" s="597"/>
      <c r="K48" s="16"/>
      <c r="L48" s="16"/>
      <c r="M48" s="16"/>
      <c r="N48" s="16"/>
      <c r="O48" s="16"/>
      <c r="P48" s="16"/>
      <c r="Q48" s="16"/>
      <c r="R48" s="16"/>
      <c r="S48" s="16"/>
      <c r="T48" s="16"/>
      <c r="U48" s="16"/>
      <c r="V48" s="16"/>
      <c r="W48" s="16"/>
      <c r="X48" s="16"/>
      <c r="Y48" s="17"/>
      <c r="Z48" s="16"/>
      <c r="AA48" s="16"/>
    </row>
    <row r="49" spans="1:58" ht="14.25" customHeight="1">
      <c r="A49" s="323" t="s">
        <v>1874</v>
      </c>
      <c r="B49" s="323">
        <v>12</v>
      </c>
      <c r="C49" s="323">
        <v>2</v>
      </c>
      <c r="D49" s="323">
        <v>42</v>
      </c>
      <c r="E49" s="328" t="s">
        <v>1855</v>
      </c>
      <c r="F49" s="327" t="s">
        <v>1875</v>
      </c>
      <c r="G49" s="323"/>
      <c r="H49" s="596"/>
      <c r="I49" s="589"/>
      <c r="J49" s="597"/>
      <c r="K49" s="16"/>
      <c r="L49" s="16"/>
      <c r="M49" s="16"/>
      <c r="N49" s="16"/>
      <c r="O49" s="16"/>
      <c r="P49" s="16"/>
      <c r="Q49" s="16"/>
      <c r="R49" s="16"/>
      <c r="S49" s="16"/>
      <c r="T49" s="16"/>
      <c r="U49" s="16"/>
      <c r="V49" s="16"/>
      <c r="W49" s="16"/>
      <c r="X49" s="16"/>
      <c r="Y49" s="17"/>
      <c r="Z49" s="16"/>
      <c r="AA49" s="16"/>
    </row>
    <row r="50" spans="1:58" ht="15.75" customHeight="1">
      <c r="A50" s="323" t="s">
        <v>1876</v>
      </c>
      <c r="B50" s="323">
        <v>12</v>
      </c>
      <c r="C50" s="323">
        <v>1</v>
      </c>
      <c r="D50" s="323">
        <v>42</v>
      </c>
      <c r="E50" s="328" t="s">
        <v>570</v>
      </c>
      <c r="F50" s="327" t="s">
        <v>1861</v>
      </c>
      <c r="G50" s="323"/>
      <c r="H50" s="596"/>
      <c r="I50" s="589"/>
      <c r="J50" s="597"/>
      <c r="K50" s="16"/>
      <c r="L50" s="16"/>
      <c r="M50" s="16"/>
      <c r="N50" s="16"/>
      <c r="O50" s="16"/>
      <c r="P50" s="16"/>
      <c r="Q50" s="16"/>
      <c r="R50" s="16"/>
      <c r="S50" s="16"/>
      <c r="T50" s="16"/>
      <c r="U50" s="16"/>
      <c r="V50" s="16"/>
      <c r="W50" s="16"/>
      <c r="X50" s="16"/>
      <c r="Y50" s="16"/>
      <c r="Z50" s="16"/>
      <c r="AA50" s="16"/>
    </row>
    <row r="51" spans="1:58" ht="15.75" customHeight="1">
      <c r="A51" s="231"/>
      <c r="B51" s="232"/>
      <c r="C51" s="231"/>
      <c r="D51" s="232"/>
      <c r="E51" s="245"/>
      <c r="F51" s="261"/>
      <c r="G51" s="231"/>
      <c r="H51" s="596"/>
      <c r="I51" s="589"/>
      <c r="J51" s="597"/>
      <c r="K51" s="16"/>
      <c r="L51" s="16"/>
      <c r="M51" s="16"/>
      <c r="N51" s="16"/>
      <c r="O51" s="16"/>
      <c r="P51" s="16"/>
      <c r="Q51" s="16"/>
      <c r="R51" s="16"/>
      <c r="S51" s="16"/>
      <c r="T51" s="16"/>
      <c r="U51" s="16"/>
      <c r="V51" s="16"/>
      <c r="W51" s="16"/>
      <c r="X51" s="16"/>
      <c r="Y51" s="16"/>
      <c r="Z51" s="16"/>
      <c r="AA51" s="16"/>
    </row>
    <row r="52" spans="1:58" ht="15.75" customHeight="1" thickBot="1">
      <c r="A52" s="231"/>
      <c r="B52" s="326"/>
      <c r="C52" s="245"/>
      <c r="D52" s="232"/>
      <c r="E52" s="261"/>
      <c r="F52" s="261"/>
      <c r="G52" s="231"/>
      <c r="H52" s="598"/>
      <c r="I52" s="607"/>
      <c r="J52" s="599"/>
      <c r="K52" s="16"/>
      <c r="L52" s="16"/>
      <c r="M52" s="16"/>
      <c r="N52" s="16"/>
      <c r="O52" s="16"/>
      <c r="P52" s="16"/>
      <c r="Q52" s="16"/>
      <c r="R52" s="16"/>
      <c r="S52" s="16"/>
      <c r="T52" s="16"/>
      <c r="U52" s="16"/>
      <c r="V52" s="16"/>
      <c r="W52" s="16"/>
      <c r="X52" s="16"/>
      <c r="Y52" s="16"/>
      <c r="Z52" s="16"/>
      <c r="AA52" s="16"/>
    </row>
    <row r="53" spans="1:58" ht="15.75" customHeight="1" thickTop="1">
      <c r="A53" s="18"/>
      <c r="B53" s="18"/>
      <c r="C53" s="18"/>
      <c r="D53" s="18"/>
      <c r="E53" s="18"/>
      <c r="F53" s="18"/>
      <c r="G53" s="17"/>
      <c r="H53" s="17"/>
      <c r="I53" s="17"/>
      <c r="J53" s="17"/>
      <c r="K53" s="17"/>
      <c r="L53" s="17"/>
      <c r="M53" s="17"/>
      <c r="N53" s="17"/>
      <c r="O53" s="17"/>
      <c r="P53" s="17"/>
      <c r="Q53" s="16"/>
      <c r="R53" s="17"/>
      <c r="S53" s="17"/>
      <c r="T53" s="17"/>
      <c r="U53" s="17"/>
      <c r="V53" s="17"/>
      <c r="W53" s="17"/>
      <c r="X53" s="17"/>
      <c r="Y53" s="17"/>
      <c r="Z53" s="17"/>
      <c r="AA53" s="17"/>
      <c r="AB53" s="17"/>
      <c r="AC53" s="17"/>
      <c r="AD53" s="17"/>
    </row>
    <row r="54" spans="1:58" ht="15.75" customHeight="1" thickBot="1">
      <c r="A54" s="179" t="s">
        <v>462</v>
      </c>
      <c r="B54" s="169"/>
      <c r="C54" s="16"/>
      <c r="D54" s="16"/>
      <c r="E54" s="16"/>
      <c r="F54" s="16"/>
      <c r="G54" s="16"/>
      <c r="H54" s="16"/>
      <c r="I54" s="16"/>
      <c r="J54" s="16"/>
      <c r="K54" s="16"/>
      <c r="L54" s="16"/>
      <c r="M54" s="16"/>
      <c r="N54" s="16"/>
      <c r="O54" s="16"/>
      <c r="P54" s="16"/>
      <c r="Q54" s="16"/>
      <c r="R54" s="16"/>
      <c r="S54" s="16"/>
      <c r="T54" s="16"/>
      <c r="U54" s="16"/>
      <c r="V54" s="16"/>
      <c r="W54" s="16"/>
      <c r="X54" s="16"/>
      <c r="Y54" s="16"/>
      <c r="Z54" s="16"/>
      <c r="AA54" s="16"/>
      <c r="AB54" s="18"/>
      <c r="AC54" s="16"/>
      <c r="AD54" s="16"/>
    </row>
    <row r="55" spans="1:58" ht="15" customHeight="1" thickTop="1" thickBot="1">
      <c r="A55" s="258" t="s">
        <v>449</v>
      </c>
      <c r="B55" s="259" t="s">
        <v>450</v>
      </c>
      <c r="C55" s="258" t="s">
        <v>463</v>
      </c>
      <c r="D55" s="258" t="s">
        <v>464</v>
      </c>
      <c r="E55" s="258" t="s">
        <v>465</v>
      </c>
      <c r="F55" s="258" t="s">
        <v>466</v>
      </c>
      <c r="G55" s="258" t="s">
        <v>467</v>
      </c>
      <c r="H55" s="259" t="s">
        <v>455</v>
      </c>
      <c r="I55" s="561" t="s">
        <v>456</v>
      </c>
      <c r="J55" s="716"/>
      <c r="K55" s="717"/>
      <c r="L55" s="98"/>
      <c r="M55" s="98"/>
      <c r="N55" s="98"/>
      <c r="O55" s="98"/>
      <c r="P55" s="98"/>
      <c r="Q55" s="98"/>
      <c r="R55" s="98"/>
      <c r="S55" s="98"/>
      <c r="T55" s="98"/>
      <c r="U55" s="98"/>
      <c r="V55" s="96"/>
      <c r="W55" s="96"/>
      <c r="X55" s="96"/>
      <c r="Y55" s="96"/>
      <c r="Z55" s="99"/>
      <c r="AA55" s="96"/>
      <c r="AB55" s="96"/>
      <c r="AC55" s="100"/>
      <c r="AD55" s="100"/>
      <c r="AE55" s="100"/>
      <c r="AF55" s="100"/>
      <c r="AG55" s="100"/>
      <c r="AH55" s="100"/>
      <c r="AI55" s="100"/>
      <c r="AJ55" s="100"/>
      <c r="AK55" s="100"/>
      <c r="AL55" s="100"/>
      <c r="AM55" s="100"/>
      <c r="AN55" s="100"/>
      <c r="AO55" s="100"/>
      <c r="AP55" s="100"/>
      <c r="AQ55" s="100"/>
      <c r="AR55" s="100"/>
      <c r="AS55" s="100"/>
      <c r="AT55" s="100"/>
      <c r="AU55" s="100"/>
      <c r="AV55" s="100"/>
      <c r="AW55" s="100"/>
      <c r="AX55" s="100"/>
      <c r="AY55" s="100"/>
      <c r="AZ55" s="100"/>
      <c r="BA55" s="100"/>
      <c r="BB55" s="100"/>
      <c r="BC55" s="100"/>
      <c r="BD55" s="100"/>
      <c r="BE55" s="100"/>
      <c r="BF55" s="100"/>
    </row>
    <row r="56" spans="1:58" ht="14.25" customHeight="1" thickTop="1">
      <c r="A56" s="312" t="s">
        <v>1859</v>
      </c>
      <c r="B56" s="323" t="s">
        <v>1247</v>
      </c>
      <c r="C56" s="312" t="s">
        <v>1877</v>
      </c>
      <c r="D56" s="312" t="s">
        <v>57</v>
      </c>
      <c r="E56" s="328">
        <v>2</v>
      </c>
      <c r="F56" s="327">
        <v>3</v>
      </c>
      <c r="G56" s="323" t="s">
        <v>419</v>
      </c>
      <c r="H56" s="325"/>
      <c r="I56" s="618"/>
      <c r="J56" s="741"/>
      <c r="K56" s="742"/>
      <c r="L56" s="16"/>
      <c r="M56" s="16"/>
      <c r="N56" s="16"/>
      <c r="O56" s="16"/>
      <c r="P56" s="16"/>
      <c r="Q56" s="16"/>
      <c r="R56" s="16"/>
      <c r="S56" s="16"/>
      <c r="T56" s="16"/>
      <c r="U56" s="16"/>
      <c r="V56" s="16"/>
      <c r="W56" s="16"/>
      <c r="X56" s="16"/>
      <c r="Y56" s="16"/>
      <c r="Z56" s="17"/>
      <c r="AA56" s="16"/>
      <c r="AB56" s="16"/>
    </row>
    <row r="57" spans="1:58" ht="14.25" customHeight="1">
      <c r="A57" s="312" t="s">
        <v>1860</v>
      </c>
      <c r="B57" s="323" t="s">
        <v>1247</v>
      </c>
      <c r="C57" s="409" t="s">
        <v>1878</v>
      </c>
      <c r="D57" s="312" t="s">
        <v>57</v>
      </c>
      <c r="E57" s="328">
        <v>1</v>
      </c>
      <c r="F57" s="327">
        <v>1.5</v>
      </c>
      <c r="G57" s="323" t="s">
        <v>471</v>
      </c>
      <c r="H57" s="325" t="s">
        <v>1879</v>
      </c>
      <c r="I57" s="743"/>
      <c r="J57" s="744"/>
      <c r="K57" s="745"/>
      <c r="L57" s="16"/>
      <c r="M57" s="16"/>
      <c r="N57" s="16"/>
      <c r="O57" s="16"/>
      <c r="P57" s="16"/>
      <c r="Q57" s="16"/>
      <c r="R57" s="16"/>
      <c r="S57" s="16"/>
      <c r="T57" s="16"/>
      <c r="U57" s="16"/>
      <c r="V57" s="16"/>
      <c r="W57" s="16"/>
      <c r="X57" s="16"/>
      <c r="Y57" s="16"/>
      <c r="Z57" s="17"/>
      <c r="AA57" s="16"/>
      <c r="AB57" s="16"/>
    </row>
    <row r="58" spans="1:58" ht="15.75" customHeight="1">
      <c r="A58" s="323" t="s">
        <v>1854</v>
      </c>
      <c r="B58" s="323" t="s">
        <v>1880</v>
      </c>
      <c r="C58" s="409" t="s">
        <v>1878</v>
      </c>
      <c r="D58" s="312" t="s">
        <v>57</v>
      </c>
      <c r="E58" s="328">
        <v>2</v>
      </c>
      <c r="F58" s="327">
        <v>3</v>
      </c>
      <c r="G58" s="329" t="s">
        <v>419</v>
      </c>
      <c r="H58" s="323"/>
      <c r="I58" s="743"/>
      <c r="J58" s="744"/>
      <c r="K58" s="745"/>
      <c r="L58" s="16"/>
      <c r="M58" s="16"/>
      <c r="N58" s="16"/>
      <c r="O58" s="16"/>
      <c r="P58" s="16"/>
      <c r="Q58" s="16"/>
      <c r="R58" s="16"/>
      <c r="S58" s="16"/>
      <c r="T58" s="16"/>
      <c r="U58" s="16"/>
      <c r="V58" s="16"/>
      <c r="W58" s="16"/>
      <c r="X58" s="16"/>
      <c r="Y58" s="16"/>
      <c r="Z58" s="16"/>
      <c r="AA58" s="16"/>
      <c r="AB58" s="16"/>
    </row>
    <row r="59" spans="1:58" ht="15.75" customHeight="1">
      <c r="A59" s="323" t="s">
        <v>1872</v>
      </c>
      <c r="B59" s="323">
        <v>10</v>
      </c>
      <c r="C59" s="323" t="s">
        <v>1881</v>
      </c>
      <c r="D59" s="312" t="s">
        <v>57</v>
      </c>
      <c r="E59" s="328">
        <v>2</v>
      </c>
      <c r="F59" s="327">
        <v>3</v>
      </c>
      <c r="G59" s="329" t="s">
        <v>419</v>
      </c>
      <c r="H59" s="323" t="s">
        <v>1882</v>
      </c>
      <c r="I59" s="743"/>
      <c r="J59" s="744"/>
      <c r="K59" s="745"/>
      <c r="L59" s="16"/>
      <c r="M59" s="16"/>
      <c r="N59" s="16"/>
      <c r="O59" s="16"/>
      <c r="P59" s="16"/>
      <c r="Q59" s="16"/>
      <c r="R59" s="16"/>
      <c r="S59" s="16"/>
      <c r="T59" s="16"/>
      <c r="U59" s="16"/>
      <c r="V59" s="16"/>
      <c r="W59" s="16"/>
      <c r="X59" s="16"/>
      <c r="Y59" s="16"/>
      <c r="Z59" s="16"/>
      <c r="AA59" s="16"/>
      <c r="AB59" s="16"/>
    </row>
    <row r="60" spans="1:58" ht="15.75" customHeight="1">
      <c r="A60" s="323" t="s">
        <v>1874</v>
      </c>
      <c r="B60" s="323">
        <v>10</v>
      </c>
      <c r="C60" s="328" t="s">
        <v>1881</v>
      </c>
      <c r="D60" s="328" t="s">
        <v>57</v>
      </c>
      <c r="E60" s="328">
        <v>0</v>
      </c>
      <c r="F60" s="327">
        <v>0</v>
      </c>
      <c r="G60" s="329" t="s">
        <v>471</v>
      </c>
      <c r="H60" s="323"/>
      <c r="I60" s="743"/>
      <c r="J60" s="744"/>
      <c r="K60" s="745"/>
      <c r="L60" s="16"/>
      <c r="M60" s="16"/>
      <c r="N60" s="16"/>
      <c r="O60" s="16"/>
      <c r="P60" s="16"/>
      <c r="Q60" s="16"/>
      <c r="R60" s="16"/>
      <c r="S60" s="16"/>
      <c r="T60" s="16"/>
      <c r="U60" s="16"/>
      <c r="V60" s="16"/>
      <c r="W60" s="16"/>
      <c r="X60" s="16"/>
      <c r="Y60" s="16"/>
      <c r="Z60" s="16"/>
      <c r="AA60" s="16"/>
      <c r="AB60" s="16"/>
    </row>
    <row r="61" spans="1:58" ht="15.75" customHeight="1" thickBot="1">
      <c r="A61" s="231"/>
      <c r="B61" s="326"/>
      <c r="C61" s="245"/>
      <c r="D61" s="245"/>
      <c r="E61" s="261"/>
      <c r="F61" s="261"/>
      <c r="G61" s="263"/>
      <c r="H61" s="231"/>
      <c r="I61" s="746"/>
      <c r="J61" s="747"/>
      <c r="K61" s="748"/>
      <c r="L61" s="16"/>
      <c r="M61" s="16"/>
      <c r="N61" s="16"/>
      <c r="O61" s="16"/>
      <c r="P61" s="16"/>
      <c r="Q61" s="16"/>
      <c r="R61" s="16"/>
      <c r="S61" s="16"/>
      <c r="T61" s="16"/>
      <c r="U61" s="16"/>
      <c r="V61" s="16"/>
      <c r="W61" s="16"/>
      <c r="X61" s="16"/>
      <c r="Y61" s="16"/>
      <c r="Z61" s="16"/>
      <c r="AA61" s="16"/>
      <c r="AB61" s="16"/>
    </row>
    <row r="62" spans="1:58" ht="15.75" customHeight="1" thickTop="1">
      <c r="A62" s="15"/>
      <c r="B62" s="16"/>
      <c r="C62" s="16"/>
      <c r="D62" s="16"/>
      <c r="E62" s="16"/>
      <c r="F62" s="16"/>
      <c r="G62" s="16"/>
      <c r="H62" s="16"/>
      <c r="I62" s="16"/>
      <c r="J62" s="16"/>
      <c r="K62" s="16"/>
      <c r="L62" s="16"/>
      <c r="M62" s="16"/>
      <c r="N62" s="16"/>
      <c r="O62" s="16"/>
      <c r="P62" s="16"/>
      <c r="Q62" s="16"/>
      <c r="R62" s="16"/>
      <c r="S62" s="16"/>
      <c r="T62" s="16"/>
      <c r="U62" s="16"/>
      <c r="V62" s="16"/>
      <c r="W62" s="16"/>
      <c r="X62" s="16"/>
      <c r="Y62" s="16"/>
      <c r="Z62" s="16"/>
      <c r="AA62" s="16"/>
      <c r="AB62" s="16"/>
      <c r="AC62" s="16"/>
      <c r="AD62" s="16"/>
    </row>
    <row r="63" spans="1:58" ht="15.75" customHeight="1">
      <c r="A63" s="15"/>
      <c r="B63" s="16"/>
      <c r="C63" s="16"/>
      <c r="D63" s="16"/>
      <c r="E63" s="16"/>
      <c r="F63" s="16"/>
      <c r="G63" s="16"/>
      <c r="H63" s="16"/>
      <c r="I63" s="16"/>
      <c r="J63" s="16"/>
      <c r="K63" s="16"/>
      <c r="L63" s="16"/>
      <c r="M63" s="16"/>
      <c r="N63" s="16"/>
      <c r="O63" s="16"/>
      <c r="P63" s="16"/>
      <c r="Q63" s="16"/>
      <c r="W63" s="16"/>
      <c r="X63" s="16"/>
      <c r="Y63" s="16"/>
      <c r="Z63" s="16"/>
      <c r="AA63" s="16"/>
      <c r="AB63" s="16"/>
      <c r="AC63" s="16"/>
      <c r="AD63" s="16"/>
    </row>
    <row r="64" spans="1:58" ht="15.75" customHeight="1" thickBot="1">
      <c r="A64" s="186" t="s">
        <v>475</v>
      </c>
      <c r="B64" s="231"/>
      <c r="C64" s="231"/>
      <c r="D64" s="231"/>
      <c r="E64" s="231"/>
      <c r="F64" s="231"/>
      <c r="G64" s="231"/>
      <c r="H64" s="231"/>
      <c r="I64" s="231"/>
      <c r="J64" s="231"/>
      <c r="K64" s="16"/>
      <c r="L64" s="16"/>
      <c r="M64" s="16"/>
      <c r="N64" s="16"/>
      <c r="O64" s="16"/>
      <c r="P64" s="16"/>
      <c r="Q64" s="16"/>
      <c r="W64" s="16"/>
      <c r="X64" s="16"/>
      <c r="Y64" s="16"/>
      <c r="Z64" s="16"/>
      <c r="AA64" s="16"/>
      <c r="AB64" s="16"/>
      <c r="AC64" s="16"/>
      <c r="AD64" s="16"/>
    </row>
    <row r="65" spans="1:28" ht="15.75" customHeight="1" thickTop="1" thickBot="1">
      <c r="A65" s="230" t="s">
        <v>476</v>
      </c>
      <c r="B65" s="230" t="s">
        <v>477</v>
      </c>
      <c r="C65" s="230" t="s">
        <v>478</v>
      </c>
      <c r="D65" s="230" t="s">
        <v>479</v>
      </c>
      <c r="E65" s="230" t="s">
        <v>480</v>
      </c>
      <c r="F65" s="230" t="s">
        <v>481</v>
      </c>
      <c r="G65" s="230" t="s">
        <v>482</v>
      </c>
      <c r="H65" s="230" t="s">
        <v>453</v>
      </c>
      <c r="I65" s="230" t="s">
        <v>483</v>
      </c>
      <c r="J65" s="230" t="s">
        <v>484</v>
      </c>
      <c r="K65" s="721" t="s">
        <v>485</v>
      </c>
      <c r="L65" s="716"/>
      <c r="M65" s="722"/>
      <c r="N65" s="15"/>
      <c r="O65" s="16"/>
      <c r="P65" s="16"/>
      <c r="Q65" s="16"/>
      <c r="W65" s="16"/>
      <c r="X65" s="16"/>
      <c r="Y65" s="16"/>
      <c r="Z65" s="16"/>
      <c r="AA65" s="16"/>
      <c r="AB65" s="16"/>
    </row>
    <row r="66" spans="1:28" ht="15.75" customHeight="1" thickTop="1">
      <c r="A66" s="319" t="s">
        <v>1859</v>
      </c>
      <c r="B66" s="319" t="s">
        <v>278</v>
      </c>
      <c r="C66" s="261">
        <v>42</v>
      </c>
      <c r="D66" s="261">
        <v>2</v>
      </c>
      <c r="E66" s="261">
        <v>3</v>
      </c>
      <c r="F66" s="261">
        <f t="shared" ref="F66:F97" si="2">E66*C66</f>
        <v>126</v>
      </c>
      <c r="G66" s="384" t="s">
        <v>1877</v>
      </c>
      <c r="H66" s="319" t="s">
        <v>57</v>
      </c>
      <c r="I66" s="339" t="s">
        <v>328</v>
      </c>
      <c r="J66" s="231"/>
      <c r="K66" s="594"/>
      <c r="L66" s="606"/>
      <c r="M66" s="595"/>
      <c r="N66" s="15"/>
      <c r="O66" s="16"/>
      <c r="P66" s="16"/>
      <c r="Q66" s="16"/>
      <c r="W66" s="16"/>
      <c r="X66" s="16"/>
      <c r="Y66" s="16"/>
      <c r="Z66" s="16"/>
      <c r="AA66" s="16"/>
      <c r="AB66" s="16"/>
    </row>
    <row r="67" spans="1:28" ht="15.75" customHeight="1">
      <c r="A67" s="319" t="s">
        <v>1859</v>
      </c>
      <c r="B67" s="319" t="s">
        <v>282</v>
      </c>
      <c r="C67" s="261">
        <v>30</v>
      </c>
      <c r="D67" s="261">
        <v>1</v>
      </c>
      <c r="E67" s="261">
        <v>3</v>
      </c>
      <c r="F67" s="261">
        <f t="shared" si="2"/>
        <v>90</v>
      </c>
      <c r="G67" s="409" t="s">
        <v>1877</v>
      </c>
      <c r="H67" s="319" t="s">
        <v>57</v>
      </c>
      <c r="I67" s="339" t="s">
        <v>328</v>
      </c>
      <c r="J67" s="231" t="s">
        <v>1883</v>
      </c>
      <c r="K67" s="596"/>
      <c r="L67" s="589"/>
      <c r="M67" s="597"/>
      <c r="N67" s="15"/>
      <c r="O67" s="16"/>
      <c r="P67" s="16"/>
      <c r="Q67" s="16"/>
      <c r="W67" s="16"/>
      <c r="X67" s="16"/>
      <c r="Y67" s="16"/>
      <c r="Z67" s="16"/>
      <c r="AA67" s="16"/>
      <c r="AB67" s="16"/>
    </row>
    <row r="68" spans="1:28" ht="15.75" customHeight="1">
      <c r="A68" s="319" t="s">
        <v>1860</v>
      </c>
      <c r="B68" s="319" t="s">
        <v>278</v>
      </c>
      <c r="C68" s="261">
        <v>42</v>
      </c>
      <c r="D68" s="261">
        <v>1</v>
      </c>
      <c r="E68" s="261">
        <v>1.5</v>
      </c>
      <c r="F68" s="261">
        <f t="shared" si="2"/>
        <v>63</v>
      </c>
      <c r="G68" s="409" t="s">
        <v>1878</v>
      </c>
      <c r="H68" s="319" t="s">
        <v>57</v>
      </c>
      <c r="I68" s="339" t="s">
        <v>328</v>
      </c>
      <c r="J68" s="231"/>
      <c r="K68" s="596"/>
      <c r="L68" s="589"/>
      <c r="M68" s="597"/>
      <c r="N68" s="15"/>
      <c r="O68" s="16"/>
      <c r="P68" s="16"/>
      <c r="Q68" s="16"/>
      <c r="W68" s="16"/>
      <c r="X68" s="16"/>
      <c r="Y68" s="16"/>
      <c r="Z68" s="16"/>
      <c r="AA68" s="16"/>
      <c r="AB68" s="16"/>
    </row>
    <row r="69" spans="1:28" ht="15.75" customHeight="1">
      <c r="A69" s="319" t="s">
        <v>1860</v>
      </c>
      <c r="B69" s="319" t="s">
        <v>278</v>
      </c>
      <c r="C69" s="261">
        <v>42</v>
      </c>
      <c r="D69" s="261">
        <v>1</v>
      </c>
      <c r="E69" s="261">
        <v>1.5</v>
      </c>
      <c r="F69" s="261">
        <f t="shared" si="2"/>
        <v>63</v>
      </c>
      <c r="G69" s="409" t="s">
        <v>570</v>
      </c>
      <c r="H69" s="319" t="s">
        <v>55</v>
      </c>
      <c r="I69" s="339">
        <v>0</v>
      </c>
      <c r="J69" s="231"/>
      <c r="K69" s="596"/>
      <c r="L69" s="589"/>
      <c r="M69" s="597"/>
      <c r="N69" s="15"/>
      <c r="O69" s="16"/>
      <c r="P69" s="16"/>
      <c r="Q69" s="16"/>
      <c r="W69" s="16"/>
      <c r="X69" s="16"/>
      <c r="Y69" s="16"/>
      <c r="Z69" s="16"/>
      <c r="AA69" s="16"/>
      <c r="AB69" s="16"/>
    </row>
    <row r="70" spans="1:28" ht="15.75" customHeight="1">
      <c r="A70" s="319" t="s">
        <v>1884</v>
      </c>
      <c r="B70" s="319" t="s">
        <v>287</v>
      </c>
      <c r="C70" s="261">
        <v>22</v>
      </c>
      <c r="D70" s="261">
        <v>1</v>
      </c>
      <c r="E70" s="261">
        <v>3</v>
      </c>
      <c r="F70" s="261">
        <f t="shared" si="2"/>
        <v>66</v>
      </c>
      <c r="G70" s="409" t="s">
        <v>570</v>
      </c>
      <c r="H70" s="319" t="s">
        <v>55</v>
      </c>
      <c r="I70" s="339"/>
      <c r="J70" s="231"/>
      <c r="K70" s="596"/>
      <c r="L70" s="589"/>
      <c r="M70" s="597"/>
      <c r="N70" s="15"/>
      <c r="O70" s="16"/>
      <c r="P70" s="16"/>
      <c r="Q70" s="16"/>
      <c r="W70" s="16"/>
      <c r="X70" s="16"/>
      <c r="Y70" s="16"/>
      <c r="Z70" s="16"/>
      <c r="AA70" s="16"/>
      <c r="AB70" s="16"/>
    </row>
    <row r="71" spans="1:28" ht="15.75" customHeight="1">
      <c r="A71" s="319" t="s">
        <v>1885</v>
      </c>
      <c r="B71" s="319" t="s">
        <v>287</v>
      </c>
      <c r="C71" s="261">
        <v>42</v>
      </c>
      <c r="D71" s="261">
        <v>2</v>
      </c>
      <c r="E71" s="261">
        <v>3</v>
      </c>
      <c r="F71" s="261">
        <f t="shared" si="2"/>
        <v>126</v>
      </c>
      <c r="G71" s="409" t="s">
        <v>570</v>
      </c>
      <c r="H71" s="319" t="s">
        <v>55</v>
      </c>
      <c r="I71" s="339" t="s">
        <v>328</v>
      </c>
      <c r="J71" s="231"/>
      <c r="K71" s="596"/>
      <c r="L71" s="589"/>
      <c r="M71" s="597"/>
      <c r="N71" s="15"/>
      <c r="O71" s="16"/>
      <c r="P71" s="16"/>
      <c r="Q71" s="16"/>
      <c r="W71" s="16"/>
      <c r="X71" s="16"/>
      <c r="Y71" s="16"/>
      <c r="Z71" s="16"/>
      <c r="AA71" s="16"/>
      <c r="AB71" s="16"/>
    </row>
    <row r="72" spans="1:28" ht="15.75" customHeight="1">
      <c r="A72" s="319" t="s">
        <v>1886</v>
      </c>
      <c r="B72" s="319" t="s">
        <v>287</v>
      </c>
      <c r="C72" s="261">
        <v>22</v>
      </c>
      <c r="D72" s="261">
        <v>1</v>
      </c>
      <c r="E72" s="261">
        <v>3</v>
      </c>
      <c r="F72" s="261">
        <f t="shared" si="2"/>
        <v>66</v>
      </c>
      <c r="G72" s="409" t="s">
        <v>570</v>
      </c>
      <c r="H72" s="319" t="s">
        <v>55</v>
      </c>
      <c r="I72" s="339" t="s">
        <v>328</v>
      </c>
      <c r="J72" s="231"/>
      <c r="K72" s="596"/>
      <c r="L72" s="589"/>
      <c r="M72" s="597"/>
      <c r="N72" s="15"/>
      <c r="O72" s="16"/>
      <c r="P72" s="16"/>
      <c r="Q72" s="16"/>
      <c r="W72" s="16"/>
      <c r="X72" s="16"/>
      <c r="Y72" s="16"/>
      <c r="Z72" s="16"/>
      <c r="AA72" s="16"/>
      <c r="AB72" s="16"/>
    </row>
    <row r="73" spans="1:28" ht="15.75" customHeight="1">
      <c r="A73" s="319" t="s">
        <v>1887</v>
      </c>
      <c r="B73" s="319" t="s">
        <v>287</v>
      </c>
      <c r="C73" s="261">
        <v>42</v>
      </c>
      <c r="D73" s="261">
        <v>2</v>
      </c>
      <c r="E73" s="261">
        <v>3</v>
      </c>
      <c r="F73" s="261">
        <f t="shared" si="2"/>
        <v>126</v>
      </c>
      <c r="G73" s="409" t="s">
        <v>570</v>
      </c>
      <c r="H73" s="319" t="s">
        <v>55</v>
      </c>
      <c r="I73" s="339" t="s">
        <v>328</v>
      </c>
      <c r="J73" s="231"/>
      <c r="K73" s="596"/>
      <c r="L73" s="589"/>
      <c r="M73" s="597"/>
      <c r="N73" s="15"/>
      <c r="O73" s="16"/>
      <c r="P73" s="16"/>
      <c r="Q73" s="16"/>
      <c r="W73" s="16"/>
      <c r="X73" s="16"/>
      <c r="Y73" s="16"/>
      <c r="Z73" s="16"/>
      <c r="AA73" s="16"/>
      <c r="AB73" s="16"/>
    </row>
    <row r="74" spans="1:28" ht="15.75" customHeight="1">
      <c r="A74" s="319" t="s">
        <v>1888</v>
      </c>
      <c r="B74" s="319" t="s">
        <v>287</v>
      </c>
      <c r="C74" s="261">
        <v>22</v>
      </c>
      <c r="D74" s="261">
        <v>1</v>
      </c>
      <c r="E74" s="261">
        <v>3</v>
      </c>
      <c r="F74" s="261">
        <f t="shared" si="2"/>
        <v>66</v>
      </c>
      <c r="G74" s="409" t="s">
        <v>570</v>
      </c>
      <c r="H74" s="319" t="s">
        <v>55</v>
      </c>
      <c r="I74" s="339" t="s">
        <v>328</v>
      </c>
      <c r="J74" s="231"/>
      <c r="K74" s="596"/>
      <c r="L74" s="589"/>
      <c r="M74" s="597"/>
      <c r="N74" s="15"/>
      <c r="O74" s="16"/>
      <c r="P74" s="16"/>
      <c r="Q74" s="16"/>
      <c r="W74" s="16"/>
      <c r="X74" s="16"/>
      <c r="Y74" s="16"/>
      <c r="Z74" s="16"/>
      <c r="AA74" s="16"/>
      <c r="AB74" s="16"/>
    </row>
    <row r="75" spans="1:28" ht="15.75" customHeight="1">
      <c r="A75" s="319" t="s">
        <v>1889</v>
      </c>
      <c r="B75" s="319" t="s">
        <v>287</v>
      </c>
      <c r="C75" s="261">
        <v>42</v>
      </c>
      <c r="D75" s="261">
        <v>1</v>
      </c>
      <c r="E75" s="261">
        <v>1.5</v>
      </c>
      <c r="F75" s="261">
        <f t="shared" si="2"/>
        <v>63</v>
      </c>
      <c r="G75" s="409" t="s">
        <v>570</v>
      </c>
      <c r="H75" s="319" t="s">
        <v>55</v>
      </c>
      <c r="I75" s="339" t="s">
        <v>328</v>
      </c>
      <c r="J75" s="231"/>
      <c r="K75" s="596"/>
      <c r="L75" s="589"/>
      <c r="M75" s="597"/>
      <c r="N75" s="15"/>
      <c r="O75" s="16"/>
      <c r="P75" s="16"/>
      <c r="Q75" s="16"/>
      <c r="W75" s="16"/>
      <c r="X75" s="16"/>
      <c r="Y75" s="16"/>
      <c r="Z75" s="16"/>
      <c r="AA75" s="16"/>
      <c r="AB75" s="16"/>
    </row>
    <row r="76" spans="1:28" ht="15.75" customHeight="1">
      <c r="A76" s="319" t="s">
        <v>1890</v>
      </c>
      <c r="B76" s="319" t="s">
        <v>287</v>
      </c>
      <c r="C76" s="261">
        <v>0</v>
      </c>
      <c r="D76" s="261">
        <v>0</v>
      </c>
      <c r="E76" s="261">
        <v>0</v>
      </c>
      <c r="F76" s="261">
        <f t="shared" si="2"/>
        <v>0</v>
      </c>
      <c r="G76" s="409" t="s">
        <v>570</v>
      </c>
      <c r="H76" s="319" t="s">
        <v>55</v>
      </c>
      <c r="I76" s="339" t="s">
        <v>328</v>
      </c>
      <c r="J76" s="231"/>
      <c r="K76" s="596"/>
      <c r="L76" s="589"/>
      <c r="M76" s="597"/>
      <c r="N76" s="15"/>
      <c r="O76" s="16"/>
      <c r="P76" s="16"/>
      <c r="Q76" s="16"/>
      <c r="W76" s="16"/>
      <c r="X76" s="16"/>
      <c r="Y76" s="16"/>
      <c r="Z76" s="16"/>
      <c r="AA76" s="16"/>
      <c r="AB76" s="16"/>
    </row>
    <row r="77" spans="1:28" ht="15.75" customHeight="1">
      <c r="A77" s="319" t="s">
        <v>1891</v>
      </c>
      <c r="B77" s="319" t="s">
        <v>287</v>
      </c>
      <c r="C77" s="261">
        <v>42</v>
      </c>
      <c r="D77" s="261">
        <v>2</v>
      </c>
      <c r="E77" s="261">
        <v>3</v>
      </c>
      <c r="F77" s="261">
        <f t="shared" si="2"/>
        <v>126</v>
      </c>
      <c r="G77" s="409" t="s">
        <v>570</v>
      </c>
      <c r="H77" s="319" t="s">
        <v>55</v>
      </c>
      <c r="I77" s="339" t="s">
        <v>328</v>
      </c>
      <c r="J77" s="231"/>
      <c r="K77" s="596"/>
      <c r="L77" s="589"/>
      <c r="M77" s="597"/>
      <c r="N77" s="15"/>
      <c r="O77" s="16"/>
      <c r="P77" s="16"/>
      <c r="Q77" s="16"/>
      <c r="W77" s="16"/>
      <c r="X77" s="16"/>
      <c r="Y77" s="16"/>
      <c r="Z77" s="16"/>
      <c r="AA77" s="16"/>
      <c r="AB77" s="16"/>
    </row>
    <row r="78" spans="1:28" ht="15.75" customHeight="1">
      <c r="A78" s="319" t="s">
        <v>1892</v>
      </c>
      <c r="B78" s="319" t="s">
        <v>287</v>
      </c>
      <c r="C78" s="261">
        <v>22</v>
      </c>
      <c r="D78" s="261">
        <v>1</v>
      </c>
      <c r="E78" s="261">
        <v>3</v>
      </c>
      <c r="F78" s="261">
        <f t="shared" si="2"/>
        <v>66</v>
      </c>
      <c r="G78" s="409" t="s">
        <v>570</v>
      </c>
      <c r="H78" s="319" t="s">
        <v>55</v>
      </c>
      <c r="I78" s="339" t="s">
        <v>328</v>
      </c>
      <c r="J78" s="231"/>
      <c r="K78" s="596"/>
      <c r="L78" s="589"/>
      <c r="M78" s="597"/>
      <c r="N78" s="15"/>
      <c r="O78" s="16"/>
      <c r="P78" s="16"/>
      <c r="Q78" s="16"/>
      <c r="W78" s="16"/>
      <c r="X78" s="16"/>
      <c r="Y78" s="16"/>
      <c r="Z78" s="16"/>
      <c r="AA78" s="16"/>
      <c r="AB78" s="16"/>
    </row>
    <row r="79" spans="1:28" ht="15.75" customHeight="1">
      <c r="A79" s="319" t="s">
        <v>1893</v>
      </c>
      <c r="B79" s="319" t="s">
        <v>287</v>
      </c>
      <c r="C79" s="261">
        <v>42</v>
      </c>
      <c r="D79" s="261">
        <v>2</v>
      </c>
      <c r="E79" s="261">
        <v>1.5</v>
      </c>
      <c r="F79" s="261">
        <f t="shared" si="2"/>
        <v>63</v>
      </c>
      <c r="G79" s="409" t="s">
        <v>570</v>
      </c>
      <c r="H79" s="319" t="s">
        <v>55</v>
      </c>
      <c r="I79" s="339" t="s">
        <v>328</v>
      </c>
      <c r="J79" s="231"/>
      <c r="K79" s="596"/>
      <c r="L79" s="589"/>
      <c r="M79" s="597"/>
      <c r="N79" s="15"/>
      <c r="O79" s="16"/>
      <c r="P79" s="16"/>
      <c r="Q79" s="16"/>
      <c r="W79" s="16"/>
      <c r="X79" s="16"/>
      <c r="Y79" s="16"/>
      <c r="Z79" s="16"/>
      <c r="AA79" s="16"/>
      <c r="AB79" s="16"/>
    </row>
    <row r="80" spans="1:28" ht="15.75" customHeight="1">
      <c r="A80" s="319" t="s">
        <v>1894</v>
      </c>
      <c r="B80" s="319" t="s">
        <v>287</v>
      </c>
      <c r="C80" s="261">
        <v>22</v>
      </c>
      <c r="D80" s="261">
        <v>1</v>
      </c>
      <c r="E80" s="261">
        <v>3</v>
      </c>
      <c r="F80" s="261">
        <f t="shared" si="2"/>
        <v>66</v>
      </c>
      <c r="G80" s="409" t="s">
        <v>570</v>
      </c>
      <c r="H80" s="319" t="s">
        <v>55</v>
      </c>
      <c r="I80" s="339" t="s">
        <v>328</v>
      </c>
      <c r="J80" s="231"/>
      <c r="K80" s="596"/>
      <c r="L80" s="589"/>
      <c r="M80" s="597"/>
      <c r="N80" s="15"/>
      <c r="O80" s="16"/>
      <c r="P80" s="16"/>
      <c r="Q80" s="16"/>
      <c r="W80" s="16"/>
      <c r="X80" s="16"/>
      <c r="Y80" s="16"/>
      <c r="Z80" s="16"/>
      <c r="AA80" s="16"/>
      <c r="AB80" s="16"/>
    </row>
    <row r="81" spans="1:28" ht="15.75" customHeight="1">
      <c r="A81" s="319" t="s">
        <v>1895</v>
      </c>
      <c r="B81" s="319" t="s">
        <v>287</v>
      </c>
      <c r="C81" s="261">
        <v>42</v>
      </c>
      <c r="D81" s="261">
        <v>1</v>
      </c>
      <c r="E81" s="261">
        <v>1.5</v>
      </c>
      <c r="F81" s="261">
        <f t="shared" si="2"/>
        <v>63</v>
      </c>
      <c r="G81" s="409" t="s">
        <v>570</v>
      </c>
      <c r="H81" s="319" t="s">
        <v>55</v>
      </c>
      <c r="I81" s="339"/>
      <c r="J81" s="231"/>
      <c r="K81" s="596"/>
      <c r="L81" s="589"/>
      <c r="M81" s="597"/>
      <c r="N81" s="15"/>
      <c r="O81" s="16"/>
      <c r="P81" s="16"/>
      <c r="Q81" s="16"/>
      <c r="W81" s="16"/>
      <c r="X81" s="16"/>
      <c r="Y81" s="16"/>
      <c r="Z81" s="16"/>
      <c r="AA81" s="16"/>
      <c r="AB81" s="16"/>
    </row>
    <row r="82" spans="1:28" ht="15.75" customHeight="1">
      <c r="A82" s="319" t="s">
        <v>1896</v>
      </c>
      <c r="B82" s="319" t="s">
        <v>287</v>
      </c>
      <c r="C82" s="261">
        <v>22</v>
      </c>
      <c r="D82" s="261">
        <v>2</v>
      </c>
      <c r="E82" s="261">
        <v>3</v>
      </c>
      <c r="F82" s="261">
        <f t="shared" si="2"/>
        <v>66</v>
      </c>
      <c r="G82" s="409" t="s">
        <v>570</v>
      </c>
      <c r="H82" s="319" t="s">
        <v>55</v>
      </c>
      <c r="I82" s="339"/>
      <c r="J82" s="231"/>
      <c r="K82" s="596"/>
      <c r="L82" s="589"/>
      <c r="M82" s="597"/>
      <c r="N82" s="15"/>
      <c r="O82" s="16"/>
      <c r="P82" s="16"/>
      <c r="Q82" s="16"/>
      <c r="W82" s="16"/>
      <c r="X82" s="16"/>
      <c r="Y82" s="16"/>
      <c r="Z82" s="16"/>
      <c r="AA82" s="16"/>
      <c r="AB82" s="16"/>
    </row>
    <row r="83" spans="1:28" ht="15.75" customHeight="1">
      <c r="A83" s="319"/>
      <c r="B83" s="319"/>
      <c r="C83" s="261"/>
      <c r="D83" s="261"/>
      <c r="E83" s="261"/>
      <c r="F83" s="261"/>
      <c r="G83" s="409"/>
      <c r="H83" s="319"/>
      <c r="I83" s="339"/>
      <c r="J83" s="231"/>
      <c r="K83" s="596"/>
      <c r="L83" s="589"/>
      <c r="M83" s="597"/>
      <c r="N83" s="15"/>
      <c r="O83" s="16"/>
      <c r="P83" s="16"/>
      <c r="Q83" s="16"/>
      <c r="W83" s="16"/>
      <c r="X83" s="16"/>
      <c r="Y83" s="16"/>
      <c r="Z83" s="16"/>
      <c r="AA83" s="16"/>
      <c r="AB83" s="16"/>
    </row>
    <row r="84" spans="1:28" ht="15.75" customHeight="1">
      <c r="A84" s="319"/>
      <c r="B84" s="319"/>
      <c r="C84" s="261"/>
      <c r="D84" s="261"/>
      <c r="E84" s="261"/>
      <c r="F84" s="261"/>
      <c r="G84" s="409"/>
      <c r="H84" s="319"/>
      <c r="I84" s="339">
        <v>0</v>
      </c>
      <c r="J84" s="231"/>
      <c r="K84" s="596"/>
      <c r="L84" s="589"/>
      <c r="M84" s="597"/>
      <c r="N84" s="15"/>
      <c r="O84" s="16"/>
      <c r="P84" s="16"/>
      <c r="Q84" s="16"/>
      <c r="W84" s="16"/>
      <c r="X84" s="16"/>
      <c r="Y84" s="16"/>
      <c r="Z84" s="16"/>
      <c r="AA84" s="16"/>
      <c r="AB84" s="16"/>
    </row>
    <row r="85" spans="1:28" ht="15.75" customHeight="1">
      <c r="A85" s="319" t="s">
        <v>1854</v>
      </c>
      <c r="B85" s="319" t="s">
        <v>278</v>
      </c>
      <c r="C85" s="261">
        <v>42</v>
      </c>
      <c r="D85" s="261">
        <v>2</v>
      </c>
      <c r="E85" s="261">
        <v>3</v>
      </c>
      <c r="F85" s="261">
        <f t="shared" si="2"/>
        <v>126</v>
      </c>
      <c r="G85" s="409" t="s">
        <v>1878</v>
      </c>
      <c r="H85" s="319" t="s">
        <v>57</v>
      </c>
      <c r="I85" s="339" t="s">
        <v>328</v>
      </c>
      <c r="J85" s="231"/>
      <c r="K85" s="596"/>
      <c r="L85" s="589"/>
      <c r="M85" s="597"/>
      <c r="N85" s="15"/>
      <c r="O85" s="16"/>
      <c r="P85" s="16"/>
      <c r="Q85" s="16"/>
      <c r="W85" s="16"/>
      <c r="X85" s="16"/>
      <c r="Y85" s="16"/>
      <c r="Z85" s="16"/>
      <c r="AA85" s="16"/>
      <c r="AB85" s="16"/>
    </row>
    <row r="86" spans="1:28" ht="15.75" customHeight="1">
      <c r="A86" s="319" t="s">
        <v>1854</v>
      </c>
      <c r="B86" s="319" t="s">
        <v>282</v>
      </c>
      <c r="C86" s="261">
        <v>30</v>
      </c>
      <c r="D86" s="261">
        <v>1</v>
      </c>
      <c r="E86" s="261">
        <v>3</v>
      </c>
      <c r="F86" s="261">
        <f t="shared" si="2"/>
        <v>90</v>
      </c>
      <c r="G86" s="409" t="s">
        <v>1878</v>
      </c>
      <c r="H86" s="319" t="s">
        <v>57</v>
      </c>
      <c r="I86" s="339" t="s">
        <v>328</v>
      </c>
      <c r="J86" s="231"/>
      <c r="K86" s="596"/>
      <c r="L86" s="589"/>
      <c r="M86" s="597"/>
      <c r="N86" s="15"/>
      <c r="O86" s="16"/>
      <c r="P86" s="16"/>
      <c r="Q86" s="16"/>
      <c r="W86" s="16"/>
      <c r="X86" s="16"/>
      <c r="Y86" s="16"/>
      <c r="Z86" s="16"/>
      <c r="AA86" s="16"/>
      <c r="AB86" s="16"/>
    </row>
    <row r="87" spans="1:28" ht="15.75" customHeight="1">
      <c r="A87" s="319" t="s">
        <v>1897</v>
      </c>
      <c r="B87" s="319" t="s">
        <v>287</v>
      </c>
      <c r="C87" s="261">
        <v>42</v>
      </c>
      <c r="D87" s="261">
        <v>2</v>
      </c>
      <c r="E87" s="261">
        <v>3</v>
      </c>
      <c r="F87" s="261">
        <f t="shared" si="2"/>
        <v>126</v>
      </c>
      <c r="G87" s="409" t="s">
        <v>570</v>
      </c>
      <c r="H87" s="319" t="s">
        <v>55</v>
      </c>
      <c r="I87" s="339" t="s">
        <v>328</v>
      </c>
      <c r="J87" s="231"/>
      <c r="K87" s="596"/>
      <c r="L87" s="589"/>
      <c r="M87" s="597"/>
      <c r="N87" s="15"/>
      <c r="O87" s="16"/>
      <c r="P87" s="16"/>
      <c r="Q87" s="16"/>
      <c r="W87" s="16"/>
      <c r="X87" s="16"/>
      <c r="Y87" s="16"/>
      <c r="Z87" s="16"/>
      <c r="AA87" s="16"/>
      <c r="AB87" s="16"/>
    </row>
    <row r="88" spans="1:28" ht="15.75" customHeight="1">
      <c r="A88" s="319" t="s">
        <v>1898</v>
      </c>
      <c r="B88" s="319" t="s">
        <v>287</v>
      </c>
      <c r="C88" s="261">
        <v>10</v>
      </c>
      <c r="D88" s="261">
        <v>1</v>
      </c>
      <c r="E88" s="261">
        <v>3</v>
      </c>
      <c r="F88" s="261">
        <f t="shared" si="2"/>
        <v>30</v>
      </c>
      <c r="G88" s="409" t="s">
        <v>570</v>
      </c>
      <c r="H88" s="319" t="s">
        <v>55</v>
      </c>
      <c r="I88" s="339" t="s">
        <v>328</v>
      </c>
      <c r="J88" s="231"/>
      <c r="K88" s="596"/>
      <c r="L88" s="589"/>
      <c r="M88" s="597"/>
      <c r="N88" s="15"/>
      <c r="O88" s="16"/>
      <c r="P88" s="16"/>
      <c r="Q88" s="16"/>
      <c r="W88" s="16"/>
      <c r="X88" s="16"/>
      <c r="Y88" s="16"/>
      <c r="Z88" s="16"/>
      <c r="AA88" s="16"/>
      <c r="AB88" s="16"/>
    </row>
    <row r="89" spans="1:28" ht="15.75" customHeight="1">
      <c r="A89" s="231"/>
      <c r="B89" s="319"/>
      <c r="C89" s="261"/>
      <c r="D89" s="261"/>
      <c r="E89" s="261"/>
      <c r="F89" s="261"/>
      <c r="G89" s="384"/>
      <c r="H89" s="319"/>
      <c r="I89" s="339">
        <v>0</v>
      </c>
      <c r="J89" s="231"/>
      <c r="K89" s="596"/>
      <c r="L89" s="589"/>
      <c r="M89" s="597"/>
      <c r="N89" s="15"/>
      <c r="O89" s="16"/>
      <c r="P89" s="16"/>
      <c r="Q89" s="16"/>
      <c r="W89" s="16"/>
      <c r="X89" s="16"/>
      <c r="Y89" s="16"/>
      <c r="Z89" s="16"/>
      <c r="AA89" s="16"/>
      <c r="AB89" s="16"/>
    </row>
    <row r="90" spans="1:28" ht="15.75" customHeight="1">
      <c r="A90" s="319" t="s">
        <v>1872</v>
      </c>
      <c r="B90" s="319" t="s">
        <v>278</v>
      </c>
      <c r="C90" s="261">
        <v>42</v>
      </c>
      <c r="D90" s="261">
        <v>2</v>
      </c>
      <c r="E90" s="261">
        <v>3</v>
      </c>
      <c r="F90" s="261">
        <f t="shared" si="2"/>
        <v>126</v>
      </c>
      <c r="G90" s="319" t="s">
        <v>1881</v>
      </c>
      <c r="H90" s="319" t="s">
        <v>145</v>
      </c>
      <c r="I90" s="403">
        <v>41.14</v>
      </c>
      <c r="J90" s="231" t="s">
        <v>1899</v>
      </c>
      <c r="K90" s="596"/>
      <c r="L90" s="589"/>
      <c r="M90" s="597"/>
      <c r="N90" s="15"/>
      <c r="O90" s="16"/>
      <c r="P90" s="16"/>
      <c r="Q90" s="16"/>
      <c r="W90" s="16"/>
      <c r="X90" s="16"/>
      <c r="Y90" s="16"/>
      <c r="Z90" s="16"/>
      <c r="AA90" s="16"/>
      <c r="AB90" s="16"/>
    </row>
    <row r="91" spans="1:28" ht="15.75" customHeight="1">
      <c r="A91" s="319" t="s">
        <v>1872</v>
      </c>
      <c r="B91" s="319" t="s">
        <v>282</v>
      </c>
      <c r="C91" s="261">
        <v>22</v>
      </c>
      <c r="D91" s="261">
        <v>1</v>
      </c>
      <c r="E91" s="261">
        <v>3</v>
      </c>
      <c r="F91" s="261">
        <f t="shared" si="2"/>
        <v>66</v>
      </c>
      <c r="G91" s="319" t="s">
        <v>1881</v>
      </c>
      <c r="H91" s="319" t="s">
        <v>145</v>
      </c>
      <c r="I91" s="403">
        <v>41.14</v>
      </c>
      <c r="J91" s="231" t="s">
        <v>1900</v>
      </c>
      <c r="K91" s="596"/>
      <c r="L91" s="589"/>
      <c r="M91" s="597"/>
      <c r="N91" s="15"/>
      <c r="O91" s="16"/>
      <c r="P91" s="16"/>
      <c r="Q91" s="16"/>
      <c r="W91" s="16"/>
      <c r="X91" s="16"/>
      <c r="Y91" s="16"/>
      <c r="Z91" s="16"/>
      <c r="AA91" s="16"/>
      <c r="AB91" s="16"/>
    </row>
    <row r="92" spans="1:28" ht="15" customHeight="1">
      <c r="A92" s="319" t="s">
        <v>1874</v>
      </c>
      <c r="B92" s="319" t="s">
        <v>278</v>
      </c>
      <c r="C92" s="261">
        <v>0</v>
      </c>
      <c r="D92" s="261">
        <v>0</v>
      </c>
      <c r="E92" s="261">
        <v>0</v>
      </c>
      <c r="F92" s="261">
        <f t="shared" si="2"/>
        <v>0</v>
      </c>
      <c r="G92" s="319" t="s">
        <v>1881</v>
      </c>
      <c r="H92" s="319" t="s">
        <v>145</v>
      </c>
      <c r="I92" s="403">
        <v>41.14</v>
      </c>
      <c r="J92" s="231" t="s">
        <v>1901</v>
      </c>
      <c r="K92" s="596"/>
      <c r="L92" s="589"/>
      <c r="M92" s="597"/>
      <c r="N92" s="16"/>
      <c r="O92" s="16"/>
      <c r="P92" s="16"/>
      <c r="Q92" s="16"/>
      <c r="W92" s="16"/>
      <c r="X92" s="16"/>
      <c r="Y92" s="16"/>
      <c r="Z92" s="16"/>
      <c r="AA92" s="16"/>
      <c r="AB92" s="16"/>
    </row>
    <row r="93" spans="1:28" ht="15.75" customHeight="1">
      <c r="A93" s="319" t="s">
        <v>1874</v>
      </c>
      <c r="B93" s="319" t="s">
        <v>287</v>
      </c>
      <c r="C93" s="261">
        <v>0</v>
      </c>
      <c r="D93" s="261">
        <v>0</v>
      </c>
      <c r="E93" s="261">
        <v>0</v>
      </c>
      <c r="F93" s="261">
        <f t="shared" ref="F93" si="3">E93*C93</f>
        <v>0</v>
      </c>
      <c r="G93" s="319" t="s">
        <v>570</v>
      </c>
      <c r="H93" s="319" t="s">
        <v>55</v>
      </c>
      <c r="I93" s="339" t="s">
        <v>328</v>
      </c>
      <c r="J93" s="231" t="s">
        <v>1902</v>
      </c>
      <c r="K93" s="596"/>
      <c r="L93" s="589"/>
      <c r="M93" s="597"/>
      <c r="N93" s="16"/>
      <c r="O93" s="16"/>
      <c r="P93" s="16"/>
      <c r="Q93" s="16"/>
      <c r="W93" s="16"/>
      <c r="X93" s="16"/>
      <c r="Y93" s="16"/>
      <c r="Z93" s="16"/>
      <c r="AA93" s="16"/>
      <c r="AB93" s="16"/>
    </row>
    <row r="94" spans="1:28" ht="14.25" customHeight="1">
      <c r="A94" s="319" t="s">
        <v>1876</v>
      </c>
      <c r="B94" s="319" t="s">
        <v>287</v>
      </c>
      <c r="C94" s="261">
        <v>0</v>
      </c>
      <c r="D94" s="261">
        <v>0</v>
      </c>
      <c r="E94" s="261">
        <v>0</v>
      </c>
      <c r="F94" s="261">
        <v>0</v>
      </c>
      <c r="G94" s="319" t="s">
        <v>570</v>
      </c>
      <c r="H94" s="319" t="s">
        <v>55</v>
      </c>
      <c r="I94" s="339"/>
      <c r="J94" s="231"/>
      <c r="K94" s="596"/>
      <c r="L94" s="589"/>
      <c r="M94" s="597"/>
      <c r="N94" s="16"/>
      <c r="O94" s="16"/>
      <c r="P94" s="16"/>
      <c r="Q94" s="16"/>
      <c r="W94" s="16"/>
      <c r="X94" s="16"/>
      <c r="Y94" s="16"/>
      <c r="Z94" s="16"/>
      <c r="AA94" s="16"/>
      <c r="AB94" s="16"/>
    </row>
    <row r="95" spans="1:28" ht="15.75" customHeight="1">
      <c r="A95" s="231"/>
      <c r="B95" s="319"/>
      <c r="C95" s="232"/>
      <c r="D95" s="232"/>
      <c r="E95" s="261"/>
      <c r="F95" s="261"/>
      <c r="G95" s="231"/>
      <c r="H95" s="319"/>
      <c r="I95" s="339">
        <v>0</v>
      </c>
      <c r="J95" s="231"/>
      <c r="K95" s="596"/>
      <c r="L95" s="589"/>
      <c r="M95" s="597"/>
      <c r="N95" s="16"/>
      <c r="O95" s="16"/>
      <c r="P95" s="16"/>
      <c r="Q95" s="16"/>
      <c r="W95" s="16"/>
      <c r="X95" s="16"/>
      <c r="Y95" s="16"/>
      <c r="Z95" s="16"/>
      <c r="AA95" s="16"/>
      <c r="AB95" s="16"/>
    </row>
    <row r="96" spans="1:28" ht="15.75" customHeight="1">
      <c r="A96" s="231"/>
      <c r="B96" s="319"/>
      <c r="C96" s="245"/>
      <c r="D96" s="232"/>
      <c r="E96" s="261"/>
      <c r="F96" s="261"/>
      <c r="G96" s="263"/>
      <c r="H96" s="263"/>
      <c r="I96" s="403">
        <f t="shared" ref="I96:I97" si="4">IF(H96 = "PT-V","n/a",IF(H96 = "PT","n/a",IF(H96 = "RT","n/a",IF(OR(H96 = "Extern",H96 = "PT-ZZP"), "Please fill in", 0))))</f>
        <v>0</v>
      </c>
      <c r="J96" s="231"/>
      <c r="K96" s="596"/>
      <c r="L96" s="589"/>
      <c r="M96" s="597"/>
      <c r="N96" s="16"/>
      <c r="O96" s="16"/>
      <c r="P96" s="16"/>
      <c r="Q96" s="16"/>
      <c r="W96" s="16"/>
      <c r="X96" s="16"/>
      <c r="Y96" s="16"/>
      <c r="Z96" s="16"/>
      <c r="AA96" s="16"/>
      <c r="AB96" s="16"/>
    </row>
    <row r="97" spans="1:30" ht="15.75" customHeight="1">
      <c r="A97" s="231" t="s">
        <v>1903</v>
      </c>
      <c r="B97" s="319" t="s">
        <v>290</v>
      </c>
      <c r="C97" s="245">
        <v>42</v>
      </c>
      <c r="D97" s="232">
        <v>2</v>
      </c>
      <c r="E97" s="261">
        <v>2</v>
      </c>
      <c r="F97" s="261">
        <f t="shared" si="2"/>
        <v>84</v>
      </c>
      <c r="G97" s="263" t="s">
        <v>1877</v>
      </c>
      <c r="H97" s="263" t="s">
        <v>57</v>
      </c>
      <c r="I97" s="403" t="str">
        <f t="shared" si="4"/>
        <v>n/a</v>
      </c>
      <c r="J97" s="231"/>
      <c r="K97" s="596"/>
      <c r="L97" s="589"/>
      <c r="M97" s="597"/>
      <c r="N97" s="16"/>
      <c r="O97" s="16"/>
      <c r="P97" s="16"/>
      <c r="Q97" s="16"/>
      <c r="W97" s="16"/>
      <c r="X97" s="16"/>
      <c r="Y97" s="16"/>
      <c r="Z97" s="16"/>
      <c r="AA97" s="16"/>
      <c r="AB97" s="16"/>
    </row>
    <row r="98" spans="1:30" ht="15.75" customHeight="1" thickBot="1">
      <c r="A98" s="231"/>
      <c r="B98" s="319"/>
      <c r="C98" s="245"/>
      <c r="D98" s="232"/>
      <c r="E98" s="261"/>
      <c r="F98" s="262"/>
      <c r="G98" s="263"/>
      <c r="H98" s="263"/>
      <c r="I98" s="264"/>
      <c r="J98" s="231"/>
      <c r="K98" s="598"/>
      <c r="L98" s="607"/>
      <c r="M98" s="599"/>
      <c r="N98" s="16"/>
      <c r="O98" s="16"/>
      <c r="P98" s="16"/>
      <c r="Q98" s="16"/>
      <c r="W98" s="16"/>
      <c r="X98" s="16"/>
      <c r="Y98" s="16"/>
      <c r="Z98" s="16"/>
      <c r="AA98" s="16"/>
      <c r="AB98" s="16"/>
    </row>
    <row r="99" spans="1:30" ht="15.75" customHeight="1" thickTop="1">
      <c r="A99" s="16"/>
      <c r="B99" s="16"/>
      <c r="C99" s="16"/>
      <c r="D99" s="16"/>
      <c r="E99" s="16"/>
      <c r="F99" s="16"/>
      <c r="G99" s="16"/>
      <c r="H99" s="16"/>
      <c r="I99" s="16"/>
      <c r="J99" s="16"/>
      <c r="K99" s="16"/>
      <c r="L99" s="16"/>
      <c r="M99" s="16"/>
      <c r="N99" s="16"/>
      <c r="O99" s="16"/>
      <c r="P99" s="16"/>
      <c r="Q99" s="16"/>
      <c r="W99" s="16"/>
      <c r="X99" s="16"/>
      <c r="Y99" s="16"/>
      <c r="Z99" s="16"/>
      <c r="AA99" s="16"/>
      <c r="AB99" s="16"/>
      <c r="AC99" s="16"/>
      <c r="AD99" s="16"/>
    </row>
    <row r="100" spans="1:30" ht="15.75" customHeight="1" thickBot="1">
      <c r="A100" s="186" t="s">
        <v>499</v>
      </c>
      <c r="B100" s="231"/>
      <c r="C100" s="231"/>
      <c r="D100" s="231"/>
      <c r="E100" s="231"/>
      <c r="F100" s="231"/>
      <c r="G100" s="231"/>
      <c r="H100" s="231"/>
      <c r="I100" s="231"/>
      <c r="J100" s="231"/>
      <c r="K100" s="123"/>
      <c r="L100" s="123"/>
      <c r="M100" s="16"/>
      <c r="N100" s="16"/>
      <c r="O100" s="16"/>
      <c r="P100" s="16"/>
      <c r="Q100" s="16"/>
      <c r="W100" s="16"/>
      <c r="X100" s="16"/>
      <c r="Y100" s="16"/>
      <c r="Z100" s="16"/>
      <c r="AA100" s="16"/>
      <c r="AB100" s="16"/>
      <c r="AC100" s="16"/>
      <c r="AD100" s="16"/>
    </row>
    <row r="101" spans="1:30" ht="15.75" customHeight="1" thickTop="1" thickBot="1">
      <c r="A101" s="230" t="s">
        <v>476</v>
      </c>
      <c r="B101" s="230" t="s">
        <v>500</v>
      </c>
      <c r="C101" s="230" t="s">
        <v>501</v>
      </c>
      <c r="D101" s="230" t="s">
        <v>502</v>
      </c>
      <c r="E101" s="230" t="s">
        <v>503</v>
      </c>
      <c r="F101" s="230" t="s">
        <v>504</v>
      </c>
      <c r="G101" s="230" t="s">
        <v>505</v>
      </c>
      <c r="H101" s="230" t="s">
        <v>506</v>
      </c>
      <c r="I101" s="230" t="s">
        <v>507</v>
      </c>
      <c r="J101" s="230" t="s">
        <v>508</v>
      </c>
      <c r="K101" s="561" t="s">
        <v>441</v>
      </c>
      <c r="L101" s="561"/>
      <c r="M101" s="561"/>
      <c r="N101" s="561"/>
      <c r="O101" s="570"/>
      <c r="P101" s="726" t="s">
        <v>434</v>
      </c>
      <c r="Q101" s="727"/>
      <c r="R101" s="16"/>
      <c r="S101" s="16"/>
      <c r="V101" s="16"/>
      <c r="W101" s="16"/>
      <c r="X101" s="16"/>
      <c r="Y101" s="16"/>
      <c r="Z101" s="16"/>
      <c r="AA101" s="16"/>
    </row>
    <row r="102" spans="1:30" ht="15.75" customHeight="1" thickTop="1">
      <c r="A102" s="327" t="s">
        <v>1732</v>
      </c>
      <c r="B102" s="323" t="s">
        <v>256</v>
      </c>
      <c r="C102" s="323" t="s">
        <v>515</v>
      </c>
      <c r="D102" s="327">
        <v>3</v>
      </c>
      <c r="E102" s="328">
        <v>42</v>
      </c>
      <c r="F102" s="329">
        <f t="shared" ref="F102:F113" si="5">D102*E102</f>
        <v>126</v>
      </c>
      <c r="G102" s="328">
        <v>3.4</v>
      </c>
      <c r="H102" s="332">
        <f>IF($B102= "","-",IF($B102= "External","Specify location tariff", INDEX(Constants!$3:$3,MATCH($B102,Constants!$2:$2,0))))</f>
        <v>75</v>
      </c>
      <c r="I102" s="333">
        <f t="shared" ref="I102:I114" si="6">IF($H102="-","-",IF($H102="Specify location tariff","-",$H102*$F102))</f>
        <v>9450</v>
      </c>
      <c r="J102" s="247"/>
      <c r="K102" s="611"/>
      <c r="L102" s="611"/>
      <c r="M102" s="611"/>
      <c r="N102" s="611"/>
      <c r="O102" s="612"/>
      <c r="P102" s="564" t="s">
        <v>511</v>
      </c>
      <c r="Q102" s="565"/>
      <c r="R102" s="16"/>
      <c r="S102" s="16"/>
      <c r="V102" s="16"/>
      <c r="W102" s="16"/>
      <c r="X102" s="16"/>
      <c r="Y102" s="16"/>
      <c r="Z102" s="16"/>
      <c r="AA102" s="16"/>
    </row>
    <row r="103" spans="1:30" ht="15.75" customHeight="1">
      <c r="A103" s="323" t="s">
        <v>1904</v>
      </c>
      <c r="B103" s="323" t="s">
        <v>256</v>
      </c>
      <c r="C103" s="323" t="s">
        <v>512</v>
      </c>
      <c r="D103" s="327">
        <v>4.5</v>
      </c>
      <c r="E103" s="328">
        <v>42</v>
      </c>
      <c r="F103" s="329">
        <f t="shared" si="5"/>
        <v>189</v>
      </c>
      <c r="G103" s="328" t="s">
        <v>1905</v>
      </c>
      <c r="H103" s="332">
        <f>IF($B103= "","-",IF($B103= "External","Specify location tariff", INDEX(Constants!$3:$3,MATCH($B103,Constants!$2:$2,0))))</f>
        <v>75</v>
      </c>
      <c r="I103" s="333">
        <f t="shared" si="6"/>
        <v>14175</v>
      </c>
      <c r="J103" s="247"/>
      <c r="K103" s="562"/>
      <c r="L103" s="562"/>
      <c r="M103" s="562"/>
      <c r="N103" s="562"/>
      <c r="O103" s="614"/>
      <c r="P103" s="566"/>
      <c r="Q103" s="567"/>
      <c r="R103" s="16"/>
      <c r="S103" s="16"/>
      <c r="V103" s="16"/>
      <c r="W103" s="16"/>
      <c r="X103" s="16"/>
      <c r="Y103" s="16"/>
      <c r="Z103" s="16"/>
      <c r="AA103" s="16"/>
    </row>
    <row r="104" spans="1:30" ht="15.75" customHeight="1">
      <c r="A104" s="323" t="s">
        <v>1733</v>
      </c>
      <c r="B104" s="323" t="s">
        <v>256</v>
      </c>
      <c r="C104" s="323" t="s">
        <v>513</v>
      </c>
      <c r="D104" s="327">
        <v>3</v>
      </c>
      <c r="E104" s="328">
        <v>42</v>
      </c>
      <c r="F104" s="329">
        <f t="shared" si="5"/>
        <v>126</v>
      </c>
      <c r="G104" s="328" t="s">
        <v>1906</v>
      </c>
      <c r="H104" s="332">
        <f>IF($B104= "","-",IF($B104= "External","Specify location tariff", INDEX(Constants!$3:$3,MATCH($B104,Constants!$2:$2,0))))</f>
        <v>75</v>
      </c>
      <c r="I104" s="333">
        <f t="shared" si="6"/>
        <v>9450</v>
      </c>
      <c r="J104" s="247"/>
      <c r="K104" s="562"/>
      <c r="L104" s="562"/>
      <c r="M104" s="562"/>
      <c r="N104" s="562"/>
      <c r="O104" s="614"/>
      <c r="P104" s="566"/>
      <c r="Q104" s="567"/>
      <c r="R104" s="16"/>
      <c r="S104" s="16"/>
      <c r="V104" s="16"/>
      <c r="W104" s="16"/>
      <c r="X104" s="16"/>
      <c r="Y104" s="16"/>
      <c r="Z104" s="16"/>
      <c r="AA104" s="16"/>
    </row>
    <row r="105" spans="1:30" ht="15.75" customHeight="1">
      <c r="A105" s="327" t="s">
        <v>1907</v>
      </c>
      <c r="B105" s="323" t="s">
        <v>256</v>
      </c>
      <c r="C105" s="323" t="s">
        <v>516</v>
      </c>
      <c r="D105" s="327">
        <v>3.75</v>
      </c>
      <c r="E105" s="328">
        <v>42</v>
      </c>
      <c r="F105" s="329">
        <f t="shared" si="5"/>
        <v>157.5</v>
      </c>
      <c r="G105" s="328" t="s">
        <v>1905</v>
      </c>
      <c r="H105" s="332">
        <f>IF($B105= "","-",IF($B105= "External","Specify location tariff", INDEX(Constants!$3:$3,MATCH($B105,Constants!$2:$2,0))))</f>
        <v>75</v>
      </c>
      <c r="I105" s="333">
        <f t="shared" si="6"/>
        <v>11812.5</v>
      </c>
      <c r="J105" s="247"/>
      <c r="K105" s="562"/>
      <c r="L105" s="562"/>
      <c r="M105" s="562"/>
      <c r="N105" s="562"/>
      <c r="O105" s="614"/>
      <c r="P105" s="566"/>
      <c r="Q105" s="567"/>
      <c r="R105" s="16"/>
      <c r="S105" s="16"/>
      <c r="V105" s="16"/>
      <c r="W105" s="16"/>
      <c r="X105" s="16"/>
      <c r="Y105" s="16"/>
      <c r="Z105" s="16"/>
      <c r="AA105" s="16"/>
    </row>
    <row r="106" spans="1:30" ht="15.75" customHeight="1">
      <c r="A106" s="323" t="s">
        <v>1908</v>
      </c>
      <c r="B106" s="323" t="s">
        <v>256</v>
      </c>
      <c r="C106" s="323" t="s">
        <v>1006</v>
      </c>
      <c r="D106" s="327">
        <v>7</v>
      </c>
      <c r="E106" s="328">
        <v>26</v>
      </c>
      <c r="F106" s="329">
        <f t="shared" si="5"/>
        <v>182</v>
      </c>
      <c r="G106" s="328">
        <v>0</v>
      </c>
      <c r="H106" s="332">
        <f>IF($B106= "","-",IF($B106= "External","Specify location tariff", INDEX(Constants!$3:$3,MATCH($B106,Constants!$2:$2,0))))</f>
        <v>75</v>
      </c>
      <c r="I106" s="333">
        <f t="shared" si="6"/>
        <v>13650</v>
      </c>
      <c r="J106" s="332" t="s">
        <v>1909</v>
      </c>
      <c r="K106" s="562"/>
      <c r="L106" s="562"/>
      <c r="M106" s="562"/>
      <c r="N106" s="562"/>
      <c r="O106" s="614"/>
      <c r="P106" s="566"/>
      <c r="Q106" s="567"/>
      <c r="R106" s="16"/>
      <c r="S106" s="16"/>
      <c r="V106" s="16"/>
      <c r="W106" s="16"/>
      <c r="X106" s="16"/>
      <c r="Y106" s="16"/>
      <c r="Z106" s="16"/>
      <c r="AA106" s="16"/>
    </row>
    <row r="107" spans="1:30" ht="15.75" customHeight="1">
      <c r="A107" s="327" t="s">
        <v>1910</v>
      </c>
      <c r="B107" s="323" t="s">
        <v>256</v>
      </c>
      <c r="C107" s="323" t="s">
        <v>681</v>
      </c>
      <c r="D107" s="327">
        <v>2</v>
      </c>
      <c r="E107" s="328">
        <v>26</v>
      </c>
      <c r="F107" s="329">
        <f t="shared" si="5"/>
        <v>52</v>
      </c>
      <c r="G107" s="328">
        <v>0</v>
      </c>
      <c r="H107" s="332">
        <f>IF($B107= "","-",IF($B107= "External","Specify location tariff", INDEX(Constants!$3:$3,MATCH($B107,Constants!$2:$2,0))))</f>
        <v>75</v>
      </c>
      <c r="I107" s="333">
        <f t="shared" si="6"/>
        <v>3900</v>
      </c>
      <c r="J107" s="332" t="s">
        <v>1911</v>
      </c>
      <c r="K107" s="562"/>
      <c r="L107" s="562"/>
      <c r="M107" s="562"/>
      <c r="N107" s="562"/>
      <c r="O107" s="614"/>
      <c r="P107" s="566"/>
      <c r="Q107" s="567"/>
      <c r="R107" s="16"/>
      <c r="S107" s="16"/>
      <c r="V107" s="16"/>
      <c r="W107" s="16"/>
      <c r="X107" s="16"/>
      <c r="Y107" s="16"/>
      <c r="Z107" s="16"/>
      <c r="AA107" s="16"/>
    </row>
    <row r="108" spans="1:30" ht="15.75" customHeight="1">
      <c r="A108" s="323"/>
      <c r="B108" s="323"/>
      <c r="C108" s="323"/>
      <c r="D108" s="327"/>
      <c r="E108" s="328"/>
      <c r="F108" s="329"/>
      <c r="G108" s="328"/>
      <c r="H108" s="332" t="str">
        <f>IF($B108= "","-",IF($B108= "External","Specify location tariff", INDEX(Constants!$3:$3,MATCH($B108,Constants!$2:$2,0))))</f>
        <v>-</v>
      </c>
      <c r="I108" s="333" t="str">
        <f t="shared" si="6"/>
        <v>-</v>
      </c>
      <c r="J108" s="332"/>
      <c r="K108" s="562"/>
      <c r="L108" s="562"/>
      <c r="M108" s="562"/>
      <c r="N108" s="562"/>
      <c r="O108" s="614"/>
      <c r="P108" s="566"/>
      <c r="Q108" s="567"/>
      <c r="R108" s="16"/>
      <c r="S108" s="16"/>
      <c r="V108" s="16"/>
      <c r="W108" s="16"/>
      <c r="X108" s="16"/>
      <c r="Y108" s="16"/>
      <c r="Z108" s="16"/>
      <c r="AA108" s="16"/>
    </row>
    <row r="109" spans="1:30" ht="15.75" customHeight="1">
      <c r="A109" s="327"/>
      <c r="B109" s="323"/>
      <c r="C109" s="323"/>
      <c r="D109" s="327"/>
      <c r="E109" s="328"/>
      <c r="F109" s="329"/>
      <c r="G109" s="328"/>
      <c r="H109" s="332" t="str">
        <f>IF($B109= "","-",IF($B109= "External","Specify location tariff", INDEX(Constants!$3:$3,MATCH($B109,Constants!$2:$2,0))))</f>
        <v>-</v>
      </c>
      <c r="I109" s="333" t="str">
        <f t="shared" si="6"/>
        <v>-</v>
      </c>
      <c r="J109" s="332"/>
      <c r="K109" s="562"/>
      <c r="L109" s="562"/>
      <c r="M109" s="562"/>
      <c r="N109" s="562"/>
      <c r="O109" s="614"/>
      <c r="P109" s="566"/>
      <c r="Q109" s="567"/>
      <c r="R109" s="16"/>
      <c r="S109" s="16"/>
      <c r="V109" s="16"/>
      <c r="W109" s="16"/>
      <c r="X109" s="16"/>
      <c r="Y109" s="16"/>
      <c r="Z109" s="16"/>
      <c r="AA109" s="16"/>
    </row>
    <row r="110" spans="1:30" ht="15.75" customHeight="1">
      <c r="A110" s="323" t="s">
        <v>994</v>
      </c>
      <c r="B110" s="323" t="s">
        <v>243</v>
      </c>
      <c r="C110" s="323" t="s">
        <v>515</v>
      </c>
      <c r="D110" s="327">
        <v>1.5</v>
      </c>
      <c r="E110" s="328">
        <v>42</v>
      </c>
      <c r="F110" s="329">
        <f t="shared" si="5"/>
        <v>63</v>
      </c>
      <c r="G110" s="328" t="s">
        <v>1905</v>
      </c>
      <c r="H110" s="332">
        <f>IF($B110= "","-",IF($B110= "External","Specify location tariff", INDEX(Constants!$3:$3,MATCH($B110,Constants!$2:$2,0))))</f>
        <v>67.5</v>
      </c>
      <c r="I110" s="333">
        <f t="shared" si="6"/>
        <v>4252.5</v>
      </c>
      <c r="J110" s="332"/>
      <c r="K110" s="562"/>
      <c r="L110" s="562"/>
      <c r="M110" s="562"/>
      <c r="N110" s="562"/>
      <c r="O110" s="614"/>
      <c r="P110" s="566"/>
      <c r="Q110" s="567"/>
      <c r="R110" s="16"/>
      <c r="S110" s="16"/>
      <c r="V110" s="16"/>
      <c r="W110" s="16"/>
      <c r="X110" s="16"/>
      <c r="Y110" s="16"/>
      <c r="Z110" s="16"/>
      <c r="AA110" s="16"/>
    </row>
    <row r="111" spans="1:30" ht="15.75" customHeight="1">
      <c r="A111" s="323" t="s">
        <v>1912</v>
      </c>
      <c r="B111" s="323" t="s">
        <v>243</v>
      </c>
      <c r="C111" s="323" t="s">
        <v>515</v>
      </c>
      <c r="D111" s="327">
        <v>1</v>
      </c>
      <c r="E111" s="328">
        <v>14</v>
      </c>
      <c r="F111" s="329">
        <f t="shared" si="5"/>
        <v>14</v>
      </c>
      <c r="G111" s="328">
        <v>0</v>
      </c>
      <c r="H111" s="332">
        <f>IF($B111= "","-",IF($B111= "External","Specify location tariff", INDEX(Constants!$3:$3,MATCH($B111,Constants!$2:$2,0))))</f>
        <v>67.5</v>
      </c>
      <c r="I111" s="333">
        <f t="shared" si="6"/>
        <v>945</v>
      </c>
      <c r="J111" s="538" t="s">
        <v>1913</v>
      </c>
      <c r="K111" s="562"/>
      <c r="L111" s="562"/>
      <c r="M111" s="562"/>
      <c r="N111" s="562"/>
      <c r="O111" s="614"/>
      <c r="P111" s="566"/>
      <c r="Q111" s="567"/>
      <c r="R111" s="16"/>
      <c r="S111" s="16"/>
      <c r="V111" s="16"/>
      <c r="W111" s="16"/>
      <c r="X111" s="16"/>
      <c r="Y111" s="16"/>
      <c r="Z111" s="16"/>
      <c r="AA111" s="16"/>
    </row>
    <row r="112" spans="1:30" ht="15.75" customHeight="1">
      <c r="A112" s="323" t="s">
        <v>1914</v>
      </c>
      <c r="B112" s="323" t="s">
        <v>245</v>
      </c>
      <c r="C112" s="323" t="s">
        <v>513</v>
      </c>
      <c r="D112" s="327">
        <v>1.5</v>
      </c>
      <c r="E112" s="328">
        <v>42</v>
      </c>
      <c r="F112" s="329">
        <f t="shared" si="5"/>
        <v>63</v>
      </c>
      <c r="G112" s="328" t="s">
        <v>1905</v>
      </c>
      <c r="H112" s="332">
        <f>IF($B112= "","-",IF($B112= "External","Specify location tariff", INDEX(Constants!$3:$3,MATCH($B112,Constants!$2:$2,0))))</f>
        <v>67.5</v>
      </c>
      <c r="I112" s="333">
        <f t="shared" si="6"/>
        <v>4252.5</v>
      </c>
      <c r="J112" s="247"/>
      <c r="K112" s="562"/>
      <c r="L112" s="562"/>
      <c r="M112" s="562"/>
      <c r="N112" s="562"/>
      <c r="O112" s="614"/>
      <c r="P112" s="566"/>
      <c r="Q112" s="567"/>
      <c r="R112" s="16"/>
      <c r="S112" s="16"/>
      <c r="V112" s="16"/>
      <c r="W112" s="16"/>
      <c r="X112" s="16"/>
      <c r="Y112" s="16"/>
      <c r="Z112" s="16"/>
      <c r="AA112" s="16"/>
    </row>
    <row r="113" spans="1:30" ht="15.75" customHeight="1">
      <c r="A113" s="323" t="s">
        <v>1915</v>
      </c>
      <c r="B113" s="323" t="s">
        <v>245</v>
      </c>
      <c r="C113" s="323" t="s">
        <v>513</v>
      </c>
      <c r="D113" s="327">
        <v>1</v>
      </c>
      <c r="E113" s="328">
        <v>26</v>
      </c>
      <c r="F113" s="329">
        <f t="shared" si="5"/>
        <v>26</v>
      </c>
      <c r="G113" s="328">
        <v>0</v>
      </c>
      <c r="H113" s="332">
        <f>IF($B113= "","-",IF($B113= "External","Specify location tariff", INDEX(Constants!$3:$3,MATCH($B113,Constants!$2:$2,0))))</f>
        <v>67.5</v>
      </c>
      <c r="I113" s="333">
        <f t="shared" si="6"/>
        <v>1755</v>
      </c>
      <c r="J113" s="538" t="s">
        <v>1916</v>
      </c>
      <c r="K113" s="562"/>
      <c r="L113" s="562"/>
      <c r="M113" s="562"/>
      <c r="N113" s="562"/>
      <c r="O113" s="614"/>
      <c r="P113" s="566"/>
      <c r="Q113" s="567"/>
      <c r="R113" s="16"/>
      <c r="S113" s="16"/>
      <c r="V113" s="16"/>
      <c r="W113" s="16"/>
      <c r="X113" s="16"/>
      <c r="Y113" s="16"/>
      <c r="Z113" s="16"/>
      <c r="AA113" s="16"/>
    </row>
    <row r="114" spans="1:30" ht="15.75" customHeight="1">
      <c r="A114" s="323"/>
      <c r="B114" s="323"/>
      <c r="C114" s="323"/>
      <c r="D114" s="327"/>
      <c r="E114" s="328"/>
      <c r="F114" s="329"/>
      <c r="G114" s="328"/>
      <c r="H114" s="332" t="str">
        <f>IF($B114= "","-",IF($B114= "External","Specify location tariff", INDEX(Constants!$3:$3,MATCH($B114,Constants!$2:$2,0))))</f>
        <v>-</v>
      </c>
      <c r="I114" s="333" t="str">
        <f t="shared" si="6"/>
        <v>-</v>
      </c>
      <c r="J114" s="247"/>
      <c r="K114" s="562"/>
      <c r="L114" s="562"/>
      <c r="M114" s="562"/>
      <c r="N114" s="562"/>
      <c r="O114" s="614"/>
      <c r="P114" s="566"/>
      <c r="Q114" s="567"/>
      <c r="R114" s="16"/>
      <c r="S114" s="16"/>
      <c r="V114" s="16"/>
      <c r="W114" s="16"/>
      <c r="X114" s="16"/>
      <c r="Y114" s="16"/>
      <c r="Z114" s="16"/>
      <c r="AA114" s="16"/>
    </row>
    <row r="115" spans="1:30" ht="15.75" customHeight="1" thickBot="1">
      <c r="A115" s="231"/>
      <c r="B115" s="231"/>
      <c r="C115" s="232"/>
      <c r="D115" s="261"/>
      <c r="E115" s="245"/>
      <c r="F115" s="329"/>
      <c r="G115" s="245"/>
      <c r="H115" s="332" t="str">
        <f>IF($B115= "","-",IF($B115= "External","Specify location tariff", INDEX(Constants!$3:$3,MATCH($B115,Constants!$2:$2,0))))</f>
        <v>-</v>
      </c>
      <c r="I115" s="333" t="str">
        <f t="shared" ref="I115" si="7">IF($H115="-","-",IF($H115="Specify location tariff","-",$H115*$F115))</f>
        <v>-</v>
      </c>
      <c r="J115" s="247"/>
      <c r="K115" s="616"/>
      <c r="L115" s="616"/>
      <c r="M115" s="616"/>
      <c r="N115" s="616"/>
      <c r="O115" s="617"/>
      <c r="P115" s="568"/>
      <c r="Q115" s="569"/>
      <c r="R115" s="16"/>
      <c r="S115" s="16"/>
      <c r="V115" s="16"/>
      <c r="W115" s="16"/>
      <c r="X115" s="16"/>
      <c r="Y115" s="16"/>
      <c r="Z115" s="16"/>
      <c r="AA115" s="16"/>
    </row>
    <row r="116" spans="1:30" ht="15.75" customHeight="1" thickTop="1">
      <c r="A116" s="15"/>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c r="AA116" s="16"/>
      <c r="AB116" s="16"/>
      <c r="AC116" s="16"/>
      <c r="AD116" s="16"/>
    </row>
    <row r="117" spans="1:30" ht="15.75" customHeight="1">
      <c r="A117" s="15"/>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c r="AA117" s="16"/>
      <c r="AB117" s="16"/>
      <c r="AC117" s="16"/>
      <c r="AD117" s="16"/>
    </row>
    <row r="118" spans="1:30" ht="15.75" customHeight="1" thickBot="1">
      <c r="A118" s="186" t="s">
        <v>519</v>
      </c>
      <c r="B118" s="16"/>
      <c r="C118" s="128"/>
      <c r="D118" s="51"/>
      <c r="E118" s="51"/>
      <c r="F118" s="51"/>
      <c r="G118" s="51"/>
      <c r="H118" s="51"/>
      <c r="I118" s="51"/>
      <c r="J118" s="51"/>
      <c r="K118" s="51"/>
      <c r="L118" s="232"/>
      <c r="M118" s="231"/>
      <c r="N118" s="16"/>
      <c r="O118" s="16"/>
      <c r="P118" s="16"/>
      <c r="Q118" s="16"/>
      <c r="R118" s="16"/>
      <c r="S118" s="16"/>
      <c r="T118" s="16"/>
      <c r="U118" s="16"/>
      <c r="V118" s="16"/>
      <c r="W118" s="16"/>
      <c r="X118" s="16"/>
      <c r="Y118" s="16"/>
      <c r="Z118" s="16"/>
      <c r="AA118" s="16"/>
      <c r="AB118" s="16"/>
      <c r="AC118" s="16"/>
      <c r="AD118" s="16"/>
    </row>
    <row r="119" spans="1:30" ht="15" customHeight="1" thickTop="1" thickBot="1">
      <c r="A119" s="230" t="s">
        <v>438</v>
      </c>
      <c r="B119" s="230" t="s">
        <v>439</v>
      </c>
      <c r="C119" s="230" t="s">
        <v>520</v>
      </c>
      <c r="D119" s="230" t="s">
        <v>521</v>
      </c>
      <c r="E119" s="230" t="s">
        <v>522</v>
      </c>
      <c r="F119" s="230" t="s">
        <v>523</v>
      </c>
      <c r="G119" s="230" t="s">
        <v>508</v>
      </c>
      <c r="H119" s="721" t="s">
        <v>441</v>
      </c>
      <c r="I119" s="728"/>
      <c r="J119" s="729" t="s">
        <v>434</v>
      </c>
      <c r="K119" s="730"/>
      <c r="L119" s="16"/>
      <c r="M119" s="16"/>
      <c r="N119" s="16"/>
      <c r="O119" s="16"/>
      <c r="P119" s="117"/>
      <c r="Q119" s="15"/>
      <c r="R119" s="16"/>
      <c r="S119" s="130"/>
      <c r="T119" s="16"/>
      <c r="U119" s="16"/>
      <c r="V119" s="16"/>
      <c r="W119" s="241"/>
      <c r="X119" s="16"/>
      <c r="Y119" s="16"/>
      <c r="Z119" s="16"/>
      <c r="AA119" s="16"/>
      <c r="AB119" s="16"/>
    </row>
    <row r="120" spans="1:30" ht="14.25" customHeight="1" thickTop="1">
      <c r="A120" s="231"/>
      <c r="B120" s="248"/>
      <c r="C120" s="246">
        <v>0</v>
      </c>
      <c r="D120" s="247"/>
      <c r="E120" s="245"/>
      <c r="F120" s="246">
        <v>0</v>
      </c>
      <c r="G120" s="247"/>
      <c r="H120" s="564"/>
      <c r="I120" s="750"/>
      <c r="J120" s="628" t="s">
        <v>526</v>
      </c>
      <c r="K120" s="730"/>
      <c r="L120" s="16"/>
      <c r="M120" s="16"/>
      <c r="N120" s="16"/>
      <c r="O120" s="16"/>
      <c r="P120" s="16"/>
      <c r="Q120" s="133"/>
      <c r="R120" s="16"/>
      <c r="S120" s="16"/>
      <c r="T120" s="16"/>
      <c r="U120" s="16"/>
      <c r="V120" s="16"/>
      <c r="W120" s="16"/>
      <c r="X120" s="16"/>
      <c r="Y120" s="16"/>
      <c r="Z120" s="16"/>
      <c r="AA120" s="16"/>
      <c r="AB120" s="16"/>
    </row>
    <row r="121" spans="1:30" ht="15.75" customHeight="1">
      <c r="A121" s="231"/>
      <c r="B121" s="248"/>
      <c r="C121" s="246">
        <v>0</v>
      </c>
      <c r="D121" s="247"/>
      <c r="E121" s="245"/>
      <c r="F121" s="246">
        <v>0</v>
      </c>
      <c r="G121" s="247"/>
      <c r="H121" s="743"/>
      <c r="I121" s="751"/>
      <c r="J121" s="702"/>
      <c r="K121" s="732"/>
      <c r="L121" s="16"/>
      <c r="M121" s="16"/>
      <c r="N121" s="16"/>
      <c r="O121" s="16"/>
      <c r="P121" s="16"/>
      <c r="Q121" s="16"/>
      <c r="R121" s="16"/>
      <c r="S121" s="16"/>
      <c r="T121" s="16"/>
      <c r="U121" s="16"/>
      <c r="V121" s="16"/>
      <c r="W121" s="16"/>
      <c r="X121" s="16"/>
      <c r="Y121" s="16"/>
      <c r="Z121" s="16"/>
      <c r="AA121" s="16"/>
      <c r="AB121" s="16"/>
    </row>
    <row r="122" spans="1:30" ht="15.75" customHeight="1">
      <c r="A122" s="231"/>
      <c r="B122" s="248"/>
      <c r="C122" s="246">
        <v>0</v>
      </c>
      <c r="D122" s="247"/>
      <c r="E122" s="245"/>
      <c r="F122" s="246">
        <v>0</v>
      </c>
      <c r="G122" s="247"/>
      <c r="H122" s="743"/>
      <c r="I122" s="751"/>
      <c r="J122" s="702"/>
      <c r="K122" s="732"/>
      <c r="L122" s="16"/>
      <c r="M122" s="16"/>
      <c r="N122" s="16"/>
      <c r="O122" s="16"/>
      <c r="P122" s="16"/>
      <c r="Q122" s="16"/>
      <c r="R122" s="16"/>
      <c r="S122" s="16"/>
      <c r="T122" s="16"/>
      <c r="U122" s="16"/>
      <c r="V122" s="16"/>
      <c r="W122" s="16"/>
      <c r="X122" s="16"/>
      <c r="Y122" s="16"/>
      <c r="Z122" s="16"/>
      <c r="AA122" s="16"/>
      <c r="AB122" s="16"/>
    </row>
    <row r="123" spans="1:30" ht="15.75" customHeight="1">
      <c r="A123" s="231"/>
      <c r="B123" s="248"/>
      <c r="C123" s="246">
        <v>0</v>
      </c>
      <c r="D123" s="247"/>
      <c r="E123" s="245"/>
      <c r="F123" s="246">
        <v>0</v>
      </c>
      <c r="G123" s="247"/>
      <c r="H123" s="743"/>
      <c r="I123" s="751"/>
      <c r="J123" s="702"/>
      <c r="K123" s="732"/>
      <c r="L123" s="16"/>
      <c r="M123" s="16"/>
      <c r="N123" s="16"/>
      <c r="O123" s="16"/>
      <c r="P123" s="16"/>
      <c r="Q123" s="16"/>
      <c r="R123" s="16"/>
      <c r="S123" s="16"/>
      <c r="T123" s="16"/>
      <c r="U123" s="16"/>
      <c r="V123" s="16"/>
      <c r="W123" s="16"/>
      <c r="X123" s="16"/>
      <c r="Y123" s="16"/>
      <c r="Z123" s="16"/>
      <c r="AA123" s="16"/>
      <c r="AB123" s="16"/>
    </row>
    <row r="124" spans="1:30" ht="15.75" customHeight="1">
      <c r="A124" s="231"/>
      <c r="B124" s="248"/>
      <c r="C124" s="246">
        <v>0</v>
      </c>
      <c r="D124" s="247"/>
      <c r="E124" s="245"/>
      <c r="F124" s="246">
        <v>0</v>
      </c>
      <c r="G124" s="247"/>
      <c r="H124" s="743"/>
      <c r="I124" s="751"/>
      <c r="J124" s="702"/>
      <c r="K124" s="732"/>
      <c r="L124" s="16"/>
      <c r="M124" s="16"/>
      <c r="N124" s="16"/>
      <c r="O124" s="16"/>
      <c r="P124" s="16"/>
      <c r="Q124" s="16"/>
      <c r="R124" s="16"/>
      <c r="S124" s="16"/>
      <c r="T124" s="16"/>
      <c r="U124" s="16"/>
      <c r="V124" s="16"/>
      <c r="W124" s="16"/>
      <c r="X124" s="16"/>
      <c r="Y124" s="16"/>
      <c r="Z124" s="16"/>
      <c r="AA124" s="16"/>
      <c r="AB124" s="16"/>
    </row>
    <row r="125" spans="1:30" ht="15.75" customHeight="1">
      <c r="A125" s="231"/>
      <c r="B125" s="248"/>
      <c r="C125" s="246">
        <v>0</v>
      </c>
      <c r="D125" s="247"/>
      <c r="E125" s="245"/>
      <c r="F125" s="246">
        <v>0</v>
      </c>
      <c r="G125" s="247"/>
      <c r="H125" s="743"/>
      <c r="I125" s="751"/>
      <c r="J125" s="702"/>
      <c r="K125" s="732"/>
      <c r="L125" s="16"/>
      <c r="M125" s="16"/>
      <c r="N125" s="16"/>
      <c r="O125" s="16"/>
      <c r="P125" s="16"/>
      <c r="Q125" s="16"/>
      <c r="R125" s="16"/>
      <c r="S125" s="16"/>
      <c r="T125" s="16"/>
      <c r="U125" s="16"/>
      <c r="V125" s="16"/>
      <c r="W125" s="16"/>
      <c r="X125" s="16"/>
      <c r="Y125" s="16"/>
      <c r="Z125" s="16"/>
      <c r="AA125" s="16"/>
      <c r="AB125" s="16"/>
    </row>
    <row r="126" spans="1:30" ht="15.75" customHeight="1">
      <c r="A126" s="231"/>
      <c r="B126" s="244"/>
      <c r="C126" s="246">
        <v>0</v>
      </c>
      <c r="D126" s="247"/>
      <c r="E126" s="245"/>
      <c r="F126" s="246">
        <v>0</v>
      </c>
      <c r="G126" s="247"/>
      <c r="H126" s="743"/>
      <c r="I126" s="751"/>
      <c r="J126" s="702"/>
      <c r="K126" s="732"/>
      <c r="L126" s="16"/>
      <c r="M126" s="16"/>
      <c r="N126" s="16"/>
      <c r="O126" s="16"/>
      <c r="P126" s="16"/>
      <c r="Q126" s="16"/>
      <c r="R126" s="16"/>
      <c r="S126" s="16"/>
      <c r="T126" s="16"/>
      <c r="U126" s="16"/>
      <c r="V126" s="16"/>
      <c r="W126" s="16"/>
      <c r="X126" s="16"/>
      <c r="Y126" s="16"/>
      <c r="Z126" s="16"/>
      <c r="AA126" s="16"/>
      <c r="AB126" s="16"/>
    </row>
    <row r="127" spans="1:30" ht="15.75" customHeight="1">
      <c r="A127" s="231"/>
      <c r="B127" s="244"/>
      <c r="C127" s="246">
        <v>0</v>
      </c>
      <c r="D127" s="247"/>
      <c r="E127" s="245"/>
      <c r="F127" s="246">
        <v>0</v>
      </c>
      <c r="G127" s="247"/>
      <c r="H127" s="743"/>
      <c r="I127" s="751"/>
      <c r="J127" s="702"/>
      <c r="K127" s="732"/>
      <c r="L127" s="16"/>
      <c r="M127" s="16"/>
      <c r="N127" s="16"/>
      <c r="O127" s="16"/>
      <c r="P127" s="16"/>
      <c r="Q127" s="16"/>
      <c r="R127" s="16"/>
      <c r="S127" s="16"/>
      <c r="T127" s="16"/>
      <c r="U127" s="16"/>
      <c r="V127" s="16"/>
      <c r="W127" s="16"/>
      <c r="X127" s="16"/>
      <c r="Y127" s="16"/>
      <c r="Z127" s="16"/>
      <c r="AA127" s="16"/>
      <c r="AB127" s="16"/>
    </row>
    <row r="128" spans="1:30" ht="15.75" customHeight="1">
      <c r="A128" s="231"/>
      <c r="B128" s="244"/>
      <c r="C128" s="246">
        <v>0</v>
      </c>
      <c r="D128" s="247"/>
      <c r="E128" s="245"/>
      <c r="F128" s="246">
        <v>0</v>
      </c>
      <c r="G128" s="247"/>
      <c r="H128" s="743"/>
      <c r="I128" s="751"/>
      <c r="J128" s="702"/>
      <c r="K128" s="732"/>
      <c r="L128" s="16"/>
      <c r="M128" s="16"/>
      <c r="N128" s="16"/>
      <c r="O128" s="16"/>
      <c r="P128" s="16"/>
      <c r="Q128" s="16"/>
      <c r="R128" s="16"/>
      <c r="S128" s="16"/>
      <c r="T128" s="16"/>
      <c r="U128" s="16"/>
      <c r="V128" s="16"/>
      <c r="W128" s="16"/>
      <c r="X128" s="16"/>
      <c r="Y128" s="16"/>
      <c r="Z128" s="16"/>
      <c r="AA128" s="16"/>
      <c r="AB128" s="16"/>
    </row>
    <row r="129" spans="1:30" ht="15.75" customHeight="1">
      <c r="A129" s="231"/>
      <c r="B129" s="244"/>
      <c r="C129" s="246">
        <v>0</v>
      </c>
      <c r="D129" s="247"/>
      <c r="E129" s="245"/>
      <c r="F129" s="246">
        <v>0</v>
      </c>
      <c r="G129" s="247"/>
      <c r="H129" s="743"/>
      <c r="I129" s="751"/>
      <c r="J129" s="702"/>
      <c r="K129" s="732"/>
      <c r="L129" s="16"/>
      <c r="M129" s="16"/>
      <c r="N129" s="16"/>
      <c r="O129" s="16"/>
      <c r="P129" s="16"/>
      <c r="Q129" s="16"/>
      <c r="R129" s="16"/>
      <c r="S129" s="16"/>
      <c r="T129" s="16"/>
      <c r="U129" s="16"/>
      <c r="V129" s="16"/>
      <c r="W129" s="16"/>
      <c r="X129" s="16"/>
      <c r="Y129" s="16"/>
      <c r="Z129" s="16"/>
      <c r="AA129" s="16"/>
      <c r="AB129" s="16"/>
    </row>
    <row r="130" spans="1:30" ht="15.75" customHeight="1">
      <c r="A130" s="231"/>
      <c r="B130" s="244"/>
      <c r="C130" s="246">
        <v>0</v>
      </c>
      <c r="D130" s="247"/>
      <c r="E130" s="245"/>
      <c r="F130" s="246">
        <v>0</v>
      </c>
      <c r="G130" s="247"/>
      <c r="H130" s="743"/>
      <c r="I130" s="751"/>
      <c r="J130" s="702"/>
      <c r="K130" s="732"/>
      <c r="L130" s="16"/>
      <c r="M130" s="16"/>
      <c r="N130" s="16"/>
      <c r="O130" s="16"/>
      <c r="P130" s="16"/>
      <c r="Q130" s="16"/>
      <c r="R130" s="16"/>
      <c r="S130" s="16"/>
      <c r="T130" s="16"/>
      <c r="U130" s="16"/>
      <c r="V130" s="16"/>
      <c r="W130" s="16"/>
      <c r="X130" s="16"/>
      <c r="Y130" s="16"/>
      <c r="Z130" s="16"/>
      <c r="AA130" s="16"/>
      <c r="AB130" s="16"/>
    </row>
    <row r="131" spans="1:30" ht="15.75" customHeight="1">
      <c r="A131" s="231"/>
      <c r="B131" s="244"/>
      <c r="C131" s="246">
        <v>0</v>
      </c>
      <c r="D131" s="247"/>
      <c r="E131" s="245"/>
      <c r="F131" s="246">
        <v>0</v>
      </c>
      <c r="G131" s="247"/>
      <c r="H131" s="743"/>
      <c r="I131" s="751"/>
      <c r="J131" s="702"/>
      <c r="K131" s="732"/>
      <c r="L131" s="16"/>
      <c r="M131" s="16"/>
      <c r="N131" s="16"/>
      <c r="O131" s="16"/>
      <c r="P131" s="16"/>
      <c r="Q131" s="16"/>
      <c r="R131" s="16"/>
      <c r="S131" s="16"/>
      <c r="T131" s="16"/>
      <c r="U131" s="16"/>
      <c r="V131" s="16"/>
      <c r="W131" s="16"/>
      <c r="X131" s="16"/>
      <c r="Y131" s="16"/>
      <c r="Z131" s="16"/>
      <c r="AA131" s="16"/>
      <c r="AB131" s="16"/>
    </row>
    <row r="132" spans="1:30" ht="15.75" customHeight="1">
      <c r="A132" s="231"/>
      <c r="B132" s="244"/>
      <c r="C132" s="246">
        <v>0</v>
      </c>
      <c r="D132" s="247"/>
      <c r="E132" s="245"/>
      <c r="F132" s="246">
        <v>0</v>
      </c>
      <c r="G132" s="247"/>
      <c r="H132" s="743"/>
      <c r="I132" s="751"/>
      <c r="J132" s="702"/>
      <c r="K132" s="732"/>
      <c r="L132" s="16"/>
      <c r="M132" s="16"/>
      <c r="N132" s="16"/>
      <c r="O132" s="16"/>
      <c r="P132" s="16"/>
      <c r="Q132" s="16"/>
      <c r="R132" s="16"/>
      <c r="S132" s="16"/>
      <c r="T132" s="16"/>
      <c r="U132" s="16"/>
      <c r="V132" s="16"/>
      <c r="W132" s="16"/>
      <c r="X132" s="16"/>
      <c r="Y132" s="16"/>
      <c r="Z132" s="16"/>
      <c r="AA132" s="16"/>
      <c r="AB132" s="16"/>
    </row>
    <row r="133" spans="1:30" ht="15.75" customHeight="1" thickBot="1">
      <c r="A133" s="231"/>
      <c r="B133" s="244"/>
      <c r="C133" s="246">
        <v>0</v>
      </c>
      <c r="D133" s="247"/>
      <c r="E133" s="245"/>
      <c r="F133" s="246">
        <v>0</v>
      </c>
      <c r="G133" s="247"/>
      <c r="H133" s="746"/>
      <c r="I133" s="748"/>
      <c r="J133" s="752"/>
      <c r="K133" s="734"/>
      <c r="L133" s="16"/>
      <c r="M133" s="16"/>
      <c r="N133" s="16"/>
      <c r="O133" s="16"/>
      <c r="P133" s="16"/>
      <c r="Q133" s="16"/>
      <c r="R133" s="16"/>
      <c r="S133" s="16"/>
      <c r="T133" s="16"/>
      <c r="U133" s="16"/>
      <c r="V133" s="16"/>
      <c r="W133" s="16"/>
      <c r="X133" s="16"/>
      <c r="Y133" s="16"/>
      <c r="Z133" s="16"/>
      <c r="AA133" s="16"/>
      <c r="AB133" s="16"/>
    </row>
    <row r="134" spans="1:30" ht="15.75" customHeight="1" thickTop="1">
      <c r="A134" s="15"/>
      <c r="B134" s="131"/>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c r="AA134" s="16"/>
      <c r="AB134" s="16"/>
      <c r="AC134" s="16"/>
      <c r="AD134" s="16"/>
    </row>
    <row r="135" spans="1:30" ht="15.75" customHeight="1">
      <c r="A135" s="15"/>
      <c r="B135" s="131"/>
      <c r="C135" s="16"/>
      <c r="D135" s="16"/>
      <c r="E135" s="16"/>
      <c r="F135" s="16"/>
      <c r="G135" s="16"/>
      <c r="I135" s="16"/>
      <c r="J135" s="16"/>
      <c r="K135" s="16"/>
      <c r="L135" s="16"/>
      <c r="M135" s="16"/>
      <c r="N135" s="16"/>
      <c r="O135" s="16"/>
      <c r="P135" s="16"/>
      <c r="Q135" s="16"/>
      <c r="R135" s="16"/>
      <c r="S135" s="16"/>
      <c r="T135" s="16"/>
      <c r="U135" s="16"/>
      <c r="V135" s="16"/>
      <c r="W135" s="16"/>
      <c r="X135" s="16"/>
      <c r="Y135" s="16"/>
      <c r="Z135" s="16"/>
      <c r="AA135" s="16"/>
      <c r="AB135" s="16"/>
      <c r="AC135" s="16"/>
      <c r="AD135" s="16"/>
    </row>
    <row r="136" spans="1:30" ht="15.75" customHeight="1">
      <c r="H136" s="51"/>
      <c r="I136" s="51"/>
      <c r="J136" s="51"/>
      <c r="K136" s="51"/>
      <c r="L136" s="16"/>
      <c r="M136" s="16"/>
      <c r="N136" s="16"/>
      <c r="O136" s="16"/>
      <c r="P136" s="16"/>
      <c r="Q136" s="16"/>
      <c r="R136" s="16"/>
      <c r="S136" s="16"/>
      <c r="T136" s="16"/>
      <c r="U136" s="16"/>
      <c r="V136" s="16"/>
      <c r="W136" s="16"/>
      <c r="X136" s="16"/>
      <c r="Y136" s="16"/>
      <c r="Z136" s="16"/>
      <c r="AA136" s="16"/>
      <c r="AB136" s="16"/>
      <c r="AC136" s="16"/>
      <c r="AD136" s="16"/>
    </row>
    <row r="137" spans="1:30" ht="15.75" customHeight="1">
      <c r="L137" s="16"/>
      <c r="M137" s="16"/>
      <c r="N137" s="16"/>
      <c r="O137" s="16"/>
      <c r="P137" s="16"/>
      <c r="Q137" s="16"/>
      <c r="R137" s="16"/>
      <c r="S137" s="16"/>
      <c r="T137" s="16"/>
      <c r="U137" s="16"/>
      <c r="V137" s="16"/>
      <c r="W137" s="16"/>
      <c r="X137" s="16"/>
      <c r="Y137" s="16"/>
      <c r="Z137" s="16"/>
      <c r="AA137" s="16"/>
      <c r="AB137" s="16"/>
      <c r="AC137" s="16"/>
      <c r="AD137" s="16"/>
    </row>
    <row r="138" spans="1:30" ht="15.75" customHeight="1">
      <c r="L138" s="16"/>
      <c r="M138" s="16"/>
      <c r="N138" s="16"/>
      <c r="O138" s="16"/>
      <c r="P138" s="16"/>
      <c r="Q138" s="16"/>
      <c r="R138" s="16"/>
      <c r="S138" s="16"/>
      <c r="T138" s="16"/>
      <c r="U138" s="16"/>
      <c r="V138" s="16"/>
      <c r="W138" s="16"/>
      <c r="X138" s="16"/>
      <c r="Y138" s="16"/>
      <c r="Z138" s="16"/>
      <c r="AA138" s="16"/>
      <c r="AB138" s="16"/>
      <c r="AC138" s="16"/>
      <c r="AD138" s="16"/>
    </row>
    <row r="139" spans="1:30" ht="15.75" customHeight="1">
      <c r="L139" s="16"/>
      <c r="M139" s="16"/>
      <c r="N139" s="16"/>
      <c r="O139" s="16"/>
      <c r="P139" s="16"/>
      <c r="Q139" s="16"/>
      <c r="R139" s="16"/>
      <c r="S139" s="16"/>
      <c r="T139" s="16"/>
      <c r="U139" s="16"/>
      <c r="V139" s="16"/>
      <c r="W139" s="16"/>
      <c r="X139" s="16"/>
      <c r="Y139" s="16"/>
      <c r="Z139" s="16"/>
      <c r="AA139" s="16"/>
      <c r="AB139" s="16"/>
      <c r="AC139" s="16"/>
      <c r="AD139" s="16"/>
    </row>
    <row r="140" spans="1:30" ht="15.75" customHeight="1">
      <c r="L140" s="16"/>
      <c r="M140" s="16"/>
      <c r="N140" s="16"/>
      <c r="O140" s="16"/>
      <c r="P140" s="16"/>
      <c r="Q140" s="16"/>
      <c r="R140" s="16"/>
      <c r="S140" s="16"/>
      <c r="T140" s="16"/>
      <c r="U140" s="16"/>
      <c r="V140" s="16"/>
      <c r="W140" s="16"/>
      <c r="X140" s="16"/>
      <c r="Y140" s="16"/>
      <c r="Z140" s="16"/>
      <c r="AA140" s="16"/>
      <c r="AB140" s="16"/>
      <c r="AC140" s="16"/>
      <c r="AD140" s="16"/>
    </row>
    <row r="141" spans="1:30" ht="15.75" customHeight="1">
      <c r="L141" s="16"/>
      <c r="M141" s="16"/>
      <c r="N141" s="16"/>
      <c r="O141" s="16"/>
      <c r="P141" s="16"/>
      <c r="Q141" s="16"/>
      <c r="R141" s="16"/>
      <c r="S141" s="16"/>
      <c r="T141" s="16"/>
      <c r="U141" s="16"/>
      <c r="V141" s="16"/>
      <c r="W141" s="16"/>
      <c r="X141" s="16"/>
      <c r="Y141" s="16"/>
      <c r="Z141" s="16"/>
      <c r="AA141" s="16"/>
      <c r="AB141" s="16"/>
      <c r="AC141" s="16"/>
      <c r="AD141" s="16"/>
    </row>
    <row r="142" spans="1:30" ht="15.75" customHeight="1">
      <c r="L142" s="16"/>
      <c r="M142" s="16"/>
      <c r="N142" s="16"/>
      <c r="O142" s="16"/>
      <c r="P142" s="16"/>
      <c r="Q142" s="16"/>
      <c r="R142" s="16"/>
      <c r="S142" s="16"/>
      <c r="T142" s="16"/>
      <c r="U142" s="16"/>
      <c r="V142" s="16"/>
      <c r="W142" s="16"/>
      <c r="X142" s="16"/>
      <c r="Y142" s="16"/>
      <c r="Z142" s="16"/>
      <c r="AA142" s="16"/>
      <c r="AB142" s="16"/>
      <c r="AC142" s="16"/>
      <c r="AD142" s="16"/>
    </row>
    <row r="143" spans="1:30" ht="15.75" customHeight="1">
      <c r="L143" s="16"/>
      <c r="M143" s="16"/>
      <c r="N143" s="16"/>
      <c r="O143" s="16"/>
      <c r="P143" s="735"/>
      <c r="Q143" s="696"/>
      <c r="R143" s="696"/>
      <c r="S143" s="16"/>
      <c r="T143" s="16"/>
      <c r="U143" s="16"/>
      <c r="V143" s="16"/>
      <c r="W143" s="16"/>
      <c r="X143" s="16"/>
      <c r="Y143" s="16"/>
      <c r="Z143" s="16"/>
      <c r="AA143" s="16"/>
      <c r="AB143" s="16"/>
      <c r="AC143" s="16"/>
      <c r="AD143" s="16"/>
    </row>
    <row r="144" spans="1:30" ht="15.75" customHeight="1">
      <c r="L144" s="16"/>
      <c r="M144" s="16"/>
      <c r="N144" s="16"/>
      <c r="O144" s="16"/>
      <c r="P144" s="735"/>
      <c r="Q144" s="696"/>
      <c r="R144" s="696"/>
      <c r="S144" s="16"/>
      <c r="T144" s="16"/>
      <c r="U144" s="16"/>
      <c r="V144" s="16"/>
      <c r="W144" s="16"/>
      <c r="X144" s="16"/>
      <c r="Y144" s="16"/>
      <c r="Z144" s="16"/>
      <c r="AA144" s="16"/>
      <c r="AB144" s="16"/>
      <c r="AC144" s="16"/>
      <c r="AD144" s="16"/>
    </row>
    <row r="145" spans="1:30" ht="15.75" customHeight="1">
      <c r="L145" s="16"/>
      <c r="M145" s="16"/>
      <c r="N145" s="16"/>
      <c r="O145" s="16"/>
      <c r="P145" s="735"/>
      <c r="Q145" s="696"/>
      <c r="R145" s="696"/>
      <c r="S145" s="16"/>
      <c r="T145" s="16"/>
      <c r="U145" s="16"/>
      <c r="V145" s="16"/>
      <c r="W145" s="16"/>
      <c r="X145" s="16"/>
      <c r="Y145" s="16"/>
      <c r="Z145" s="16"/>
      <c r="AA145" s="16"/>
      <c r="AB145" s="16"/>
      <c r="AC145" s="16"/>
      <c r="AD145" s="16"/>
    </row>
    <row r="146" spans="1:30" ht="15.75" customHeight="1">
      <c r="L146" s="16"/>
      <c r="M146" s="16"/>
      <c r="N146" s="16"/>
      <c r="O146" s="16"/>
      <c r="P146" s="735"/>
      <c r="Q146" s="696"/>
      <c r="R146" s="696"/>
      <c r="S146" s="16"/>
      <c r="T146" s="16"/>
      <c r="U146" s="16"/>
      <c r="V146" s="16"/>
      <c r="W146" s="16"/>
      <c r="X146" s="16"/>
      <c r="Y146" s="16"/>
      <c r="Z146" s="16"/>
      <c r="AA146" s="16"/>
      <c r="AB146" s="16"/>
      <c r="AC146" s="16"/>
      <c r="AD146" s="16"/>
    </row>
    <row r="147" spans="1:30" ht="15.75" customHeight="1">
      <c r="L147" s="16"/>
      <c r="M147" s="16"/>
      <c r="N147" s="16"/>
      <c r="O147" s="16"/>
      <c r="P147" s="735"/>
      <c r="Q147" s="696"/>
      <c r="R147" s="696"/>
      <c r="S147" s="16"/>
      <c r="T147" s="16"/>
      <c r="U147" s="16"/>
      <c r="V147" s="16"/>
      <c r="W147" s="16"/>
      <c r="X147" s="16"/>
      <c r="Y147" s="16"/>
      <c r="Z147" s="16"/>
      <c r="AA147" s="16"/>
      <c r="AB147" s="16"/>
      <c r="AC147" s="16"/>
      <c r="AD147" s="16"/>
    </row>
    <row r="148" spans="1:30" ht="15.75" customHeight="1">
      <c r="L148" s="16"/>
      <c r="M148" s="16"/>
      <c r="N148" s="16"/>
      <c r="O148" s="16"/>
      <c r="P148" s="735"/>
      <c r="Q148" s="696"/>
      <c r="R148" s="696"/>
      <c r="S148" s="16"/>
      <c r="T148" s="16"/>
      <c r="U148" s="16"/>
      <c r="V148" s="16"/>
      <c r="W148" s="16"/>
      <c r="X148" s="16"/>
      <c r="Y148" s="16"/>
      <c r="Z148" s="16"/>
      <c r="AA148" s="16"/>
      <c r="AB148" s="16"/>
      <c r="AC148" s="16"/>
      <c r="AD148" s="16"/>
    </row>
    <row r="149" spans="1:30" ht="15.75" customHeight="1">
      <c r="H149" s="248"/>
      <c r="I149" s="248"/>
      <c r="J149" s="228"/>
      <c r="K149" s="228"/>
      <c r="L149" s="16"/>
      <c r="M149" s="16"/>
      <c r="N149" s="16"/>
      <c r="O149" s="16"/>
      <c r="P149" s="735"/>
      <c r="Q149" s="696"/>
      <c r="R149" s="696"/>
      <c r="S149" s="16"/>
      <c r="T149" s="16"/>
      <c r="U149" s="16"/>
      <c r="V149" s="16"/>
      <c r="W149" s="16"/>
      <c r="X149" s="16"/>
      <c r="Y149" s="16"/>
      <c r="Z149" s="16"/>
      <c r="AA149" s="16"/>
      <c r="AB149" s="16"/>
      <c r="AC149" s="16"/>
      <c r="AD149" s="16"/>
    </row>
    <row r="150" spans="1:30" ht="15.75" customHeight="1">
      <c r="A150" s="231"/>
      <c r="B150" s="231"/>
      <c r="C150" s="246"/>
      <c r="D150" s="247"/>
      <c r="E150" s="245"/>
      <c r="F150" s="246"/>
      <c r="G150" s="247"/>
      <c r="H150" s="248"/>
      <c r="I150" s="248"/>
      <c r="J150" s="228"/>
      <c r="K150" s="228"/>
      <c r="L150" s="16"/>
      <c r="M150" s="16"/>
      <c r="N150" s="16"/>
      <c r="O150" s="16"/>
      <c r="P150" s="16"/>
      <c r="Q150" s="16"/>
      <c r="R150" s="16"/>
      <c r="S150" s="16"/>
      <c r="T150" s="16"/>
      <c r="U150" s="16"/>
      <c r="V150" s="16"/>
      <c r="W150" s="16"/>
      <c r="X150" s="16"/>
      <c r="Y150" s="16"/>
      <c r="Z150" s="16"/>
      <c r="AA150" s="16"/>
      <c r="AB150" s="16"/>
      <c r="AC150" s="16"/>
      <c r="AD150" s="16"/>
    </row>
    <row r="151" spans="1:30" ht="15.75" customHeight="1">
      <c r="A151" s="231"/>
      <c r="B151" s="16"/>
      <c r="C151" s="246"/>
      <c r="D151" s="247"/>
      <c r="E151" s="245"/>
      <c r="F151" s="246"/>
      <c r="G151" s="247"/>
      <c r="H151" s="228"/>
      <c r="I151" s="228"/>
      <c r="J151" s="228"/>
      <c r="K151" s="228"/>
      <c r="L151" s="16"/>
      <c r="M151" s="735"/>
      <c r="N151" s="696"/>
      <c r="O151" s="696"/>
      <c r="P151" s="735"/>
      <c r="Q151" s="696"/>
      <c r="R151" s="696"/>
      <c r="S151" s="696"/>
      <c r="T151" s="696"/>
      <c r="U151" s="16"/>
      <c r="V151" s="16"/>
      <c r="W151" s="16"/>
      <c r="X151" s="16"/>
      <c r="Y151" s="16"/>
      <c r="Z151" s="16"/>
      <c r="AA151" s="16"/>
      <c r="AB151" s="16"/>
      <c r="AC151" s="16"/>
      <c r="AD151" s="16"/>
    </row>
    <row r="152" spans="1:30" ht="15.75" customHeight="1">
      <c r="A152" s="16"/>
      <c r="B152" s="16"/>
      <c r="C152" s="16"/>
      <c r="D152" s="16"/>
      <c r="E152" s="16"/>
      <c r="F152" s="16"/>
      <c r="G152" s="16"/>
      <c r="H152" s="16"/>
      <c r="I152" s="16"/>
      <c r="J152" s="16"/>
      <c r="K152" s="16"/>
      <c r="L152" s="16"/>
      <c r="M152" s="735"/>
      <c r="N152" s="696"/>
      <c r="O152" s="696"/>
      <c r="P152" s="735"/>
      <c r="Q152" s="696"/>
      <c r="R152" s="696"/>
      <c r="S152" s="696"/>
      <c r="T152" s="696"/>
      <c r="U152" s="16"/>
      <c r="V152" s="16"/>
      <c r="W152" s="16"/>
      <c r="X152" s="16"/>
      <c r="Y152" s="16"/>
      <c r="Z152" s="16"/>
      <c r="AA152" s="16"/>
      <c r="AB152" s="16"/>
      <c r="AC152" s="16"/>
      <c r="AD152" s="16"/>
    </row>
    <row r="153" spans="1:30" ht="15.75" customHeight="1">
      <c r="A153" s="16"/>
      <c r="B153" s="16"/>
      <c r="C153" s="16"/>
      <c r="D153" s="16"/>
      <c r="E153" s="16"/>
      <c r="F153" s="16"/>
      <c r="G153" s="16"/>
      <c r="H153" s="16"/>
      <c r="I153" s="16"/>
      <c r="J153" s="16"/>
      <c r="K153" s="16"/>
      <c r="L153" s="16"/>
      <c r="M153" s="735"/>
      <c r="N153" s="696"/>
      <c r="O153" s="696"/>
      <c r="P153" s="696"/>
      <c r="Q153" s="696"/>
      <c r="R153" s="696"/>
      <c r="S153" s="696"/>
      <c r="T153" s="696"/>
      <c r="U153" s="16"/>
      <c r="V153" s="16"/>
      <c r="W153" s="16"/>
      <c r="X153" s="16"/>
      <c r="Y153" s="16"/>
      <c r="Z153" s="16"/>
      <c r="AA153" s="16"/>
      <c r="AB153" s="16"/>
      <c r="AC153" s="16"/>
      <c r="AD153" s="16"/>
    </row>
    <row r="154" spans="1:30" ht="15.75" customHeight="1">
      <c r="A154" s="16"/>
      <c r="B154" s="16"/>
      <c r="C154" s="16"/>
      <c r="D154" s="16"/>
      <c r="E154" s="16"/>
      <c r="F154" s="16"/>
      <c r="G154" s="16"/>
      <c r="H154" s="16"/>
      <c r="I154" s="16"/>
      <c r="J154" s="16"/>
      <c r="K154" s="16"/>
      <c r="L154" s="16"/>
      <c r="M154" s="735"/>
      <c r="N154" s="696"/>
      <c r="O154" s="696"/>
      <c r="P154" s="696"/>
      <c r="Q154" s="696"/>
      <c r="R154" s="696"/>
      <c r="S154" s="696"/>
      <c r="T154" s="696"/>
      <c r="U154" s="16"/>
      <c r="V154" s="16"/>
      <c r="W154" s="16"/>
      <c r="X154" s="16"/>
      <c r="Y154" s="16"/>
      <c r="Z154" s="16"/>
      <c r="AA154" s="16"/>
      <c r="AB154" s="16"/>
      <c r="AC154" s="16"/>
      <c r="AD154" s="16"/>
    </row>
    <row r="155" spans="1:30" ht="15.75" customHeight="1">
      <c r="A155" s="16"/>
      <c r="B155" s="16"/>
      <c r="C155" s="16"/>
      <c r="D155" s="16"/>
      <c r="E155" s="16"/>
      <c r="F155" s="16"/>
      <c r="G155" s="16"/>
      <c r="H155" s="16"/>
      <c r="I155" s="16"/>
      <c r="J155" s="16"/>
      <c r="K155" s="16"/>
      <c r="L155" s="16"/>
      <c r="M155" s="735"/>
      <c r="N155" s="696"/>
      <c r="O155" s="696"/>
      <c r="P155" s="696"/>
      <c r="Q155" s="696"/>
      <c r="R155" s="696"/>
      <c r="S155" s="696"/>
      <c r="T155" s="696"/>
      <c r="U155" s="16"/>
      <c r="V155" s="16"/>
      <c r="W155" s="16"/>
      <c r="X155" s="16"/>
      <c r="Y155" s="16"/>
      <c r="Z155" s="16"/>
      <c r="AA155" s="16"/>
      <c r="AB155" s="16"/>
      <c r="AC155" s="16"/>
      <c r="AD155" s="16"/>
    </row>
    <row r="156" spans="1:30" ht="15.75" customHeight="1">
      <c r="A156" s="16"/>
      <c r="B156" s="16"/>
      <c r="C156" s="16"/>
      <c r="D156" s="16"/>
      <c r="E156" s="16"/>
      <c r="F156" s="16"/>
      <c r="G156" s="16"/>
      <c r="H156" s="16"/>
      <c r="I156" s="16"/>
      <c r="J156" s="16"/>
      <c r="K156" s="16"/>
      <c r="L156" s="16"/>
      <c r="M156" s="735"/>
      <c r="N156" s="696"/>
      <c r="O156" s="696"/>
      <c r="P156" s="696"/>
      <c r="Q156" s="696"/>
      <c r="R156" s="696"/>
      <c r="S156" s="696"/>
      <c r="T156" s="696"/>
      <c r="U156" s="16"/>
      <c r="V156" s="16"/>
      <c r="W156" s="16"/>
      <c r="X156" s="16"/>
      <c r="Y156" s="16"/>
      <c r="Z156" s="16"/>
      <c r="AA156" s="16"/>
      <c r="AB156" s="16"/>
      <c r="AC156" s="16"/>
      <c r="AD156" s="16"/>
    </row>
    <row r="157" spans="1:30" ht="15.75" customHeight="1">
      <c r="A157" s="16"/>
      <c r="B157" s="16"/>
      <c r="C157" s="16"/>
      <c r="D157" s="16"/>
      <c r="E157" s="16"/>
      <c r="F157" s="16"/>
      <c r="G157" s="16"/>
      <c r="H157" s="16"/>
      <c r="I157" s="16"/>
      <c r="J157" s="16"/>
      <c r="K157" s="16"/>
      <c r="L157" s="16"/>
      <c r="M157" s="735"/>
      <c r="N157" s="696"/>
      <c r="O157" s="696"/>
      <c r="P157" s="696"/>
      <c r="Q157" s="696"/>
      <c r="R157" s="696"/>
      <c r="S157" s="696"/>
      <c r="T157" s="696"/>
      <c r="U157" s="16"/>
      <c r="V157" s="16"/>
      <c r="W157" s="16"/>
      <c r="X157" s="16"/>
      <c r="Y157" s="16"/>
      <c r="Z157" s="16"/>
      <c r="AA157" s="16"/>
      <c r="AB157" s="16"/>
      <c r="AC157" s="16"/>
      <c r="AD157" s="16"/>
    </row>
    <row r="158" spans="1:30" ht="15.75" customHeight="1">
      <c r="A158" s="16"/>
      <c r="B158" s="16"/>
      <c r="C158" s="16"/>
      <c r="D158" s="16"/>
      <c r="E158" s="16"/>
      <c r="F158" s="16"/>
      <c r="G158" s="16"/>
      <c r="H158" s="16"/>
      <c r="I158" s="16"/>
      <c r="J158" s="16"/>
      <c r="K158" s="16"/>
      <c r="L158" s="16"/>
      <c r="M158" s="735"/>
      <c r="N158" s="696"/>
      <c r="O158" s="696"/>
      <c r="P158" s="696"/>
      <c r="Q158" s="696"/>
      <c r="R158" s="696"/>
      <c r="S158" s="696"/>
      <c r="T158" s="696"/>
      <c r="U158" s="16"/>
      <c r="V158" s="16"/>
      <c r="W158" s="16"/>
      <c r="X158" s="16"/>
      <c r="Y158" s="16"/>
      <c r="Z158" s="16"/>
      <c r="AA158" s="16"/>
      <c r="AB158" s="16"/>
      <c r="AC158" s="16"/>
      <c r="AD158" s="16"/>
    </row>
    <row r="159" spans="1:30" ht="15.75" customHeight="1">
      <c r="A159" s="16"/>
      <c r="B159" s="16"/>
      <c r="C159" s="16"/>
      <c r="D159" s="16"/>
      <c r="E159" s="16"/>
      <c r="F159" s="16"/>
      <c r="G159" s="16"/>
      <c r="H159" s="16"/>
      <c r="I159" s="16"/>
      <c r="J159" s="16"/>
      <c r="K159" s="16"/>
      <c r="L159" s="16"/>
      <c r="M159" s="735"/>
      <c r="N159" s="696"/>
      <c r="O159" s="696"/>
      <c r="P159" s="696"/>
      <c r="Q159" s="696"/>
      <c r="R159" s="696"/>
      <c r="S159" s="696"/>
      <c r="T159" s="696"/>
      <c r="U159" s="16"/>
      <c r="V159" s="16"/>
      <c r="W159" s="16"/>
      <c r="X159" s="16"/>
      <c r="Y159" s="16"/>
      <c r="Z159" s="16"/>
      <c r="AA159" s="16"/>
      <c r="AB159" s="16"/>
      <c r="AC159" s="16"/>
      <c r="AD159" s="16"/>
    </row>
    <row r="160" spans="1:30" ht="15.75" customHeight="1">
      <c r="A160" s="16"/>
      <c r="B160" s="16"/>
      <c r="C160" s="16"/>
      <c r="D160" s="16"/>
      <c r="E160" s="16"/>
      <c r="F160" s="16"/>
      <c r="G160" s="16"/>
      <c r="H160" s="16"/>
      <c r="I160" s="16"/>
      <c r="J160" s="16"/>
      <c r="K160" s="16"/>
      <c r="L160" s="16"/>
      <c r="M160" s="735"/>
      <c r="N160" s="696"/>
      <c r="O160" s="696"/>
      <c r="P160" s="696"/>
      <c r="Q160" s="696"/>
      <c r="R160" s="696"/>
      <c r="S160" s="696"/>
      <c r="T160" s="696"/>
      <c r="U160" s="16"/>
      <c r="V160" s="16"/>
      <c r="W160" s="16"/>
      <c r="X160" s="16"/>
      <c r="Y160" s="16"/>
      <c r="Z160" s="16"/>
      <c r="AA160" s="16"/>
      <c r="AB160" s="16"/>
      <c r="AC160" s="16"/>
      <c r="AD160" s="16"/>
    </row>
    <row r="161" spans="1:30" ht="15.75" customHeight="1">
      <c r="A161" s="16"/>
      <c r="B161" s="16"/>
      <c r="C161" s="16"/>
      <c r="D161" s="16"/>
      <c r="E161" s="16"/>
      <c r="F161" s="16"/>
      <c r="G161" s="16"/>
      <c r="H161" s="16"/>
      <c r="I161" s="16"/>
      <c r="J161" s="16"/>
      <c r="K161" s="16"/>
      <c r="L161" s="16"/>
      <c r="M161" s="735"/>
      <c r="N161" s="696"/>
      <c r="O161" s="696"/>
      <c r="P161" s="696"/>
      <c r="Q161" s="696"/>
      <c r="R161" s="696"/>
      <c r="S161" s="696"/>
      <c r="T161" s="696"/>
      <c r="U161" s="16"/>
      <c r="V161" s="16"/>
      <c r="W161" s="16"/>
      <c r="X161" s="16"/>
      <c r="Y161" s="16"/>
      <c r="Z161" s="16"/>
      <c r="AA161" s="16"/>
      <c r="AB161" s="16"/>
      <c r="AC161" s="16"/>
      <c r="AD161" s="16"/>
    </row>
    <row r="162" spans="1:30" ht="15.75" customHeight="1">
      <c r="A162" s="16"/>
      <c r="B162" s="16"/>
      <c r="C162" s="16"/>
      <c r="D162" s="16"/>
      <c r="E162" s="16"/>
      <c r="F162" s="16"/>
      <c r="G162" s="16"/>
      <c r="H162" s="16"/>
      <c r="I162" s="16"/>
      <c r="J162" s="16"/>
      <c r="K162" s="16"/>
      <c r="L162" s="16"/>
      <c r="M162" s="735"/>
      <c r="N162" s="696"/>
      <c r="O162" s="696"/>
      <c r="P162" s="696"/>
      <c r="Q162" s="696"/>
      <c r="R162" s="696"/>
      <c r="S162" s="696"/>
      <c r="T162" s="696"/>
      <c r="U162" s="16"/>
      <c r="V162" s="16"/>
      <c r="W162" s="16"/>
      <c r="X162" s="16"/>
      <c r="Y162" s="16"/>
      <c r="Z162" s="16"/>
      <c r="AA162" s="16"/>
      <c r="AB162" s="16"/>
      <c r="AC162" s="16"/>
      <c r="AD162" s="16"/>
    </row>
    <row r="163" spans="1:30" ht="15.75" customHeight="1">
      <c r="A163" s="16"/>
      <c r="B163" s="16"/>
      <c r="C163" s="16"/>
      <c r="D163" s="16"/>
      <c r="E163" s="16"/>
      <c r="F163" s="16"/>
      <c r="G163" s="16"/>
      <c r="H163" s="16"/>
      <c r="I163" s="16"/>
      <c r="J163" s="16"/>
      <c r="K163" s="16"/>
      <c r="L163" s="16"/>
      <c r="M163" s="735"/>
      <c r="N163" s="696"/>
      <c r="O163" s="696"/>
      <c r="P163" s="696"/>
      <c r="Q163" s="696"/>
      <c r="R163" s="696"/>
      <c r="S163" s="696"/>
      <c r="T163" s="696"/>
      <c r="U163" s="16"/>
      <c r="V163" s="16"/>
      <c r="W163" s="16"/>
      <c r="X163" s="16"/>
      <c r="Y163" s="16"/>
      <c r="Z163" s="16"/>
      <c r="AA163" s="16"/>
      <c r="AB163" s="16"/>
      <c r="AC163" s="16"/>
      <c r="AD163" s="16"/>
    </row>
    <row r="164" spans="1:30" ht="15.75" customHeight="1">
      <c r="A164" s="1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c r="Z164" s="16"/>
      <c r="AA164" s="16"/>
      <c r="AB164" s="16"/>
      <c r="AC164" s="16"/>
      <c r="AD164" s="16"/>
    </row>
    <row r="165" spans="1:30" ht="15.75" customHeight="1">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row>
    <row r="166" spans="1:30" ht="15.75" customHeight="1">
      <c r="A166" s="16"/>
      <c r="B166" s="16"/>
      <c r="C166" s="16"/>
      <c r="D166" s="16"/>
      <c r="E166" s="16"/>
      <c r="F166" s="16"/>
      <c r="G166" s="16"/>
      <c r="H166" s="16"/>
      <c r="I166" s="16"/>
      <c r="J166" s="16"/>
      <c r="K166" s="16"/>
      <c r="L166" s="16"/>
      <c r="M166" s="735"/>
      <c r="N166" s="696"/>
      <c r="O166" s="696"/>
      <c r="P166" s="735"/>
      <c r="Q166" s="696"/>
      <c r="R166" s="696"/>
      <c r="S166" s="696"/>
      <c r="T166" s="696"/>
      <c r="U166" s="16"/>
      <c r="V166" s="16"/>
      <c r="W166" s="16"/>
      <c r="X166" s="16"/>
      <c r="Y166" s="16"/>
      <c r="Z166" s="16"/>
      <c r="AA166" s="16"/>
      <c r="AB166" s="16"/>
      <c r="AC166" s="16"/>
      <c r="AD166" s="16"/>
    </row>
    <row r="167" spans="1:30" ht="15.75" customHeight="1">
      <c r="A167" s="16"/>
      <c r="B167" s="16"/>
      <c r="C167" s="16"/>
      <c r="D167" s="16"/>
      <c r="E167" s="16"/>
      <c r="F167" s="16"/>
      <c r="G167" s="16"/>
      <c r="H167" s="16"/>
      <c r="I167" s="16"/>
      <c r="J167" s="16"/>
      <c r="K167" s="16"/>
      <c r="L167" s="16"/>
      <c r="M167" s="735"/>
      <c r="N167" s="696"/>
      <c r="O167" s="696"/>
      <c r="P167" s="735"/>
      <c r="Q167" s="696"/>
      <c r="R167" s="696"/>
      <c r="S167" s="696"/>
      <c r="T167" s="696"/>
      <c r="U167" s="16"/>
      <c r="V167" s="16"/>
      <c r="W167" s="16"/>
      <c r="X167" s="16"/>
      <c r="Y167" s="16"/>
      <c r="Z167" s="16"/>
      <c r="AA167" s="16"/>
      <c r="AB167" s="16"/>
      <c r="AC167" s="16"/>
      <c r="AD167" s="16"/>
    </row>
    <row r="168" spans="1:30" ht="15.75" customHeight="1">
      <c r="A168" s="16"/>
      <c r="B168" s="16"/>
      <c r="C168" s="16"/>
      <c r="D168" s="16"/>
      <c r="E168" s="16"/>
      <c r="F168" s="16"/>
      <c r="G168" s="16"/>
      <c r="H168" s="16"/>
      <c r="I168" s="16"/>
      <c r="J168" s="16"/>
      <c r="K168" s="16"/>
      <c r="L168" s="16"/>
      <c r="M168" s="735"/>
      <c r="N168" s="696"/>
      <c r="O168" s="696"/>
      <c r="P168" s="696"/>
      <c r="Q168" s="696"/>
      <c r="R168" s="696"/>
      <c r="S168" s="696"/>
      <c r="T168" s="696"/>
      <c r="U168" s="16"/>
      <c r="V168" s="16"/>
      <c r="W168" s="16"/>
      <c r="X168" s="16"/>
      <c r="Y168" s="16"/>
      <c r="Z168" s="16"/>
      <c r="AA168" s="16"/>
      <c r="AB168" s="16"/>
      <c r="AC168" s="16"/>
      <c r="AD168" s="16"/>
    </row>
    <row r="169" spans="1:30" ht="15.75" customHeight="1">
      <c r="A169" s="16"/>
      <c r="B169" s="16"/>
      <c r="C169" s="16"/>
      <c r="D169" s="16"/>
      <c r="E169" s="16"/>
      <c r="F169" s="16"/>
      <c r="G169" s="16"/>
      <c r="H169" s="16"/>
      <c r="I169" s="16"/>
      <c r="J169" s="16"/>
      <c r="K169" s="16"/>
      <c r="L169" s="16"/>
      <c r="M169" s="735"/>
      <c r="N169" s="696"/>
      <c r="O169" s="696"/>
      <c r="P169" s="696"/>
      <c r="Q169" s="696"/>
      <c r="R169" s="696"/>
      <c r="S169" s="696"/>
      <c r="T169" s="696"/>
      <c r="U169" s="16"/>
      <c r="V169" s="16"/>
      <c r="W169" s="16"/>
      <c r="X169" s="16"/>
      <c r="Y169" s="16"/>
      <c r="Z169" s="16"/>
      <c r="AA169" s="16"/>
      <c r="AB169" s="16"/>
      <c r="AC169" s="16"/>
      <c r="AD169" s="16"/>
    </row>
    <row r="170" spans="1:30" ht="15.75" customHeight="1">
      <c r="A170" s="16"/>
      <c r="B170" s="16"/>
      <c r="C170" s="16"/>
      <c r="D170" s="16"/>
      <c r="E170" s="16"/>
      <c r="F170" s="16"/>
      <c r="G170" s="16"/>
      <c r="H170" s="16"/>
      <c r="I170" s="16"/>
      <c r="J170" s="16"/>
      <c r="K170" s="16"/>
      <c r="L170" s="16"/>
      <c r="M170" s="735"/>
      <c r="N170" s="696"/>
      <c r="O170" s="696"/>
      <c r="P170" s="696"/>
      <c r="Q170" s="696"/>
      <c r="R170" s="696"/>
      <c r="S170" s="696"/>
      <c r="T170" s="696"/>
      <c r="U170" s="16"/>
      <c r="V170" s="16"/>
      <c r="W170" s="16"/>
      <c r="X170" s="16"/>
      <c r="Y170" s="16"/>
      <c r="Z170" s="16"/>
      <c r="AA170" s="16"/>
      <c r="AB170" s="16"/>
      <c r="AC170" s="16"/>
      <c r="AD170" s="16"/>
    </row>
    <row r="171" spans="1:30" ht="15.75" customHeight="1">
      <c r="A171" s="16"/>
      <c r="B171" s="16"/>
      <c r="C171" s="16"/>
      <c r="D171" s="16"/>
      <c r="E171" s="16"/>
      <c r="F171" s="16"/>
      <c r="G171" s="16"/>
      <c r="H171" s="16"/>
      <c r="I171" s="16"/>
      <c r="J171" s="16"/>
      <c r="K171" s="16"/>
      <c r="L171" s="16"/>
      <c r="M171" s="735"/>
      <c r="N171" s="696"/>
      <c r="O171" s="696"/>
      <c r="P171" s="696"/>
      <c r="Q171" s="696"/>
      <c r="R171" s="696"/>
      <c r="S171" s="696"/>
      <c r="T171" s="696"/>
      <c r="U171" s="16"/>
      <c r="V171" s="16"/>
      <c r="W171" s="16"/>
      <c r="X171" s="16"/>
      <c r="Y171" s="16"/>
      <c r="Z171" s="16"/>
      <c r="AA171" s="16"/>
      <c r="AB171" s="16"/>
      <c r="AC171" s="16"/>
      <c r="AD171" s="16"/>
    </row>
    <row r="172" spans="1:30" ht="15.75" customHeight="1">
      <c r="A172" s="16"/>
      <c r="B172" s="16"/>
      <c r="C172" s="16"/>
      <c r="D172" s="16"/>
      <c r="E172" s="16"/>
      <c r="F172" s="16"/>
      <c r="G172" s="16"/>
      <c r="H172" s="16"/>
      <c r="I172" s="16"/>
      <c r="J172" s="16"/>
      <c r="K172" s="16"/>
      <c r="L172" s="16"/>
      <c r="M172" s="735"/>
      <c r="N172" s="696"/>
      <c r="O172" s="696"/>
      <c r="P172" s="696"/>
      <c r="Q172" s="696"/>
      <c r="R172" s="696"/>
      <c r="S172" s="696"/>
      <c r="T172" s="696"/>
      <c r="U172" s="16"/>
      <c r="V172" s="16"/>
      <c r="W172" s="16"/>
      <c r="X172" s="16"/>
      <c r="Y172" s="16"/>
      <c r="Z172" s="16"/>
      <c r="AA172" s="16"/>
      <c r="AB172" s="16"/>
      <c r="AC172" s="16"/>
      <c r="AD172" s="16"/>
    </row>
    <row r="173" spans="1:30" ht="15.75" customHeight="1">
      <c r="A173" s="16"/>
      <c r="B173" s="16"/>
      <c r="C173" s="16"/>
      <c r="D173" s="16"/>
      <c r="E173" s="16"/>
      <c r="F173" s="16"/>
      <c r="G173" s="16"/>
      <c r="H173" s="16"/>
      <c r="I173" s="16"/>
      <c r="J173" s="16"/>
      <c r="K173" s="16"/>
      <c r="L173" s="16"/>
      <c r="M173" s="735"/>
      <c r="N173" s="696"/>
      <c r="O173" s="696"/>
      <c r="P173" s="696"/>
      <c r="Q173" s="696"/>
      <c r="R173" s="696"/>
      <c r="S173" s="696"/>
      <c r="T173" s="696"/>
      <c r="U173" s="16"/>
      <c r="V173" s="16"/>
      <c r="W173" s="16"/>
      <c r="X173" s="16"/>
      <c r="Y173" s="16"/>
      <c r="Z173" s="16"/>
      <c r="AA173" s="16"/>
      <c r="AB173" s="16"/>
      <c r="AC173" s="16"/>
      <c r="AD173" s="16"/>
    </row>
    <row r="174" spans="1:30" ht="15.75" customHeight="1">
      <c r="A174" s="16"/>
      <c r="B174" s="16"/>
      <c r="C174" s="16"/>
      <c r="D174" s="16"/>
      <c r="E174" s="16"/>
      <c r="F174" s="16"/>
      <c r="G174" s="16"/>
      <c r="H174" s="16"/>
      <c r="I174" s="16"/>
      <c r="J174" s="16"/>
      <c r="K174" s="16"/>
      <c r="L174" s="16"/>
      <c r="M174" s="735"/>
      <c r="N174" s="696"/>
      <c r="O174" s="696"/>
      <c r="P174" s="696"/>
      <c r="Q174" s="696"/>
      <c r="R174" s="696"/>
      <c r="S174" s="696"/>
      <c r="T174" s="696"/>
      <c r="U174" s="16"/>
      <c r="V174" s="16"/>
      <c r="W174" s="16"/>
      <c r="X174" s="16"/>
      <c r="Y174" s="16"/>
      <c r="Z174" s="16"/>
      <c r="AA174" s="16"/>
      <c r="AB174" s="16"/>
      <c r="AC174" s="16"/>
      <c r="AD174" s="16"/>
    </row>
    <row r="175" spans="1:30" ht="15.75" customHeight="1">
      <c r="A175" s="16"/>
      <c r="B175" s="16"/>
      <c r="C175" s="16"/>
      <c r="D175" s="16"/>
      <c r="E175" s="16"/>
      <c r="F175" s="16"/>
      <c r="G175" s="16"/>
      <c r="H175" s="16"/>
      <c r="I175" s="16"/>
      <c r="J175" s="16"/>
      <c r="K175" s="16"/>
      <c r="L175" s="16"/>
      <c r="M175" s="735"/>
      <c r="N175" s="696"/>
      <c r="O175" s="696"/>
      <c r="P175" s="696"/>
      <c r="Q175" s="696"/>
      <c r="R175" s="696"/>
      <c r="S175" s="696"/>
      <c r="T175" s="696"/>
      <c r="U175" s="16"/>
      <c r="V175" s="16"/>
      <c r="W175" s="16"/>
      <c r="X175" s="16"/>
      <c r="Y175" s="16"/>
      <c r="Z175" s="16"/>
      <c r="AA175" s="16"/>
      <c r="AB175" s="16"/>
      <c r="AC175" s="16"/>
      <c r="AD175" s="16"/>
    </row>
    <row r="176" spans="1:30" ht="15.75" customHeight="1">
      <c r="A176" s="16"/>
      <c r="B176" s="16"/>
      <c r="C176" s="16"/>
      <c r="D176" s="16"/>
      <c r="E176" s="16"/>
      <c r="F176" s="16"/>
      <c r="G176" s="16"/>
      <c r="H176" s="16"/>
      <c r="I176" s="16"/>
      <c r="J176" s="16"/>
      <c r="K176" s="16"/>
      <c r="L176" s="16"/>
      <c r="M176" s="735"/>
      <c r="N176" s="696"/>
      <c r="O176" s="696"/>
      <c r="P176" s="696"/>
      <c r="Q176" s="696"/>
      <c r="R176" s="696"/>
      <c r="S176" s="696"/>
      <c r="T176" s="696"/>
      <c r="U176" s="16"/>
      <c r="V176" s="16"/>
      <c r="W176" s="16"/>
      <c r="X176" s="16"/>
      <c r="Y176" s="16"/>
      <c r="Z176" s="16"/>
      <c r="AA176" s="16"/>
      <c r="AB176" s="16"/>
      <c r="AC176" s="16"/>
      <c r="AD176" s="16"/>
    </row>
    <row r="177" spans="1:30" ht="15.75" customHeight="1">
      <c r="A177" s="16"/>
      <c r="B177" s="16"/>
      <c r="C177" s="16"/>
      <c r="D177" s="16"/>
      <c r="E177" s="16"/>
      <c r="F177" s="16"/>
      <c r="G177" s="16"/>
      <c r="H177" s="16"/>
      <c r="I177" s="16"/>
      <c r="J177" s="16"/>
      <c r="K177" s="16"/>
      <c r="L177" s="16"/>
      <c r="M177" s="735"/>
      <c r="N177" s="696"/>
      <c r="O177" s="696"/>
      <c r="P177" s="696"/>
      <c r="Q177" s="696"/>
      <c r="R177" s="696"/>
      <c r="S177" s="696"/>
      <c r="T177" s="696"/>
      <c r="U177" s="16"/>
      <c r="V177" s="16"/>
      <c r="W177" s="16"/>
      <c r="X177" s="16"/>
      <c r="Y177" s="16"/>
      <c r="Z177" s="16"/>
      <c r="AA177" s="16"/>
      <c r="AB177" s="16"/>
      <c r="AC177" s="16"/>
      <c r="AD177" s="16"/>
    </row>
    <row r="178" spans="1:30" ht="15.75" customHeight="1">
      <c r="A178" s="16"/>
      <c r="B178" s="16"/>
      <c r="C178" s="16"/>
      <c r="D178" s="16"/>
      <c r="E178" s="16"/>
      <c r="F178" s="16"/>
      <c r="G178" s="16"/>
      <c r="H178" s="16"/>
      <c r="I178" s="16"/>
      <c r="J178" s="16"/>
      <c r="K178" s="16"/>
      <c r="L178" s="16"/>
      <c r="M178" s="735"/>
      <c r="N178" s="696"/>
      <c r="O178" s="696"/>
      <c r="P178" s="696"/>
      <c r="Q178" s="696"/>
      <c r="R178" s="696"/>
      <c r="S178" s="696"/>
      <c r="T178" s="696"/>
      <c r="U178" s="16"/>
      <c r="V178" s="16"/>
      <c r="W178" s="16"/>
      <c r="X178" s="16"/>
      <c r="Y178" s="16"/>
      <c r="Z178" s="16"/>
      <c r="AA178" s="16"/>
      <c r="AB178" s="16"/>
      <c r="AC178" s="16"/>
      <c r="AD178" s="16"/>
    </row>
    <row r="179" spans="1:30" ht="15.75" customHeight="1">
      <c r="A179" s="16"/>
      <c r="B179" s="16"/>
      <c r="C179" s="16"/>
      <c r="D179" s="16"/>
      <c r="E179" s="16"/>
      <c r="F179" s="16"/>
      <c r="G179" s="16"/>
      <c r="H179" s="16"/>
      <c r="I179" s="16"/>
      <c r="J179" s="16"/>
      <c r="K179" s="16"/>
      <c r="L179" s="16"/>
      <c r="M179" s="735"/>
      <c r="N179" s="696"/>
      <c r="O179" s="696"/>
      <c r="P179" s="696"/>
      <c r="Q179" s="696"/>
      <c r="R179" s="696"/>
      <c r="S179" s="696"/>
      <c r="T179" s="696"/>
      <c r="U179" s="16"/>
      <c r="V179" s="16"/>
      <c r="W179" s="16"/>
      <c r="X179" s="16"/>
      <c r="Y179" s="16"/>
      <c r="Z179" s="16"/>
      <c r="AA179" s="16"/>
      <c r="AB179" s="16"/>
      <c r="AC179" s="16"/>
      <c r="AD179" s="16"/>
    </row>
    <row r="180" spans="1:30" ht="15.75" customHeight="1">
      <c r="A180" s="16"/>
      <c r="B180" s="16"/>
      <c r="C180" s="16"/>
      <c r="D180" s="16"/>
      <c r="E180" s="16"/>
      <c r="F180" s="16"/>
      <c r="G180" s="16"/>
      <c r="H180" s="16"/>
      <c r="I180" s="16"/>
      <c r="J180" s="16"/>
      <c r="K180" s="16"/>
      <c r="L180" s="16"/>
      <c r="M180" s="735"/>
      <c r="N180" s="696"/>
      <c r="O180" s="696"/>
      <c r="P180" s="696"/>
      <c r="Q180" s="696"/>
      <c r="R180" s="696"/>
      <c r="S180" s="696"/>
      <c r="T180" s="696"/>
      <c r="U180" s="16"/>
      <c r="V180" s="16"/>
      <c r="W180" s="16"/>
      <c r="X180" s="16"/>
      <c r="Y180" s="16"/>
      <c r="Z180" s="16"/>
      <c r="AA180" s="16"/>
      <c r="AB180" s="16"/>
      <c r="AC180" s="16"/>
      <c r="AD180" s="16"/>
    </row>
    <row r="181" spans="1:30" ht="15.75" customHeight="1">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c r="AD181" s="16"/>
    </row>
    <row r="182" spans="1:30" ht="15.75" customHeight="1">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c r="AD182" s="16"/>
    </row>
    <row r="183" spans="1:30" ht="15.75" customHeight="1">
      <c r="A183" s="16"/>
      <c r="B183" s="735"/>
      <c r="C183" s="696"/>
      <c r="D183" s="16"/>
      <c r="E183" s="16"/>
      <c r="F183" s="16"/>
      <c r="G183" s="16"/>
      <c r="H183" s="16"/>
      <c r="I183" s="16"/>
      <c r="J183" s="16"/>
      <c r="K183" s="16"/>
      <c r="L183" s="16"/>
      <c r="M183" s="735"/>
      <c r="N183" s="696"/>
      <c r="O183" s="696"/>
      <c r="P183" s="735"/>
      <c r="Q183" s="696"/>
      <c r="R183" s="696"/>
      <c r="S183" s="696"/>
      <c r="T183" s="696"/>
      <c r="U183" s="16"/>
      <c r="V183" s="16"/>
      <c r="W183" s="16"/>
      <c r="X183" s="16"/>
      <c r="Y183" s="16"/>
      <c r="Z183" s="16"/>
      <c r="AA183" s="16"/>
      <c r="AB183" s="16"/>
      <c r="AC183" s="16"/>
      <c r="AD183" s="16"/>
    </row>
    <row r="184" spans="1:30" ht="15.75" customHeight="1">
      <c r="A184" s="16"/>
      <c r="B184" s="735"/>
      <c r="C184" s="696"/>
      <c r="D184" s="16"/>
      <c r="E184" s="16"/>
      <c r="F184" s="16"/>
      <c r="G184" s="16"/>
      <c r="H184" s="16"/>
      <c r="I184" s="16"/>
      <c r="J184" s="16"/>
      <c r="K184" s="16"/>
      <c r="L184" s="16"/>
      <c r="M184" s="735"/>
      <c r="N184" s="696"/>
      <c r="O184" s="696"/>
      <c r="P184" s="735"/>
      <c r="Q184" s="696"/>
      <c r="R184" s="696"/>
      <c r="S184" s="696"/>
      <c r="T184" s="696"/>
      <c r="U184" s="16"/>
      <c r="V184" s="16"/>
      <c r="W184" s="16"/>
      <c r="X184" s="16"/>
      <c r="Y184" s="16"/>
      <c r="Z184" s="16"/>
      <c r="AA184" s="16"/>
      <c r="AB184" s="16"/>
      <c r="AC184" s="16"/>
      <c r="AD184" s="16"/>
    </row>
    <row r="185" spans="1:30" ht="15.75" customHeight="1">
      <c r="A185" s="16"/>
      <c r="B185" s="735"/>
      <c r="C185" s="696"/>
      <c r="D185" s="16"/>
      <c r="E185" s="16"/>
      <c r="F185" s="16"/>
      <c r="G185" s="16"/>
      <c r="H185" s="16"/>
      <c r="I185" s="16"/>
      <c r="J185" s="16"/>
      <c r="K185" s="16"/>
      <c r="L185" s="16"/>
      <c r="M185" s="735"/>
      <c r="N185" s="696"/>
      <c r="O185" s="696"/>
      <c r="P185" s="696"/>
      <c r="Q185" s="696"/>
      <c r="R185" s="696"/>
      <c r="S185" s="696"/>
      <c r="T185" s="696"/>
      <c r="U185" s="16"/>
      <c r="V185" s="16"/>
      <c r="W185" s="16"/>
      <c r="X185" s="16"/>
      <c r="Y185" s="16"/>
      <c r="Z185" s="16"/>
      <c r="AA185" s="16"/>
      <c r="AB185" s="16"/>
      <c r="AC185" s="16"/>
      <c r="AD185" s="16"/>
    </row>
    <row r="186" spans="1:30" ht="15.75" customHeight="1">
      <c r="A186" s="16"/>
      <c r="B186" s="735"/>
      <c r="C186" s="696"/>
      <c r="D186" s="16"/>
      <c r="E186" s="16"/>
      <c r="F186" s="16"/>
      <c r="G186" s="16"/>
      <c r="H186" s="16"/>
      <c r="I186" s="16"/>
      <c r="J186" s="16"/>
      <c r="K186" s="16"/>
      <c r="L186" s="16"/>
      <c r="M186" s="735"/>
      <c r="N186" s="696"/>
      <c r="O186" s="696"/>
      <c r="P186" s="696"/>
      <c r="Q186" s="696"/>
      <c r="R186" s="696"/>
      <c r="S186" s="696"/>
      <c r="T186" s="696"/>
      <c r="U186" s="16"/>
      <c r="V186" s="16"/>
      <c r="W186" s="16"/>
      <c r="X186" s="16"/>
      <c r="Y186" s="16"/>
      <c r="Z186" s="16"/>
      <c r="AA186" s="16"/>
      <c r="AB186" s="16"/>
      <c r="AC186" s="16"/>
      <c r="AD186" s="16"/>
    </row>
    <row r="187" spans="1:30" ht="15.75" customHeight="1">
      <c r="A187" s="16"/>
      <c r="B187" s="735"/>
      <c r="C187" s="696"/>
      <c r="D187" s="16"/>
      <c r="E187" s="16"/>
      <c r="F187" s="16"/>
      <c r="G187" s="16"/>
      <c r="H187" s="16"/>
      <c r="I187" s="16"/>
      <c r="J187" s="16"/>
      <c r="K187" s="16"/>
      <c r="L187" s="16"/>
      <c r="M187" s="735"/>
      <c r="N187" s="696"/>
      <c r="O187" s="696"/>
      <c r="P187" s="696"/>
      <c r="Q187" s="696"/>
      <c r="R187" s="696"/>
      <c r="S187" s="696"/>
      <c r="T187" s="696"/>
      <c r="U187" s="16"/>
      <c r="V187" s="16"/>
      <c r="W187" s="16"/>
      <c r="X187" s="16"/>
      <c r="Y187" s="16"/>
      <c r="Z187" s="16"/>
      <c r="AA187" s="16"/>
      <c r="AB187" s="16"/>
      <c r="AC187" s="16"/>
      <c r="AD187" s="16"/>
    </row>
    <row r="188" spans="1:30" ht="15.75" customHeight="1">
      <c r="A188" s="16"/>
      <c r="B188" s="735"/>
      <c r="C188" s="696"/>
      <c r="D188" s="16"/>
      <c r="E188" s="16"/>
      <c r="F188" s="16"/>
      <c r="G188" s="16"/>
      <c r="H188" s="16"/>
      <c r="I188" s="16"/>
      <c r="J188" s="16"/>
      <c r="K188" s="16"/>
      <c r="L188" s="16"/>
      <c r="M188" s="735"/>
      <c r="N188" s="696"/>
      <c r="O188" s="696"/>
      <c r="P188" s="696"/>
      <c r="Q188" s="696"/>
      <c r="R188" s="696"/>
      <c r="S188" s="696"/>
      <c r="T188" s="696"/>
      <c r="U188" s="16"/>
      <c r="V188" s="16"/>
      <c r="W188" s="16"/>
      <c r="X188" s="16"/>
      <c r="Y188" s="16"/>
      <c r="Z188" s="16"/>
      <c r="AA188" s="16"/>
      <c r="AB188" s="16"/>
      <c r="AC188" s="16"/>
      <c r="AD188" s="16"/>
    </row>
    <row r="189" spans="1:30" ht="15.75" customHeight="1">
      <c r="A189" s="16"/>
      <c r="B189" s="735"/>
      <c r="C189" s="696"/>
      <c r="D189" s="16"/>
      <c r="E189" s="16"/>
      <c r="F189" s="16"/>
      <c r="G189" s="16"/>
      <c r="H189" s="16"/>
      <c r="I189" s="16"/>
      <c r="J189" s="16"/>
      <c r="K189" s="16"/>
      <c r="L189" s="16"/>
      <c r="M189" s="735"/>
      <c r="N189" s="696"/>
      <c r="O189" s="696"/>
      <c r="P189" s="696"/>
      <c r="Q189" s="696"/>
      <c r="R189" s="696"/>
      <c r="S189" s="696"/>
      <c r="T189" s="696"/>
      <c r="U189" s="16"/>
      <c r="V189" s="16"/>
      <c r="W189" s="16"/>
      <c r="X189" s="16"/>
      <c r="Y189" s="16"/>
      <c r="Z189" s="16"/>
      <c r="AA189" s="16"/>
      <c r="AB189" s="16"/>
      <c r="AC189" s="16"/>
      <c r="AD189" s="16"/>
    </row>
    <row r="190" spans="1:30" ht="15.75" customHeight="1">
      <c r="A190" s="16"/>
      <c r="B190" s="735"/>
      <c r="C190" s="696"/>
      <c r="D190" s="16"/>
      <c r="E190" s="16"/>
      <c r="F190" s="16"/>
      <c r="G190" s="16"/>
      <c r="H190" s="16"/>
      <c r="I190" s="16"/>
      <c r="J190" s="16"/>
      <c r="K190" s="16"/>
      <c r="L190" s="16"/>
      <c r="M190" s="735"/>
      <c r="N190" s="696"/>
      <c r="O190" s="696"/>
      <c r="P190" s="696"/>
      <c r="Q190" s="696"/>
      <c r="R190" s="696"/>
      <c r="S190" s="696"/>
      <c r="T190" s="696"/>
      <c r="U190" s="16"/>
      <c r="V190" s="16"/>
      <c r="W190" s="16"/>
      <c r="X190" s="16"/>
      <c r="Y190" s="16"/>
      <c r="Z190" s="16"/>
      <c r="AA190" s="16"/>
      <c r="AB190" s="16"/>
      <c r="AC190" s="16"/>
      <c r="AD190" s="16"/>
    </row>
    <row r="191" spans="1:30" ht="15.75" customHeight="1">
      <c r="A191" s="16"/>
      <c r="B191" s="735"/>
      <c r="C191" s="696"/>
      <c r="D191" s="16"/>
      <c r="E191" s="16"/>
      <c r="F191" s="16"/>
      <c r="G191" s="16"/>
      <c r="H191" s="16"/>
      <c r="I191" s="16"/>
      <c r="J191" s="16"/>
      <c r="K191" s="16"/>
      <c r="L191" s="16"/>
      <c r="M191" s="735"/>
      <c r="N191" s="696"/>
      <c r="O191" s="696"/>
      <c r="P191" s="696"/>
      <c r="Q191" s="696"/>
      <c r="R191" s="696"/>
      <c r="S191" s="696"/>
      <c r="T191" s="696"/>
      <c r="U191" s="16"/>
      <c r="V191" s="16"/>
      <c r="W191" s="16"/>
      <c r="X191" s="16"/>
      <c r="Y191" s="16"/>
      <c r="Z191" s="16"/>
      <c r="AA191" s="16"/>
      <c r="AB191" s="16"/>
      <c r="AC191" s="16"/>
      <c r="AD191" s="16"/>
    </row>
    <row r="192" spans="1:30" ht="15.75" customHeight="1">
      <c r="A192" s="16"/>
      <c r="B192" s="735"/>
      <c r="C192" s="696"/>
      <c r="D192" s="16"/>
      <c r="E192" s="16"/>
      <c r="F192" s="16"/>
      <c r="G192" s="16"/>
      <c r="H192" s="16"/>
      <c r="I192" s="16"/>
      <c r="J192" s="16"/>
      <c r="K192" s="16"/>
      <c r="L192" s="16"/>
      <c r="M192" s="735"/>
      <c r="N192" s="696"/>
      <c r="O192" s="696"/>
      <c r="P192" s="696"/>
      <c r="Q192" s="696"/>
      <c r="R192" s="696"/>
      <c r="S192" s="696"/>
      <c r="T192" s="696"/>
      <c r="U192" s="16"/>
      <c r="V192" s="16"/>
      <c r="W192" s="16"/>
      <c r="X192" s="16"/>
      <c r="Y192" s="16"/>
      <c r="Z192" s="16"/>
      <c r="AA192" s="16"/>
      <c r="AB192" s="16"/>
      <c r="AC192" s="16"/>
      <c r="AD192" s="16"/>
    </row>
    <row r="193" spans="1:30" ht="15.75" customHeight="1">
      <c r="A193" s="16"/>
      <c r="B193" s="735"/>
      <c r="C193" s="696"/>
      <c r="D193" s="16"/>
      <c r="E193" s="16"/>
      <c r="F193" s="16"/>
      <c r="G193" s="16"/>
      <c r="H193" s="16"/>
      <c r="I193" s="16"/>
      <c r="J193" s="16"/>
      <c r="K193" s="16"/>
      <c r="L193" s="16"/>
      <c r="M193" s="735"/>
      <c r="N193" s="696"/>
      <c r="O193" s="696"/>
      <c r="P193" s="696"/>
      <c r="Q193" s="696"/>
      <c r="R193" s="696"/>
      <c r="S193" s="696"/>
      <c r="T193" s="696"/>
      <c r="U193" s="16"/>
      <c r="V193" s="16"/>
      <c r="W193" s="16"/>
      <c r="X193" s="16"/>
      <c r="Y193" s="16"/>
      <c r="Z193" s="16"/>
      <c r="AA193" s="16"/>
      <c r="AB193" s="16"/>
      <c r="AC193" s="16"/>
      <c r="AD193" s="16"/>
    </row>
    <row r="194" spans="1:30" ht="15.75" customHeight="1">
      <c r="A194" s="16"/>
      <c r="B194" s="735"/>
      <c r="C194" s="696"/>
      <c r="D194" s="16"/>
      <c r="E194" s="16"/>
      <c r="F194" s="16"/>
      <c r="G194" s="16"/>
      <c r="H194" s="16"/>
      <c r="I194" s="16"/>
      <c r="J194" s="16"/>
      <c r="K194" s="16"/>
      <c r="L194" s="16"/>
      <c r="M194" s="735"/>
      <c r="N194" s="696"/>
      <c r="O194" s="696"/>
      <c r="P194" s="696"/>
      <c r="Q194" s="696"/>
      <c r="R194" s="696"/>
      <c r="S194" s="696"/>
      <c r="T194" s="696"/>
      <c r="U194" s="16"/>
      <c r="V194" s="16"/>
      <c r="W194" s="16"/>
      <c r="X194" s="16"/>
      <c r="Y194" s="16"/>
      <c r="Z194" s="16"/>
      <c r="AA194" s="16"/>
      <c r="AB194" s="16"/>
      <c r="AC194" s="16"/>
      <c r="AD194" s="16"/>
    </row>
    <row r="195" spans="1:30" ht="15.75" customHeight="1">
      <c r="A195" s="16"/>
      <c r="B195" s="735"/>
      <c r="C195" s="696"/>
      <c r="D195" s="16"/>
      <c r="E195" s="16"/>
      <c r="F195" s="16"/>
      <c r="G195" s="16"/>
      <c r="H195" s="16"/>
      <c r="I195" s="16"/>
      <c r="J195" s="16"/>
      <c r="K195" s="16"/>
      <c r="L195" s="16"/>
      <c r="M195" s="735"/>
      <c r="N195" s="696"/>
      <c r="O195" s="696"/>
      <c r="P195" s="696"/>
      <c r="Q195" s="696"/>
      <c r="R195" s="696"/>
      <c r="S195" s="696"/>
      <c r="T195" s="696"/>
      <c r="U195" s="16"/>
      <c r="V195" s="16"/>
      <c r="W195" s="16"/>
      <c r="X195" s="16"/>
      <c r="Y195" s="16"/>
      <c r="Z195" s="16"/>
      <c r="AA195" s="16"/>
      <c r="AB195" s="16"/>
      <c r="AC195" s="16"/>
      <c r="AD195" s="16"/>
    </row>
    <row r="196" spans="1:30" ht="15.75" customHeight="1">
      <c r="A196" s="16"/>
      <c r="B196" s="735"/>
      <c r="C196" s="696"/>
      <c r="D196" s="16"/>
      <c r="E196" s="16"/>
      <c r="F196" s="16"/>
      <c r="G196" s="16"/>
      <c r="H196" s="16"/>
      <c r="I196" s="16"/>
      <c r="J196" s="16"/>
      <c r="K196" s="16"/>
      <c r="L196" s="16"/>
      <c r="M196" s="735"/>
      <c r="N196" s="696"/>
      <c r="O196" s="696"/>
      <c r="P196" s="696"/>
      <c r="Q196" s="696"/>
      <c r="R196" s="696"/>
      <c r="S196" s="696"/>
      <c r="T196" s="696"/>
      <c r="U196" s="16"/>
      <c r="V196" s="16"/>
      <c r="W196" s="16"/>
      <c r="X196" s="16"/>
      <c r="Y196" s="16"/>
      <c r="Z196" s="16"/>
      <c r="AA196" s="16"/>
      <c r="AB196" s="16"/>
      <c r="AC196" s="16"/>
      <c r="AD196" s="16"/>
    </row>
    <row r="197" spans="1:30" ht="15.75" customHeight="1">
      <c r="A197" s="16"/>
      <c r="B197" s="735"/>
      <c r="C197" s="696"/>
      <c r="D197" s="16"/>
      <c r="E197" s="16"/>
      <c r="F197" s="16"/>
      <c r="G197" s="16"/>
      <c r="H197" s="16"/>
      <c r="I197" s="16"/>
      <c r="J197" s="16"/>
      <c r="K197" s="16"/>
      <c r="L197" s="16"/>
      <c r="M197" s="735"/>
      <c r="N197" s="696"/>
      <c r="O197" s="696"/>
      <c r="P197" s="696"/>
      <c r="Q197" s="696"/>
      <c r="R197" s="696"/>
      <c r="S197" s="696"/>
      <c r="T197" s="696"/>
      <c r="U197" s="16"/>
      <c r="V197" s="16"/>
      <c r="W197" s="16"/>
      <c r="X197" s="16"/>
      <c r="Y197" s="16"/>
      <c r="Z197" s="16"/>
      <c r="AA197" s="16"/>
      <c r="AB197" s="16"/>
      <c r="AC197" s="16"/>
      <c r="AD197" s="16"/>
    </row>
    <row r="198" spans="1:30" ht="15.75" customHeight="1">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c r="AD198" s="16"/>
    </row>
    <row r="199" spans="1:30" ht="15.75" customHeight="1">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c r="AA199" s="16"/>
      <c r="AB199" s="16"/>
      <c r="AC199" s="16"/>
      <c r="AD199" s="16"/>
    </row>
    <row r="200" spans="1:30" ht="15.75" customHeight="1">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c r="AA200" s="16"/>
      <c r="AB200" s="16"/>
      <c r="AC200" s="16"/>
      <c r="AD200" s="16"/>
    </row>
    <row r="201" spans="1:30" ht="15.75" customHeight="1">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c r="AD201" s="16"/>
    </row>
    <row r="202" spans="1:30" ht="15.75" customHeight="1">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c r="AD202" s="16"/>
    </row>
    <row r="203" spans="1:30" ht="15.75" customHeight="1">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c r="AA203" s="16"/>
      <c r="AB203" s="16"/>
      <c r="AC203" s="16"/>
      <c r="AD203" s="16"/>
    </row>
    <row r="204" spans="1:30" ht="15.75" customHeight="1">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c r="AA204" s="16"/>
      <c r="AB204" s="16"/>
      <c r="AC204" s="16"/>
      <c r="AD204" s="16"/>
    </row>
    <row r="205" spans="1:30" ht="15.75" customHeight="1">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c r="AD205" s="16"/>
    </row>
    <row r="206" spans="1:30" ht="15.75" customHeight="1">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row>
    <row r="207" spans="1:30" ht="15.75" customHeight="1">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c r="AD207" s="16"/>
    </row>
    <row r="208" spans="1:30" ht="15.75" customHeight="1">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c r="AD208" s="16"/>
    </row>
    <row r="209" spans="1:30" ht="15.75" customHeight="1">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c r="AD209" s="16"/>
    </row>
    <row r="210" spans="1:30" ht="15.75" customHeight="1">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c r="AD210" s="16"/>
    </row>
    <row r="211" spans="1:30" ht="15.75" customHeight="1">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row>
    <row r="212" spans="1:30" ht="15.75" customHeight="1">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c r="AD212" s="16"/>
    </row>
    <row r="213" spans="1:30" ht="15.75" customHeight="1">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c r="AD213" s="16"/>
    </row>
    <row r="214" spans="1:30" ht="15.75" customHeight="1">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row>
    <row r="215" spans="1:30" ht="15.75" customHeight="1">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c r="AD215" s="16"/>
    </row>
    <row r="216" spans="1:30" ht="15.75" customHeight="1">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c r="AD216" s="16"/>
    </row>
    <row r="217" spans="1:30" ht="15.75" customHeight="1">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c r="AD217" s="16"/>
    </row>
    <row r="218" spans="1:30" ht="15.75" customHeight="1">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c r="AD218" s="16"/>
    </row>
    <row r="219" spans="1:30" ht="15.75" customHeight="1">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c r="AD219" s="16"/>
    </row>
    <row r="220" spans="1:30" ht="15.75" customHeight="1">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c r="AD220" s="16"/>
    </row>
    <row r="221" spans="1:30" ht="15.75" customHeight="1">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row>
    <row r="222" spans="1:30" ht="15.75" customHeight="1">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row>
    <row r="223" spans="1:30" ht="15.75" customHeight="1">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c r="AD223" s="16"/>
    </row>
    <row r="224" spans="1:30" ht="15.75" customHeight="1">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c r="AD224" s="16"/>
    </row>
    <row r="225" spans="1:30" ht="15.75" customHeight="1">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16"/>
    </row>
    <row r="226" spans="1:30" ht="15.75" customHeight="1">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row>
    <row r="227" spans="1:30" ht="15.75" customHeight="1">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16"/>
    </row>
    <row r="228" spans="1:30" ht="15.75" customHeight="1">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c r="AD228" s="16"/>
    </row>
    <row r="229" spans="1:30" ht="15.75" customHeight="1">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c r="AD229" s="16"/>
    </row>
    <row r="230" spans="1:30" ht="15.75" customHeight="1">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row>
    <row r="231" spans="1:30" ht="15.75" customHeight="1">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c r="AD231" s="16"/>
    </row>
    <row r="232" spans="1:30" ht="15.75" customHeight="1">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c r="AD232" s="16"/>
    </row>
    <row r="233" spans="1:30" ht="15.75" customHeight="1">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c r="AD233" s="16"/>
    </row>
    <row r="234" spans="1:30" ht="15.75" customHeight="1">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c r="AD234" s="16"/>
    </row>
    <row r="235" spans="1:30" ht="15.75" customHeight="1">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row>
    <row r="236" spans="1:30" ht="15.75" customHeight="1">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c r="AD236" s="16"/>
    </row>
    <row r="237" spans="1:30" ht="15.75" customHeight="1">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c r="AD237" s="16"/>
    </row>
    <row r="238" spans="1:30" ht="15.75" customHeight="1">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c r="AD238" s="16"/>
    </row>
    <row r="239" spans="1:30" ht="15.75" customHeight="1">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c r="AD239" s="16"/>
    </row>
    <row r="240" spans="1:30" ht="15.75" customHeight="1">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c r="AD240" s="16"/>
    </row>
    <row r="241" spans="1:30" ht="15.75" customHeight="1">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c r="AD241" s="16"/>
    </row>
    <row r="242" spans="1:30" ht="15.75" customHeight="1">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c r="AD242" s="16"/>
    </row>
    <row r="243" spans="1:30" ht="15.75" customHeight="1">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c r="AD243" s="16"/>
    </row>
    <row r="244" spans="1:30" ht="15.75" customHeight="1">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16"/>
    </row>
    <row r="245" spans="1:30" ht="15.75" customHeight="1">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c r="AD245" s="16"/>
    </row>
    <row r="246" spans="1:30" ht="15.75" customHeight="1">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row>
    <row r="247" spans="1:30" ht="15.75" customHeight="1">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c r="AD247" s="16"/>
    </row>
    <row r="248" spans="1:30" ht="15.75" customHeight="1">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row>
    <row r="249" spans="1:30" ht="15.75" customHeight="1">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row>
    <row r="250" spans="1:30" ht="15.75" customHeight="1">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c r="AD250" s="16"/>
    </row>
    <row r="251" spans="1:30" ht="15.75" customHeight="1">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row>
    <row r="252" spans="1:30" ht="15.75" customHeight="1">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16"/>
    </row>
    <row r="253" spans="1:30" ht="15.75" customHeight="1">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c r="AD253" s="16"/>
    </row>
    <row r="254" spans="1:30" ht="15.75" customHeight="1">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row>
    <row r="255" spans="1:30" ht="15.75" customHeight="1">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c r="AD255" s="16"/>
    </row>
    <row r="256" spans="1:30" ht="15.75" customHeight="1">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row>
    <row r="257" spans="1:30" ht="15.75" customHeight="1">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c r="AD257" s="16"/>
    </row>
    <row r="258" spans="1:30" ht="15.75" customHeight="1">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c r="AD258" s="16"/>
    </row>
    <row r="259" spans="1:30" ht="15.75" customHeight="1">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row>
    <row r="260" spans="1:30" ht="15.75" customHeight="1">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row>
    <row r="261" spans="1:30" ht="15.75" customHeight="1">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c r="AD261" s="16"/>
    </row>
    <row r="262" spans="1:30" ht="15.75" customHeight="1">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row>
    <row r="263" spans="1:30" ht="15.75" customHeight="1">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row>
    <row r="264" spans="1:30" ht="15.75" customHeight="1">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c r="AD264" s="16"/>
    </row>
    <row r="265" spans="1:30" ht="15.75" customHeight="1">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row>
    <row r="266" spans="1:30" ht="15.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row>
    <row r="267" spans="1:30" ht="15.75" customHeight="1">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row>
    <row r="268" spans="1:30" ht="15.75" customHeight="1">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c r="AD268" s="16"/>
    </row>
    <row r="269" spans="1:30" ht="15.75" customHeight="1">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row>
    <row r="270" spans="1:30" ht="15.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row>
    <row r="271" spans="1:30" ht="15.75" customHeight="1">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c r="AD271" s="16"/>
    </row>
    <row r="272" spans="1:30" ht="15.75" customHeight="1">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c r="AD272" s="16"/>
    </row>
    <row r="273" spans="1:30" ht="15.75" customHeight="1">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c r="AD273" s="16"/>
    </row>
    <row r="274" spans="1:30" ht="15.75" customHeight="1">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c r="AD274" s="16"/>
    </row>
    <row r="275" spans="1:30" ht="15.75" customHeight="1">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c r="AD275" s="16"/>
    </row>
    <row r="276" spans="1:30" ht="15.75" customHeight="1">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row>
    <row r="277" spans="1:30" ht="15.75" customHeight="1">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16"/>
    </row>
    <row r="278" spans="1:30" ht="15.75" customHeight="1">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row>
    <row r="279" spans="1:30" ht="15.75" customHeight="1">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16"/>
    </row>
    <row r="280" spans="1:30" ht="15.75" customHeight="1">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c r="AD280" s="16"/>
    </row>
    <row r="281" spans="1:30" ht="15.75" customHeight="1">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c r="AD281" s="16"/>
    </row>
    <row r="282" spans="1:30" ht="15.75" customHeight="1">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c r="AD282" s="16"/>
    </row>
    <row r="283" spans="1:30" ht="15.75" customHeight="1">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c r="AD283" s="16"/>
    </row>
    <row r="284" spans="1:30" ht="15.75" customHeight="1">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c r="AD284" s="16"/>
    </row>
    <row r="285" spans="1:30" ht="15.75" customHeight="1">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c r="AD285" s="16"/>
    </row>
    <row r="286" spans="1:30" ht="15.75" customHeight="1">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row>
    <row r="287" spans="1:30" ht="15.75" customHeight="1">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row>
    <row r="288" spans="1:30" ht="15.75" customHeight="1">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row>
    <row r="289" spans="1:30" ht="15.75" customHeight="1">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row>
    <row r="290" spans="1:30" ht="15.75" customHeight="1">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row>
    <row r="291" spans="1:30" ht="15.75" customHeight="1">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c r="AD291" s="16"/>
    </row>
    <row r="292" spans="1:30" ht="15.75" customHeight="1">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row>
    <row r="293" spans="1:30" ht="15.75" customHeight="1">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row>
    <row r="294" spans="1:30" ht="15.75" customHeight="1">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row>
    <row r="295" spans="1:30" ht="15.75" customHeight="1">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row>
    <row r="296" spans="1:30" ht="15.75" customHeight="1">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row>
    <row r="297" spans="1:30" ht="15.75" customHeight="1">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row>
    <row r="298" spans="1:30" ht="15.75" customHeight="1">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row>
    <row r="299" spans="1:30" ht="15.75" customHeight="1">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row>
    <row r="300" spans="1:30" ht="15.75" customHeight="1">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row>
    <row r="301" spans="1:30" ht="15.75" customHeight="1">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c r="AD301" s="16"/>
    </row>
    <row r="302" spans="1:30" ht="15.75" customHeight="1">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c r="AD302" s="16"/>
    </row>
    <row r="303" spans="1:30" ht="15.75" customHeight="1">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row>
    <row r="304" spans="1:30" ht="15.75" customHeight="1">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c r="AD304" s="16"/>
    </row>
    <row r="305" spans="1:30" ht="15.75" customHeight="1">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c r="AD305" s="16"/>
    </row>
    <row r="306" spans="1:30" ht="15.75" customHeight="1">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c r="AA306" s="16"/>
      <c r="AB306" s="16"/>
      <c r="AC306" s="16"/>
      <c r="AD306" s="16"/>
    </row>
    <row r="307" spans="1:30" ht="15.75" customHeight="1">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c r="AA307" s="16"/>
      <c r="AB307" s="16"/>
      <c r="AC307" s="16"/>
      <c r="AD307" s="16"/>
    </row>
    <row r="308" spans="1:30" ht="15.75" customHeight="1">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c r="AA308" s="16"/>
      <c r="AB308" s="16"/>
      <c r="AC308" s="16"/>
      <c r="AD308" s="16"/>
    </row>
    <row r="309" spans="1:30" ht="15.75" customHeight="1">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c r="AA309" s="16"/>
      <c r="AB309" s="16"/>
      <c r="AC309" s="16"/>
      <c r="AD309" s="16"/>
    </row>
    <row r="310" spans="1:30" ht="15.75" customHeight="1">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c r="AA310" s="16"/>
      <c r="AB310" s="16"/>
      <c r="AC310" s="16"/>
      <c r="AD310" s="16"/>
    </row>
    <row r="311" spans="1:30" ht="15.75" customHeight="1">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c r="AA311" s="16"/>
      <c r="AB311" s="16"/>
      <c r="AC311" s="16"/>
      <c r="AD311" s="16"/>
    </row>
    <row r="312" spans="1:30" ht="15.75" customHeight="1">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c r="AA312" s="16"/>
      <c r="AB312" s="16"/>
      <c r="AC312" s="16"/>
      <c r="AD312" s="16"/>
    </row>
    <row r="313" spans="1:30" ht="15.75" customHeight="1">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c r="AA313" s="16"/>
      <c r="AB313" s="16"/>
      <c r="AC313" s="16"/>
      <c r="AD313" s="16"/>
    </row>
    <row r="314" spans="1:30" ht="15.75" customHeight="1">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c r="AA314" s="16"/>
      <c r="AB314" s="16"/>
      <c r="AC314" s="16"/>
      <c r="AD314" s="16"/>
    </row>
    <row r="315" spans="1:30" ht="15.75" customHeight="1">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c r="AA315" s="16"/>
      <c r="AB315" s="16"/>
      <c r="AC315" s="16"/>
      <c r="AD315" s="16"/>
    </row>
    <row r="316" spans="1:30" ht="15.75" customHeight="1">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c r="AA316" s="16"/>
      <c r="AB316" s="16"/>
      <c r="AC316" s="16"/>
      <c r="AD316" s="16"/>
    </row>
    <row r="317" spans="1:30" ht="15.75" customHeight="1">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c r="AA317" s="16"/>
      <c r="AB317" s="16"/>
      <c r="AC317" s="16"/>
      <c r="AD317" s="16"/>
    </row>
    <row r="318" spans="1:30" ht="15.75" customHeight="1">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c r="AA318" s="16"/>
      <c r="AB318" s="16"/>
      <c r="AC318" s="16"/>
      <c r="AD318" s="16"/>
    </row>
    <row r="319" spans="1:30" ht="15.75" customHeight="1">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c r="AA319" s="16"/>
      <c r="AB319" s="16"/>
      <c r="AC319" s="16"/>
      <c r="AD319" s="16"/>
    </row>
    <row r="320" spans="1:30" ht="15.75" customHeight="1">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c r="AA320" s="16"/>
      <c r="AB320" s="16"/>
      <c r="AC320" s="16"/>
      <c r="AD320" s="16"/>
    </row>
    <row r="321" spans="1:30" ht="15.75" customHeight="1">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c r="AA321" s="16"/>
      <c r="AB321" s="16"/>
      <c r="AC321" s="16"/>
      <c r="AD321" s="16"/>
    </row>
    <row r="322" spans="1:30" ht="15.75" customHeight="1">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c r="AA322" s="16"/>
      <c r="AB322" s="16"/>
      <c r="AC322" s="16"/>
      <c r="AD322" s="16"/>
    </row>
    <row r="323" spans="1:30" ht="15.75" customHeight="1">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c r="AA323" s="16"/>
      <c r="AB323" s="16"/>
      <c r="AC323" s="16"/>
      <c r="AD323" s="16"/>
    </row>
    <row r="324" spans="1:30" ht="15.75" customHeight="1">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c r="AA324" s="16"/>
      <c r="AB324" s="16"/>
      <c r="AC324" s="16"/>
      <c r="AD324" s="16"/>
    </row>
    <row r="325" spans="1:30" ht="15.75" customHeight="1">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c r="AA325" s="16"/>
      <c r="AB325" s="16"/>
      <c r="AC325" s="16"/>
      <c r="AD325" s="16"/>
    </row>
    <row r="326" spans="1:30" ht="15.75" customHeight="1">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c r="AA326" s="16"/>
      <c r="AB326" s="16"/>
      <c r="AC326" s="16"/>
      <c r="AD326" s="16"/>
    </row>
    <row r="327" spans="1:30" ht="15.75" customHeight="1">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c r="AA327" s="16"/>
      <c r="AB327" s="16"/>
      <c r="AC327" s="16"/>
      <c r="AD327" s="16"/>
    </row>
    <row r="328" spans="1:30" ht="15.75" customHeight="1">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c r="AA328" s="16"/>
      <c r="AB328" s="16"/>
      <c r="AC328" s="16"/>
      <c r="AD328" s="16"/>
    </row>
    <row r="329" spans="1:30" ht="15.75" customHeight="1">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c r="AA329" s="16"/>
      <c r="AB329" s="16"/>
      <c r="AC329" s="16"/>
      <c r="AD329" s="16"/>
    </row>
    <row r="330" spans="1:30" ht="15.75" customHeight="1">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c r="AA330" s="16"/>
      <c r="AB330" s="16"/>
      <c r="AC330" s="16"/>
      <c r="AD330" s="16"/>
    </row>
    <row r="331" spans="1:30" ht="15.75" customHeight="1">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c r="AA331" s="16"/>
      <c r="AB331" s="16"/>
      <c r="AC331" s="16"/>
      <c r="AD331" s="16"/>
    </row>
    <row r="332" spans="1:30" ht="15.75" customHeight="1">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c r="AA332" s="16"/>
      <c r="AB332" s="16"/>
      <c r="AC332" s="16"/>
      <c r="AD332" s="16"/>
    </row>
    <row r="333" spans="1:30" ht="15.75" customHeight="1">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c r="AA333" s="16"/>
      <c r="AB333" s="16"/>
      <c r="AC333" s="16"/>
      <c r="AD333" s="16"/>
    </row>
    <row r="334" spans="1:30" ht="15.75" customHeight="1"/>
    <row r="335" spans="1:30" ht="15.75" customHeight="1"/>
    <row r="336" spans="1:30"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sheetData>
  <mergeCells count="99">
    <mergeCell ref="M192:O192"/>
    <mergeCell ref="B196:C196"/>
    <mergeCell ref="M196:O196"/>
    <mergeCell ref="B197:C197"/>
    <mergeCell ref="M197:O197"/>
    <mergeCell ref="B193:C193"/>
    <mergeCell ref="M193:O193"/>
    <mergeCell ref="B194:C194"/>
    <mergeCell ref="M194:O194"/>
    <mergeCell ref="B195:C195"/>
    <mergeCell ref="M195:O195"/>
    <mergeCell ref="M180:O180"/>
    <mergeCell ref="B183:C183"/>
    <mergeCell ref="M183:O183"/>
    <mergeCell ref="M186:O186"/>
    <mergeCell ref="B187:C187"/>
    <mergeCell ref="M187:O187"/>
    <mergeCell ref="P183:T183"/>
    <mergeCell ref="B184:C184"/>
    <mergeCell ref="M184:O184"/>
    <mergeCell ref="P184:T197"/>
    <mergeCell ref="B185:C185"/>
    <mergeCell ref="M185:O185"/>
    <mergeCell ref="B186:C186"/>
    <mergeCell ref="B189:C189"/>
    <mergeCell ref="M189:O189"/>
    <mergeCell ref="B188:C188"/>
    <mergeCell ref="M188:O188"/>
    <mergeCell ref="B190:C190"/>
    <mergeCell ref="M190:O190"/>
    <mergeCell ref="B191:C191"/>
    <mergeCell ref="M191:O191"/>
    <mergeCell ref="B192:C192"/>
    <mergeCell ref="M179:O179"/>
    <mergeCell ref="M166:O166"/>
    <mergeCell ref="P166:T166"/>
    <mergeCell ref="M167:O167"/>
    <mergeCell ref="P167:T180"/>
    <mergeCell ref="M168:O168"/>
    <mergeCell ref="M169:O169"/>
    <mergeCell ref="M170:O170"/>
    <mergeCell ref="M171:O171"/>
    <mergeCell ref="M172:O172"/>
    <mergeCell ref="M173:O173"/>
    <mergeCell ref="M174:O174"/>
    <mergeCell ref="M175:O175"/>
    <mergeCell ref="M176:O176"/>
    <mergeCell ref="M177:O177"/>
    <mergeCell ref="M178:O178"/>
    <mergeCell ref="M163:O163"/>
    <mergeCell ref="P149:R149"/>
    <mergeCell ref="M151:O151"/>
    <mergeCell ref="P151:T151"/>
    <mergeCell ref="M152:O152"/>
    <mergeCell ref="P152:T163"/>
    <mergeCell ref="M153:O153"/>
    <mergeCell ref="M154:O154"/>
    <mergeCell ref="M155:O155"/>
    <mergeCell ref="M156:O156"/>
    <mergeCell ref="M157:O157"/>
    <mergeCell ref="M158:O158"/>
    <mergeCell ref="M159:O159"/>
    <mergeCell ref="M160:O160"/>
    <mergeCell ref="M161:O161"/>
    <mergeCell ref="M162:O162"/>
    <mergeCell ref="AG29:AH29"/>
    <mergeCell ref="AI29:AJ29"/>
    <mergeCell ref="AG30:AH40"/>
    <mergeCell ref="AI30:AJ40"/>
    <mergeCell ref="P143:R143"/>
    <mergeCell ref="P101:Q101"/>
    <mergeCell ref="P144:R144"/>
    <mergeCell ref="P145:R145"/>
    <mergeCell ref="P146:R146"/>
    <mergeCell ref="P147:R147"/>
    <mergeCell ref="P148:R148"/>
    <mergeCell ref="K102:O115"/>
    <mergeCell ref="P102:Q115"/>
    <mergeCell ref="H119:I119"/>
    <mergeCell ref="J119:K119"/>
    <mergeCell ref="H120:I133"/>
    <mergeCell ref="J120:K133"/>
    <mergeCell ref="A30:F30"/>
    <mergeCell ref="A31:F31"/>
    <mergeCell ref="A32:F32"/>
    <mergeCell ref="A34:F34"/>
    <mergeCell ref="H37:J37"/>
    <mergeCell ref="I55:K55"/>
    <mergeCell ref="I56:K61"/>
    <mergeCell ref="K65:M65"/>
    <mergeCell ref="K101:O101"/>
    <mergeCell ref="H38:J52"/>
    <mergeCell ref="K66:M98"/>
    <mergeCell ref="A29:F29"/>
    <mergeCell ref="A1:C1"/>
    <mergeCell ref="E1:H1"/>
    <mergeCell ref="D7:I7"/>
    <mergeCell ref="D8:I8"/>
    <mergeCell ref="A28:F28"/>
  </mergeCells>
  <phoneticPr fontId="31" type="noConversion"/>
  <conditionalFormatting sqref="I66:I89 I93:I95">
    <cfRule type="containsText" dxfId="116" priority="1" operator="containsText" text="5">
      <formula>NOT(ISERROR(SEARCH(("5"),(I66))))</formula>
    </cfRule>
    <cfRule type="containsText" dxfId="115" priority="2" operator="containsText" text="42">
      <formula>NOT(ISERROR(SEARCH(("42"),(I66))))</formula>
    </cfRule>
    <cfRule type="containsText" dxfId="114" priority="3" operator="containsText" text="Please fill in">
      <formula>NOT(ISERROR(SEARCH(("Please fill in"),(I66))))</formula>
    </cfRule>
  </conditionalFormatting>
  <dataValidations count="5">
    <dataValidation type="list" allowBlank="1" showErrorMessage="1" sqref="D61 H98" xr:uid="{A8ACC34E-4FC1-4E6E-88C1-C118269C1C38}">
      <formula1>'VV Drienerlo'!TypesOfTrainers</formula1>
    </dataValidation>
    <dataValidation type="list" allowBlank="1" showErrorMessage="1" sqref="B9" xr:uid="{C093F835-336A-4656-B59E-A4556D4C47F1}">
      <formula1>"yes,no,partial"</formula1>
    </dataValidation>
    <dataValidation type="list" allowBlank="1" sqref="G56:G61" xr:uid="{8EAD22E4-8B7A-4EC3-BE82-3A5154EA72EE}">
      <formula1>"yes,no"</formula1>
    </dataValidation>
    <dataValidation type="list" allowBlank="1" showErrorMessage="1" sqref="D56:D60 H95:H97 H66:H93" xr:uid="{E8ED08B0-DF76-4C56-80CA-0B73B5D89A64}">
      <formula1>'https://universiteittwente.sharepoint.com/sites/SportsCoordinatorsSUT/Gedeelde documenten/General/(WIP) FAM Sheets - Regulations 2025-28 - Version April 2025.xlsx'!TypesOfTrainers</formula1>
    </dataValidation>
    <dataValidation type="list" allowBlank="1" showErrorMessage="1" sqref="B102:B114" xr:uid="{7ED2038A-B7B1-4596-AC7D-2A4DD4DE5339}">
      <formula1>'https://universiteittwente.sharepoint.com/sites/SportsCoordinatorsSUT/Gedeelde documenten/General/(WIP) FAM Sheets - Regulations 2025-28 - Version April 2025.xlsx'!LocationNames</formula1>
    </dataValidation>
  </dataValidations>
  <pageMargins left="0.7" right="0.7" top="0.75" bottom="0.75" header="0" footer="0"/>
  <pageSetup paperSize="9" orientation="portrait"/>
  <drawing r:id="rId1"/>
  <legacyDrawing r:id="rId2"/>
  <tableParts count="6">
    <tablePart r:id="rId3"/>
    <tablePart r:id="rId4"/>
    <tablePart r:id="rId5"/>
    <tablePart r:id="rId6"/>
    <tablePart r:id="rId7"/>
    <tablePart r:id="rId8"/>
  </tableParts>
  <extLst>
    <ext xmlns:x14="http://schemas.microsoft.com/office/spreadsheetml/2009/9/main" uri="{CCE6A557-97BC-4b89-ADB6-D9C93CAAB3DF}">
      <x14:dataValidations xmlns:xm="http://schemas.microsoft.com/office/excel/2006/main" count="4">
        <x14:dataValidation type="list" allowBlank="1" showInputMessage="1" showErrorMessage="1" xr:uid="{52F3030F-B185-49DC-A38F-B25BA66F659B}">
          <x14:formula1>
            <xm:f>Constants!$M$6:$M$7</xm:f>
          </x14:formula1>
          <xm:sqref>B120:B135</xm:sqref>
        </x14:dataValidation>
        <x14:dataValidation type="list" allowBlank="1" showInputMessage="1" showErrorMessage="1" xr:uid="{77B5CEEA-AC7C-499F-91EA-07E39DF9E54B}">
          <x14:formula1>
            <xm:f>Constants!$C$55:$C$56</xm:f>
          </x14:formula1>
          <xm:sqref>B12</xm:sqref>
        </x14:dataValidation>
        <x14:dataValidation type="list" allowBlank="1" showErrorMessage="1" xr:uid="{C25FD003-3A86-4BCE-80A5-D9E461192A94}">
          <x14:formula1>
            <xm:f>Constants!$H$6:$H$13</xm:f>
          </x14:formula1>
          <xm:sqref>B66:B98</xm:sqref>
        </x14:dataValidation>
        <x14:dataValidation type="list" allowBlank="1" showErrorMessage="1" xr:uid="{BE64467D-B24D-4756-9419-055289CAFBE3}">
          <x14:formula1>
            <xm:f>Constants!$A$2:$AD$2</xm:f>
          </x14:formula1>
          <xm:sqref>B115</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0BF8B5-0ACD-1C47-8B63-8B729540D993}">
  <dimension ref="A1:AC1013"/>
  <sheetViews>
    <sheetView zoomScale="115" zoomScaleNormal="115" workbookViewId="0">
      <pane xSplit="1" topLeftCell="B1" activePane="topRight" state="frozen"/>
      <selection pane="topRight" activeCell="P62" sqref="P62"/>
    </sheetView>
  </sheetViews>
  <sheetFormatPr defaultColWidth="12.625" defaultRowHeight="15" customHeight="1"/>
  <cols>
    <col min="1" max="1" width="17.125" customWidth="1"/>
    <col min="2" max="2" width="7.875" customWidth="1"/>
    <col min="3" max="3" width="10.375" customWidth="1"/>
    <col min="4" max="15" width="13.375" customWidth="1"/>
  </cols>
  <sheetData>
    <row r="1" spans="1:29" ht="14.25" customHeight="1">
      <c r="A1" s="552" t="s">
        <v>332</v>
      </c>
      <c r="B1" s="701"/>
      <c r="C1" s="701"/>
      <c r="P1" s="233" t="s">
        <v>1917</v>
      </c>
      <c r="R1" s="314" t="s">
        <v>1918</v>
      </c>
      <c r="S1" s="546">
        <f ca="1">SUM(Table311[Grants])</f>
        <v>260</v>
      </c>
    </row>
    <row r="2" spans="1:29">
      <c r="A2" s="43" t="s">
        <v>332</v>
      </c>
      <c r="B2" s="300" t="s">
        <v>365</v>
      </c>
      <c r="C2" s="300" t="s">
        <v>366</v>
      </c>
      <c r="D2" s="297" t="s">
        <v>1919</v>
      </c>
      <c r="E2" s="297" t="s">
        <v>1920</v>
      </c>
      <c r="F2" s="233" t="s">
        <v>320</v>
      </c>
      <c r="G2" s="233" t="s">
        <v>321</v>
      </c>
      <c r="H2" s="233" t="s">
        <v>322</v>
      </c>
      <c r="I2" s="233" t="s">
        <v>323</v>
      </c>
      <c r="J2" s="233" t="s">
        <v>324</v>
      </c>
      <c r="K2" s="233" t="s">
        <v>325</v>
      </c>
      <c r="L2" t="s">
        <v>326</v>
      </c>
      <c r="M2" s="233" t="s">
        <v>327</v>
      </c>
      <c r="N2" s="233" t="s">
        <v>1921</v>
      </c>
      <c r="O2" s="543" t="s">
        <v>1922</v>
      </c>
      <c r="P2" s="297" t="s">
        <v>1923</v>
      </c>
      <c r="Q2" s="297" t="s">
        <v>449</v>
      </c>
      <c r="R2" s="297" t="s">
        <v>1924</v>
      </c>
      <c r="S2" s="297" t="s">
        <v>1925</v>
      </c>
      <c r="T2" s="297" t="s">
        <v>1926</v>
      </c>
      <c r="U2" s="233"/>
      <c r="AC2" s="233"/>
    </row>
    <row r="3" spans="1:29" ht="14.25" customHeight="1">
      <c r="A3" s="299" t="s">
        <v>200</v>
      </c>
      <c r="B3" s="301">
        <v>5</v>
      </c>
      <c r="C3" s="301">
        <f t="array" aca="1" ref="C3" ca="1">INDIRECT("'"&amp;A3&amp;"'!B$7")</f>
        <v>307</v>
      </c>
      <c r="D3" s="302" t="str" cm="1">
        <f t="array" aca="1" ref="D3" ca="1">INDIRECT("'"&amp;A3&amp;"'!B$12")</f>
        <v>group</v>
      </c>
      <c r="E3" s="302" cm="1">
        <f t="array" aca="1" ref="E3" ca="1">INDIRECT("'"&amp;A3&amp;"'!$AF$30")^2</f>
        <v>25</v>
      </c>
      <c r="F3" s="302" cm="1">
        <f t="array" aca="1" ref="F3" ca="1">INDIRECT("'"&amp;A3&amp;"'!$AF$31")</f>
        <v>3</v>
      </c>
      <c r="G3" s="302" cm="1">
        <f t="array" aca="1" ref="G3" ca="1">INDIRECT("'"&amp;$A3&amp;"'!$AF$32")</f>
        <v>3</v>
      </c>
      <c r="H3" s="302" cm="1">
        <f t="array" aca="1" ref="H3" ca="1">INDIRECT("'"&amp;$A3&amp;"'!$AF$33")</f>
        <v>2</v>
      </c>
      <c r="I3" s="302" cm="1">
        <f t="array" aca="1" ref="I3" ca="1">INDIRECT("'"&amp;$A3&amp;"'!$AF$34")</f>
        <v>3</v>
      </c>
      <c r="J3" s="302" cm="1">
        <f t="array" aca="1" ref="J3" ca="1">INDIRECT("'"&amp;$A3&amp;"'!$AF$35")</f>
        <v>3</v>
      </c>
      <c r="K3" s="302" cm="1">
        <f t="array" aca="1" ref="K3" ca="1">INDIRECT("'"&amp;$A3&amp;"'!$AF$36")</f>
        <v>2</v>
      </c>
      <c r="L3" s="302" cm="1">
        <f t="array" aca="1" ref="L3" ca="1">INDIRECT("'"&amp;$A3&amp;"'!$AF$37")</f>
        <v>0</v>
      </c>
      <c r="M3" s="302" cm="1">
        <f t="array" aca="1" ref="M3" ca="1">INDIRECT("'"&amp;$A3&amp;"'!$AF$38")</f>
        <v>2</v>
      </c>
      <c r="N3" s="302" cm="1">
        <f t="array" aca="1" ref="N3" ca="1">INDIRECT("'"&amp;$A3&amp;"'!$AF$39")</f>
        <v>1</v>
      </c>
      <c r="O3" s="302" cm="1">
        <f t="array" aca="1" ref="O3" ca="1">INDIRECT("'"&amp;$A3&amp;"'!$AF$40")</f>
        <v>5</v>
      </c>
      <c r="P3" s="302">
        <f ca="1">SUM(Table311[[#This Row],[Membercount]:[ratio of competing teams / training teams / n\a]])</f>
        <v>49</v>
      </c>
      <c r="Q3" s="302">
        <f ca="1">IF(Table311[[#This Row],[Total score]]&gt;=47,7,IF(Table311[[#This Row],[Total score]]&gt;=43,6,IF(Table311[[#This Row],[Total score]]&gt;=37,5,IF(Table311[[#This Row],[Total score]]&gt;=33,4,IF(Table311[[#This Row],[Total score]]&gt;=27,3,IF(Table311[[#This Row],[Total score]]&gt;=23,2,1))))))</f>
        <v>7</v>
      </c>
      <c r="R3" s="296">
        <v>45</v>
      </c>
      <c r="S3" s="302">
        <f ca="1">IF(Table311[[#This Row],[Group]]=7,27,IF(Table311[[#This Row],[Group]]=6,22,IF(Table311[[#This Row],[Group]]=5,18,IF(Table311[[#This Row],[Group]]=4,11,IF(Table311[[#This Row],[Group]]=3,7,IF(Table311[[#This Row],[Group]]=2,5,IF(Table311[[#This Row],[Notes]]="no FAM",1,2)))))))</f>
        <v>27</v>
      </c>
      <c r="T3" s="296" t="s">
        <v>1927</v>
      </c>
    </row>
    <row r="4" spans="1:29" ht="14.25" customHeight="1">
      <c r="A4" s="299" t="s">
        <v>100</v>
      </c>
      <c r="B4" s="301">
        <v>4</v>
      </c>
      <c r="C4" s="301">
        <f t="array" aca="1" ref="C4" ca="1">INDIRECT("'"&amp;A4&amp;"'!B$7")</f>
        <v>436</v>
      </c>
      <c r="D4" s="302" t="str" cm="1">
        <f t="array" aca="1" ref="D4" ca="1">INDIRECT("'"&amp;A4&amp;"'!B$12")</f>
        <v>individual</v>
      </c>
      <c r="E4" s="302" cm="1">
        <f t="array" aca="1" ref="E4" ca="1">INDIRECT("'"&amp;A4&amp;"'!$AF$30")^2</f>
        <v>25</v>
      </c>
      <c r="F4" s="302" cm="1">
        <f t="array" aca="1" ref="F4" ca="1">INDIRECT("'"&amp;A4&amp;"'!$AF$31")</f>
        <v>3</v>
      </c>
      <c r="G4" s="302" cm="1">
        <f t="array" aca="1" ref="G4" ca="1">INDIRECT("'"&amp;$A4&amp;"'!$AF$32")</f>
        <v>3</v>
      </c>
      <c r="H4" s="302" cm="1">
        <f t="array" aca="1" ref="H4" ca="1">INDIRECT("'"&amp;$A4&amp;"'!$AF$33")</f>
        <v>2</v>
      </c>
      <c r="I4" s="302" cm="1">
        <f t="array" aca="1" ref="I4" ca="1">INDIRECT("'"&amp;$A4&amp;"'!$AF$34")</f>
        <v>3</v>
      </c>
      <c r="J4" s="302" cm="1">
        <f t="array" aca="1" ref="J4" ca="1">INDIRECT("'"&amp;$A4&amp;"'!$AF$35")</f>
        <v>5</v>
      </c>
      <c r="K4" s="302" cm="1">
        <f t="array" aca="1" ref="K4" ca="1">INDIRECT("'"&amp;$A4&amp;"'!$AF$36")</f>
        <v>2</v>
      </c>
      <c r="L4" s="302" cm="1">
        <f t="array" aca="1" ref="L4" ca="1">INDIRECT("'"&amp;$A4&amp;"'!$AF$37")</f>
        <v>0</v>
      </c>
      <c r="M4" s="302" cm="1">
        <f t="array" aca="1" ref="M4" ca="1">INDIRECT("'"&amp;$A4&amp;"'!$AF$38")</f>
        <v>2</v>
      </c>
      <c r="N4" s="302" cm="1">
        <f t="array" aca="1" ref="N4" ca="1">INDIRECT("'"&amp;$A4&amp;"'!$AF$39")</f>
        <v>3</v>
      </c>
      <c r="O4" s="302" t="str" cm="1">
        <f t="array" aca="1" ref="O4" ca="1">INDIRECT("'"&amp;$A4&amp;"'!$AF$40")</f>
        <v xml:space="preserve"> </v>
      </c>
      <c r="P4" s="302">
        <f ca="1">SUM(Table311[[#This Row],[Membercount]:[ratio of competing teams / training teams / n\a]])</f>
        <v>48</v>
      </c>
      <c r="Q4" s="302">
        <f ca="1">IF(Table311[[#This Row],[Total score]]&gt;=47,7,IF(Table311[[#This Row],[Total score]]&gt;=43,6,IF(Table311[[#This Row],[Total score]]&gt;=37,5,IF(Table311[[#This Row],[Total score]]&gt;=33,4,IF(Table311[[#This Row],[Total score]]&gt;=27,3,IF(Table311[[#This Row],[Total score]]&gt;=23,2,1))))))</f>
        <v>7</v>
      </c>
      <c r="R4" s="296">
        <v>60</v>
      </c>
      <c r="S4" s="302">
        <f ca="1">IF(Table311[[#This Row],[Group]]=7,27,IF(Table311[[#This Row],[Group]]=6,22,IF(Table311[[#This Row],[Group]]=5,18,IF(Table311[[#This Row],[Group]]=4,11,IF(Table311[[#This Row],[Group]]=3,7,IF(Table311[[#This Row],[Group]]=2,5,IF(Table311[[#This Row],[Notes]]="no FAM",1,2)))))))</f>
        <v>27</v>
      </c>
      <c r="T4" s="296" t="s">
        <v>1927</v>
      </c>
    </row>
    <row r="5" spans="1:29" ht="14.25" customHeight="1">
      <c r="A5" s="299" t="s">
        <v>111</v>
      </c>
      <c r="B5" s="301">
        <v>2</v>
      </c>
      <c r="C5" s="301">
        <f t="array" aca="1" ref="C5" ca="1">INDIRECT("'"&amp;A5&amp;"'!B$7")</f>
        <v>401</v>
      </c>
      <c r="D5" s="302" t="str" cm="1">
        <f t="array" aca="1" ref="D5" ca="1">INDIRECT("'"&amp;A5&amp;"'!B$12")</f>
        <v>group</v>
      </c>
      <c r="E5" s="302" cm="1">
        <f t="array" aca="1" ref="E5" ca="1">INDIRECT("'"&amp;A5&amp;"'!$AF$30")^2</f>
        <v>25</v>
      </c>
      <c r="F5" s="302" cm="1">
        <f t="array" aca="1" ref="F5" ca="1">INDIRECT("'"&amp;A5&amp;"'!$AF$31")</f>
        <v>3</v>
      </c>
      <c r="G5" s="302" cm="1">
        <f t="array" aca="1" ref="G5" ca="1">INDIRECT("'"&amp;$A5&amp;"'!$AF$32")</f>
        <v>3</v>
      </c>
      <c r="H5" s="302" cm="1">
        <f t="array" aca="1" ref="H5" ca="1">INDIRECT("'"&amp;$A5&amp;"'!$AF$33")</f>
        <v>2</v>
      </c>
      <c r="I5" s="302" cm="1">
        <f t="array" aca="1" ref="I5" ca="1">INDIRECT("'"&amp;$A5&amp;"'!$AF$34")</f>
        <v>3</v>
      </c>
      <c r="J5" s="302" cm="1">
        <f t="array" aca="1" ref="J5" ca="1">INDIRECT("'"&amp;$A5&amp;"'!$AF$35")</f>
        <v>5</v>
      </c>
      <c r="K5" s="302" cm="1">
        <f t="array" aca="1" ref="K5" ca="1">INDIRECT("'"&amp;$A5&amp;"'!$AF$36")</f>
        <v>1</v>
      </c>
      <c r="L5" s="302" cm="1">
        <f t="array" aca="1" ref="L5" ca="1">INDIRECT("'"&amp;$A5&amp;"'!$AF$37")</f>
        <v>2</v>
      </c>
      <c r="M5" s="302" cm="1">
        <f t="array" aca="1" ref="M5" ca="1">INDIRECT("'"&amp;$A5&amp;"'!$AF$38")</f>
        <v>0</v>
      </c>
      <c r="N5" s="302" cm="1">
        <f t="array" aca="1" ref="N5" ca="1">INDIRECT("'"&amp;$A5&amp;"'!$AF$39")</f>
        <v>2</v>
      </c>
      <c r="O5" s="302" cm="1">
        <f t="array" aca="1" ref="O5" ca="1">INDIRECT("'"&amp;$A5&amp;"'!$AF$40")</f>
        <v>1</v>
      </c>
      <c r="P5" s="302">
        <f ca="1">SUM(Table311[[#This Row],[Membercount]:[ratio of competing teams / training teams / n\a]])</f>
        <v>47</v>
      </c>
      <c r="Q5" s="302">
        <f ca="1">IF(Table311[[#This Row],[Total score]]&gt;=47,7,IF(Table311[[#This Row],[Total score]]&gt;=43,6,IF(Table311[[#This Row],[Total score]]&gt;=37,5,IF(Table311[[#This Row],[Total score]]&gt;=33,4,IF(Table311[[#This Row],[Total score]]&gt;=27,3,IF(Table311[[#This Row],[Total score]]&gt;=23,2,1))))))</f>
        <v>7</v>
      </c>
      <c r="R5" s="296">
        <v>50</v>
      </c>
      <c r="S5" s="302">
        <f ca="1">IF(Table311[[#This Row],[Group]]=7,27,IF(Table311[[#This Row],[Group]]=6,22,IF(Table311[[#This Row],[Group]]=5,18,IF(Table311[[#This Row],[Group]]=4,11,IF(Table311[[#This Row],[Group]]=3,7,IF(Table311[[#This Row],[Group]]=2,5,IF(Table311[[#This Row],[Notes]]="no FAM",1,2)))))))</f>
        <v>27</v>
      </c>
      <c r="T5" s="296" t="s">
        <v>1927</v>
      </c>
    </row>
    <row r="6" spans="1:29" ht="14.25" customHeight="1">
      <c r="A6" s="299" t="s">
        <v>1928</v>
      </c>
      <c r="B6" s="301">
        <v>5</v>
      </c>
      <c r="C6" s="301">
        <f ca="1">SUM(C55:C56)</f>
        <v>233</v>
      </c>
      <c r="D6" s="302"/>
      <c r="E6" s="302"/>
      <c r="F6" s="302" t="s">
        <v>1929</v>
      </c>
      <c r="G6" s="302"/>
      <c r="H6" s="302"/>
      <c r="I6" s="302"/>
      <c r="J6" s="302"/>
      <c r="K6" s="302"/>
      <c r="L6" s="302"/>
      <c r="M6" s="302"/>
      <c r="N6" s="302"/>
      <c r="O6" s="302"/>
      <c r="P6" s="302">
        <f ca="1">SUM(P55:P56)</f>
        <v>46</v>
      </c>
      <c r="Q6" s="302">
        <f ca="1">IF(Table311[[#This Row],[Total score]]&gt;=47,7,IF(Table311[[#This Row],[Total score]]&gt;=43,6,IF(Table311[[#This Row],[Total score]]&gt;=37,5,IF(Table311[[#This Row],[Total score]]&gt;=33,4,IF(Table311[[#This Row],[Total score]]&gt;=27,3,IF(Table311[[#This Row],[Total score]]&gt;=23,2,1))))))</f>
        <v>6</v>
      </c>
      <c r="R6" s="302">
        <v>45</v>
      </c>
      <c r="S6" s="302">
        <f ca="1">IF(Table311[[#This Row],[Group]]=7,27,IF(Table311[[#This Row],[Group]]=6,22,IF(Table311[[#This Row],[Group]]=5,18,IF(Table311[[#This Row],[Group]]=4,11,IF(Table311[[#This Row],[Group]]=3,7,IF(Table311[[#This Row],[Group]]=2,5,IF(Table311[[#This Row],[Notes]]="no FAM",1,2)))))))</f>
        <v>22</v>
      </c>
      <c r="T6" s="296" t="s">
        <v>1930</v>
      </c>
    </row>
    <row r="7" spans="1:29" ht="14.25" customHeight="1">
      <c r="A7" s="299" t="s">
        <v>81</v>
      </c>
      <c r="B7" s="301">
        <v>2</v>
      </c>
      <c r="C7" s="301">
        <f t="array" aca="1" ref="C7" ca="1">INDIRECT("'"&amp;A7&amp;"'!B$7")</f>
        <v>228</v>
      </c>
      <c r="D7" s="302" t="str" cm="1">
        <f t="array" aca="1" ref="D7" ca="1">INDIRECT("'"&amp;A7&amp;"'!B$12")</f>
        <v>group</v>
      </c>
      <c r="E7" s="302" cm="1">
        <f t="array" aca="1" ref="E7" ca="1">INDIRECT("'"&amp;A7&amp;"'!$AF$30")^2</f>
        <v>16</v>
      </c>
      <c r="F7" s="302" cm="1">
        <f t="array" aca="1" ref="F7" ca="1">INDIRECT("'"&amp;A7&amp;"'!$AF$31")</f>
        <v>3</v>
      </c>
      <c r="G7" s="302" cm="1">
        <f t="array" aca="1" ref="G7" ca="1">INDIRECT("'"&amp;$A7&amp;"'!$AF$32")</f>
        <v>3</v>
      </c>
      <c r="H7" s="302" cm="1">
        <f t="array" aca="1" ref="H7" ca="1">INDIRECT("'"&amp;$A7&amp;"'!$AF$33")</f>
        <v>2</v>
      </c>
      <c r="I7" s="302" cm="1">
        <f t="array" aca="1" ref="I7" ca="1">INDIRECT("'"&amp;$A7&amp;"'!$AF$34")</f>
        <v>3</v>
      </c>
      <c r="J7" s="302" cm="1">
        <f t="array" aca="1" ref="J7" ca="1">INDIRECT("'"&amp;$A7&amp;"'!$AF$35")</f>
        <v>5</v>
      </c>
      <c r="K7" s="302" cm="1">
        <f t="array" aca="1" ref="K7" ca="1">INDIRECT("'"&amp;$A7&amp;"'!$AF$36")</f>
        <v>2</v>
      </c>
      <c r="L7" s="302" cm="1">
        <f t="array" aca="1" ref="L7" ca="1">INDIRECT("'"&amp;$A7&amp;"'!$AF$37")</f>
        <v>2</v>
      </c>
      <c r="M7" s="302" cm="1">
        <f t="array" aca="1" ref="M7" ca="1">INDIRECT("'"&amp;$A7&amp;"'!$AF$38")</f>
        <v>0</v>
      </c>
      <c r="N7" s="302" cm="1">
        <f t="array" aca="1" ref="N7" ca="1">INDIRECT("'"&amp;$A7&amp;"'!$AF$39")</f>
        <v>2</v>
      </c>
      <c r="O7" s="302" cm="1">
        <f t="array" aca="1" ref="O7" ca="1">INDIRECT("'"&amp;$A7&amp;"'!$AF$40")</f>
        <v>5</v>
      </c>
      <c r="P7" s="302">
        <f ca="1">SUM(Table311[[#This Row],[Membercount]:[ratio of competing teams / training teams / n\a]])</f>
        <v>43</v>
      </c>
      <c r="Q7" s="302">
        <f ca="1">IF(Table311[[#This Row],[Total score]]&gt;=47,7,IF(Table311[[#This Row],[Total score]]&gt;=43,6,IF(Table311[[#This Row],[Total score]]&gt;=37,5,IF(Table311[[#This Row],[Total score]]&gt;=33,4,IF(Table311[[#This Row],[Total score]]&gt;=27,3,IF(Table311[[#This Row],[Total score]]&gt;=23,2,1))))))</f>
        <v>6</v>
      </c>
      <c r="R7" s="296">
        <v>35</v>
      </c>
      <c r="S7" s="302">
        <f ca="1">IF(Table311[[#This Row],[Group]]=7,27,IF(Table311[[#This Row],[Group]]=6,22,IF(Table311[[#This Row],[Group]]=5,18,IF(Table311[[#This Row],[Group]]=4,11,IF(Table311[[#This Row],[Group]]=3,7,IF(Table311[[#This Row],[Group]]=2,5,IF(Table311[[#This Row],[Notes]]="no FAM",1,2)))))))</f>
        <v>22</v>
      </c>
      <c r="T7" s="296" t="s">
        <v>1930</v>
      </c>
    </row>
    <row r="8" spans="1:29" ht="14.25" customHeight="1">
      <c r="A8" s="299" t="s">
        <v>83</v>
      </c>
      <c r="B8" s="301">
        <v>4</v>
      </c>
      <c r="C8" s="301">
        <f t="array" aca="1" ref="C8" ca="1">INDIRECT("'"&amp;A8&amp;"'!B$7")</f>
        <v>248</v>
      </c>
      <c r="D8" s="302" t="str" cm="1">
        <f t="array" aca="1" ref="D8" ca="1">INDIRECT("'"&amp;A8&amp;"'!B$12")</f>
        <v>group</v>
      </c>
      <c r="E8" s="302" cm="1">
        <f t="array" aca="1" ref="E8" ca="1">INDIRECT("'"&amp;A8&amp;"'!$AF$30")^2</f>
        <v>16</v>
      </c>
      <c r="F8" s="302" cm="1">
        <f t="array" aca="1" ref="F8" ca="1">INDIRECT("'"&amp;A8&amp;"'!$AF$31")</f>
        <v>3</v>
      </c>
      <c r="G8" s="302" cm="1">
        <f t="array" aca="1" ref="G8" ca="1">INDIRECT("'"&amp;$A8&amp;"'!$AF$32")</f>
        <v>3</v>
      </c>
      <c r="H8" s="302" cm="1">
        <f t="array" aca="1" ref="H8" ca="1">INDIRECT("'"&amp;$A8&amp;"'!$AF$33")</f>
        <v>2</v>
      </c>
      <c r="I8" s="302" cm="1">
        <f t="array" aca="1" ref="I8" ca="1">INDIRECT("'"&amp;$A8&amp;"'!$AF$34")</f>
        <v>3</v>
      </c>
      <c r="J8" s="302" cm="1">
        <f t="array" aca="1" ref="J8" ca="1">INDIRECT("'"&amp;$A8&amp;"'!$AF$35")</f>
        <v>3</v>
      </c>
      <c r="K8" s="302" cm="1">
        <f t="array" aca="1" ref="K8" ca="1">INDIRECT("'"&amp;$A8&amp;"'!$AF$36")</f>
        <v>2</v>
      </c>
      <c r="L8" s="302" cm="1">
        <f t="array" aca="1" ref="L8" ca="1">INDIRECT("'"&amp;$A8&amp;"'!$AF$37")</f>
        <v>0</v>
      </c>
      <c r="M8" s="302" cm="1">
        <f t="array" aca="1" ref="M8" ca="1">INDIRECT("'"&amp;$A8&amp;"'!$AF$38")</f>
        <v>2</v>
      </c>
      <c r="N8" s="302" cm="1">
        <f t="array" aca="1" ref="N8" ca="1">INDIRECT("'"&amp;$A8&amp;"'!$AF$39")</f>
        <v>2</v>
      </c>
      <c r="O8" s="302" cm="1">
        <f t="array" aca="1" ref="O8" ca="1">INDIRECT("'"&amp;$A8&amp;"'!$AF$40")</f>
        <v>5</v>
      </c>
      <c r="P8" s="302">
        <f ca="1">SUM(Table311[[#This Row],[Membercount]:[ratio of competing teams / training teams / n\a]])</f>
        <v>41</v>
      </c>
      <c r="Q8" s="302">
        <f ca="1">IF(Table311[[#This Row],[Total score]]&gt;=47,7,IF(Table311[[#This Row],[Total score]]&gt;=43,6,IF(Table311[[#This Row],[Total score]]&gt;=37,5,IF(Table311[[#This Row],[Total score]]&gt;=33,4,IF(Table311[[#This Row],[Total score]]&gt;=27,3,IF(Table311[[#This Row],[Total score]]&gt;=23,2,1))))))</f>
        <v>5</v>
      </c>
      <c r="R8" s="302">
        <v>45</v>
      </c>
      <c r="S8" s="302">
        <f ca="1">IF(Table311[[#This Row],[Group]]=7,27,IF(Table311[[#This Row],[Group]]=6,22,IF(Table311[[#This Row],[Group]]=5,18,IF(Table311[[#This Row],[Group]]=4,11,IF(Table311[[#This Row],[Group]]=3,7,IF(Table311[[#This Row],[Group]]=2,5,IF(Table311[[#This Row],[Notes]]="no FAM",1,2)))))))</f>
        <v>18</v>
      </c>
      <c r="T8" s="296" t="s">
        <v>1930</v>
      </c>
      <c r="U8" s="233"/>
    </row>
    <row r="9" spans="1:29" ht="14.25" customHeight="1">
      <c r="A9" s="299" t="s">
        <v>143</v>
      </c>
      <c r="B9" s="301">
        <v>6</v>
      </c>
      <c r="C9" s="301">
        <f t="array" aca="1" ref="C9" ca="1">INDIRECT("'"&amp;A9&amp;"'!B$7")</f>
        <v>218</v>
      </c>
      <c r="D9" s="302" t="str" cm="1">
        <f t="array" aca="1" ref="D9" ca="1">INDIRECT("'"&amp;A9&amp;"'!B$12")</f>
        <v>individual</v>
      </c>
      <c r="E9" s="302" cm="1">
        <f t="array" aca="1" ref="E9" ca="1">INDIRECT("'"&amp;A9&amp;"'!$AF$30")^2</f>
        <v>16</v>
      </c>
      <c r="F9" s="302" cm="1">
        <f t="array" aca="1" ref="F9" ca="1">INDIRECT("'"&amp;A9&amp;"'!$AF$31")</f>
        <v>3</v>
      </c>
      <c r="G9" s="302" cm="1">
        <f t="array" aca="1" ref="G9" ca="1">INDIRECT("'"&amp;$A9&amp;"'!$AF$32")</f>
        <v>3</v>
      </c>
      <c r="H9" s="302" cm="1">
        <f t="array" aca="1" ref="H9" ca="1">INDIRECT("'"&amp;$A9&amp;"'!$AF$33")</f>
        <v>3</v>
      </c>
      <c r="I9" s="302" cm="1">
        <f t="array" aca="1" ref="I9" ca="1">INDIRECT("'"&amp;$A9&amp;"'!$AF$34")</f>
        <v>2</v>
      </c>
      <c r="J9" s="302" cm="1">
        <f t="array" aca="1" ref="J9" ca="1">INDIRECT("'"&amp;$A9&amp;"'!$AF$35")</f>
        <v>3</v>
      </c>
      <c r="K9" s="302" cm="1">
        <f t="array" aca="1" ref="K9" ca="1">INDIRECT("'"&amp;$A9&amp;"'!$AF$36")</f>
        <v>2</v>
      </c>
      <c r="L9" s="302" cm="1">
        <f t="array" aca="1" ref="L9" ca="1">INDIRECT("'"&amp;$A9&amp;"'!$AF$37")</f>
        <v>2</v>
      </c>
      <c r="M9" s="302" cm="1">
        <f t="array" aca="1" ref="M9" ca="1">INDIRECT("'"&amp;$A9&amp;"'!$AF$38")</f>
        <v>0</v>
      </c>
      <c r="N9" s="302" cm="1">
        <f t="array" aca="1" ref="N9" ca="1">INDIRECT("'"&amp;$A9&amp;"'!$AF$39")</f>
        <v>1</v>
      </c>
      <c r="O9" s="302" t="str" cm="1">
        <f t="array" aca="1" ref="O9" ca="1">INDIRECT("'"&amp;$A9&amp;"'!$AF$40")</f>
        <v xml:space="preserve"> </v>
      </c>
      <c r="P9" s="302">
        <f ca="1">SUM(Table311[[#This Row],[Membercount]:[ratio of competing teams / training teams / n\a]])</f>
        <v>35</v>
      </c>
      <c r="Q9" s="302">
        <f ca="1">IF(Table311[[#This Row],[Total score]]&gt;=47,7,IF(Table311[[#This Row],[Total score]]&gt;=43,6,IF(Table311[[#This Row],[Total score]]&gt;=37,5,IF(Table311[[#This Row],[Total score]]&gt;=33,4,IF(Table311[[#This Row],[Total score]]&gt;=27,3,IF(Table311[[#This Row],[Total score]]&gt;=23,2,1))))))</f>
        <v>4</v>
      </c>
      <c r="R9" s="296">
        <v>45</v>
      </c>
      <c r="S9" s="302">
        <f ca="1">IF(Table311[[#This Row],[Group]]=7,27,IF(Table311[[#This Row],[Group]]=6,22,IF(Table311[[#This Row],[Group]]=5,18,IF(Table311[[#This Row],[Group]]=4,11,IF(Table311[[#This Row],[Group]]=3,7,IF(Table311[[#This Row],[Group]]=2,5,IF(Table311[[#This Row],[Notes]]="no FAM",1,2)))))))</f>
        <v>11</v>
      </c>
      <c r="T9" s="296" t="s">
        <v>1930</v>
      </c>
      <c r="U9" s="233"/>
    </row>
    <row r="10" spans="1:29" ht="14.25" customHeight="1">
      <c r="A10" s="299" t="s">
        <v>91</v>
      </c>
      <c r="B10" s="301">
        <v>1</v>
      </c>
      <c r="C10" s="301">
        <f t="array" aca="1" ref="C10" ca="1">INDIRECT("'"&amp;A10&amp;"'!B$7")</f>
        <v>103</v>
      </c>
      <c r="D10" s="302" t="str" cm="1">
        <f t="array" aca="1" ref="D10" ca="1">INDIRECT("'"&amp;A10&amp;"'!B$12")</f>
        <v>individual</v>
      </c>
      <c r="E10" s="302" cm="1">
        <f t="array" aca="1" ref="E10" ca="1">INDIRECT("'"&amp;A10&amp;"'!$AF$30")^2</f>
        <v>9</v>
      </c>
      <c r="F10" s="302" cm="1">
        <f t="array" aca="1" ref="F10" ca="1">INDIRECT("'"&amp;A10&amp;"'!$AF$31")</f>
        <v>3</v>
      </c>
      <c r="G10" s="302" cm="1">
        <f t="array" aca="1" ref="G10" ca="1">INDIRECT("'"&amp;$A10&amp;"'!$AF$32")</f>
        <v>3</v>
      </c>
      <c r="H10" s="302" cm="1">
        <f t="array" aca="1" ref="H10" ca="1">INDIRECT("'"&amp;$A10&amp;"'!$AF$33")</f>
        <v>3</v>
      </c>
      <c r="I10" s="302" cm="1">
        <f t="array" aca="1" ref="I10" ca="1">INDIRECT("'"&amp;$A10&amp;"'!$AF$34")</f>
        <v>2</v>
      </c>
      <c r="J10" s="302" cm="1">
        <f t="array" aca="1" ref="J10" ca="1">INDIRECT("'"&amp;$A10&amp;"'!$AF$35")</f>
        <v>5</v>
      </c>
      <c r="K10" s="302" cm="1">
        <f t="array" aca="1" ref="K10" ca="1">INDIRECT("'"&amp;$A10&amp;"'!$AF$36")</f>
        <v>2</v>
      </c>
      <c r="L10" s="302" cm="1">
        <f t="array" aca="1" ref="L10" ca="1">INDIRECT("'"&amp;$A10&amp;"'!$AF$37")</f>
        <v>1</v>
      </c>
      <c r="M10" s="302" cm="1">
        <f t="array" aca="1" ref="M10" ca="1">INDIRECT("'"&amp;$A10&amp;"'!$AF$38")</f>
        <v>0</v>
      </c>
      <c r="N10" s="302" cm="1">
        <f t="array" aca="1" ref="N10" ca="1">INDIRECT("'"&amp;$A10&amp;"'!$AF$39")</f>
        <v>5</v>
      </c>
      <c r="O10" s="302" t="str" cm="1">
        <f t="array" aca="1" ref="O10" ca="1">INDIRECT("'"&amp;$A10&amp;"'!$AF$40")</f>
        <v xml:space="preserve"> </v>
      </c>
      <c r="P10" s="302">
        <f ca="1">SUM(Table311[[#This Row],[Membercount]:[ratio of competing teams / training teams / n\a]])</f>
        <v>33</v>
      </c>
      <c r="Q10" s="302">
        <f ca="1">IF(Table311[[#This Row],[Total score]]&gt;=47,7,IF(Table311[[#This Row],[Total score]]&gt;=43,6,IF(Table311[[#This Row],[Total score]]&gt;=37,5,IF(Table311[[#This Row],[Total score]]&gt;=33,4,IF(Table311[[#This Row],[Total score]]&gt;=27,3,IF(Table311[[#This Row],[Total score]]&gt;=23,2,1))))))</f>
        <v>4</v>
      </c>
      <c r="R10" s="296">
        <v>9</v>
      </c>
      <c r="S10" s="302">
        <f ca="1">IF(Table311[[#This Row],[Group]]=7,27,IF(Table311[[#This Row],[Group]]=6,22,IF(Table311[[#This Row],[Group]]=5,18,IF(Table311[[#This Row],[Group]]=4,11,IF(Table311[[#This Row],[Group]]=3,7,IF(Table311[[#This Row],[Group]]=2,5,IF(Table311[[#This Row],[Notes]]="no FAM",1,2)))))))</f>
        <v>11</v>
      </c>
      <c r="T10" s="296" t="s">
        <v>1930</v>
      </c>
      <c r="U10" s="233"/>
    </row>
    <row r="11" spans="1:29" ht="14.25" customHeight="1">
      <c r="A11" s="299" t="s">
        <v>168</v>
      </c>
      <c r="B11" s="301">
        <v>2</v>
      </c>
      <c r="C11" s="301">
        <f t="array" aca="1" ref="C11" ca="1">INDIRECT("'"&amp;A11&amp;"'!B$7")</f>
        <v>110</v>
      </c>
      <c r="D11" s="302" t="str" cm="1">
        <f t="array" aca="1" ref="D11" ca="1">INDIRECT("'"&amp;A11&amp;"'!B$12")</f>
        <v>group</v>
      </c>
      <c r="E11" s="302" cm="1">
        <f t="array" aca="1" ref="E11" ca="1">INDIRECT("'"&amp;A11&amp;"'!$AF$30")^2</f>
        <v>9</v>
      </c>
      <c r="F11" s="302" cm="1">
        <f t="array" aca="1" ref="F11" ca="1">INDIRECT("'"&amp;A11&amp;"'!$AF$31")</f>
        <v>3</v>
      </c>
      <c r="G11" s="302" cm="1">
        <f t="array" aca="1" ref="G11" ca="1">INDIRECT("'"&amp;$A11&amp;"'!$AF$32")</f>
        <v>3</v>
      </c>
      <c r="H11" s="302" cm="1">
        <f t="array" aca="1" ref="H11" ca="1">INDIRECT("'"&amp;$A11&amp;"'!$AF$33")</f>
        <v>2</v>
      </c>
      <c r="I11" s="302" cm="1">
        <f t="array" aca="1" ref="I11" ca="1">INDIRECT("'"&amp;$A11&amp;"'!$AF$34")</f>
        <v>3</v>
      </c>
      <c r="J11" s="302" cm="1">
        <f t="array" aca="1" ref="J11" ca="1">INDIRECT("'"&amp;$A11&amp;"'!$AF$35")</f>
        <v>3</v>
      </c>
      <c r="K11" s="302" cm="1">
        <f t="array" aca="1" ref="K11" ca="1">INDIRECT("'"&amp;$A11&amp;"'!$AF$36")</f>
        <v>2</v>
      </c>
      <c r="L11" s="302" cm="1">
        <f t="array" aca="1" ref="L11" ca="1">INDIRECT("'"&amp;$A11&amp;"'!$AF$37")</f>
        <v>2</v>
      </c>
      <c r="M11" s="302" cm="1">
        <f t="array" aca="1" ref="M11" ca="1">INDIRECT("'"&amp;$A11&amp;"'!$AF$38")</f>
        <v>0</v>
      </c>
      <c r="N11" s="302" cm="1">
        <f t="array" aca="1" ref="N11" ca="1">INDIRECT("'"&amp;$A11&amp;"'!$AF$39")</f>
        <v>1</v>
      </c>
      <c r="O11" s="302" cm="1">
        <f t="array" aca="1" ref="O11" ca="1">INDIRECT("'"&amp;$A11&amp;"'!$AF$40")</f>
        <v>5</v>
      </c>
      <c r="P11" s="302">
        <f ca="1">SUM(Table311[[#This Row],[Membercount]:[ratio of competing teams / training teams / n\a]])</f>
        <v>33</v>
      </c>
      <c r="Q11" s="302">
        <f ca="1">IF(Table311[[#This Row],[Total score]]&gt;=47,7,IF(Table311[[#This Row],[Total score]]&gt;=43,6,IF(Table311[[#This Row],[Total score]]&gt;=37,5,IF(Table311[[#This Row],[Total score]]&gt;=33,4,IF(Table311[[#This Row],[Total score]]&gt;=27,3,IF(Table311[[#This Row],[Total score]]&gt;=23,2,1))))))</f>
        <v>4</v>
      </c>
      <c r="R11" s="296">
        <v>20</v>
      </c>
      <c r="S11" s="302">
        <f ca="1">IF(Table311[[#This Row],[Group]]=7,27,IF(Table311[[#This Row],[Group]]=6,22,IF(Table311[[#This Row],[Group]]=5,18,IF(Table311[[#This Row],[Group]]=4,11,IF(Table311[[#This Row],[Group]]=3,7,IF(Table311[[#This Row],[Group]]=2,5,IF(Table311[[#This Row],[Notes]]="no FAM",1,2)))))))</f>
        <v>11</v>
      </c>
      <c r="T11" s="296" t="s">
        <v>1930</v>
      </c>
      <c r="U11" s="233"/>
    </row>
    <row r="12" spans="1:29" ht="14.25" customHeight="1">
      <c r="A12" s="299" t="s">
        <v>1931</v>
      </c>
      <c r="B12" s="301">
        <v>7</v>
      </c>
      <c r="C12" s="301" cm="1">
        <f t="array" aca="1" ref="C12" ca="1">INDIRECT("'"&amp;A12&amp;"'!B$7")</f>
        <v>207</v>
      </c>
      <c r="D12" s="302" t="str" cm="1">
        <f t="array" aca="1" ref="D12" ca="1">INDIRECT("'"&amp;A12&amp;"'!B$12")</f>
        <v>group</v>
      </c>
      <c r="E12" s="302" cm="1">
        <f t="array" aca="1" ref="E12" ca="1">INDIRECT("'"&amp;A12&amp;"'!$AF$30")^2</f>
        <v>16</v>
      </c>
      <c r="F12" s="302" cm="1">
        <f t="array" aca="1" ref="F12" ca="1">INDIRECT("'"&amp;A12&amp;"'!$AF$31")</f>
        <v>3</v>
      </c>
      <c r="G12" s="302" cm="1">
        <f t="array" aca="1" ref="G12" ca="1">INDIRECT("'"&amp;$A12&amp;"'!$AF$32")</f>
        <v>3</v>
      </c>
      <c r="H12" s="302" cm="1">
        <f t="array" aca="1" ref="H12" ca="1">INDIRECT("'"&amp;$A12&amp;"'!$AF$33")</f>
        <v>0</v>
      </c>
      <c r="I12" s="302" cm="1">
        <f t="array" aca="1" ref="I12" ca="1">INDIRECT("'"&amp;$A12&amp;"'!$AF$34")</f>
        <v>0</v>
      </c>
      <c r="J12" s="302" cm="1">
        <f t="array" aca="1" ref="J12" ca="1">INDIRECT("'"&amp;$A12&amp;"'!$AF$35")</f>
        <v>3</v>
      </c>
      <c r="K12" s="302" cm="1">
        <f t="array" aca="1" ref="K12" ca="1">INDIRECT("'"&amp;$A12&amp;"'!$AF$36")</f>
        <v>2</v>
      </c>
      <c r="L12" s="302" cm="1">
        <f t="array" aca="1" ref="L12" ca="1">INDIRECT("'"&amp;$A12&amp;"'!$AF$37")</f>
        <v>0</v>
      </c>
      <c r="M12" s="302" cm="1">
        <f t="array" aca="1" ref="M12" ca="1">INDIRECT("'"&amp;$A12&amp;"'!$AF$38")</f>
        <v>0</v>
      </c>
      <c r="N12" s="302" cm="1">
        <f t="array" aca="1" ref="N12" ca="1">INDIRECT("'"&amp;$A12&amp;"'!$AF$39")</f>
        <v>1</v>
      </c>
      <c r="O12" s="302" cm="1">
        <f t="array" aca="1" ref="O12" ca="1">INDIRECT("'"&amp;$A12&amp;"'!$AF$40")</f>
        <v>5</v>
      </c>
      <c r="P12" s="302">
        <f ca="1">SUM(Table311[[#This Row],[Membercount]:[ratio of competing teams / training teams / n\a]])</f>
        <v>33</v>
      </c>
      <c r="Q12" s="302">
        <f ca="1">IF(Table311[[#This Row],[Total score]]&gt;=47,7,IF(Table311[[#This Row],[Total score]]&gt;=43,6,IF(Table311[[#This Row],[Total score]]&gt;=37,5,IF(Table311[[#This Row],[Total score]]&gt;=33,4,IF(Table311[[#This Row],[Total score]]&gt;=27,3,IF(Table311[[#This Row],[Total score]]&gt;=23,2,1))))))</f>
        <v>4</v>
      </c>
      <c r="R12" s="296">
        <v>45</v>
      </c>
      <c r="S12" s="302">
        <f ca="1">IF(Table311[[#This Row],[Group]]=7,27,IF(Table311[[#This Row],[Group]]=6,22,IF(Table311[[#This Row],[Group]]=5,18,IF(Table311[[#This Row],[Group]]=4,11,IF(Table311[[#This Row],[Group]]=3,7,IF(Table311[[#This Row],[Group]]=2,5,IF(Table311[[#This Row],[Notes]]="no FAM",1,2)))))))</f>
        <v>11</v>
      </c>
      <c r="T12" s="296" t="s">
        <v>1932</v>
      </c>
      <c r="U12" s="233"/>
    </row>
    <row r="13" spans="1:29" ht="14.25" customHeight="1">
      <c r="A13" s="299" t="s">
        <v>74</v>
      </c>
      <c r="B13" s="301">
        <v>1</v>
      </c>
      <c r="C13" s="301">
        <f t="array" aca="1" ref="C13" ca="1">INDIRECT("'"&amp;A13&amp;"'!B$7")</f>
        <v>101</v>
      </c>
      <c r="D13" s="302" t="str" cm="1">
        <f t="array" aca="1" ref="D13" ca="1">INDIRECT("'"&amp;A13&amp;"'!B$12")</f>
        <v>individual</v>
      </c>
      <c r="E13" s="302" cm="1">
        <f t="array" aca="1" ref="E13" ca="1">INDIRECT("'"&amp;A13&amp;"'!$AF$30")^2</f>
        <v>9</v>
      </c>
      <c r="F13" s="302" cm="1">
        <f t="array" aca="1" ref="F13" ca="1">INDIRECT("'"&amp;A13&amp;"'!$AF$31")</f>
        <v>3</v>
      </c>
      <c r="G13" s="302" cm="1">
        <f t="array" aca="1" ref="G13" ca="1">INDIRECT("'"&amp;$A13&amp;"'!$AF$32")</f>
        <v>3</v>
      </c>
      <c r="H13" s="302" cm="1">
        <f t="array" aca="1" ref="H13" ca="1">INDIRECT("'"&amp;$A13&amp;"'!$AF$33")</f>
        <v>2</v>
      </c>
      <c r="I13" s="302" cm="1">
        <f t="array" aca="1" ref="I13" ca="1">INDIRECT("'"&amp;$A13&amp;"'!$AF$34")</f>
        <v>2</v>
      </c>
      <c r="J13" s="302" cm="1">
        <f t="array" aca="1" ref="J13" ca="1">INDIRECT("'"&amp;$A13&amp;"'!$AF$35")</f>
        <v>5</v>
      </c>
      <c r="K13" s="302" cm="1">
        <f t="array" aca="1" ref="K13" ca="1">INDIRECT("'"&amp;$A13&amp;"'!$AF$36")</f>
        <v>1</v>
      </c>
      <c r="L13" s="302" cm="1">
        <f t="array" aca="1" ref="L13" ca="1">INDIRECT("'"&amp;$A13&amp;"'!$AF$37")</f>
        <v>1</v>
      </c>
      <c r="M13" s="302" cm="1">
        <f t="array" aca="1" ref="M13" ca="1">INDIRECT("'"&amp;$A13&amp;"'!$AF$38")</f>
        <v>0</v>
      </c>
      <c r="N13" s="302" cm="1">
        <f t="array" aca="1" ref="N13" ca="1">INDIRECT("'"&amp;$A13&amp;"'!$AF$39")</f>
        <v>5</v>
      </c>
      <c r="O13" s="302" t="str" cm="1">
        <f t="array" aca="1" ref="O13" ca="1">INDIRECT("'"&amp;$A13&amp;"'!$AF$40")</f>
        <v xml:space="preserve"> </v>
      </c>
      <c r="P13" s="302">
        <f ca="1">SUM(Table311[[#This Row],[Membercount]:[ratio of competing teams / training teams / n\a]])</f>
        <v>31</v>
      </c>
      <c r="Q13" s="302">
        <f ca="1">IF(Table311[[#This Row],[Total score]]&gt;=47,7,IF(Table311[[#This Row],[Total score]]&gt;=43,6,IF(Table311[[#This Row],[Total score]]&gt;=37,5,IF(Table311[[#This Row],[Total score]]&gt;=33,4,IF(Table311[[#This Row],[Total score]]&gt;=27,3,IF(Table311[[#This Row],[Total score]]&gt;=23,2,1))))))</f>
        <v>3</v>
      </c>
      <c r="R13" s="296">
        <v>9</v>
      </c>
      <c r="S13" s="302">
        <f ca="1">IF(Table311[[#This Row],[Group]]=7,27,IF(Table311[[#This Row],[Group]]=6,22,IF(Table311[[#This Row],[Group]]=5,18,IF(Table311[[#This Row],[Group]]=4,11,IF(Table311[[#This Row],[Group]]=3,7,IF(Table311[[#This Row],[Group]]=2,5,IF(Table311[[#This Row],[Notes]]="no FAM",1,2)))))))</f>
        <v>7</v>
      </c>
      <c r="T13" s="296" t="s">
        <v>1930</v>
      </c>
      <c r="U13" s="233"/>
    </row>
    <row r="14" spans="1:29" ht="14.25" customHeight="1">
      <c r="A14" s="299" t="s">
        <v>97</v>
      </c>
      <c r="B14" s="301">
        <v>1</v>
      </c>
      <c r="C14" s="301">
        <f t="array" aca="1" ref="C14" ca="1">INDIRECT("'"&amp;A14&amp;"'!B$7")</f>
        <v>165</v>
      </c>
      <c r="D14" s="302" t="str" cm="1">
        <f t="array" aca="1" ref="D14" ca="1">INDIRECT("'"&amp;A14&amp;"'!B$12")</f>
        <v>individual</v>
      </c>
      <c r="E14" s="302" cm="1">
        <f t="array" aca="1" ref="E14" ca="1">INDIRECT("'"&amp;A14&amp;"'!$AF$30")^2</f>
        <v>9</v>
      </c>
      <c r="F14" s="302" cm="1">
        <f t="array" aca="1" ref="F14" ca="1">INDIRECT("'"&amp;A14&amp;"'!$AF$31")</f>
        <v>3</v>
      </c>
      <c r="G14" s="302" cm="1">
        <f t="array" aca="1" ref="G14" ca="1">INDIRECT("'"&amp;$A14&amp;"'!$AF$32")</f>
        <v>3</v>
      </c>
      <c r="H14" s="302" cm="1">
        <f t="array" aca="1" ref="H14" ca="1">INDIRECT("'"&amp;$A14&amp;"'!$AF$33")</f>
        <v>1</v>
      </c>
      <c r="I14" s="302" cm="1">
        <f t="array" aca="1" ref="I14" ca="1">INDIRECT("'"&amp;$A14&amp;"'!$AF$34")</f>
        <v>2</v>
      </c>
      <c r="J14" s="302" cm="1">
        <f t="array" aca="1" ref="J14" ca="1">INDIRECT("'"&amp;$A14&amp;"'!$AF$35")</f>
        <v>5</v>
      </c>
      <c r="K14" s="302" cm="1">
        <f t="array" aca="1" ref="K14" ca="1">INDIRECT("'"&amp;$A14&amp;"'!$AF$36")</f>
        <v>1</v>
      </c>
      <c r="L14" s="302" cm="1">
        <f t="array" aca="1" ref="L14" ca="1">INDIRECT("'"&amp;$A14&amp;"'!$AF$37")</f>
        <v>1</v>
      </c>
      <c r="M14" s="302" cm="1">
        <f t="array" aca="1" ref="M14" ca="1">INDIRECT("'"&amp;$A14&amp;"'!$AF$38")</f>
        <v>0</v>
      </c>
      <c r="N14" s="302" cm="1">
        <f t="array" aca="1" ref="N14" ca="1">INDIRECT("'"&amp;$A14&amp;"'!$AF$39")</f>
        <v>5</v>
      </c>
      <c r="O14" s="302" t="str" cm="1">
        <f t="array" aca="1" ref="O14" ca="1">INDIRECT("'"&amp;$A14&amp;"'!$AF$40")</f>
        <v xml:space="preserve"> </v>
      </c>
      <c r="P14" s="302">
        <f ca="1">SUM(Table311[[#This Row],[Membercount]:[ratio of competing teams / training teams / n\a]])</f>
        <v>30</v>
      </c>
      <c r="Q14" s="302">
        <f ca="1">IF(Table311[[#This Row],[Total score]]&gt;=47,7,IF(Table311[[#This Row],[Total score]]&gt;=43,6,IF(Table311[[#This Row],[Total score]]&gt;=37,5,IF(Table311[[#This Row],[Total score]]&gt;=33,4,IF(Table311[[#This Row],[Total score]]&gt;=27,3,IF(Table311[[#This Row],[Total score]]&gt;=23,2,1))))))</f>
        <v>3</v>
      </c>
      <c r="R14" s="296">
        <v>35</v>
      </c>
      <c r="S14" s="302">
        <f ca="1">IF(Table311[[#This Row],[Group]]=7,27,IF(Table311[[#This Row],[Group]]=6,22,IF(Table311[[#This Row],[Group]]=5,18,IF(Table311[[#This Row],[Group]]=4,11,IF(Table311[[#This Row],[Group]]=3,7,IF(Table311[[#This Row],[Group]]=2,5,IF(Table311[[#This Row],[Notes]]="no FAM",1,2)))))))</f>
        <v>7</v>
      </c>
      <c r="T14" s="296" t="s">
        <v>1930</v>
      </c>
      <c r="U14" s="233"/>
    </row>
    <row r="15" spans="1:29" ht="14.25" customHeight="1">
      <c r="A15" s="299" t="s">
        <v>350</v>
      </c>
      <c r="B15" s="301">
        <v>1</v>
      </c>
      <c r="C15" s="301">
        <f t="array" aca="1" ref="C15" ca="1">INDIRECT("'"&amp;A15&amp;"'!B$7")</f>
        <v>61</v>
      </c>
      <c r="D15" s="302" t="str" cm="1">
        <f t="array" aca="1" ref="D15" ca="1">INDIRECT("'"&amp;A15&amp;"'!B$12")</f>
        <v>individual</v>
      </c>
      <c r="E15" s="302" cm="1">
        <f t="array" aca="1" ref="E15" ca="1">INDIRECT("'"&amp;A15&amp;"'!$AF$30")^2</f>
        <v>4</v>
      </c>
      <c r="F15" s="302" cm="1">
        <f t="array" aca="1" ref="F15" ca="1">INDIRECT("'"&amp;A15&amp;"'!$AF$31")</f>
        <v>3</v>
      </c>
      <c r="G15" s="302" cm="1">
        <f t="array" aca="1" ref="G15" ca="1">INDIRECT("'"&amp;$A15&amp;"'!$AF$32")</f>
        <v>3</v>
      </c>
      <c r="H15" s="302" cm="1">
        <f t="array" aca="1" ref="H15" ca="1">INDIRECT("'"&amp;$A15&amp;"'!$AF$33")</f>
        <v>2</v>
      </c>
      <c r="I15" s="302" cm="1">
        <f t="array" aca="1" ref="I15" ca="1">INDIRECT("'"&amp;$A15&amp;"'!$AF$34")</f>
        <v>2</v>
      </c>
      <c r="J15" s="302" cm="1">
        <f t="array" aca="1" ref="J15" ca="1">INDIRECT("'"&amp;$A15&amp;"'!$AF$35")</f>
        <v>5</v>
      </c>
      <c r="K15" s="302" cm="1">
        <f t="array" aca="1" ref="K15" ca="1">INDIRECT("'"&amp;$A15&amp;"'!$AF$36")</f>
        <v>2</v>
      </c>
      <c r="L15" s="302" cm="1">
        <f t="array" aca="1" ref="L15" ca="1">INDIRECT("'"&amp;$A15&amp;"'!$AF$37")</f>
        <v>1</v>
      </c>
      <c r="M15" s="302" cm="1">
        <f t="array" aca="1" ref="M15" ca="1">INDIRECT("'"&amp;$A15&amp;"'!$AF$38")</f>
        <v>0</v>
      </c>
      <c r="N15" s="302" cm="1">
        <f t="array" aca="1" ref="N15" ca="1">INDIRECT("'"&amp;$A15&amp;"'!$AF$39")</f>
        <v>5</v>
      </c>
      <c r="O15" s="302" t="str" cm="1">
        <f t="array" aca="1" ref="O15" ca="1">INDIRECT("'"&amp;$A15&amp;"'!$AF$40")</f>
        <v xml:space="preserve"> </v>
      </c>
      <c r="P15" s="302">
        <f ca="1">SUM(Table311[[#This Row],[Membercount]:[ratio of competing teams / training teams / n\a]])</f>
        <v>27</v>
      </c>
      <c r="Q15" s="302">
        <f ca="1">IF(Table311[[#This Row],[Total score]]&gt;=47,7,IF(Table311[[#This Row],[Total score]]&gt;=43,6,IF(Table311[[#This Row],[Total score]]&gt;=37,5,IF(Table311[[#This Row],[Total score]]&gt;=33,4,IF(Table311[[#This Row],[Total score]]&gt;=27,3,IF(Table311[[#This Row],[Total score]]&gt;=23,2,1))))))</f>
        <v>3</v>
      </c>
      <c r="R15" s="296">
        <v>9</v>
      </c>
      <c r="S15" s="302">
        <f ca="1">IF(Table311[[#This Row],[Group]]=7,27,IF(Table311[[#This Row],[Group]]=6,22,IF(Table311[[#This Row],[Group]]=5,18,IF(Table311[[#This Row],[Group]]=4,11,IF(Table311[[#This Row],[Group]]=3,7,IF(Table311[[#This Row],[Group]]=2,5,IF(Table311[[#This Row],[Notes]]="no FAM",1,2)))))))</f>
        <v>7</v>
      </c>
      <c r="T15" s="296" t="s">
        <v>1930</v>
      </c>
      <c r="U15" s="233"/>
    </row>
    <row r="16" spans="1:29" ht="14.25" customHeight="1">
      <c r="A16" s="299" t="s">
        <v>72</v>
      </c>
      <c r="B16" s="301">
        <v>3</v>
      </c>
      <c r="C16" s="301">
        <f t="array" aca="1" ref="C16" ca="1">INDIRECT("'"&amp;A16&amp;"'!B$7")</f>
        <v>111</v>
      </c>
      <c r="D16" s="302" t="str" cm="1">
        <f t="array" aca="1" ref="D16" ca="1">INDIRECT("'"&amp;A16&amp;"'!B$12")</f>
        <v>individual</v>
      </c>
      <c r="E16" s="302" cm="1">
        <f t="array" aca="1" ref="E16" ca="1">INDIRECT("'"&amp;A16&amp;"'!$AF$30")^2</f>
        <v>9</v>
      </c>
      <c r="F16" s="302" cm="1">
        <f t="array" aca="1" ref="F16" ca="1">INDIRECT("'"&amp;A16&amp;"'!$AF$31")</f>
        <v>3</v>
      </c>
      <c r="G16" s="302" cm="1">
        <f t="array" aca="1" ref="G16" ca="1">INDIRECT("'"&amp;$A16&amp;"'!$AF$32")</f>
        <v>3</v>
      </c>
      <c r="H16" s="302" cm="1">
        <f t="array" aca="1" ref="H16" ca="1">INDIRECT("'"&amp;$A16&amp;"'!$AF$33")</f>
        <v>1</v>
      </c>
      <c r="I16" s="302" cm="1">
        <f t="array" aca="1" ref="I16" ca="1">INDIRECT("'"&amp;$A16&amp;"'!$AF$34")</f>
        <v>2</v>
      </c>
      <c r="J16" s="302" cm="1">
        <f t="array" aca="1" ref="J16" ca="1">INDIRECT("'"&amp;$A16&amp;"'!$AF$35")</f>
        <v>3</v>
      </c>
      <c r="K16" s="302" cm="1">
        <f t="array" aca="1" ref="K16" ca="1">INDIRECT("'"&amp;$A16&amp;"'!$AF$36")</f>
        <v>1</v>
      </c>
      <c r="L16" s="302" cm="1">
        <f t="array" aca="1" ref="L16" ca="1">INDIRECT("'"&amp;$A16&amp;"'!$AF$37")</f>
        <v>1</v>
      </c>
      <c r="M16" s="302" cm="1">
        <f t="array" aca="1" ref="M16" ca="1">INDIRECT("'"&amp;$A16&amp;"'!$AF$38")</f>
        <v>0</v>
      </c>
      <c r="N16" s="302" cm="1">
        <f t="array" aca="1" ref="N16" ca="1">INDIRECT("'"&amp;$A16&amp;"'!$AF$39")</f>
        <v>1</v>
      </c>
      <c r="O16" s="302" t="str" cm="1">
        <f t="array" aca="1" ref="O16" ca="1">INDIRECT("'"&amp;$A16&amp;"'!$AF$40")</f>
        <v xml:space="preserve"> </v>
      </c>
      <c r="P16" s="302">
        <f ca="1">SUM(Table311[[#This Row],[Membercount]:[ratio of competing teams / training teams / n\a]])</f>
        <v>24</v>
      </c>
      <c r="Q16" s="302">
        <f ca="1">IF(Table311[[#This Row],[Total score]]&gt;=47,7,IF(Table311[[#This Row],[Total score]]&gt;=43,6,IF(Table311[[#This Row],[Total score]]&gt;=37,5,IF(Table311[[#This Row],[Total score]]&gt;=33,4,IF(Table311[[#This Row],[Total score]]&gt;=27,3,IF(Table311[[#This Row],[Total score]]&gt;=23,2,1))))))</f>
        <v>2</v>
      </c>
      <c r="R16" s="296">
        <v>20</v>
      </c>
      <c r="S16" s="302">
        <f ca="1">IF(Table311[[#This Row],[Group]]=7,27,IF(Table311[[#This Row],[Group]]=6,22,IF(Table311[[#This Row],[Group]]=5,18,IF(Table311[[#This Row],[Group]]=4,11,IF(Table311[[#This Row],[Group]]=3,7,IF(Table311[[#This Row],[Group]]=2,5,IF(Table311[[#This Row],[Notes]]="no FAM",1,2)))))))</f>
        <v>5</v>
      </c>
      <c r="T16" s="296" t="s">
        <v>1930</v>
      </c>
      <c r="U16" s="233"/>
    </row>
    <row r="17" spans="1:21" ht="14.25" customHeight="1">
      <c r="A17" s="299" t="s">
        <v>130</v>
      </c>
      <c r="B17" s="301">
        <v>3</v>
      </c>
      <c r="C17" s="301">
        <f t="array" aca="1" ref="C17" ca="1">INDIRECT("'"&amp;A17&amp;"'!B$7")</f>
        <v>113</v>
      </c>
      <c r="D17" s="302" t="str" cm="1">
        <f t="array" aca="1" ref="D17" ca="1">INDIRECT("'"&amp;A17&amp;"'!B$12")</f>
        <v>individual</v>
      </c>
      <c r="E17" s="302" cm="1">
        <f t="array" aca="1" ref="E17" ca="1">INDIRECT("'"&amp;A17&amp;"'!$AF$30")^2</f>
        <v>9</v>
      </c>
      <c r="F17" s="302" cm="1">
        <f t="array" aca="1" ref="F17" ca="1">INDIRECT("'"&amp;A17&amp;"'!$AF$31")</f>
        <v>3</v>
      </c>
      <c r="G17" s="302" cm="1">
        <f t="array" aca="1" ref="G17" ca="1">INDIRECT("'"&amp;$A17&amp;"'!$AF$32")</f>
        <v>3</v>
      </c>
      <c r="H17" s="302" cm="1">
        <f t="array" aca="1" ref="H17" ca="1">INDIRECT("'"&amp;$A17&amp;"'!$AF$33")</f>
        <v>0</v>
      </c>
      <c r="I17" s="302" cm="1">
        <f t="array" aca="1" ref="I17" ca="1">INDIRECT("'"&amp;$A17&amp;"'!$AF$34")</f>
        <v>2</v>
      </c>
      <c r="J17" s="302" cm="1">
        <f t="array" aca="1" ref="J17" ca="1">INDIRECT("'"&amp;$A17&amp;"'!$AF$35")</f>
        <v>1</v>
      </c>
      <c r="K17" s="302" cm="1">
        <f t="array" aca="1" ref="K17" ca="1">INDIRECT("'"&amp;$A17&amp;"'!$AF$36")</f>
        <v>1</v>
      </c>
      <c r="L17" s="302" cm="1">
        <f t="array" aca="1" ref="L17" ca="1">INDIRECT("'"&amp;$A17&amp;"'!$AF$37")</f>
        <v>1</v>
      </c>
      <c r="M17" s="302" cm="1">
        <f t="array" aca="1" ref="M17" ca="1">INDIRECT("'"&amp;$A17&amp;"'!$AF$38")</f>
        <v>0</v>
      </c>
      <c r="N17" s="302" cm="1">
        <f t="array" aca="1" ref="N17" ca="1">INDIRECT("'"&amp;$A17&amp;"'!$AF$39")</f>
        <v>3</v>
      </c>
      <c r="O17" s="302" t="str" cm="1">
        <f t="array" aca="1" ref="O17" ca="1">INDIRECT("'"&amp;$A17&amp;"'!$AF$40")</f>
        <v xml:space="preserve"> </v>
      </c>
      <c r="P17" s="302">
        <f ca="1">SUM(Table311[[#This Row],[Membercount]:[ratio of competing teams / training teams / n\a]])</f>
        <v>23</v>
      </c>
      <c r="Q17" s="302">
        <f ca="1">IF(Table311[[#This Row],[Total score]]&gt;=47,7,IF(Table311[[#This Row],[Total score]]&gt;=43,6,IF(Table311[[#This Row],[Total score]]&gt;=37,5,IF(Table311[[#This Row],[Total score]]&gt;=33,4,IF(Table311[[#This Row],[Total score]]&gt;=27,3,IF(Table311[[#This Row],[Total score]]&gt;=23,2,1))))))</f>
        <v>2</v>
      </c>
      <c r="R17" s="296">
        <v>20</v>
      </c>
      <c r="S17" s="302">
        <f ca="1">IF(Table311[[#This Row],[Group]]=7,27,IF(Table311[[#This Row],[Group]]=6,22,IF(Table311[[#This Row],[Group]]=5,18,IF(Table311[[#This Row],[Group]]=4,11,IF(Table311[[#This Row],[Group]]=3,7,IF(Table311[[#This Row],[Group]]=2,5,IF(Table311[[#This Row],[Notes]]="no FAM",1,2)))))))</f>
        <v>5</v>
      </c>
      <c r="T17" s="296" t="s">
        <v>1930</v>
      </c>
      <c r="U17" s="233"/>
    </row>
    <row r="18" spans="1:21" ht="14.25" customHeight="1">
      <c r="A18" s="299" t="s">
        <v>79</v>
      </c>
      <c r="B18" s="301">
        <v>4</v>
      </c>
      <c r="C18" s="301">
        <f t="array" aca="1" ref="C18" ca="1">INDIRECT("'"&amp;A18&amp;"'!B$7")</f>
        <v>36</v>
      </c>
      <c r="D18" s="302" t="str" cm="1">
        <f t="array" aca="1" ref="D18" ca="1">INDIRECT("'"&amp;A18&amp;"'!B$12")</f>
        <v>group</v>
      </c>
      <c r="E18" s="302" cm="1">
        <f t="array" aca="1" ref="E18" ca="1">INDIRECT("'"&amp;A18&amp;"'!$AF$30")^2</f>
        <v>1</v>
      </c>
      <c r="F18" s="302" cm="1">
        <f t="array" aca="1" ref="F18" ca="1">INDIRECT("'"&amp;A18&amp;"'!$AF$31")</f>
        <v>2</v>
      </c>
      <c r="G18" s="302" cm="1">
        <f t="array" aca="1" ref="G18" ca="1">INDIRECT("'"&amp;$A18&amp;"'!$AF$32")</f>
        <v>3</v>
      </c>
      <c r="H18" s="302" cm="1">
        <f t="array" aca="1" ref="H18" ca="1">INDIRECT("'"&amp;$A18&amp;"'!$AF$33")</f>
        <v>3</v>
      </c>
      <c r="I18" s="302" cm="1">
        <f t="array" aca="1" ref="I18" ca="1">INDIRECT("'"&amp;$A18&amp;"'!$AF$34")</f>
        <v>1</v>
      </c>
      <c r="J18" s="302" cm="1">
        <f t="array" aca="1" ref="J18" ca="1">INDIRECT("'"&amp;$A18&amp;"'!$AF$35")</f>
        <v>3</v>
      </c>
      <c r="K18" s="302" cm="1">
        <f t="array" aca="1" ref="K18" ca="1">INDIRECT("'"&amp;$A18&amp;"'!$AF$36")</f>
        <v>2</v>
      </c>
      <c r="L18" s="302" cm="1">
        <f t="array" aca="1" ref="L18" ca="1">INDIRECT("'"&amp;$A18&amp;"'!$AF$37")</f>
        <v>1</v>
      </c>
      <c r="M18" s="302" cm="1">
        <f t="array" aca="1" ref="M18" ca="1">INDIRECT("'"&amp;$A18&amp;"'!$AF$38")</f>
        <v>0</v>
      </c>
      <c r="N18" s="302" cm="1">
        <f t="array" aca="1" ref="N18" ca="1">INDIRECT("'"&amp;$A18&amp;"'!$AF$39")</f>
        <v>2</v>
      </c>
      <c r="O18" s="302" cm="1">
        <f t="array" aca="1" ref="O18" ca="1">INDIRECT("'"&amp;$A18&amp;"'!$AF$40")</f>
        <v>5</v>
      </c>
      <c r="P18" s="302">
        <f ca="1">SUM(Table311[[#This Row],[Membercount]:[ratio of competing teams / training teams / n\a]])</f>
        <v>23</v>
      </c>
      <c r="Q18" s="302">
        <f ca="1">IF(Table311[[#This Row],[Total score]]&gt;=47,7,IF(Table311[[#This Row],[Total score]]&gt;=43,6,IF(Table311[[#This Row],[Total score]]&gt;=37,5,IF(Table311[[#This Row],[Total score]]&gt;=33,4,IF(Table311[[#This Row],[Total score]]&gt;=27,3,IF(Table311[[#This Row],[Total score]]&gt;=23,2,1))))))</f>
        <v>2</v>
      </c>
      <c r="R18" s="296">
        <v>6</v>
      </c>
      <c r="S18" s="302">
        <f ca="1">IF(Table311[[#This Row],[Group]]=7,27,IF(Table311[[#This Row],[Group]]=6,22,IF(Table311[[#This Row],[Group]]=5,18,IF(Table311[[#This Row],[Group]]=4,11,IF(Table311[[#This Row],[Group]]=3,7,IF(Table311[[#This Row],[Group]]=2,5,IF(Table311[[#This Row],[Notes]]="no FAM",1,2)))))))</f>
        <v>5</v>
      </c>
      <c r="T18" s="296" t="s">
        <v>1930</v>
      </c>
      <c r="U18" s="233"/>
    </row>
    <row r="19" spans="1:21" ht="14.25" customHeight="1">
      <c r="A19" s="299" t="s">
        <v>89</v>
      </c>
      <c r="B19" s="301">
        <v>5</v>
      </c>
      <c r="C19" s="301">
        <f t="array" aca="1" ref="C19" ca="1">INDIRECT("'"&amp;A19&amp;"'!B$7")</f>
        <v>130</v>
      </c>
      <c r="D19" s="302" t="str" cm="1">
        <f t="array" aca="1" ref="D19" ca="1">INDIRECT("'"&amp;A19&amp;"'!B$12")</f>
        <v>individual</v>
      </c>
      <c r="E19" s="302" cm="1">
        <f t="array" aca="1" ref="E19" ca="1">INDIRECT("'"&amp;A19&amp;"'!$AF$30")^2</f>
        <v>9</v>
      </c>
      <c r="F19" s="302" cm="1">
        <f t="array" aca="1" ref="F19" ca="1">INDIRECT("'"&amp;A19&amp;"'!$AF$31")</f>
        <v>0</v>
      </c>
      <c r="G19" s="302" cm="1">
        <f t="array" aca="1" ref="G19" ca="1">INDIRECT("'"&amp;$A19&amp;"'!$AF$32")</f>
        <v>1</v>
      </c>
      <c r="H19" s="302" cm="1">
        <f t="array" aca="1" ref="H19" ca="1">INDIRECT("'"&amp;$A19&amp;"'!$AF$33")</f>
        <v>3</v>
      </c>
      <c r="I19" s="302" cm="1">
        <f t="array" aca="1" ref="I19" ca="1">INDIRECT("'"&amp;$A19&amp;"'!$AF$34")</f>
        <v>0</v>
      </c>
      <c r="J19" s="302" cm="1">
        <f t="array" aca="1" ref="J19" ca="1">INDIRECT("'"&amp;$A19&amp;"'!$AF$35")</f>
        <v>3</v>
      </c>
      <c r="K19" s="302" cm="1">
        <f t="array" aca="1" ref="K19" ca="1">INDIRECT("'"&amp;$A19&amp;"'!$AF$36")</f>
        <v>2</v>
      </c>
      <c r="L19" s="302" cm="1">
        <f t="array" aca="1" ref="L19" ca="1">INDIRECT("'"&amp;$A19&amp;"'!$AF$37")</f>
        <v>1</v>
      </c>
      <c r="M19" s="302" cm="1">
        <f t="array" aca="1" ref="M19" ca="1">INDIRECT("'"&amp;$A19&amp;"'!$AF$38")</f>
        <v>0</v>
      </c>
      <c r="N19" s="302" cm="1">
        <f t="array" aca="1" ref="N19" ca="1">INDIRECT("'"&amp;$A19&amp;"'!$AF$39")</f>
        <v>3</v>
      </c>
      <c r="O19" s="302" t="str" cm="1">
        <f t="array" aca="1" ref="O19" ca="1">INDIRECT("'"&amp;$A19&amp;"'!$AF$40")</f>
        <v xml:space="preserve"> </v>
      </c>
      <c r="P19" s="302">
        <f ca="1">SUM(Table311[[#This Row],[Membercount]:[ratio of competing teams / training teams / n\a]])</f>
        <v>22</v>
      </c>
      <c r="Q19" s="302">
        <f ca="1">IF(Table311[[#This Row],[Total score]]&gt;=47,7,IF(Table311[[#This Row],[Total score]]&gt;=43,6,IF(Table311[[#This Row],[Total score]]&gt;=37,5,IF(Table311[[#This Row],[Total score]]&gt;=33,4,IF(Table311[[#This Row],[Total score]]&gt;=27,3,IF(Table311[[#This Row],[Total score]]&gt;=23,2,1))))))</f>
        <v>1</v>
      </c>
      <c r="R19" s="296">
        <v>20</v>
      </c>
      <c r="S19" s="302">
        <f ca="1">IF(Table311[[#This Row],[Group]]=7,27,IF(Table311[[#This Row],[Group]]=6,22,IF(Table311[[#This Row],[Group]]=5,18,IF(Table311[[#This Row],[Group]]=4,11,IF(Table311[[#This Row],[Group]]=3,7,IF(Table311[[#This Row],[Group]]=2,5,IF(Table311[[#This Row],[Notes]]="no FAM",1,2)))))))</f>
        <v>2</v>
      </c>
      <c r="T19" s="296" t="s">
        <v>1930</v>
      </c>
    </row>
    <row r="20" spans="1:21" ht="14.25" customHeight="1">
      <c r="A20" s="299" t="s">
        <v>351</v>
      </c>
      <c r="B20" s="301">
        <v>2</v>
      </c>
      <c r="C20" s="301">
        <f t="array" aca="1" ref="C20" ca="1">INDIRECT("'"&amp;A20&amp;"'!B$7")</f>
        <v>35</v>
      </c>
      <c r="D20" s="302" t="str" cm="1">
        <f t="array" aca="1" ref="D20" ca="1">INDIRECT("'"&amp;A20&amp;"'!B$12")</f>
        <v>group</v>
      </c>
      <c r="E20" s="302" cm="1">
        <f t="array" aca="1" ref="E20" ca="1">INDIRECT("'"&amp;A20&amp;"'!$AF$30")^2</f>
        <v>1</v>
      </c>
      <c r="F20" s="302" cm="1">
        <f t="array" aca="1" ref="F20" ca="1">INDIRECT("'"&amp;A20&amp;"'!$AF$31")</f>
        <v>2</v>
      </c>
      <c r="G20" s="302" cm="1">
        <f t="array" aca="1" ref="G20" ca="1">INDIRECT("'"&amp;$A20&amp;"'!$AF$32")</f>
        <v>3</v>
      </c>
      <c r="H20" s="302" cm="1">
        <f t="array" aca="1" ref="H20" ca="1">INDIRECT("'"&amp;$A20&amp;"'!$AF$33")</f>
        <v>3</v>
      </c>
      <c r="I20" s="302" cm="1">
        <f t="array" aca="1" ref="I20" ca="1">INDIRECT("'"&amp;$A20&amp;"'!$AF$34")</f>
        <v>2</v>
      </c>
      <c r="J20" s="302" cm="1">
        <f t="array" aca="1" ref="J20" ca="1">INDIRECT("'"&amp;$A20&amp;"'!$AF$35")</f>
        <v>3</v>
      </c>
      <c r="K20" s="302" cm="1">
        <f t="array" aca="1" ref="K20" ca="1">INDIRECT("'"&amp;$A20&amp;"'!$AF$36")</f>
        <v>1</v>
      </c>
      <c r="L20" s="302" cm="1">
        <f t="array" aca="1" ref="L20" ca="1">INDIRECT("'"&amp;$A20&amp;"'!$AF$37")</f>
        <v>0</v>
      </c>
      <c r="M20" s="302" cm="1">
        <f t="array" aca="1" ref="M20" ca="1">INDIRECT("'"&amp;$A20&amp;"'!$AF$38")</f>
        <v>0</v>
      </c>
      <c r="N20" s="302" cm="1">
        <f t="array" aca="1" ref="N20" ca="1">INDIRECT("'"&amp;$A20&amp;"'!$AF$39")</f>
        <v>1</v>
      </c>
      <c r="O20" s="302" cm="1">
        <f t="array" aca="1" ref="O20" ca="1">INDIRECT("'"&amp;$A20&amp;"'!$AF$40")</f>
        <v>5</v>
      </c>
      <c r="P20" s="302">
        <f ca="1">SUM(Table311[[#This Row],[Membercount]:[ratio of competing teams / training teams / n\a]])</f>
        <v>21</v>
      </c>
      <c r="Q20" s="302">
        <f ca="1">IF(Table311[[#This Row],[Total score]]&gt;=47,7,IF(Table311[[#This Row],[Total score]]&gt;=43,6,IF(Table311[[#This Row],[Total score]]&gt;=37,5,IF(Table311[[#This Row],[Total score]]&gt;=33,4,IF(Table311[[#This Row],[Total score]]&gt;=27,3,IF(Table311[[#This Row],[Total score]]&gt;=23,2,1))))))</f>
        <v>1</v>
      </c>
      <c r="R20" s="296">
        <v>6</v>
      </c>
      <c r="S20" s="302">
        <f ca="1">IF(Table311[[#This Row],[Group]]=7,27,IF(Table311[[#This Row],[Group]]=6,22,IF(Table311[[#This Row],[Group]]=5,18,IF(Table311[[#This Row],[Group]]=4,11,IF(Table311[[#This Row],[Group]]=3,7,IF(Table311[[#This Row],[Group]]=2,5,IF(Table311[[#This Row],[Notes]]="no FAM",1,2)))))))</f>
        <v>2</v>
      </c>
      <c r="T20" s="296" t="s">
        <v>1930</v>
      </c>
    </row>
    <row r="21" spans="1:21" ht="14.25" customHeight="1">
      <c r="A21" s="299" t="s">
        <v>346</v>
      </c>
      <c r="B21" s="301">
        <v>2</v>
      </c>
      <c r="C21" s="301">
        <f t="array" aca="1" ref="C21" ca="1">INDIRECT("'"&amp;A21&amp;"'!B$7")</f>
        <v>35</v>
      </c>
      <c r="D21" s="302" t="str" cm="1">
        <f t="array" aca="1" ref="D21" ca="1">INDIRECT("'"&amp;A21&amp;"'!B$12")</f>
        <v>group</v>
      </c>
      <c r="E21" s="302" cm="1">
        <f t="array" aca="1" ref="E21" ca="1">INDIRECT("'"&amp;A21&amp;"'!$AF$30")^2</f>
        <v>1</v>
      </c>
      <c r="F21" s="302" cm="1">
        <f t="array" aca="1" ref="F21" ca="1">INDIRECT("'"&amp;A21&amp;"'!$AF$31")</f>
        <v>3</v>
      </c>
      <c r="G21" s="302" cm="1">
        <f t="array" aca="1" ref="G21" ca="1">INDIRECT("'"&amp;$A21&amp;"'!$AF$32")</f>
        <v>2</v>
      </c>
      <c r="H21" s="302" cm="1">
        <f t="array" aca="1" ref="H21" ca="1">INDIRECT("'"&amp;$A21&amp;"'!$AF$33")</f>
        <v>3</v>
      </c>
      <c r="I21" s="302" cm="1">
        <f t="array" aca="1" ref="I21" ca="1">INDIRECT("'"&amp;$A21&amp;"'!$AF$34")</f>
        <v>2</v>
      </c>
      <c r="J21" s="302" cm="1">
        <f t="array" aca="1" ref="J21" ca="1">INDIRECT("'"&amp;$A21&amp;"'!$AF$35")</f>
        <v>1</v>
      </c>
      <c r="K21" s="302" cm="1">
        <f t="array" aca="1" ref="K21" ca="1">INDIRECT("'"&amp;$A21&amp;"'!$AF$36")</f>
        <v>0</v>
      </c>
      <c r="L21" s="302" cm="1">
        <f t="array" aca="1" ref="L21" ca="1">INDIRECT("'"&amp;$A21&amp;"'!$AF$37")</f>
        <v>1</v>
      </c>
      <c r="M21" s="302" cm="1">
        <f t="array" aca="1" ref="M21" ca="1">INDIRECT("'"&amp;$A21&amp;"'!$AF$38")</f>
        <v>0</v>
      </c>
      <c r="N21" s="302" cm="1">
        <f t="array" aca="1" ref="N21" ca="1">INDIRECT("'"&amp;$A21&amp;"'!$AF$39")</f>
        <v>2</v>
      </c>
      <c r="O21" s="302" cm="1">
        <f t="array" aca="1" ref="O21" ca="1">INDIRECT("'"&amp;$A21&amp;"'!$AF$40")</f>
        <v>5</v>
      </c>
      <c r="P21" s="302">
        <f ca="1">SUM(Table311[[#This Row],[Membercount]:[ratio of competing teams / training teams / n\a]])</f>
        <v>20</v>
      </c>
      <c r="Q21" s="302">
        <f ca="1">IF(Table311[[#This Row],[Total score]]&gt;=47,7,IF(Table311[[#This Row],[Total score]]&gt;=43,6,IF(Table311[[#This Row],[Total score]]&gt;=37,5,IF(Table311[[#This Row],[Total score]]&gt;=33,4,IF(Table311[[#This Row],[Total score]]&gt;=27,3,IF(Table311[[#This Row],[Total score]]&gt;=23,2,1))))))</f>
        <v>1</v>
      </c>
      <c r="R21" s="296">
        <v>6</v>
      </c>
      <c r="S21" s="302">
        <f ca="1">IF(Table311[[#This Row],[Group]]=7,27,IF(Table311[[#This Row],[Group]]=6,22,IF(Table311[[#This Row],[Group]]=5,18,IF(Table311[[#This Row],[Group]]=4,11,IF(Table311[[#This Row],[Group]]=3,7,IF(Table311[[#This Row],[Group]]=2,5,IF(Table311[[#This Row],[Notes]]="no FAM",1,2)))))))</f>
        <v>2</v>
      </c>
      <c r="T21" s="296" t="s">
        <v>1930</v>
      </c>
      <c r="U21" s="233"/>
    </row>
    <row r="22" spans="1:21" ht="14.25" customHeight="1">
      <c r="A22" s="299" t="s">
        <v>348</v>
      </c>
      <c r="B22" s="301">
        <v>5</v>
      </c>
      <c r="C22" s="301">
        <f t="array" aca="1" ref="C22" ca="1">INDIRECT("'"&amp;A22&amp;"'!B$7")</f>
        <v>64</v>
      </c>
      <c r="D22" s="302" t="str" cm="1">
        <f t="array" aca="1" ref="D22" ca="1">INDIRECT("'"&amp;A22&amp;"'!B$12")</f>
        <v>group</v>
      </c>
      <c r="E22" s="302" cm="1">
        <f t="array" aca="1" ref="E22" ca="1">INDIRECT("'"&amp;A22&amp;"'!$AF$30")^2</f>
        <v>4</v>
      </c>
      <c r="F22" s="302" cm="1">
        <f t="array" aca="1" ref="F22" ca="1">INDIRECT("'"&amp;A22&amp;"'!$AF$31")</f>
        <v>0</v>
      </c>
      <c r="G22" s="302" cm="1">
        <f t="array" aca="1" ref="G22" ca="1">INDIRECT("'"&amp;$A22&amp;"'!$AF$32")</f>
        <v>1</v>
      </c>
      <c r="H22" s="302" cm="1">
        <f t="array" aca="1" ref="H22" ca="1">INDIRECT("'"&amp;$A22&amp;"'!$AF$33")</f>
        <v>3</v>
      </c>
      <c r="I22" s="302" cm="1">
        <f t="array" aca="1" ref="I22" ca="1">INDIRECT("'"&amp;$A22&amp;"'!$AF$34")</f>
        <v>1</v>
      </c>
      <c r="J22" s="302" cm="1">
        <f t="array" aca="1" ref="J22" ca="1">INDIRECT("'"&amp;$A22&amp;"'!$AF$35")</f>
        <v>0</v>
      </c>
      <c r="K22" s="302" cm="1">
        <f t="array" aca="1" ref="K22" ca="1">INDIRECT("'"&amp;$A22&amp;"'!$AF$36")</f>
        <v>2</v>
      </c>
      <c r="L22" s="302" cm="1">
        <f t="array" aca="1" ref="L22" ca="1">INDIRECT("'"&amp;$A22&amp;"'!$AF$37")</f>
        <v>0</v>
      </c>
      <c r="M22" s="302" cm="1">
        <f t="array" aca="1" ref="M22" ca="1">INDIRECT("'"&amp;$A22&amp;"'!$AF$38")</f>
        <v>1</v>
      </c>
      <c r="N22" s="302" cm="1">
        <f t="array" aca="1" ref="N22" ca="1">INDIRECT("'"&amp;$A22&amp;"'!$AF$39")</f>
        <v>3</v>
      </c>
      <c r="O22" s="302" cm="1">
        <f t="array" aca="1" ref="O22" ca="1">INDIRECT("'"&amp;$A22&amp;"'!$AF$40")</f>
        <v>5</v>
      </c>
      <c r="P22" s="302">
        <f ca="1">SUM(Table311[[#This Row],[Membercount]:[ratio of competing teams / training teams / n\a]])</f>
        <v>20</v>
      </c>
      <c r="Q22" s="302">
        <f ca="1">IF(Table311[[#This Row],[Total score]]&gt;=47,7,IF(Table311[[#This Row],[Total score]]&gt;=43,6,IF(Table311[[#This Row],[Total score]]&gt;=37,5,IF(Table311[[#This Row],[Total score]]&gt;=33,4,IF(Table311[[#This Row],[Total score]]&gt;=27,3,IF(Table311[[#This Row],[Total score]]&gt;=23,2,1))))))</f>
        <v>1</v>
      </c>
      <c r="R22" s="296">
        <v>9</v>
      </c>
      <c r="S22" s="302">
        <f ca="1">IF(Table311[[#This Row],[Group]]=7,27,IF(Table311[[#This Row],[Group]]=6,22,IF(Table311[[#This Row],[Group]]=5,18,IF(Table311[[#This Row],[Group]]=4,11,IF(Table311[[#This Row],[Group]]=3,7,IF(Table311[[#This Row],[Group]]=2,5,IF(Table311[[#This Row],[Notes]]="no FAM",1,2)))))))</f>
        <v>2</v>
      </c>
      <c r="T22" s="296" t="s">
        <v>1930</v>
      </c>
    </row>
    <row r="23" spans="1:21" ht="15.75" customHeight="1">
      <c r="A23" s="299" t="s">
        <v>147</v>
      </c>
      <c r="B23" s="301">
        <v>6</v>
      </c>
      <c r="C23" s="301">
        <f t="array" aca="1" ref="C23" ca="1">INDIRECT("'"&amp;A23&amp;"'!B$7")</f>
        <v>65</v>
      </c>
      <c r="D23" s="302" t="str" cm="1">
        <f t="array" aca="1" ref="D23" ca="1">INDIRECT("'"&amp;A23&amp;"'!B$12")</f>
        <v>individual</v>
      </c>
      <c r="E23" s="302" cm="1">
        <f t="array" aca="1" ref="E23" ca="1">INDIRECT("'"&amp;A23&amp;"'!$AF$30")^2</f>
        <v>4</v>
      </c>
      <c r="F23" s="302" cm="1">
        <f t="array" aca="1" ref="F23" ca="1">INDIRECT("'"&amp;A23&amp;"'!$AF$31")</f>
        <v>3</v>
      </c>
      <c r="G23" s="302" cm="1">
        <f t="array" aca="1" ref="G23" ca="1">INDIRECT("'"&amp;$A23&amp;"'!$AF$32")</f>
        <v>3</v>
      </c>
      <c r="H23" s="302" cm="1">
        <f t="array" aca="1" ref="H23" ca="1">INDIRECT("'"&amp;$A23&amp;"'!$AF$33")</f>
        <v>2</v>
      </c>
      <c r="I23" s="302" cm="1">
        <f t="array" aca="1" ref="I23" ca="1">INDIRECT("'"&amp;$A23&amp;"'!$AF$34")</f>
        <v>1</v>
      </c>
      <c r="J23" s="302" cm="1">
        <f t="array" aca="1" ref="J23" ca="1">INDIRECT("'"&amp;$A23&amp;"'!$AF$35")</f>
        <v>1</v>
      </c>
      <c r="K23" s="302" cm="1">
        <f t="array" aca="1" ref="K23" ca="1">INDIRECT("'"&amp;$A23&amp;"'!$AF$36")</f>
        <v>2</v>
      </c>
      <c r="L23" s="302" cm="1">
        <f t="array" aca="1" ref="L23" ca="1">INDIRECT("'"&amp;$A23&amp;"'!$AF$37")</f>
        <v>1</v>
      </c>
      <c r="M23" s="302" cm="1">
        <f t="array" aca="1" ref="M23" ca="1">INDIRECT("'"&amp;$A23&amp;"'!$AF$38")</f>
        <v>0</v>
      </c>
      <c r="N23" s="302" cm="1">
        <f t="array" aca="1" ref="N23" ca="1">INDIRECT("'"&amp;$A23&amp;"'!$AF$39")</f>
        <v>1</v>
      </c>
      <c r="O23" s="302" t="str" cm="1">
        <f t="array" aca="1" ref="O23" ca="1">INDIRECT("'"&amp;$A23&amp;"'!$AF$40")</f>
        <v xml:space="preserve"> </v>
      </c>
      <c r="P23" s="302">
        <f ca="1">SUM(Table311[[#This Row],[Membercount]:[ratio of competing teams / training teams / n\a]])</f>
        <v>18</v>
      </c>
      <c r="Q23" s="302">
        <f ca="1">IF(Table311[[#This Row],[Total score]]&gt;=47,7,IF(Table311[[#This Row],[Total score]]&gt;=43,6,IF(Table311[[#This Row],[Total score]]&gt;=37,5,IF(Table311[[#This Row],[Total score]]&gt;=33,4,IF(Table311[[#This Row],[Total score]]&gt;=27,3,IF(Table311[[#This Row],[Total score]]&gt;=23,2,1))))))</f>
        <v>1</v>
      </c>
      <c r="R23" s="296">
        <v>9</v>
      </c>
      <c r="S23" s="302">
        <f ca="1">IF(Table311[[#This Row],[Group]]=7,27,IF(Table311[[#This Row],[Group]]=6,22,IF(Table311[[#This Row],[Group]]=5,18,IF(Table311[[#This Row],[Group]]=4,11,IF(Table311[[#This Row],[Group]]=3,7,IF(Table311[[#This Row],[Group]]=2,5,IF(Table311[[#This Row],[Notes]]="no FAM",1,2)))))))</f>
        <v>2</v>
      </c>
      <c r="T23" s="296" t="s">
        <v>1930</v>
      </c>
    </row>
    <row r="24" spans="1:21" ht="14.25" customHeight="1">
      <c r="A24" s="299" t="s">
        <v>349</v>
      </c>
      <c r="B24" s="301">
        <v>4</v>
      </c>
      <c r="C24" s="301">
        <f t="array" aca="1" ref="C24" ca="1">INDIRECT("'"&amp;A24&amp;"'!B$7")</f>
        <v>35</v>
      </c>
      <c r="D24" s="302" t="str" cm="1">
        <f t="array" aca="1" ref="D24" ca="1">INDIRECT("'"&amp;A24&amp;"'!B$12")</f>
        <v>group</v>
      </c>
      <c r="E24" s="302" cm="1">
        <f t="array" aca="1" ref="E24" ca="1">INDIRECT("'"&amp;A24&amp;"'!$AF$30")^2</f>
        <v>1</v>
      </c>
      <c r="F24" s="302" cm="1">
        <f t="array" aca="1" ref="F24" ca="1">INDIRECT("'"&amp;A24&amp;"'!$AF$31")</f>
        <v>2</v>
      </c>
      <c r="G24" s="302" cm="1">
        <f t="array" aca="1" ref="G24" ca="1">INDIRECT("'"&amp;$A24&amp;"'!$AF$32")</f>
        <v>3</v>
      </c>
      <c r="H24" s="302" cm="1">
        <f t="array" aca="1" ref="H24" ca="1">INDIRECT("'"&amp;$A24&amp;"'!$AF$33")</f>
        <v>1</v>
      </c>
      <c r="I24" s="302" cm="1">
        <f t="array" aca="1" ref="I24" ca="1">INDIRECT("'"&amp;$A24&amp;"'!$AF$34")</f>
        <v>0</v>
      </c>
      <c r="J24" s="302" cm="1">
        <f t="array" aca="1" ref="J24" ca="1">INDIRECT("'"&amp;$A24&amp;"'!$AF$35")</f>
        <v>1</v>
      </c>
      <c r="K24" s="302" cm="1">
        <f t="array" aca="1" ref="K24" ca="1">INDIRECT("'"&amp;$A24&amp;"'!$AF$36")</f>
        <v>1</v>
      </c>
      <c r="L24" s="302" cm="1">
        <f t="array" aca="1" ref="L24" ca="1">INDIRECT("'"&amp;$A24&amp;"'!$AF$37")</f>
        <v>1</v>
      </c>
      <c r="M24" s="302" cm="1">
        <f t="array" aca="1" ref="M24" ca="1">INDIRECT("'"&amp;$A24&amp;"'!$AF$38")</f>
        <v>0</v>
      </c>
      <c r="N24" s="302" cm="1">
        <f t="array" aca="1" ref="N24" ca="1">INDIRECT("'"&amp;$A24&amp;"'!$AF$39")</f>
        <v>2</v>
      </c>
      <c r="O24" s="302" cm="1">
        <f t="array" aca="1" ref="O24" ca="1">INDIRECT("'"&amp;$A24&amp;"'!$AF$40")</f>
        <v>5</v>
      </c>
      <c r="P24" s="302">
        <f ca="1">SUM(Table311[[#This Row],[Membercount]:[ratio of competing teams / training teams / n\a]])</f>
        <v>17</v>
      </c>
      <c r="Q24" s="302">
        <f ca="1">IF(Table311[[#This Row],[Total score]]&gt;=47,7,IF(Table311[[#This Row],[Total score]]&gt;=43,6,IF(Table311[[#This Row],[Total score]]&gt;=37,5,IF(Table311[[#This Row],[Total score]]&gt;=33,4,IF(Table311[[#This Row],[Total score]]&gt;=27,3,IF(Table311[[#This Row],[Total score]]&gt;=23,2,1))))))</f>
        <v>1</v>
      </c>
      <c r="R24" s="296">
        <v>6</v>
      </c>
      <c r="S24" s="302">
        <f ca="1">IF(Table311[[#This Row],[Group]]=7,27,IF(Table311[[#This Row],[Group]]=6,22,IF(Table311[[#This Row],[Group]]=5,18,IF(Table311[[#This Row],[Group]]=4,11,IF(Table311[[#This Row],[Group]]=3,7,IF(Table311[[#This Row],[Group]]=2,5,IF(Table311[[#This Row],[Notes]]="no FAM",1,2)))))))</f>
        <v>2</v>
      </c>
      <c r="T24" s="296" t="s">
        <v>1930</v>
      </c>
    </row>
    <row r="25" spans="1:21" ht="14.25" customHeight="1">
      <c r="A25" s="299" t="s">
        <v>188</v>
      </c>
      <c r="B25" s="301">
        <v>6</v>
      </c>
      <c r="C25" s="301">
        <f t="array" aca="1" ref="C25" ca="1">INDIRECT("'"&amp;A25&amp;"'!B$7")</f>
        <v>47</v>
      </c>
      <c r="D25" s="302" t="str" cm="1">
        <f t="array" aca="1" ref="D25" ca="1">INDIRECT("'"&amp;A25&amp;"'!B$12")</f>
        <v>individual</v>
      </c>
      <c r="E25" s="302" cm="1">
        <f t="array" aca="1" ref="E25" ca="1">INDIRECT("'"&amp;A25&amp;"'!$AF$30")^2</f>
        <v>1</v>
      </c>
      <c r="F25" s="302" cm="1">
        <f t="array" aca="1" ref="F25" ca="1">INDIRECT("'"&amp;A25&amp;"'!$AF$31")</f>
        <v>3</v>
      </c>
      <c r="G25" s="302" cm="1">
        <f t="array" aca="1" ref="G25" ca="1">INDIRECT("'"&amp;$A25&amp;"'!$AF$32")</f>
        <v>3</v>
      </c>
      <c r="H25" s="302" cm="1">
        <f t="array" aca="1" ref="H25" ca="1">INDIRECT("'"&amp;$A25&amp;"'!$AF$33")</f>
        <v>0</v>
      </c>
      <c r="I25" s="302" cm="1">
        <f t="array" aca="1" ref="I25" ca="1">INDIRECT("'"&amp;$A25&amp;"'!$AF$34")</f>
        <v>2</v>
      </c>
      <c r="J25" s="302" cm="1">
        <f t="array" aca="1" ref="J25" ca="1">INDIRECT("'"&amp;$A25&amp;"'!$AF$35")</f>
        <v>3</v>
      </c>
      <c r="K25" s="302" cm="1">
        <f t="array" aca="1" ref="K25" ca="1">INDIRECT("'"&amp;$A25&amp;"'!$AF$36")</f>
        <v>2</v>
      </c>
      <c r="L25" s="302" cm="1">
        <f t="array" aca="1" ref="L25" ca="1">INDIRECT("'"&amp;$A25&amp;"'!$AF$37")</f>
        <v>0</v>
      </c>
      <c r="M25" s="302" cm="1">
        <f t="array" aca="1" ref="M25" ca="1">INDIRECT("'"&amp;$A25&amp;"'!$AF$38")</f>
        <v>0</v>
      </c>
      <c r="N25" s="302" cm="1">
        <f t="array" aca="1" ref="N25" ca="1">INDIRECT("'"&amp;$A25&amp;"'!$AF$39")</f>
        <v>3</v>
      </c>
      <c r="O25" s="302" t="str" cm="1">
        <f t="array" aca="1" ref="O25" ca="1">INDIRECT("'"&amp;$A25&amp;"'!$AF$40")</f>
        <v xml:space="preserve"> </v>
      </c>
      <c r="P25" s="302">
        <f ca="1">SUM(Table311[[#This Row],[Membercount]:[ratio of competing teams / training teams / n\a]])</f>
        <v>17</v>
      </c>
      <c r="Q25" s="302">
        <f ca="1">IF(Table311[[#This Row],[Total score]]&gt;=47,7,IF(Table311[[#This Row],[Total score]]&gt;=43,6,IF(Table311[[#This Row],[Total score]]&gt;=37,5,IF(Table311[[#This Row],[Total score]]&gt;=33,4,IF(Table311[[#This Row],[Total score]]&gt;=27,3,IF(Table311[[#This Row],[Total score]]&gt;=23,2,1))))))</f>
        <v>1</v>
      </c>
      <c r="R25" s="302">
        <v>9</v>
      </c>
      <c r="S25" s="302">
        <f ca="1">IF(Table311[[#This Row],[Group]]=7,27,IF(Table311[[#This Row],[Group]]=6,22,IF(Table311[[#This Row],[Group]]=5,18,IF(Table311[[#This Row],[Group]]=4,11,IF(Table311[[#This Row],[Group]]=3,7,IF(Table311[[#This Row],[Group]]=2,5,IF(Table311[[#This Row],[Notes]]="no FAM",1,2)))))))</f>
        <v>2</v>
      </c>
      <c r="T25" s="296" t="s">
        <v>1930</v>
      </c>
    </row>
    <row r="26" spans="1:21" ht="14.25" customHeight="1">
      <c r="A26" s="299" t="s">
        <v>192</v>
      </c>
      <c r="B26" s="301">
        <v>5</v>
      </c>
      <c r="C26" s="301">
        <f t="array" aca="1" ref="C26" ca="1">INDIRECT("'"&amp;A26&amp;"'!B$7")</f>
        <v>32</v>
      </c>
      <c r="D26" s="302" t="str" cm="1">
        <f t="array" aca="1" ref="D26" ca="1">INDIRECT("'"&amp;A26&amp;"'!B$12")</f>
        <v>individual</v>
      </c>
      <c r="E26" s="302" cm="1">
        <f t="array" aca="1" ref="E26" ca="1">INDIRECT("'"&amp;A26&amp;"'!$AF$30")^2</f>
        <v>1</v>
      </c>
      <c r="F26" s="302" cm="1">
        <f t="array" aca="1" ref="F26" ca="1">INDIRECT("'"&amp;A26&amp;"'!$AF$31")</f>
        <v>3</v>
      </c>
      <c r="G26" s="302" cm="1">
        <f t="array" aca="1" ref="G26" ca="1">INDIRECT("'"&amp;$A26&amp;"'!$AF$32")</f>
        <v>3</v>
      </c>
      <c r="H26" s="302" cm="1">
        <f t="array" aca="1" ref="H26" ca="1">INDIRECT("'"&amp;$A26&amp;"'!$AF$33")</f>
        <v>3</v>
      </c>
      <c r="I26" s="302" cm="1">
        <f t="array" aca="1" ref="I26" ca="1">INDIRECT("'"&amp;$A26&amp;"'!$AF$34")</f>
        <v>2</v>
      </c>
      <c r="J26" s="302" cm="1">
        <f t="array" aca="1" ref="J26" ca="1">INDIRECT("'"&amp;$A26&amp;"'!$AF$35")</f>
        <v>0</v>
      </c>
      <c r="K26" s="302" cm="1">
        <f t="array" aca="1" ref="K26" ca="1">INDIRECT("'"&amp;$A26&amp;"'!$AF$36")</f>
        <v>0</v>
      </c>
      <c r="L26" s="302" cm="1">
        <f t="array" aca="1" ref="L26" ca="1">INDIRECT("'"&amp;$A26&amp;"'!$AF$37")</f>
        <v>0</v>
      </c>
      <c r="M26" s="302" cm="1">
        <f t="array" aca="1" ref="M26" ca="1">INDIRECT("'"&amp;$A26&amp;"'!$AF$38")</f>
        <v>0</v>
      </c>
      <c r="N26" s="302" cm="1">
        <f t="array" aca="1" ref="N26" ca="1">INDIRECT("'"&amp;$A26&amp;"'!$AF$39")</f>
        <v>3</v>
      </c>
      <c r="O26" s="302" t="str" cm="1">
        <f t="array" aca="1" ref="O26" ca="1">INDIRECT("'"&amp;$A26&amp;"'!$AF$40")</f>
        <v xml:space="preserve"> </v>
      </c>
      <c r="P26" s="302">
        <f ca="1">SUM(Table311[[#This Row],[Membercount]:[ratio of competing teams / training teams / n\a]])</f>
        <v>15</v>
      </c>
      <c r="Q26" s="302">
        <f ca="1">IF(Table311[[#This Row],[Total score]]&gt;=47,7,IF(Table311[[#This Row],[Total score]]&gt;=43,6,IF(Table311[[#This Row],[Total score]]&gt;=37,5,IF(Table311[[#This Row],[Total score]]&gt;=33,4,IF(Table311[[#This Row],[Total score]]&gt;=27,3,IF(Table311[[#This Row],[Total score]]&gt;=23,2,1))))))</f>
        <v>1</v>
      </c>
      <c r="R26" s="296">
        <v>6</v>
      </c>
      <c r="S26" s="302">
        <f ca="1">IF(Table311[[#This Row],[Group]]=7,27,IF(Table311[[#This Row],[Group]]=6,22,IF(Table311[[#This Row],[Group]]=5,18,IF(Table311[[#This Row],[Group]]=4,11,IF(Table311[[#This Row],[Group]]=3,7,IF(Table311[[#This Row],[Group]]=2,5,IF(Table311[[#This Row],[Notes]]="no FAM",1,2)))))))</f>
        <v>2</v>
      </c>
      <c r="T26" s="296" t="s">
        <v>1930</v>
      </c>
    </row>
    <row r="27" spans="1:21" ht="14.25" customHeight="1">
      <c r="A27" s="299" t="s">
        <v>352</v>
      </c>
      <c r="B27" s="301">
        <v>4</v>
      </c>
      <c r="C27" s="301">
        <f t="array" aca="1" ref="C27" ca="1">INDIRECT("'"&amp;A27&amp;"'!B$7")</f>
        <v>34</v>
      </c>
      <c r="D27" s="302" t="str" cm="1">
        <f t="array" aca="1" ref="D27" ca="1">INDIRECT("'"&amp;A27&amp;"'!B$12")</f>
        <v>group</v>
      </c>
      <c r="E27" s="302" cm="1">
        <f t="array" aca="1" ref="E27" ca="1">INDIRECT("'"&amp;A27&amp;"'!$AF$30")^2</f>
        <v>1</v>
      </c>
      <c r="F27" s="302" cm="1">
        <f t="array" aca="1" ref="F27" ca="1">INDIRECT("'"&amp;A27&amp;"'!$AF$31")</f>
        <v>3</v>
      </c>
      <c r="G27" s="302" cm="1">
        <f t="array" aca="1" ref="G27" ca="1">INDIRECT("'"&amp;$A27&amp;"'!$AF$32")</f>
        <v>3</v>
      </c>
      <c r="H27" s="302" cm="1">
        <f t="array" aca="1" ref="H27" ca="1">INDIRECT("'"&amp;$A27&amp;"'!$AF$33")</f>
        <v>3</v>
      </c>
      <c r="I27" s="302" cm="1">
        <f t="array" aca="1" ref="I27" ca="1">INDIRECT("'"&amp;$A27&amp;"'!$AF$34")</f>
        <v>0</v>
      </c>
      <c r="J27" s="302" cm="1">
        <f t="array" aca="1" ref="J27" ca="1">INDIRECT("'"&amp;$A27&amp;"'!$AF$35")</f>
        <v>1</v>
      </c>
      <c r="K27" s="302" cm="1">
        <f t="array" aca="1" ref="K27" ca="1">INDIRECT("'"&amp;$A27&amp;"'!$AF$36")</f>
        <v>2</v>
      </c>
      <c r="L27" s="302" cm="1">
        <f t="array" aca="1" ref="L27" ca="1">INDIRECT("'"&amp;$A27&amp;"'!$AF$37")</f>
        <v>1</v>
      </c>
      <c r="M27" s="302" cm="1">
        <f t="array" aca="1" ref="M27" ca="1">INDIRECT("'"&amp;$A27&amp;"'!$AF$38")</f>
        <v>0</v>
      </c>
      <c r="N27" s="302" cm="1">
        <f t="array" aca="1" ref="N27" ca="1">INDIRECT("'"&amp;$A27&amp;"'!$AF$39")</f>
        <v>1</v>
      </c>
      <c r="O27" s="302" cm="1">
        <f t="array" aca="1" ref="O27" ca="1">INDIRECT("'"&amp;$A27&amp;"'!$AF$40")</f>
        <v>0</v>
      </c>
      <c r="P27" s="302">
        <f ca="1">SUM(Table311[[#This Row],[Membercount]:[ratio of competing teams / training teams / n\a]])</f>
        <v>15</v>
      </c>
      <c r="Q27" s="302">
        <f ca="1">IF(Table311[[#This Row],[Total score]]&gt;=47,7,IF(Table311[[#This Row],[Total score]]&gt;=43,6,IF(Table311[[#This Row],[Total score]]&gt;=37,5,IF(Table311[[#This Row],[Total score]]&gt;=33,4,IF(Table311[[#This Row],[Total score]]&gt;=27,3,IF(Table311[[#This Row],[Total score]]&gt;=23,2,1))))))</f>
        <v>1</v>
      </c>
      <c r="R27" s="296">
        <v>6</v>
      </c>
      <c r="S27" s="302">
        <f ca="1">IF(Table311[[#This Row],[Group]]=7,27,IF(Table311[[#This Row],[Group]]=6,22,IF(Table311[[#This Row],[Group]]=5,18,IF(Table311[[#This Row],[Group]]=4,11,IF(Table311[[#This Row],[Group]]=3,7,IF(Table311[[#This Row],[Group]]=2,5,IF(Table311[[#This Row],[Notes]]="no FAM",1,2)))))))</f>
        <v>2</v>
      </c>
      <c r="T27" s="296" t="s">
        <v>1930</v>
      </c>
    </row>
    <row r="28" spans="1:21" ht="14.25" customHeight="1">
      <c r="A28" s="299" t="s">
        <v>171</v>
      </c>
      <c r="B28" s="301">
        <v>1</v>
      </c>
      <c r="C28" s="301">
        <f t="array" aca="1" ref="C28" ca="1">INDIRECT("'"&amp;A28&amp;"'!B$7")</f>
        <v>46</v>
      </c>
      <c r="D28" s="302" t="str" cm="1">
        <f t="array" aca="1" ref="D28" ca="1">INDIRECT("'"&amp;A28&amp;"'!B$12")</f>
        <v>group</v>
      </c>
      <c r="E28" s="302" cm="1">
        <f t="array" aca="1" ref="E28" ca="1">INDIRECT("'"&amp;A28&amp;"'!$AF$30")^2</f>
        <v>1</v>
      </c>
      <c r="F28" s="302" cm="1">
        <f t="array" aca="1" ref="F28" ca="1">INDIRECT("'"&amp;A28&amp;"'!$AF$31")</f>
        <v>3</v>
      </c>
      <c r="G28" s="302" cm="1">
        <f t="array" aca="1" ref="G28" ca="1">INDIRECT("'"&amp;$A28&amp;"'!$AF$32")</f>
        <v>1</v>
      </c>
      <c r="H28" s="302" cm="1">
        <f t="array" aca="1" ref="H28" ca="1">INDIRECT("'"&amp;$A28&amp;"'!$AF$33")</f>
        <v>3</v>
      </c>
      <c r="I28" s="302" cm="1">
        <f t="array" aca="1" ref="I28" ca="1">INDIRECT("'"&amp;$A28&amp;"'!$AF$34")</f>
        <v>1</v>
      </c>
      <c r="J28" s="302" cm="1">
        <f t="array" aca="1" ref="J28" ca="1">INDIRECT("'"&amp;$A28&amp;"'!$AF$35")</f>
        <v>0</v>
      </c>
      <c r="K28" s="302" cm="1">
        <f t="array" aca="1" ref="K28" ca="1">INDIRECT("'"&amp;$A28&amp;"'!$AF$36")</f>
        <v>0</v>
      </c>
      <c r="L28" s="302" cm="1">
        <f t="array" aca="1" ref="L28" ca="1">INDIRECT("'"&amp;$A28&amp;"'!$AF$37")</f>
        <v>0</v>
      </c>
      <c r="M28" s="302" cm="1">
        <f t="array" aca="1" ref="M28" ca="1">INDIRECT("'"&amp;$A28&amp;"'!$AF$38")</f>
        <v>0</v>
      </c>
      <c r="N28" s="302" cm="1">
        <f t="array" aca="1" ref="N28" ca="1">INDIRECT("'"&amp;$A28&amp;"'!$AF$39")</f>
        <v>1</v>
      </c>
      <c r="O28" s="302" cm="1">
        <f t="array" aca="1" ref="O28" ca="1">INDIRECT("'"&amp;$A28&amp;"'!$AF$40")</f>
        <v>5</v>
      </c>
      <c r="P28" s="302">
        <f ca="1">SUM(Table311[[#This Row],[Membercount]:[ratio of competing teams / training teams / n\a]])</f>
        <v>15</v>
      </c>
      <c r="Q28" s="302">
        <f ca="1">IF(Table311[[#This Row],[Total score]]&gt;=47,7,IF(Table311[[#This Row],[Total score]]&gt;=43,6,IF(Table311[[#This Row],[Total score]]&gt;=37,5,IF(Table311[[#This Row],[Total score]]&gt;=33,4,IF(Table311[[#This Row],[Total score]]&gt;=27,3,IF(Table311[[#This Row],[Total score]]&gt;=23,2,1))))))</f>
        <v>1</v>
      </c>
      <c r="R28" s="302">
        <v>6</v>
      </c>
      <c r="S28" s="302">
        <f ca="1">IF(Table311[[#This Row],[Group]]=7,27,IF(Table311[[#This Row],[Group]]=6,22,IF(Table311[[#This Row],[Group]]=5,18,IF(Table311[[#This Row],[Group]]=4,11,IF(Table311[[#This Row],[Group]]=3,7,IF(Table311[[#This Row],[Group]]=2,5,IF(Table311[[#This Row],[Notes]]="no FAM",1,2)))))))</f>
        <v>2</v>
      </c>
      <c r="T28" s="296" t="s">
        <v>1930</v>
      </c>
      <c r="U28" s="233"/>
    </row>
    <row r="29" spans="1:21" ht="14.25" customHeight="1">
      <c r="A29" s="299" t="s">
        <v>135</v>
      </c>
      <c r="B29" s="301">
        <v>3</v>
      </c>
      <c r="C29" s="301">
        <f t="array" aca="1" ref="C29" ca="1">INDIRECT("'"&amp;A29&amp;"'!B$7")</f>
        <v>75</v>
      </c>
      <c r="D29" s="302" t="str" cm="1">
        <f t="array" aca="1" ref="D29" ca="1">INDIRECT("'"&amp;A29&amp;"'!B$12")</f>
        <v>individual</v>
      </c>
      <c r="E29" s="302" cm="1">
        <f t="array" aca="1" ref="E29" ca="1">INDIRECT("'"&amp;A29&amp;"'!$AF$30")^2</f>
        <v>4</v>
      </c>
      <c r="F29" s="302" cm="1">
        <f t="array" aca="1" ref="F29" ca="1">INDIRECT("'"&amp;A29&amp;"'!$AF$31")</f>
        <v>3</v>
      </c>
      <c r="G29" s="302" cm="1">
        <f t="array" aca="1" ref="G29" ca="1">INDIRECT("'"&amp;$A29&amp;"'!$AF$32")</f>
        <v>3</v>
      </c>
      <c r="H29" s="302" cm="1">
        <f t="array" aca="1" ref="H29" ca="1">INDIRECT("'"&amp;$A29&amp;"'!$AF$33")</f>
        <v>0</v>
      </c>
      <c r="I29" s="302" cm="1">
        <f t="array" aca="1" ref="I29" ca="1">INDIRECT("'"&amp;$A29&amp;"'!$AF$34")</f>
        <v>1</v>
      </c>
      <c r="J29" s="302" cm="1">
        <f t="array" aca="1" ref="J29" ca="1">INDIRECT("'"&amp;$A29&amp;"'!$AF$35")</f>
        <v>0</v>
      </c>
      <c r="K29" s="302" cm="1">
        <f t="array" aca="1" ref="K29" ca="1">INDIRECT("'"&amp;$A29&amp;"'!$AF$36")</f>
        <v>1</v>
      </c>
      <c r="L29" s="302" cm="1">
        <f t="array" aca="1" ref="L29" ca="1">INDIRECT("'"&amp;$A29&amp;"'!$AF$37")</f>
        <v>1</v>
      </c>
      <c r="M29" s="302" cm="1">
        <f t="array" aca="1" ref="M29" ca="1">INDIRECT("'"&amp;$A29&amp;"'!$AF$38")</f>
        <v>0</v>
      </c>
      <c r="N29" s="302" cm="1">
        <f t="array" aca="1" ref="N29" ca="1">INDIRECT("'"&amp;$A29&amp;"'!$AF$39")</f>
        <v>0</v>
      </c>
      <c r="O29" s="302" t="str" cm="1">
        <f t="array" aca="1" ref="O29" ca="1">INDIRECT("'"&amp;$A29&amp;"'!$AF$40")</f>
        <v xml:space="preserve"> </v>
      </c>
      <c r="P29" s="302">
        <f ca="1">SUM(Table311[[#This Row],[Membercount]:[ratio of competing teams / training teams / n\a]])</f>
        <v>13</v>
      </c>
      <c r="Q29" s="302">
        <f ca="1">IF(Table311[[#This Row],[Total score]]&gt;=47,7,IF(Table311[[#This Row],[Total score]]&gt;=43,6,IF(Table311[[#This Row],[Total score]]&gt;=37,5,IF(Table311[[#This Row],[Total score]]&gt;=33,4,IF(Table311[[#This Row],[Total score]]&gt;=27,3,IF(Table311[[#This Row],[Total score]]&gt;=23,2,1))))))</f>
        <v>1</v>
      </c>
      <c r="R29" s="296">
        <v>9</v>
      </c>
      <c r="S29" s="302">
        <f ca="1">IF(Table311[[#This Row],[Group]]=7,27,IF(Table311[[#This Row],[Group]]=6,22,IF(Table311[[#This Row],[Group]]=5,18,IF(Table311[[#This Row],[Group]]=4,11,IF(Table311[[#This Row],[Group]]=3,7,IF(Table311[[#This Row],[Group]]=2,5,IF(Table311[[#This Row],[Notes]]="no FAM",1,2)))))))</f>
        <v>2</v>
      </c>
      <c r="T29" s="296" t="s">
        <v>1930</v>
      </c>
    </row>
    <row r="30" spans="1:21" ht="14.25" customHeight="1">
      <c r="A30" s="299" t="s">
        <v>356</v>
      </c>
      <c r="B30" s="301">
        <v>3</v>
      </c>
      <c r="C30" s="301">
        <f t="array" aca="1" ref="C30" ca="1">INDIRECT("'"&amp;A30&amp;"'!B$7")</f>
        <v>45</v>
      </c>
      <c r="D30" s="302" t="str" cm="1">
        <f t="array" aca="1" ref="D30" ca="1">INDIRECT("'"&amp;A30&amp;"'!B$12")</f>
        <v>group</v>
      </c>
      <c r="E30" s="302" cm="1">
        <f t="array" aca="1" ref="E30" ca="1">INDIRECT("'"&amp;A30&amp;"'!$AF$30")^2</f>
        <v>1</v>
      </c>
      <c r="F30" s="302" cm="1">
        <f t="array" aca="1" ref="F30" ca="1">INDIRECT("'"&amp;A30&amp;"'!$AF$31")</f>
        <v>2</v>
      </c>
      <c r="G30" s="302" cm="1">
        <f t="array" aca="1" ref="G30" ca="1">INDIRECT("'"&amp;$A30&amp;"'!$AF$32")</f>
        <v>3</v>
      </c>
      <c r="H30" s="302" cm="1">
        <f t="array" aca="1" ref="H30" ca="1">INDIRECT("'"&amp;$A30&amp;"'!$AF$33")</f>
        <v>2</v>
      </c>
      <c r="I30" s="302" cm="1">
        <f t="array" aca="1" ref="I30" ca="1">INDIRECT("'"&amp;$A30&amp;"'!$AF$34")</f>
        <v>0</v>
      </c>
      <c r="J30" s="302" cm="1">
        <f t="array" aca="1" ref="J30" ca="1">INDIRECT("'"&amp;$A30&amp;"'!$AF$35")</f>
        <v>0</v>
      </c>
      <c r="K30" s="302" cm="1">
        <f t="array" aca="1" ref="K30" ca="1">INDIRECT("'"&amp;$A30&amp;"'!$AF$36")</f>
        <v>2</v>
      </c>
      <c r="L30" s="302" cm="1">
        <f t="array" aca="1" ref="L30" ca="1">INDIRECT("'"&amp;$A30&amp;"'!$AF$37")</f>
        <v>0</v>
      </c>
      <c r="M30" s="302" cm="1">
        <f t="array" aca="1" ref="M30" ca="1">INDIRECT("'"&amp;$A30&amp;"'!$AF$38")</f>
        <v>0</v>
      </c>
      <c r="N30" s="302" cm="1">
        <f t="array" aca="1" ref="N30" ca="1">INDIRECT("'"&amp;$A30&amp;"'!$AF$39")</f>
        <v>3</v>
      </c>
      <c r="O30" s="302" cm="1">
        <f t="array" aca="1" ref="O30" ca="1">INDIRECT("'"&amp;$A30&amp;"'!$AF$40")</f>
        <v>0</v>
      </c>
      <c r="P30" s="302">
        <f ca="1">SUM(Table311[[#This Row],[Membercount]:[ratio of competing teams / training teams / n\a]])</f>
        <v>13</v>
      </c>
      <c r="Q30" s="302">
        <f ca="1">IF(Table311[[#This Row],[Total score]]&gt;=47,7,IF(Table311[[#This Row],[Total score]]&gt;=43,6,IF(Table311[[#This Row],[Total score]]&gt;=37,5,IF(Table311[[#This Row],[Total score]]&gt;=33,4,IF(Table311[[#This Row],[Total score]]&gt;=27,3,IF(Table311[[#This Row],[Total score]]&gt;=23,2,1))))))</f>
        <v>1</v>
      </c>
      <c r="R30" s="296">
        <v>6</v>
      </c>
      <c r="S30" s="302">
        <f ca="1">IF(Table311[[#This Row],[Group]]=7,27,IF(Table311[[#This Row],[Group]]=6,22,IF(Table311[[#This Row],[Group]]=5,18,IF(Table311[[#This Row],[Group]]=4,11,IF(Table311[[#This Row],[Group]]=3,7,IF(Table311[[#This Row],[Group]]=2,5,IF(Table311[[#This Row],[Notes]]="no FAM",1,2)))))))</f>
        <v>2</v>
      </c>
      <c r="T30" s="296" t="s">
        <v>1930</v>
      </c>
    </row>
    <row r="31" spans="1:21" ht="14.25" customHeight="1">
      <c r="A31" s="299" t="s">
        <v>138</v>
      </c>
      <c r="B31" s="301">
        <v>3</v>
      </c>
      <c r="C31" s="301">
        <f t="array" aca="1" ref="C31" ca="1">INDIRECT("'"&amp;A31&amp;"'!B$7")</f>
        <v>65</v>
      </c>
      <c r="D31" s="302" t="str" cm="1">
        <f t="array" aca="1" ref="D31" ca="1">INDIRECT("'"&amp;A31&amp;"'!B$12")</f>
        <v>individual</v>
      </c>
      <c r="E31" s="302" cm="1">
        <f t="array" aca="1" ref="E31" ca="1">INDIRECT("'"&amp;A31&amp;"'!$AF$30")^2</f>
        <v>4</v>
      </c>
      <c r="F31" s="302" cm="1">
        <f t="array" aca="1" ref="F31" ca="1">INDIRECT("'"&amp;A31&amp;"'!$AF$31")</f>
        <v>2</v>
      </c>
      <c r="G31" s="302" cm="1">
        <f t="array" aca="1" ref="G31" ca="1">INDIRECT("'"&amp;$A31&amp;"'!$AF$32")</f>
        <v>3</v>
      </c>
      <c r="H31" s="302" cm="1">
        <f t="array" aca="1" ref="H31" ca="1">INDIRECT("'"&amp;$A31&amp;"'!$AF$33")</f>
        <v>0</v>
      </c>
      <c r="I31" s="302" cm="1">
        <f t="array" aca="1" ref="I31" ca="1">INDIRECT("'"&amp;$A31&amp;"'!$AF$34")</f>
        <v>0</v>
      </c>
      <c r="J31" s="302" cm="1">
        <f t="array" aca="1" ref="J31" ca="1">INDIRECT("'"&amp;$A31&amp;"'!$AF$35")</f>
        <v>0</v>
      </c>
      <c r="K31" s="302" cm="1">
        <f t="array" aca="1" ref="K31" ca="1">INDIRECT("'"&amp;$A31&amp;"'!$AF$36")</f>
        <v>1</v>
      </c>
      <c r="L31" s="302" cm="1">
        <f t="array" aca="1" ref="L31" ca="1">INDIRECT("'"&amp;$A31&amp;"'!$AF$37")</f>
        <v>1</v>
      </c>
      <c r="M31" s="302" cm="1">
        <f t="array" aca="1" ref="M31" ca="1">INDIRECT("'"&amp;$A31&amp;"'!$AF$38")</f>
        <v>0</v>
      </c>
      <c r="N31" s="302" cm="1">
        <f t="array" aca="1" ref="N31" ca="1">INDIRECT("'"&amp;$A31&amp;"'!$AF$39")</f>
        <v>1</v>
      </c>
      <c r="O31" s="302" t="str" cm="1">
        <f t="array" aca="1" ref="O31" ca="1">INDIRECT("'"&amp;$A31&amp;"'!$AF$40")</f>
        <v xml:space="preserve"> </v>
      </c>
      <c r="P31" s="302">
        <f ca="1">SUM(Table311[[#This Row],[Membercount]:[ratio of competing teams / training teams / n\a]])</f>
        <v>12</v>
      </c>
      <c r="Q31" s="302">
        <f ca="1">IF(Table311[[#This Row],[Total score]]&gt;=47,7,IF(Table311[[#This Row],[Total score]]&gt;=43,6,IF(Table311[[#This Row],[Total score]]&gt;=37,5,IF(Table311[[#This Row],[Total score]]&gt;=33,4,IF(Table311[[#This Row],[Total score]]&gt;=27,3,IF(Table311[[#This Row],[Total score]]&gt;=23,2,1))))))</f>
        <v>1</v>
      </c>
      <c r="R31" s="302">
        <v>9</v>
      </c>
      <c r="S31" s="302">
        <f ca="1">IF(Table311[[#This Row],[Group]]=7,27,IF(Table311[[#This Row],[Group]]=6,22,IF(Table311[[#This Row],[Group]]=5,18,IF(Table311[[#This Row],[Group]]=4,11,IF(Table311[[#This Row],[Group]]=3,7,IF(Table311[[#This Row],[Group]]=2,5,IF(Table311[[#This Row],[Notes]]="no FAM",1,2)))))))</f>
        <v>2</v>
      </c>
      <c r="T31" s="296" t="s">
        <v>1930</v>
      </c>
      <c r="U31" s="233"/>
    </row>
    <row r="32" spans="1:21" ht="14.25" customHeight="1">
      <c r="A32" s="299" t="s">
        <v>94</v>
      </c>
      <c r="B32" s="301">
        <v>6</v>
      </c>
      <c r="C32" s="301">
        <f t="array" aca="1" ref="C32" ca="1">INDIRECT("'"&amp;A32&amp;"'!B$7")</f>
        <v>69</v>
      </c>
      <c r="D32" s="302" t="str" cm="1">
        <f t="array" aca="1" ref="D32" ca="1">INDIRECT("'"&amp;A32&amp;"'!B$12")</f>
        <v>individual</v>
      </c>
      <c r="E32" s="302" cm="1">
        <f t="array" aca="1" ref="E32" ca="1">INDIRECT("'"&amp;A32&amp;"'!$AF$30")^2</f>
        <v>4</v>
      </c>
      <c r="F32" s="302" cm="1">
        <f t="array" aca="1" ref="F32" ca="1">INDIRECT("'"&amp;A32&amp;"'!$AF$31")</f>
        <v>0</v>
      </c>
      <c r="G32" s="302" cm="1">
        <f t="array" aca="1" ref="G32" ca="1">INDIRECT("'"&amp;$A32&amp;"'!$AF$32")</f>
        <v>3</v>
      </c>
      <c r="H32" s="302" cm="1">
        <f t="array" aca="1" ref="H32" ca="1">INDIRECT("'"&amp;$A32&amp;"'!$AF$33")</f>
        <v>2</v>
      </c>
      <c r="I32" s="302" cm="1">
        <f t="array" aca="1" ref="I32" ca="1">INDIRECT("'"&amp;$A32&amp;"'!$AF$34")</f>
        <v>0</v>
      </c>
      <c r="J32" s="302" cm="1">
        <f t="array" aca="1" ref="J32" ca="1">INDIRECT("'"&amp;$A32&amp;"'!$AF$35")</f>
        <v>0</v>
      </c>
      <c r="K32" s="302" cm="1">
        <f t="array" aca="1" ref="K32" ca="1">INDIRECT("'"&amp;$A32&amp;"'!$AF$36")</f>
        <v>2</v>
      </c>
      <c r="L32" s="302" cm="1">
        <f t="array" aca="1" ref="L32" ca="1">INDIRECT("'"&amp;$A32&amp;"'!$AF$37")</f>
        <v>0</v>
      </c>
      <c r="M32" s="302" cm="1">
        <f t="array" aca="1" ref="M32" ca="1">INDIRECT("'"&amp;$A32&amp;"'!$AF$38")</f>
        <v>1</v>
      </c>
      <c r="N32" s="302" cm="1">
        <f t="array" aca="1" ref="N32" ca="1">INDIRECT("'"&amp;$A32&amp;"'!$AF$39")</f>
        <v>0</v>
      </c>
      <c r="O32" s="302" t="str" cm="1">
        <f t="array" aca="1" ref="O32" ca="1">INDIRECT("'"&amp;$A32&amp;"'!$AF$40")</f>
        <v xml:space="preserve"> </v>
      </c>
      <c r="P32" s="302">
        <f ca="1">SUM(Table311[[#This Row],[Membercount]:[ratio of competing teams / training teams / n\a]])</f>
        <v>12</v>
      </c>
      <c r="Q32" s="302">
        <f ca="1">IF(Table311[[#This Row],[Total score]]&gt;=47,7,IF(Table311[[#This Row],[Total score]]&gt;=43,6,IF(Table311[[#This Row],[Total score]]&gt;=37,5,IF(Table311[[#This Row],[Total score]]&gt;=33,4,IF(Table311[[#This Row],[Total score]]&gt;=27,3,IF(Table311[[#This Row],[Total score]]&gt;=23,2,1))))))</f>
        <v>1</v>
      </c>
      <c r="R32" s="296">
        <v>6</v>
      </c>
      <c r="S32" s="302">
        <f ca="1">IF(Table311[[#This Row],[Group]]=7,27,IF(Table311[[#This Row],[Group]]=6,22,IF(Table311[[#This Row],[Group]]=5,18,IF(Table311[[#This Row],[Group]]=4,11,IF(Table311[[#This Row],[Group]]=3,7,IF(Table311[[#This Row],[Group]]=2,5,IF(Table311[[#This Row],[Notes]]="no FAM",1,2)))))))</f>
        <v>2</v>
      </c>
      <c r="T32" s="296" t="s">
        <v>1930</v>
      </c>
    </row>
    <row r="33" spans="1:20" ht="14.25" customHeight="1">
      <c r="A33" s="299" t="s">
        <v>355</v>
      </c>
      <c r="B33" s="301">
        <v>6</v>
      </c>
      <c r="C33" s="301">
        <f t="array" aca="1" ref="C33" ca="1">INDIRECT("'"&amp;A33&amp;"'!B$7")</f>
        <v>69</v>
      </c>
      <c r="D33" s="302" t="str" cm="1">
        <f t="array" aca="1" ref="D33" ca="1">INDIRECT("'"&amp;A33&amp;"'!B$12")</f>
        <v>individual</v>
      </c>
      <c r="E33" s="302" cm="1">
        <f t="array" aca="1" ref="E33" ca="1">INDIRECT("'"&amp;A33&amp;"'!$AF$30")^2</f>
        <v>4</v>
      </c>
      <c r="F33" s="302" cm="1">
        <f t="array" aca="1" ref="F33" ca="1">INDIRECT("'"&amp;A33&amp;"'!$AF$31")</f>
        <v>0</v>
      </c>
      <c r="G33" s="302" cm="1">
        <f t="array" aca="1" ref="G33" ca="1">INDIRECT("'"&amp;$A33&amp;"'!$AF$32")</f>
        <v>3</v>
      </c>
      <c r="H33" s="302" cm="1">
        <f t="array" aca="1" ref="H33" ca="1">INDIRECT("'"&amp;$A33&amp;"'!$AF$33")</f>
        <v>3</v>
      </c>
      <c r="I33" s="302" cm="1">
        <f t="array" aca="1" ref="I33" ca="1">INDIRECT("'"&amp;$A33&amp;"'!$AF$34")</f>
        <v>0</v>
      </c>
      <c r="J33" s="302" cm="1">
        <f t="array" aca="1" ref="J33" ca="1">INDIRECT("'"&amp;$A33&amp;"'!$AF$35")</f>
        <v>1</v>
      </c>
      <c r="K33" s="302" cm="1">
        <f t="array" aca="1" ref="K33" ca="1">INDIRECT("'"&amp;$A33&amp;"'!$AF$36")</f>
        <v>1</v>
      </c>
      <c r="L33" s="302" cm="1">
        <f t="array" aca="1" ref="L33" ca="1">INDIRECT("'"&amp;$A33&amp;"'!$AF$37")</f>
        <v>0</v>
      </c>
      <c r="M33" s="302" cm="1">
        <f t="array" aca="1" ref="M33" ca="1">INDIRECT("'"&amp;$A33&amp;"'!$AF$38")</f>
        <v>0</v>
      </c>
      <c r="N33" s="302" cm="1">
        <f t="array" aca="1" ref="N33" ca="1">INDIRECT("'"&amp;$A33&amp;"'!$AF$39")</f>
        <v>0</v>
      </c>
      <c r="O33" s="302" t="str" cm="1">
        <f t="array" aca="1" ref="O33" ca="1">INDIRECT("'"&amp;$A33&amp;"'!$AF$40")</f>
        <v xml:space="preserve"> </v>
      </c>
      <c r="P33" s="302">
        <f ca="1">SUM(Table311[[#This Row],[Membercount]:[ratio of competing teams / training teams / n\a]])</f>
        <v>12</v>
      </c>
      <c r="Q33" s="302">
        <f ca="1">IF(Table311[[#This Row],[Total score]]&gt;=47,7,IF(Table311[[#This Row],[Total score]]&gt;=43,6,IF(Table311[[#This Row],[Total score]]&gt;=37,5,IF(Table311[[#This Row],[Total score]]&gt;=33,4,IF(Table311[[#This Row],[Total score]]&gt;=27,3,IF(Table311[[#This Row],[Total score]]&gt;=23,2,1))))))</f>
        <v>1</v>
      </c>
      <c r="R33" s="296">
        <v>6</v>
      </c>
      <c r="S33" s="302">
        <f ca="1">IF(Table311[[#This Row],[Group]]=7,27,IF(Table311[[#This Row],[Group]]=6,22,IF(Table311[[#This Row],[Group]]=5,18,IF(Table311[[#This Row],[Group]]=4,11,IF(Table311[[#This Row],[Group]]=3,7,IF(Table311[[#This Row],[Group]]=2,5,IF(Table311[[#This Row],[Notes]]="no FAM",1,2)))))))</f>
        <v>2</v>
      </c>
      <c r="T33" s="296" t="s">
        <v>1930</v>
      </c>
    </row>
    <row r="34" spans="1:20" ht="14.25" customHeight="1">
      <c r="A34" s="299" t="s">
        <v>186</v>
      </c>
      <c r="B34" s="301">
        <v>6</v>
      </c>
      <c r="C34" s="301">
        <f t="array" aca="1" ref="C34" ca="1">INDIRECT("'"&amp;A34&amp;"'!B$7")</f>
        <v>53</v>
      </c>
      <c r="D34" s="302" t="str" cm="1">
        <f t="array" aca="1" ref="D34" ca="1">INDIRECT("'"&amp;A34&amp;"'!B$12")</f>
        <v>individual</v>
      </c>
      <c r="E34" s="302" cm="1">
        <f t="array" aca="1" ref="E34" ca="1">INDIRECT("'"&amp;A34&amp;"'!$AF$30")^2</f>
        <v>4</v>
      </c>
      <c r="F34" s="302" cm="1">
        <f t="array" aca="1" ref="F34" ca="1">INDIRECT("'"&amp;A34&amp;"'!$AF$31")</f>
        <v>3</v>
      </c>
      <c r="G34" s="302" cm="1">
        <f t="array" aca="1" ref="G34" ca="1">INDIRECT("'"&amp;$A34&amp;"'!$AF$32")</f>
        <v>3</v>
      </c>
      <c r="H34" s="302" cm="1">
        <f t="array" aca="1" ref="H34" ca="1">INDIRECT("'"&amp;$A34&amp;"'!$AF$33")</f>
        <v>0</v>
      </c>
      <c r="I34" s="302" cm="1">
        <f t="array" aca="1" ref="I34" ca="1">INDIRECT("'"&amp;$A34&amp;"'!$AF$34")</f>
        <v>0</v>
      </c>
      <c r="J34" s="302" cm="1">
        <f t="array" aca="1" ref="J34" ca="1">INDIRECT("'"&amp;$A34&amp;"'!$AF$35")</f>
        <v>1</v>
      </c>
      <c r="K34" s="302" cm="1">
        <f t="array" aca="1" ref="K34" ca="1">INDIRECT("'"&amp;$A34&amp;"'!$AF$36")</f>
        <v>1</v>
      </c>
      <c r="L34" s="302" cm="1">
        <f t="array" aca="1" ref="L34" ca="1">INDIRECT("'"&amp;$A34&amp;"'!$AF$37")</f>
        <v>0</v>
      </c>
      <c r="M34" s="302" cm="1">
        <f t="array" aca="1" ref="M34" ca="1">INDIRECT("'"&amp;$A34&amp;"'!$AF$38")</f>
        <v>0</v>
      </c>
      <c r="N34" s="302" cm="1">
        <f t="array" aca="1" ref="N34" ca="1">INDIRECT("'"&amp;$A34&amp;"'!$AF$39")</f>
        <v>0</v>
      </c>
      <c r="O34" s="302" t="str" cm="1">
        <f t="array" aca="1" ref="O34" ca="1">INDIRECT("'"&amp;$A34&amp;"'!$AF$40")</f>
        <v xml:space="preserve"> </v>
      </c>
      <c r="P34" s="302">
        <f ca="1">SUM(Table311[[#This Row],[Membercount]:[ratio of competing teams / training teams / n\a]])</f>
        <v>12</v>
      </c>
      <c r="Q34" s="302">
        <f ca="1">IF(Table311[[#This Row],[Total score]]&gt;=47,7,IF(Table311[[#This Row],[Total score]]&gt;=43,6,IF(Table311[[#This Row],[Total score]]&gt;=37,5,IF(Table311[[#This Row],[Total score]]&gt;=33,4,IF(Table311[[#This Row],[Total score]]&gt;=27,3,IF(Table311[[#This Row],[Total score]]&gt;=23,2,1))))))</f>
        <v>1</v>
      </c>
      <c r="R34" s="302">
        <v>6</v>
      </c>
      <c r="S34" s="302">
        <f ca="1">IF(Table311[[#This Row],[Group]]=7,27,IF(Table311[[#This Row],[Group]]=6,22,IF(Table311[[#This Row],[Group]]=5,18,IF(Table311[[#This Row],[Group]]=4,11,IF(Table311[[#This Row],[Group]]=3,7,IF(Table311[[#This Row],[Group]]=2,5,IF(Table311[[#This Row],[Notes]]="no FAM",1,2)))))))</f>
        <v>2</v>
      </c>
      <c r="T34" s="296" t="s">
        <v>1930</v>
      </c>
    </row>
    <row r="35" spans="1:20" ht="14.25" customHeight="1">
      <c r="A35" s="299" t="s">
        <v>1933</v>
      </c>
      <c r="B35" s="301">
        <v>7</v>
      </c>
      <c r="C35" s="301">
        <f t="array" aca="1" ref="C35" ca="1">INDIRECT("'"&amp;A35&amp;"'!B$7")</f>
        <v>24</v>
      </c>
      <c r="D35" s="302" t="str" cm="1">
        <f t="array" aca="1" ref="D35" ca="1">INDIRECT("'"&amp;A35&amp;"'!B$12")</f>
        <v>group</v>
      </c>
      <c r="E35" s="302" cm="1">
        <f t="array" aca="1" ref="E35" ca="1">INDIRECT("'"&amp;A35&amp;"'!$AF$30")^2</f>
        <v>1</v>
      </c>
      <c r="F35" s="302" cm="1">
        <f t="array" aca="1" ref="F35" ca="1">INDIRECT("'"&amp;A35&amp;"'!$AF$31")</f>
        <v>0</v>
      </c>
      <c r="G35" s="302" cm="1">
        <f t="array" aca="1" ref="G35" ca="1">INDIRECT("'"&amp;$A35&amp;"'!$AF$32")</f>
        <v>3</v>
      </c>
      <c r="H35" s="302" cm="1">
        <f t="array" aca="1" ref="H35" ca="1">INDIRECT("'"&amp;$A35&amp;"'!$AF$33")</f>
        <v>0</v>
      </c>
      <c r="I35" s="302" cm="1">
        <f t="array" aca="1" ref="I35" ca="1">INDIRECT("'"&amp;$A35&amp;"'!$AF$34")</f>
        <v>0</v>
      </c>
      <c r="J35" s="302" cm="1">
        <f t="array" aca="1" ref="J35" ca="1">INDIRECT("'"&amp;$A35&amp;"'!$AF$35")</f>
        <v>0</v>
      </c>
      <c r="K35" s="302" cm="1">
        <f t="array" aca="1" ref="K35" ca="1">INDIRECT("'"&amp;$A35&amp;"'!$AF$36")</f>
        <v>0</v>
      </c>
      <c r="L35" s="302" cm="1">
        <f t="array" aca="1" ref="L35" ca="1">INDIRECT("'"&amp;$A35&amp;"'!$AF$37")</f>
        <v>0</v>
      </c>
      <c r="M35" s="302" cm="1">
        <f t="array" aca="1" ref="M35" ca="1">INDIRECT("'"&amp;$A35&amp;"'!$AF$38")</f>
        <v>0</v>
      </c>
      <c r="N35" s="302" cm="1">
        <f t="array" aca="1" ref="N35" ca="1">INDIRECT("'"&amp;$A35&amp;"'!$AF$39")</f>
        <v>1</v>
      </c>
      <c r="O35" s="302" cm="1">
        <f t="array" aca="1" ref="O35" ca="1">INDIRECT("'"&amp;$A35&amp;"'!$AF$40")</f>
        <v>5</v>
      </c>
      <c r="P35" s="302">
        <f ca="1">SUM(Table311[[#This Row],[Membercount]:[ratio of competing teams / training teams / n\a]])</f>
        <v>10</v>
      </c>
      <c r="Q35" s="302">
        <f ca="1">IF(Table311[[#This Row],[Total score]]&gt;=47,7,IF(Table311[[#This Row],[Total score]]&gt;=43,6,IF(Table311[[#This Row],[Total score]]&gt;=37,5,IF(Table311[[#This Row],[Total score]]&gt;=33,4,IF(Table311[[#This Row],[Total score]]&gt;=27,3,IF(Table311[[#This Row],[Total score]]&gt;=23,2,1))))))</f>
        <v>1</v>
      </c>
      <c r="R35" s="302">
        <v>1</v>
      </c>
      <c r="S35" s="302">
        <f ca="1">IF(Table311[[#This Row],[Group]]=7,27,IF(Table311[[#This Row],[Group]]=6,22,IF(Table311[[#This Row],[Group]]=5,18,IF(Table311[[#This Row],[Group]]=4,11,IF(Table311[[#This Row],[Group]]=3,7,IF(Table311[[#This Row],[Group]]=2,5,IF(Table311[[#This Row],[Notes]]="no FAM",1,2)))))))</f>
        <v>1</v>
      </c>
      <c r="T35" s="296" t="s">
        <v>1932</v>
      </c>
    </row>
    <row r="36" spans="1:20" ht="14.25" customHeight="1">
      <c r="A36" s="299" t="s">
        <v>1934</v>
      </c>
      <c r="B36" s="301">
        <v>7</v>
      </c>
      <c r="C36" s="301" cm="1">
        <f t="array" aca="1" ref="C36" ca="1">INDIRECT("'"&amp;A36&amp;"'!B$7")</f>
        <v>78</v>
      </c>
      <c r="D36" s="302" t="str" cm="1">
        <f t="array" aca="1" ref="D36" ca="1">INDIRECT("'"&amp;A36&amp;"'!B$12")</f>
        <v>individual</v>
      </c>
      <c r="E36" s="302" cm="1">
        <f t="array" aca="1" ref="E36" ca="1">INDIRECT("'"&amp;A36&amp;"'!$AF$30")^2</f>
        <v>4</v>
      </c>
      <c r="F36" s="302" cm="1">
        <f t="array" aca="1" ref="F36" ca="1">INDIRECT("'"&amp;A36&amp;"'!$AF$31")</f>
        <v>0</v>
      </c>
      <c r="G36" s="302" cm="1">
        <f t="array" aca="1" ref="G36" ca="1">INDIRECT("'"&amp;$A36&amp;"'!$AF$32")</f>
        <v>1</v>
      </c>
      <c r="H36" s="302" cm="1">
        <f t="array" aca="1" ref="H36" ca="1">INDIRECT("'"&amp;$A36&amp;"'!$AF$33")</f>
        <v>0</v>
      </c>
      <c r="I36" s="302" cm="1">
        <f t="array" aca="1" ref="I36" ca="1">INDIRECT("'"&amp;$A36&amp;"'!$AF$34")</f>
        <v>0</v>
      </c>
      <c r="J36" s="302" cm="1">
        <f t="array" aca="1" ref="J36" ca="1">INDIRECT("'"&amp;$A36&amp;"'!$AF$35")</f>
        <v>3</v>
      </c>
      <c r="K36" s="302" cm="1">
        <f t="array" aca="1" ref="K36" ca="1">INDIRECT("'"&amp;$A36&amp;"'!$AF$36")</f>
        <v>0</v>
      </c>
      <c r="L36" s="302" cm="1">
        <f t="array" aca="1" ref="L36" ca="1">INDIRECT("'"&amp;$A36&amp;"'!$AF$37")</f>
        <v>0</v>
      </c>
      <c r="M36" s="302" cm="1">
        <f t="array" aca="1" ref="M36" ca="1">INDIRECT("'"&amp;$A36&amp;"'!$AF$38")</f>
        <v>0</v>
      </c>
      <c r="N36" s="302" cm="1">
        <f t="array" aca="1" ref="N36" ca="1">INDIRECT("'"&amp;$A36&amp;"'!$AF$39")</f>
        <v>0</v>
      </c>
      <c r="O36" s="302" t="str" cm="1">
        <f t="array" aca="1" ref="O36" ca="1">INDIRECT("'"&amp;$A36&amp;"'!$AF$40")</f>
        <v xml:space="preserve"> </v>
      </c>
      <c r="P36" s="302">
        <f ca="1">SUM(Table311[[#This Row],[Membercount]:[ratio of competing teams / training teams / n\a]])</f>
        <v>8</v>
      </c>
      <c r="Q36" s="302">
        <f ca="1">IF(Table311[[#This Row],[Total score]]&gt;=47,7,IF(Table311[[#This Row],[Total score]]&gt;=43,6,IF(Table311[[#This Row],[Total score]]&gt;=37,5,IF(Table311[[#This Row],[Total score]]&gt;=33,4,IF(Table311[[#This Row],[Total score]]&gt;=27,3,IF(Table311[[#This Row],[Total score]]&gt;=23,2,1))))))</f>
        <v>1</v>
      </c>
      <c r="R36" s="302">
        <v>6</v>
      </c>
      <c r="S36" s="302">
        <f ca="1">IF(Table311[[#This Row],[Group]]=7,27,IF(Table311[[#This Row],[Group]]=6,22,IF(Table311[[#This Row],[Group]]=5,18,IF(Table311[[#This Row],[Group]]=4,11,IF(Table311[[#This Row],[Group]]=3,7,IF(Table311[[#This Row],[Group]]=2,5,IF(Table311[[#This Row],[Notes]]="no FAM",1,2)))))))</f>
        <v>1</v>
      </c>
      <c r="T36" s="296" t="s">
        <v>1932</v>
      </c>
    </row>
    <row r="37" spans="1:20" ht="14.25" customHeight="1">
      <c r="A37" s="299" t="s">
        <v>1935</v>
      </c>
      <c r="B37" s="301">
        <v>7</v>
      </c>
      <c r="C37" s="301" cm="1">
        <f t="array" aca="1" ref="C37" ca="1">INDIRECT("'"&amp;A37&amp;"'!B$7")</f>
        <v>31</v>
      </c>
      <c r="D37" s="302" t="str" cm="1">
        <f t="array" aca="1" ref="D37" ca="1">INDIRECT("'"&amp;A37&amp;"'!B$12")</f>
        <v>individual</v>
      </c>
      <c r="E37" s="302" cm="1">
        <f t="array" aca="1" ref="E37" ca="1">INDIRECT("'"&amp;A37&amp;"'!$AF$30")^2</f>
        <v>1</v>
      </c>
      <c r="F37" s="302" cm="1">
        <f t="array" aca="1" ref="F37" ca="1">INDIRECT("'"&amp;A37&amp;"'!$AF$31")</f>
        <v>1</v>
      </c>
      <c r="G37" s="302" cm="1">
        <f t="array" aca="1" ref="G37" ca="1">INDIRECT("'"&amp;$A37&amp;"'!$AF$32")</f>
        <v>3</v>
      </c>
      <c r="H37" s="302" cm="1">
        <f t="array" aca="1" ref="H37" ca="1">INDIRECT("'"&amp;$A37&amp;"'!$AF$33")</f>
        <v>0</v>
      </c>
      <c r="I37" s="302" cm="1">
        <f t="array" aca="1" ref="I37" ca="1">INDIRECT("'"&amp;$A37&amp;"'!$AF$34")</f>
        <v>0</v>
      </c>
      <c r="J37" s="302" cm="1">
        <f t="array" aca="1" ref="J37" ca="1">INDIRECT("'"&amp;$A37&amp;"'!$AF$35")</f>
        <v>3</v>
      </c>
      <c r="K37" s="302" cm="1">
        <f t="array" aca="1" ref="K37" ca="1">INDIRECT("'"&amp;$A37&amp;"'!$AF$36")</f>
        <v>0</v>
      </c>
      <c r="L37" s="302" cm="1">
        <f t="array" aca="1" ref="L37" ca="1">INDIRECT("'"&amp;$A37&amp;"'!$AF$37")</f>
        <v>0</v>
      </c>
      <c r="M37" s="302" cm="1">
        <f t="array" aca="1" ref="M37" ca="1">INDIRECT("'"&amp;$A37&amp;"'!$AF$38")</f>
        <v>0</v>
      </c>
      <c r="N37" s="302" cm="1">
        <f t="array" aca="1" ref="N37" ca="1">INDIRECT("'"&amp;$A37&amp;"'!$AF$39")</f>
        <v>0</v>
      </c>
      <c r="O37" s="302" t="str" cm="1">
        <f t="array" aca="1" ref="O37" ca="1">INDIRECT("'"&amp;$A37&amp;"'!$AF$40")</f>
        <v xml:space="preserve"> </v>
      </c>
      <c r="P37" s="302">
        <f ca="1">SUM(Table311[[#This Row],[Membercount]:[ratio of competing teams / training teams / n\a]])</f>
        <v>8</v>
      </c>
      <c r="Q37" s="302">
        <f ca="1">IF(Table311[[#This Row],[Total score]]&gt;=47,7,IF(Table311[[#This Row],[Total score]]&gt;=43,6,IF(Table311[[#This Row],[Total score]]&gt;=37,5,IF(Table311[[#This Row],[Total score]]&gt;=33,4,IF(Table311[[#This Row],[Total score]]&gt;=27,3,IF(Table311[[#This Row],[Total score]]&gt;=23,2,1))))))</f>
        <v>1</v>
      </c>
      <c r="R37" s="302">
        <v>6</v>
      </c>
      <c r="S37" s="302">
        <f ca="1">IF(Table311[[#This Row],[Group]]=7,27,IF(Table311[[#This Row],[Group]]=6,22,IF(Table311[[#This Row],[Group]]=5,18,IF(Table311[[#This Row],[Group]]=4,11,IF(Table311[[#This Row],[Group]]=3,7,IF(Table311[[#This Row],[Group]]=2,5,IF(Table311[[#This Row],[Notes]]="no FAM",1,2)))))))</f>
        <v>1</v>
      </c>
      <c r="T37" s="296" t="s">
        <v>1932</v>
      </c>
    </row>
    <row r="38" spans="1:20" ht="14.25" customHeight="1">
      <c r="A38" s="299" t="s">
        <v>176</v>
      </c>
      <c r="B38" s="301">
        <v>3</v>
      </c>
      <c r="C38" s="301">
        <f t="array" aca="1" ref="C38" ca="1">INDIRECT("'"&amp;A38&amp;"'!B$7")</f>
        <v>27</v>
      </c>
      <c r="D38" s="302" t="str" cm="1">
        <f t="array" aca="1" ref="D38" ca="1">INDIRECT("'"&amp;A38&amp;"'!B$12")</f>
        <v>individual</v>
      </c>
      <c r="E38" s="302" cm="1">
        <f t="array" aca="1" ref="E38" ca="1">INDIRECT("'"&amp;A38&amp;"'!$AF$30")^2</f>
        <v>1</v>
      </c>
      <c r="F38" s="302" cm="1">
        <f t="array" aca="1" ref="F38" ca="1">INDIRECT("'"&amp;A38&amp;"'!$AF$31")</f>
        <v>0</v>
      </c>
      <c r="G38" s="302" cm="1">
        <f t="array" aca="1" ref="G38" ca="1">INDIRECT("'"&amp;$A38&amp;"'!$AF$32")</f>
        <v>3</v>
      </c>
      <c r="H38" s="302" cm="1">
        <f t="array" aca="1" ref="H38" ca="1">INDIRECT("'"&amp;$A38&amp;"'!$AF$33")</f>
        <v>0</v>
      </c>
      <c r="I38" s="302" cm="1">
        <f t="array" aca="1" ref="I38" ca="1">INDIRECT("'"&amp;$A38&amp;"'!$AF$34")</f>
        <v>0</v>
      </c>
      <c r="J38" s="302" cm="1">
        <f t="array" aca="1" ref="J38" ca="1">INDIRECT("'"&amp;$A38&amp;"'!$AF$35")</f>
        <v>0</v>
      </c>
      <c r="K38" s="302" cm="1">
        <f t="array" aca="1" ref="K38" ca="1">INDIRECT("'"&amp;$A38&amp;"'!$AF$36")</f>
        <v>0</v>
      </c>
      <c r="L38" s="302" cm="1">
        <f t="array" aca="1" ref="L38" ca="1">INDIRECT("'"&amp;$A38&amp;"'!$AF$37")</f>
        <v>1</v>
      </c>
      <c r="M38" s="302" cm="1">
        <f t="array" aca="1" ref="M38" ca="1">INDIRECT("'"&amp;$A38&amp;"'!$AF$38")</f>
        <v>0</v>
      </c>
      <c r="N38" s="302" cm="1">
        <f t="array" aca="1" ref="N38" ca="1">INDIRECT("'"&amp;$A38&amp;"'!$AF$39")</f>
        <v>0</v>
      </c>
      <c r="O38" s="302" t="str" cm="1">
        <f t="array" aca="1" ref="O38" ca="1">INDIRECT("'"&amp;$A38&amp;"'!$AF$40")</f>
        <v xml:space="preserve"> </v>
      </c>
      <c r="P38" s="302">
        <f ca="1">SUM(Table311[[#This Row],[Membercount]:[ratio of competing teams / training teams / n\a]])</f>
        <v>5</v>
      </c>
      <c r="Q38" s="302">
        <f ca="1">IF(Table311[[#This Row],[Total score]]&gt;=47,7,IF(Table311[[#This Row],[Total score]]&gt;=43,6,IF(Table311[[#This Row],[Total score]]&gt;=37,5,IF(Table311[[#This Row],[Total score]]&gt;=33,4,IF(Table311[[#This Row],[Total score]]&gt;=27,3,IF(Table311[[#This Row],[Total score]]&gt;=23,2,1))))))</f>
        <v>1</v>
      </c>
      <c r="R38" s="302">
        <v>0</v>
      </c>
      <c r="S38" s="302">
        <f ca="1">IF(Table311[[#This Row],[Group]]=7,27,IF(Table311[[#This Row],[Group]]=6,22,IF(Table311[[#This Row],[Group]]=5,18,IF(Table311[[#This Row],[Group]]=4,11,IF(Table311[[#This Row],[Group]]=3,7,IF(Table311[[#This Row],[Group]]=2,5,IF(Table311[[#This Row],[Notes]]="no FAM",1,2)))))))</f>
        <v>2</v>
      </c>
      <c r="T38" s="296" t="s">
        <v>1930</v>
      </c>
    </row>
    <row r="39" spans="1:20" ht="14.25" customHeight="1">
      <c r="A39" s="315"/>
      <c r="B39" s="301"/>
      <c r="C39" s="301"/>
      <c r="D39" s="302"/>
      <c r="E39" s="302"/>
      <c r="F39" s="302"/>
      <c r="G39" s="302"/>
      <c r="H39" s="302"/>
      <c r="I39" s="302"/>
      <c r="J39" s="302"/>
      <c r="K39" s="302"/>
      <c r="L39" s="302"/>
      <c r="M39" s="302"/>
      <c r="N39" s="302"/>
      <c r="O39" s="302"/>
      <c r="P39" s="302"/>
      <c r="Q39" s="302"/>
      <c r="R39" s="302"/>
      <c r="T39" s="302"/>
    </row>
    <row r="40" spans="1:20" ht="14.25" customHeight="1">
      <c r="A40" s="309"/>
      <c r="B40" s="301"/>
      <c r="C40" s="301"/>
      <c r="D40" s="302"/>
      <c r="E40" s="302"/>
      <c r="F40" s="302"/>
      <c r="G40" s="302"/>
      <c r="H40" s="302"/>
      <c r="I40" s="302"/>
      <c r="J40" s="302"/>
      <c r="K40" s="302"/>
      <c r="L40" s="302"/>
      <c r="M40" s="302"/>
      <c r="N40" s="302"/>
      <c r="O40" s="302"/>
      <c r="P40" s="545" t="s">
        <v>1936</v>
      </c>
      <c r="Q40" t="s">
        <v>1937</v>
      </c>
      <c r="R40">
        <f ca="1">COUNTIF(Table311[Group],"=7")</f>
        <v>3</v>
      </c>
      <c r="S40" s="302"/>
      <c r="T40" s="316"/>
    </row>
    <row r="41" spans="1:20" ht="14.25" customHeight="1">
      <c r="A41" s="309"/>
      <c r="B41" s="301"/>
      <c r="C41" s="301"/>
      <c r="D41" s="302"/>
      <c r="E41" s="302"/>
      <c r="F41" s="302"/>
      <c r="G41" s="302"/>
      <c r="H41" s="302"/>
      <c r="I41" s="302"/>
      <c r="J41" s="302"/>
      <c r="K41" s="302"/>
      <c r="L41" s="302"/>
      <c r="M41" s="302"/>
      <c r="N41" s="302"/>
      <c r="O41" s="302"/>
      <c r="P41">
        <v>47</v>
      </c>
      <c r="Q41" t="s">
        <v>1938</v>
      </c>
      <c r="R41">
        <f ca="1">COUNTIF(Table311[Group],"=6")</f>
        <v>2</v>
      </c>
      <c r="S41" s="302"/>
      <c r="T41" s="316"/>
    </row>
    <row r="42" spans="1:20" ht="14.25" customHeight="1">
      <c r="A42" s="309"/>
      <c r="B42" s="301"/>
      <c r="C42" s="301"/>
      <c r="D42" s="302"/>
      <c r="E42" s="302"/>
      <c r="F42" s="302"/>
      <c r="G42" s="302"/>
      <c r="H42" s="302"/>
      <c r="I42" s="302"/>
      <c r="J42" s="302"/>
      <c r="K42" s="302"/>
      <c r="L42" s="302"/>
      <c r="M42" s="302"/>
      <c r="N42" s="302"/>
      <c r="O42" s="302"/>
      <c r="P42">
        <v>43</v>
      </c>
      <c r="Q42" s="302" t="s">
        <v>1072</v>
      </c>
      <c r="R42" s="302">
        <f ca="1">COUNTIF(Table311[Group],"=5")</f>
        <v>1</v>
      </c>
      <c r="S42" s="302"/>
      <c r="T42" s="316"/>
    </row>
    <row r="43" spans="1:20" ht="14.25" customHeight="1">
      <c r="A43" s="309"/>
      <c r="B43" s="301"/>
      <c r="C43" s="301"/>
      <c r="D43" s="302"/>
      <c r="E43" s="302"/>
      <c r="F43" s="302"/>
      <c r="G43" s="302"/>
      <c r="H43" s="302"/>
      <c r="I43" s="302"/>
      <c r="J43" s="302"/>
      <c r="K43" s="302"/>
      <c r="L43" s="302"/>
      <c r="M43" s="302"/>
      <c r="N43" s="302"/>
      <c r="O43" s="302"/>
      <c r="P43">
        <v>37</v>
      </c>
      <c r="Q43" s="302" t="s">
        <v>1071</v>
      </c>
      <c r="R43" s="302">
        <f ca="1">COUNTIF(Table311[Group],"=4")</f>
        <v>4</v>
      </c>
      <c r="S43" s="302"/>
      <c r="T43" s="316"/>
    </row>
    <row r="44" spans="1:20" ht="14.25" customHeight="1">
      <c r="A44" s="309"/>
      <c r="B44" s="301"/>
      <c r="C44" s="301"/>
      <c r="D44" s="302"/>
      <c r="E44" s="302"/>
      <c r="F44" s="302"/>
      <c r="G44" s="302"/>
      <c r="H44" s="302"/>
      <c r="I44" s="302"/>
      <c r="J44" s="302"/>
      <c r="K44" s="302"/>
      <c r="L44" s="302"/>
      <c r="M44" s="302"/>
      <c r="N44" s="302"/>
      <c r="O44" s="302"/>
      <c r="P44">
        <v>33</v>
      </c>
      <c r="Q44" s="302" t="s">
        <v>1070</v>
      </c>
      <c r="R44" s="302">
        <f ca="1">COUNTIF(Table311[Group],"=3")</f>
        <v>3</v>
      </c>
      <c r="S44" s="302"/>
      <c r="T44" s="316"/>
    </row>
    <row r="45" spans="1:20" ht="14.25" customHeight="1">
      <c r="A45" s="309"/>
      <c r="B45" s="301"/>
      <c r="C45" s="301"/>
      <c r="D45" s="302"/>
      <c r="E45" s="302"/>
      <c r="F45" s="302"/>
      <c r="G45" s="302"/>
      <c r="H45" s="302"/>
      <c r="I45" s="302"/>
      <c r="J45" s="302"/>
      <c r="K45" s="302"/>
      <c r="L45" s="302"/>
      <c r="M45" s="302"/>
      <c r="N45" s="302"/>
      <c r="O45" s="302"/>
      <c r="P45">
        <v>27</v>
      </c>
      <c r="Q45" s="302" t="s">
        <v>1068</v>
      </c>
      <c r="R45" s="302">
        <f ca="1">COUNTIF(Table311[Group],"=2")</f>
        <v>3</v>
      </c>
      <c r="S45" s="302"/>
      <c r="T45" s="316"/>
    </row>
    <row r="46" spans="1:20" ht="14.25" customHeight="1">
      <c r="A46" s="309"/>
      <c r="B46" s="301"/>
      <c r="C46" s="301"/>
      <c r="D46" s="302"/>
      <c r="E46" s="302"/>
      <c r="F46" s="302"/>
      <c r="G46" s="302"/>
      <c r="H46" s="302"/>
      <c r="I46" s="302"/>
      <c r="J46" s="302"/>
      <c r="K46" s="302"/>
      <c r="L46" s="302"/>
      <c r="M46" s="302"/>
      <c r="N46" s="302"/>
      <c r="O46" s="302"/>
      <c r="P46">
        <v>23</v>
      </c>
      <c r="Q46" s="302" t="s">
        <v>1067</v>
      </c>
      <c r="R46" s="302">
        <f ca="1">COUNTIF(Table311[Group],"=1")</f>
        <v>20</v>
      </c>
      <c r="T46" s="316"/>
    </row>
    <row r="47" spans="1:20" ht="14.25" customHeight="1">
      <c r="A47" s="309"/>
      <c r="B47" s="301"/>
      <c r="C47" s="301"/>
      <c r="D47" s="302"/>
      <c r="E47" s="302"/>
      <c r="F47" s="302"/>
      <c r="G47" s="302"/>
      <c r="H47" s="302"/>
      <c r="I47" s="302"/>
      <c r="J47" s="302"/>
      <c r="K47" s="302"/>
      <c r="L47" s="302"/>
      <c r="M47" s="302"/>
      <c r="N47" s="302"/>
      <c r="O47" s="302"/>
      <c r="P47" s="302"/>
      <c r="Q47" s="302"/>
      <c r="R47" s="302"/>
      <c r="S47" s="302"/>
      <c r="T47" s="302"/>
    </row>
    <row r="48" spans="1:20" ht="14.25" customHeight="1">
      <c r="A48" s="309"/>
      <c r="B48" s="301"/>
      <c r="C48" s="301"/>
      <c r="D48" s="302"/>
      <c r="E48" s="302"/>
      <c r="F48" s="302"/>
      <c r="G48" s="302"/>
      <c r="H48" s="302"/>
      <c r="I48" s="302"/>
      <c r="J48" s="302"/>
      <c r="K48" s="302"/>
      <c r="L48" s="302"/>
      <c r="M48" s="302"/>
      <c r="N48" s="302"/>
      <c r="O48" s="302"/>
      <c r="P48" s="302"/>
      <c r="Q48" s="302"/>
      <c r="R48" s="302"/>
      <c r="S48" s="302"/>
      <c r="T48" s="302"/>
    </row>
    <row r="49" spans="1:20" ht="14.25" customHeight="1">
      <c r="A49" s="309"/>
      <c r="B49" s="301"/>
      <c r="C49" s="301"/>
      <c r="D49" s="302"/>
      <c r="E49" s="302"/>
      <c r="F49" s="302"/>
      <c r="G49" s="302"/>
      <c r="H49" s="302"/>
      <c r="I49" s="302"/>
      <c r="J49" s="302"/>
      <c r="K49" s="302"/>
      <c r="L49" s="302"/>
      <c r="M49" s="302"/>
      <c r="N49" s="302"/>
      <c r="O49" s="302"/>
      <c r="P49" s="302"/>
      <c r="Q49" s="302"/>
      <c r="R49" s="302"/>
      <c r="S49" s="302"/>
      <c r="T49" s="302"/>
    </row>
    <row r="50" spans="1:20" ht="14.25" customHeight="1">
      <c r="A50" s="308"/>
      <c r="B50" s="301"/>
      <c r="C50" s="301"/>
      <c r="D50" s="302"/>
      <c r="E50" s="302"/>
      <c r="F50" s="302"/>
      <c r="G50" s="302"/>
      <c r="H50" s="302"/>
      <c r="I50" s="302"/>
      <c r="J50" s="302"/>
      <c r="K50" s="302"/>
      <c r="L50" s="302"/>
      <c r="M50" s="302"/>
      <c r="N50" s="302"/>
      <c r="O50" s="302"/>
      <c r="P50" s="302"/>
      <c r="Q50" s="302"/>
      <c r="R50" s="302"/>
      <c r="S50" s="302"/>
      <c r="T50" s="302"/>
    </row>
    <row r="51" spans="1:20" ht="14.25" customHeight="1">
      <c r="A51" s="15"/>
      <c r="B51" s="50"/>
      <c r="C51" s="51"/>
    </row>
    <row r="52" spans="1:20" ht="14.25" customHeight="1">
      <c r="A52" s="53" t="s">
        <v>400</v>
      </c>
      <c r="B52" s="54"/>
      <c r="C52" s="55">
        <f t="array" aca="1" ref="C52" ca="1">SUM(IF(ISNUMBER(C3:C38),C3:C38,0))</f>
        <v>4137</v>
      </c>
    </row>
    <row r="53" spans="1:20" ht="14.25" customHeight="1">
      <c r="A53" s="15"/>
      <c r="B53" s="50"/>
      <c r="C53" s="16"/>
    </row>
    <row r="54" spans="1:20" ht="14.25" customHeight="1">
      <c r="A54" s="15"/>
      <c r="B54" s="56"/>
      <c r="C54" s="16"/>
    </row>
    <row r="55" spans="1:20" ht="14.25" customHeight="1">
      <c r="A55" s="303" t="s">
        <v>354</v>
      </c>
      <c r="B55" s="304">
        <v>5</v>
      </c>
      <c r="C55" s="304">
        <f t="array" aca="1" ref="C55" ca="1">INDIRECT("'"&amp;A55&amp;"'!B$7")</f>
        <v>148</v>
      </c>
      <c r="D55" s="305" t="str" cm="1">
        <f t="array" aca="1" ref="D55" ca="1">INDIRECT("'"&amp;A55&amp;"'!B$12")</f>
        <v>individual</v>
      </c>
      <c r="E55" s="302" cm="1">
        <f t="array" aca="1" ref="E55" ca="1">INDIRECT("'"&amp;A55&amp;"'!$AF$30")^2</f>
        <v>9</v>
      </c>
      <c r="F55" s="302" cm="1">
        <f t="array" aca="1" ref="F55" ca="1">INDIRECT("'"&amp;A55&amp;"'!$AF$31")</f>
        <v>3</v>
      </c>
      <c r="G55" s="302" cm="1">
        <f t="array" aca="1" ref="G55" ca="1">INDIRECT("'"&amp;$A55&amp;"'!$AF$32")</f>
        <v>3</v>
      </c>
      <c r="H55" s="302" cm="1">
        <f t="array" aca="1" ref="H55" ca="1">INDIRECT("'"&amp;$A55&amp;"'!$AF$33")</f>
        <v>1</v>
      </c>
      <c r="I55" s="302" cm="1">
        <f t="array" aca="1" ref="I55" ca="1">INDIRECT("'"&amp;$A55&amp;"'!$AF$34")</f>
        <v>3</v>
      </c>
      <c r="J55" s="302" cm="1">
        <f t="array" aca="1" ref="J55" ca="1">INDIRECT("'"&amp;$A55&amp;"'!$AF$35")</f>
        <v>5</v>
      </c>
      <c r="K55" s="302" cm="1">
        <f t="array" aca="1" ref="K55" ca="1">INDIRECT("'"&amp;$A55&amp;"'!$AF$36")</f>
        <v>2</v>
      </c>
      <c r="L55" s="302" cm="1">
        <f t="array" aca="1" ref="L55" ca="1">INDIRECT("'"&amp;$A55&amp;"'!$AF$37")</f>
        <v>2</v>
      </c>
      <c r="M55" s="302" cm="1">
        <f t="array" aca="1" ref="M55" ca="1">INDIRECT("'"&amp;$A55&amp;"'!$AF$38")</f>
        <v>1</v>
      </c>
      <c r="N55" s="302" cm="1">
        <f t="array" aca="1" ref="N55" ca="1">INDIRECT("'"&amp;$A55&amp;"'!$AF$39")</f>
        <v>5</v>
      </c>
      <c r="O55" s="302" t="str" cm="1">
        <f t="array" aca="1" ref="O55" ca="1">INDIRECT("'"&amp;$A55&amp;"'!$AF$40")</f>
        <v xml:space="preserve"> </v>
      </c>
      <c r="P55" s="302">
        <f ca="1">SUM(E55:O55)</f>
        <v>34</v>
      </c>
      <c r="Q55" s="302"/>
      <c r="R55" s="305"/>
      <c r="S55" s="305"/>
      <c r="T55" s="306"/>
    </row>
    <row r="56" spans="1:20" ht="14.25" customHeight="1">
      <c r="A56" s="303" t="s">
        <v>353</v>
      </c>
      <c r="B56" s="304">
        <v>5</v>
      </c>
      <c r="C56" s="304">
        <f t="array" aca="1" ref="C56" ca="1">INDIRECT("'"&amp;A56&amp;"'!B$7")</f>
        <v>85</v>
      </c>
      <c r="D56" s="305" t="str" cm="1">
        <f t="array" aca="1" ref="D56" ca="1">INDIRECT("'"&amp;A56&amp;"'!B$12")</f>
        <v>group</v>
      </c>
      <c r="E56" s="302" cm="1">
        <f t="array" aca="1" ref="E56" ca="1">INDIRECT("'"&amp;A56&amp;"'!$AF$30")^2</f>
        <v>4</v>
      </c>
      <c r="F56" s="302" cm="1">
        <f t="array" aca="1" ref="F56" ca="1">INDIRECT("'"&amp;A56&amp;"'!$AF$31")</f>
        <v>3</v>
      </c>
      <c r="G56" s="302" cm="1">
        <f t="array" aca="1" ref="G56" ca="1">INDIRECT("'"&amp;$A56&amp;"'!$AF$32")</f>
        <v>1</v>
      </c>
      <c r="H56" s="302" cm="1">
        <f t="array" aca="1" ref="H56" ca="1">INDIRECT("'"&amp;$A56&amp;"'!$AF$33")</f>
        <v>3</v>
      </c>
      <c r="I56" s="302" cm="1">
        <f t="array" aca="1" ref="I56" ca="1">INDIRECT("'"&amp;$A56&amp;"'!$AF$34")</f>
        <v>0</v>
      </c>
      <c r="J56" s="302" cm="1">
        <f t="array" aca="1" ref="J56" ca="1">INDIRECT("'"&amp;$A56&amp;"'!$AF$35")</f>
        <v>0</v>
      </c>
      <c r="K56" s="302" cm="1">
        <f t="array" aca="1" ref="K56" ca="1">INDIRECT("'"&amp;$A56&amp;"'!$AF$36")</f>
        <v>0</v>
      </c>
      <c r="L56" s="302" cm="1">
        <f t="array" aca="1" ref="L56" ca="1">INDIRECT("'"&amp;$A56&amp;"'!$AF$37")</f>
        <v>0</v>
      </c>
      <c r="M56" s="302" cm="1">
        <f t="array" aca="1" ref="M56" ca="1">INDIRECT("'"&amp;$A56&amp;"'!$AF$38")</f>
        <v>0</v>
      </c>
      <c r="N56" s="302" cm="1">
        <f t="array" aca="1" ref="N56" ca="1">INDIRECT("'"&amp;$A56&amp;"'!$AF$39")</f>
        <v>1</v>
      </c>
      <c r="O56" s="302" cm="1">
        <f t="array" aca="1" ref="O56" ca="1">INDIRECT("'"&amp;$A56&amp;"'!$AF$40")</f>
        <v>0</v>
      </c>
      <c r="P56" s="302">
        <f ca="1">SUM(E56:O56)</f>
        <v>12</v>
      </c>
      <c r="Q56" s="302"/>
      <c r="R56" s="305"/>
      <c r="S56" s="305"/>
      <c r="T56" s="306"/>
    </row>
    <row r="57" spans="1:20" ht="14.25" customHeight="1">
      <c r="A57" s="16"/>
      <c r="B57" s="16"/>
      <c r="C57" s="16"/>
    </row>
    <row r="58" spans="1:20" ht="14.25" customHeight="1">
      <c r="A58" s="16"/>
      <c r="B58" s="16"/>
      <c r="C58" s="16"/>
    </row>
    <row r="59" spans="1:20" ht="14.25" customHeight="1">
      <c r="A59" s="16"/>
      <c r="B59" s="16"/>
      <c r="C59" s="16"/>
    </row>
    <row r="60" spans="1:20" ht="14.25" customHeight="1">
      <c r="A60" s="16"/>
      <c r="B60" s="16"/>
      <c r="C60" s="16"/>
    </row>
    <row r="61" spans="1:20" ht="14.25" customHeight="1">
      <c r="A61" s="16"/>
      <c r="B61" s="16"/>
      <c r="C61" s="16"/>
    </row>
    <row r="62" spans="1:20" ht="14.25" customHeight="1">
      <c r="A62" s="16"/>
      <c r="B62" s="16"/>
      <c r="C62" s="16"/>
    </row>
    <row r="63" spans="1:20" ht="14.25" customHeight="1">
      <c r="A63" s="16"/>
      <c r="B63" s="16"/>
      <c r="C63" s="16"/>
    </row>
    <row r="64" spans="1:20" ht="14.25" customHeight="1">
      <c r="A64" s="16"/>
      <c r="B64" s="16"/>
      <c r="C64" s="16"/>
    </row>
    <row r="65" spans="1:3" ht="14.25" customHeight="1">
      <c r="A65" s="16"/>
      <c r="B65" s="16"/>
      <c r="C65" s="16"/>
    </row>
    <row r="66" spans="1:3" ht="14.25" customHeight="1">
      <c r="A66" s="16"/>
      <c r="B66" s="16"/>
      <c r="C66" s="16"/>
    </row>
    <row r="67" spans="1:3" ht="14.25" customHeight="1">
      <c r="A67" s="16"/>
      <c r="B67" s="16"/>
      <c r="C67" s="16"/>
    </row>
    <row r="68" spans="1:3" ht="14.25" customHeight="1">
      <c r="A68" s="16"/>
      <c r="B68" s="16"/>
      <c r="C68" s="16"/>
    </row>
    <row r="69" spans="1:3" ht="14.25" customHeight="1">
      <c r="A69" s="16"/>
      <c r="B69" s="16"/>
      <c r="C69" s="16"/>
    </row>
    <row r="70" spans="1:3" ht="14.25" customHeight="1">
      <c r="A70" s="16"/>
      <c r="B70" s="16"/>
      <c r="C70" s="16"/>
    </row>
    <row r="71" spans="1:3" ht="14.25" customHeight="1">
      <c r="A71" s="16"/>
      <c r="B71" s="16"/>
      <c r="C71" s="16"/>
    </row>
    <row r="72" spans="1:3" ht="14.25" customHeight="1">
      <c r="A72" s="16"/>
      <c r="B72" s="16"/>
      <c r="C72" s="16"/>
    </row>
    <row r="73" spans="1:3" ht="14.25" customHeight="1">
      <c r="A73" s="16"/>
      <c r="B73" s="16"/>
      <c r="C73" s="16"/>
    </row>
    <row r="74" spans="1:3" ht="14.25" customHeight="1">
      <c r="A74" s="16"/>
      <c r="B74" s="16"/>
      <c r="C74" s="16"/>
    </row>
    <row r="75" spans="1:3" ht="14.25" customHeight="1">
      <c r="A75" s="16"/>
      <c r="B75" s="16"/>
      <c r="C75" s="16"/>
    </row>
    <row r="76" spans="1:3" ht="14.25" customHeight="1">
      <c r="A76" s="16"/>
      <c r="B76" s="16"/>
      <c r="C76" s="16"/>
    </row>
    <row r="77" spans="1:3" ht="14.25" customHeight="1">
      <c r="A77" s="16"/>
      <c r="B77" s="16"/>
      <c r="C77" s="16"/>
    </row>
    <row r="78" spans="1:3" ht="14.25" customHeight="1">
      <c r="A78" s="16"/>
      <c r="B78" s="16"/>
      <c r="C78" s="16"/>
    </row>
    <row r="79" spans="1:3" ht="14.25" customHeight="1">
      <c r="A79" s="16"/>
      <c r="B79" s="16"/>
      <c r="C79" s="16"/>
    </row>
    <row r="80" spans="1:3" ht="14.25" customHeight="1">
      <c r="A80" s="16"/>
      <c r="B80" s="16"/>
      <c r="C80" s="16"/>
    </row>
    <row r="81" spans="1:3" ht="14.25" customHeight="1">
      <c r="A81" s="16"/>
      <c r="B81" s="16"/>
      <c r="C81" s="16"/>
    </row>
    <row r="82" spans="1:3" ht="14.25" customHeight="1">
      <c r="A82" s="16"/>
      <c r="B82" s="16"/>
      <c r="C82" s="16"/>
    </row>
    <row r="83" spans="1:3" ht="14.25" customHeight="1">
      <c r="A83" s="16"/>
      <c r="B83" s="16"/>
      <c r="C83" s="16"/>
    </row>
    <row r="84" spans="1:3" ht="14.25" customHeight="1">
      <c r="A84" s="16"/>
      <c r="B84" s="16"/>
      <c r="C84" s="16"/>
    </row>
    <row r="85" spans="1:3" ht="14.25" customHeight="1">
      <c r="A85" s="16"/>
      <c r="B85" s="16"/>
      <c r="C85" s="16"/>
    </row>
    <row r="86" spans="1:3" ht="14.25" customHeight="1">
      <c r="A86" s="16"/>
      <c r="B86" s="16"/>
      <c r="C86" s="16"/>
    </row>
    <row r="87" spans="1:3" ht="14.25" customHeight="1">
      <c r="A87" s="16"/>
      <c r="B87" s="16"/>
      <c r="C87" s="16"/>
    </row>
    <row r="88" spans="1:3" ht="14.25" customHeight="1">
      <c r="A88" s="16"/>
      <c r="B88" s="16"/>
      <c r="C88" s="16"/>
    </row>
    <row r="89" spans="1:3" ht="14.25" customHeight="1">
      <c r="A89" s="16"/>
      <c r="B89" s="16"/>
      <c r="C89" s="16"/>
    </row>
    <row r="90" spans="1:3" ht="14.25" customHeight="1">
      <c r="A90" s="16"/>
      <c r="B90" s="16"/>
      <c r="C90" s="16"/>
    </row>
    <row r="91" spans="1:3" ht="14.25" customHeight="1">
      <c r="A91" s="16"/>
      <c r="B91" s="16"/>
      <c r="C91" s="16"/>
    </row>
    <row r="92" spans="1:3" ht="14.25" customHeight="1">
      <c r="A92" s="16"/>
      <c r="B92" s="16"/>
      <c r="C92" s="16"/>
    </row>
    <row r="93" spans="1:3" ht="14.25" customHeight="1">
      <c r="A93" s="16"/>
      <c r="B93" s="16"/>
      <c r="C93" s="16"/>
    </row>
    <row r="94" spans="1:3" ht="14.25" customHeight="1">
      <c r="A94" s="16"/>
      <c r="B94" s="16"/>
      <c r="C94" s="16"/>
    </row>
    <row r="95" spans="1:3" ht="14.25" customHeight="1">
      <c r="A95" s="16"/>
      <c r="B95" s="16"/>
      <c r="C95" s="16"/>
    </row>
    <row r="96" spans="1:3" ht="14.25" customHeight="1">
      <c r="A96" s="16"/>
      <c r="B96" s="16"/>
      <c r="C96" s="16"/>
    </row>
    <row r="97" spans="1:3" ht="14.25" customHeight="1">
      <c r="A97" s="16"/>
      <c r="B97" s="16"/>
      <c r="C97" s="16"/>
    </row>
    <row r="98" spans="1:3" ht="14.25" customHeight="1">
      <c r="A98" s="16"/>
      <c r="B98" s="16"/>
      <c r="C98" s="16"/>
    </row>
    <row r="99" spans="1:3" ht="14.25" customHeight="1">
      <c r="A99" s="16"/>
      <c r="B99" s="16"/>
      <c r="C99" s="16"/>
    </row>
    <row r="100" spans="1:3" ht="14.25" customHeight="1">
      <c r="A100" s="16"/>
      <c r="B100" s="16"/>
      <c r="C100" s="16"/>
    </row>
    <row r="101" spans="1:3" ht="14.25" customHeight="1">
      <c r="A101" s="16"/>
      <c r="B101" s="16"/>
      <c r="C101" s="16"/>
    </row>
    <row r="102" spans="1:3" ht="14.25" customHeight="1">
      <c r="A102" s="16"/>
      <c r="B102" s="16"/>
      <c r="C102" s="16"/>
    </row>
    <row r="103" spans="1:3" ht="14.25" customHeight="1">
      <c r="A103" s="16"/>
      <c r="B103" s="16"/>
      <c r="C103" s="16"/>
    </row>
    <row r="104" spans="1:3" ht="14.25" customHeight="1">
      <c r="A104" s="16"/>
      <c r="B104" s="16"/>
      <c r="C104" s="16"/>
    </row>
    <row r="105" spans="1:3" ht="14.25" customHeight="1">
      <c r="A105" s="16"/>
      <c r="B105" s="16"/>
      <c r="C105" s="16"/>
    </row>
    <row r="106" spans="1:3" ht="14.25" customHeight="1">
      <c r="A106" s="16"/>
      <c r="B106" s="16"/>
      <c r="C106" s="16"/>
    </row>
    <row r="107" spans="1:3" ht="14.25" customHeight="1">
      <c r="A107" s="16"/>
      <c r="B107" s="16"/>
      <c r="C107" s="16"/>
    </row>
    <row r="108" spans="1:3" ht="14.25" customHeight="1">
      <c r="A108" s="16"/>
      <c r="B108" s="16"/>
      <c r="C108" s="16"/>
    </row>
    <row r="109" spans="1:3" ht="14.25" customHeight="1">
      <c r="A109" s="16"/>
      <c r="B109" s="16"/>
      <c r="C109" s="16"/>
    </row>
    <row r="110" spans="1:3" ht="14.25" customHeight="1">
      <c r="A110" s="16"/>
      <c r="B110" s="16"/>
      <c r="C110" s="16"/>
    </row>
    <row r="111" spans="1:3" ht="14.25" customHeight="1">
      <c r="A111" s="16"/>
      <c r="B111" s="16"/>
      <c r="C111" s="16"/>
    </row>
    <row r="112" spans="1:3" ht="14.25" customHeight="1">
      <c r="A112" s="16"/>
      <c r="B112" s="16"/>
      <c r="C112" s="16"/>
    </row>
    <row r="113" spans="1:3" ht="14.25" customHeight="1">
      <c r="A113" s="16"/>
      <c r="B113" s="16"/>
      <c r="C113" s="16"/>
    </row>
    <row r="114" spans="1:3" ht="14.25" customHeight="1">
      <c r="A114" s="16"/>
      <c r="B114" s="16"/>
      <c r="C114" s="16"/>
    </row>
    <row r="115" spans="1:3" ht="14.25" customHeight="1">
      <c r="A115" s="16"/>
      <c r="B115" s="16"/>
      <c r="C115" s="16"/>
    </row>
    <row r="116" spans="1:3" ht="14.25" customHeight="1">
      <c r="A116" s="16"/>
      <c r="B116" s="16"/>
      <c r="C116" s="16"/>
    </row>
    <row r="117" spans="1:3" ht="14.25" customHeight="1">
      <c r="A117" s="16"/>
      <c r="B117" s="16"/>
      <c r="C117" s="16"/>
    </row>
    <row r="118" spans="1:3" ht="14.25" customHeight="1">
      <c r="A118" s="16"/>
      <c r="B118" s="16"/>
      <c r="C118" s="16"/>
    </row>
    <row r="119" spans="1:3" ht="14.25" customHeight="1">
      <c r="A119" s="16"/>
      <c r="B119" s="16"/>
      <c r="C119" s="16"/>
    </row>
    <row r="120" spans="1:3" ht="14.25" customHeight="1">
      <c r="A120" s="16"/>
      <c r="B120" s="16"/>
      <c r="C120" s="16"/>
    </row>
    <row r="121" spans="1:3" ht="14.25" customHeight="1">
      <c r="A121" s="16"/>
      <c r="B121" s="16"/>
      <c r="C121" s="16"/>
    </row>
    <row r="122" spans="1:3" ht="14.25" customHeight="1">
      <c r="A122" s="16"/>
      <c r="B122" s="16"/>
      <c r="C122" s="16"/>
    </row>
    <row r="123" spans="1:3" ht="14.25" customHeight="1">
      <c r="A123" s="16"/>
      <c r="B123" s="16"/>
      <c r="C123" s="16"/>
    </row>
    <row r="124" spans="1:3" ht="14.25" customHeight="1">
      <c r="A124" s="16"/>
      <c r="B124" s="16"/>
      <c r="C124" s="16"/>
    </row>
    <row r="125" spans="1:3" ht="14.25" customHeight="1">
      <c r="A125" s="16"/>
      <c r="B125" s="16"/>
      <c r="C125" s="16"/>
    </row>
    <row r="126" spans="1:3" ht="14.25" customHeight="1">
      <c r="A126" s="16"/>
      <c r="B126" s="16"/>
      <c r="C126" s="16"/>
    </row>
    <row r="127" spans="1:3" ht="14.25" customHeight="1">
      <c r="A127" s="16"/>
      <c r="B127" s="16"/>
      <c r="C127" s="16"/>
    </row>
    <row r="128" spans="1:3" ht="14.25" customHeight="1">
      <c r="A128" s="16"/>
      <c r="B128" s="16"/>
      <c r="C128" s="16"/>
    </row>
    <row r="129" spans="1:3" ht="14.25" customHeight="1">
      <c r="A129" s="16"/>
      <c r="B129" s="16"/>
      <c r="C129" s="16"/>
    </row>
    <row r="130" spans="1:3" ht="14.25" customHeight="1">
      <c r="A130" s="16"/>
      <c r="B130" s="16"/>
      <c r="C130" s="16"/>
    </row>
    <row r="131" spans="1:3" ht="14.25" customHeight="1">
      <c r="A131" s="16"/>
      <c r="B131" s="16"/>
      <c r="C131" s="16"/>
    </row>
    <row r="132" spans="1:3" ht="14.25" customHeight="1">
      <c r="A132" s="16"/>
      <c r="B132" s="16"/>
      <c r="C132" s="16"/>
    </row>
    <row r="133" spans="1:3" ht="14.25" customHeight="1">
      <c r="A133" s="16"/>
      <c r="B133" s="16"/>
      <c r="C133" s="16"/>
    </row>
    <row r="134" spans="1:3" ht="14.25" customHeight="1">
      <c r="A134" s="16"/>
      <c r="B134" s="16"/>
      <c r="C134" s="16"/>
    </row>
    <row r="135" spans="1:3" ht="14.25" customHeight="1">
      <c r="A135" s="16"/>
      <c r="B135" s="16"/>
      <c r="C135" s="16"/>
    </row>
    <row r="136" spans="1:3" ht="14.25" customHeight="1">
      <c r="A136" s="16"/>
      <c r="B136" s="16"/>
      <c r="C136" s="16"/>
    </row>
    <row r="137" spans="1:3" ht="14.25" customHeight="1">
      <c r="A137" s="16"/>
      <c r="B137" s="16"/>
      <c r="C137" s="16"/>
    </row>
    <row r="138" spans="1:3" ht="14.25" customHeight="1">
      <c r="A138" s="16"/>
      <c r="B138" s="16"/>
      <c r="C138" s="16"/>
    </row>
    <row r="139" spans="1:3" ht="14.25" customHeight="1">
      <c r="A139" s="16"/>
      <c r="B139" s="16"/>
      <c r="C139" s="16"/>
    </row>
    <row r="140" spans="1:3" ht="14.25" customHeight="1">
      <c r="A140" s="16"/>
      <c r="B140" s="16"/>
      <c r="C140" s="16"/>
    </row>
    <row r="141" spans="1:3" ht="14.25" customHeight="1">
      <c r="A141" s="16"/>
      <c r="B141" s="16"/>
      <c r="C141" s="16"/>
    </row>
    <row r="142" spans="1:3" ht="14.25" customHeight="1">
      <c r="A142" s="16"/>
      <c r="B142" s="16"/>
      <c r="C142" s="16"/>
    </row>
    <row r="143" spans="1:3" ht="14.25" customHeight="1">
      <c r="A143" s="16"/>
      <c r="B143" s="16"/>
      <c r="C143" s="16"/>
    </row>
    <row r="144" spans="1:3" ht="14.25" customHeight="1">
      <c r="A144" s="16"/>
      <c r="B144" s="16"/>
      <c r="C144" s="16"/>
    </row>
    <row r="145" spans="1:3" ht="14.25" customHeight="1">
      <c r="A145" s="16"/>
      <c r="B145" s="16"/>
      <c r="C145" s="16"/>
    </row>
    <row r="146" spans="1:3" ht="14.25" customHeight="1">
      <c r="A146" s="16"/>
      <c r="B146" s="16"/>
      <c r="C146" s="16"/>
    </row>
    <row r="147" spans="1:3" ht="14.25" customHeight="1">
      <c r="A147" s="16"/>
      <c r="B147" s="16"/>
      <c r="C147" s="16"/>
    </row>
    <row r="148" spans="1:3" ht="14.25" customHeight="1">
      <c r="A148" s="16"/>
      <c r="B148" s="16"/>
      <c r="C148" s="16"/>
    </row>
    <row r="149" spans="1:3" ht="14.25" customHeight="1">
      <c r="A149" s="16"/>
      <c r="B149" s="16"/>
      <c r="C149" s="16"/>
    </row>
    <row r="150" spans="1:3" ht="14.25" customHeight="1">
      <c r="A150" s="16"/>
      <c r="B150" s="16"/>
      <c r="C150" s="16"/>
    </row>
    <row r="151" spans="1:3" ht="14.25" customHeight="1">
      <c r="A151" s="16"/>
      <c r="B151" s="16"/>
      <c r="C151" s="16"/>
    </row>
    <row r="152" spans="1:3" ht="14.25" customHeight="1">
      <c r="A152" s="16"/>
      <c r="B152" s="16"/>
      <c r="C152" s="16"/>
    </row>
    <row r="153" spans="1:3" ht="14.25" customHeight="1">
      <c r="A153" s="16"/>
      <c r="B153" s="16"/>
      <c r="C153" s="16"/>
    </row>
    <row r="154" spans="1:3" ht="14.25" customHeight="1">
      <c r="A154" s="16"/>
      <c r="B154" s="16"/>
      <c r="C154" s="16"/>
    </row>
    <row r="155" spans="1:3" ht="14.25" customHeight="1">
      <c r="A155" s="16"/>
      <c r="B155" s="16"/>
      <c r="C155" s="16"/>
    </row>
    <row r="156" spans="1:3" ht="14.25" customHeight="1">
      <c r="A156" s="16"/>
      <c r="B156" s="16"/>
      <c r="C156" s="16"/>
    </row>
    <row r="157" spans="1:3" ht="14.25" customHeight="1">
      <c r="A157" s="16"/>
      <c r="B157" s="16"/>
      <c r="C157" s="16"/>
    </row>
    <row r="158" spans="1:3" ht="14.25" customHeight="1">
      <c r="A158" s="16"/>
      <c r="B158" s="16"/>
      <c r="C158" s="16"/>
    </row>
    <row r="159" spans="1:3" ht="14.25" customHeight="1">
      <c r="A159" s="16"/>
      <c r="B159" s="16"/>
      <c r="C159" s="16"/>
    </row>
    <row r="160" spans="1:3" ht="14.25" customHeight="1">
      <c r="A160" s="16"/>
      <c r="B160" s="16"/>
      <c r="C160" s="16"/>
    </row>
    <row r="161" spans="1:3" ht="14.25" customHeight="1">
      <c r="A161" s="16"/>
      <c r="B161" s="16"/>
      <c r="C161" s="16"/>
    </row>
    <row r="162" spans="1:3" ht="14.25" customHeight="1">
      <c r="A162" s="16"/>
      <c r="B162" s="16"/>
      <c r="C162" s="16"/>
    </row>
    <row r="163" spans="1:3" ht="14.25" customHeight="1">
      <c r="A163" s="16"/>
      <c r="B163" s="16"/>
      <c r="C163" s="16"/>
    </row>
    <row r="164" spans="1:3" ht="14.25" customHeight="1">
      <c r="A164" s="16"/>
      <c r="B164" s="16"/>
      <c r="C164" s="16"/>
    </row>
    <row r="165" spans="1:3" ht="14.25" customHeight="1">
      <c r="A165" s="16"/>
      <c r="B165" s="16"/>
      <c r="C165" s="16"/>
    </row>
    <row r="166" spans="1:3" ht="14.25" customHeight="1">
      <c r="A166" s="16"/>
      <c r="B166" s="16"/>
      <c r="C166" s="16"/>
    </row>
    <row r="167" spans="1:3" ht="14.25" customHeight="1">
      <c r="A167" s="16"/>
      <c r="B167" s="16"/>
      <c r="C167" s="16"/>
    </row>
    <row r="168" spans="1:3" ht="14.25" customHeight="1">
      <c r="A168" s="16"/>
      <c r="B168" s="16"/>
      <c r="C168" s="16"/>
    </row>
    <row r="169" spans="1:3" ht="14.25" customHeight="1">
      <c r="A169" s="16"/>
      <c r="B169" s="16"/>
      <c r="C169" s="16"/>
    </row>
    <row r="170" spans="1:3" ht="14.25" customHeight="1">
      <c r="A170" s="16"/>
      <c r="B170" s="16"/>
      <c r="C170" s="16"/>
    </row>
    <row r="171" spans="1:3" ht="14.25" customHeight="1">
      <c r="A171" s="16"/>
      <c r="B171" s="16"/>
      <c r="C171" s="16"/>
    </row>
    <row r="172" spans="1:3" ht="14.25" customHeight="1">
      <c r="A172" s="16"/>
      <c r="B172" s="16"/>
      <c r="C172" s="16"/>
    </row>
    <row r="173" spans="1:3" ht="14.25" customHeight="1">
      <c r="A173" s="16"/>
      <c r="B173" s="16"/>
      <c r="C173" s="16"/>
    </row>
    <row r="174" spans="1:3" ht="14.25" customHeight="1">
      <c r="A174" s="16"/>
      <c r="B174" s="16"/>
      <c r="C174" s="16"/>
    </row>
    <row r="175" spans="1:3" ht="14.25" customHeight="1">
      <c r="A175" s="16"/>
      <c r="B175" s="16"/>
      <c r="C175" s="16"/>
    </row>
    <row r="176" spans="1:3" ht="14.25" customHeight="1">
      <c r="A176" s="16"/>
      <c r="B176" s="16"/>
      <c r="C176" s="16"/>
    </row>
    <row r="177" spans="1:3" ht="14.25" customHeight="1">
      <c r="A177" s="16"/>
      <c r="B177" s="16"/>
      <c r="C177" s="16"/>
    </row>
    <row r="178" spans="1:3" ht="14.25" customHeight="1">
      <c r="A178" s="16"/>
      <c r="B178" s="16"/>
      <c r="C178" s="16"/>
    </row>
    <row r="179" spans="1:3" ht="14.25" customHeight="1">
      <c r="A179" s="16"/>
      <c r="B179" s="16"/>
      <c r="C179" s="16"/>
    </row>
    <row r="180" spans="1:3" ht="14.25" customHeight="1">
      <c r="A180" s="16"/>
      <c r="B180" s="16"/>
      <c r="C180" s="16"/>
    </row>
    <row r="181" spans="1:3" ht="14.25" customHeight="1">
      <c r="A181" s="16"/>
      <c r="B181" s="16"/>
      <c r="C181" s="16"/>
    </row>
    <row r="182" spans="1:3" ht="14.25" customHeight="1">
      <c r="A182" s="16"/>
      <c r="B182" s="16"/>
      <c r="C182" s="16"/>
    </row>
    <row r="183" spans="1:3" ht="14.25" customHeight="1">
      <c r="A183" s="16"/>
      <c r="B183" s="16"/>
      <c r="C183" s="16"/>
    </row>
    <row r="184" spans="1:3" ht="14.25" customHeight="1">
      <c r="A184" s="16"/>
      <c r="B184" s="16"/>
      <c r="C184" s="16"/>
    </row>
    <row r="185" spans="1:3" ht="14.25" customHeight="1">
      <c r="A185" s="16"/>
      <c r="B185" s="16"/>
      <c r="C185" s="16"/>
    </row>
    <row r="186" spans="1:3" ht="14.25" customHeight="1">
      <c r="A186" s="16"/>
      <c r="B186" s="16"/>
      <c r="C186" s="16"/>
    </row>
    <row r="187" spans="1:3" ht="14.25" customHeight="1">
      <c r="A187" s="16"/>
      <c r="B187" s="16"/>
      <c r="C187" s="16"/>
    </row>
    <row r="188" spans="1:3" ht="14.25" customHeight="1">
      <c r="A188" s="16"/>
      <c r="B188" s="16"/>
      <c r="C188" s="16"/>
    </row>
    <row r="189" spans="1:3" ht="14.25" customHeight="1">
      <c r="A189" s="16"/>
      <c r="B189" s="16"/>
      <c r="C189" s="16"/>
    </row>
    <row r="190" spans="1:3" ht="14.25" customHeight="1">
      <c r="A190" s="16"/>
      <c r="B190" s="16"/>
      <c r="C190" s="16"/>
    </row>
    <row r="191" spans="1:3" ht="14.25" customHeight="1">
      <c r="A191" s="16"/>
      <c r="B191" s="16"/>
      <c r="C191" s="16"/>
    </row>
    <row r="192" spans="1:3" ht="14.25" customHeight="1">
      <c r="A192" s="16"/>
      <c r="B192" s="16"/>
      <c r="C192" s="16"/>
    </row>
    <row r="193" spans="1:3" ht="14.25" customHeight="1">
      <c r="A193" s="16"/>
      <c r="B193" s="16"/>
      <c r="C193" s="16"/>
    </row>
    <row r="194" spans="1:3" ht="14.25" customHeight="1">
      <c r="A194" s="16"/>
      <c r="B194" s="16"/>
      <c r="C194" s="16"/>
    </row>
    <row r="195" spans="1:3" ht="14.25" customHeight="1">
      <c r="A195" s="16"/>
      <c r="B195" s="16"/>
      <c r="C195" s="16"/>
    </row>
    <row r="196" spans="1:3" ht="14.25" customHeight="1">
      <c r="A196" s="16"/>
      <c r="B196" s="16"/>
      <c r="C196" s="16"/>
    </row>
    <row r="197" spans="1:3" ht="14.25" customHeight="1">
      <c r="A197" s="16"/>
      <c r="B197" s="16"/>
      <c r="C197" s="16"/>
    </row>
    <row r="198" spans="1:3" ht="14.25" customHeight="1">
      <c r="A198" s="16"/>
      <c r="B198" s="16"/>
      <c r="C198" s="16"/>
    </row>
    <row r="199" spans="1:3" ht="14.25" customHeight="1">
      <c r="A199" s="16"/>
      <c r="B199" s="16"/>
      <c r="C199" s="16"/>
    </row>
    <row r="200" spans="1:3" ht="14.25" customHeight="1">
      <c r="A200" s="16"/>
      <c r="B200" s="16"/>
      <c r="C200" s="16"/>
    </row>
    <row r="201" spans="1:3" ht="14.25" customHeight="1">
      <c r="A201" s="16"/>
      <c r="B201" s="16"/>
      <c r="C201" s="16"/>
    </row>
    <row r="202" spans="1:3" ht="14.25" customHeight="1">
      <c r="A202" s="16"/>
      <c r="B202" s="16"/>
      <c r="C202" s="16"/>
    </row>
    <row r="203" spans="1:3" ht="14.25" customHeight="1">
      <c r="A203" s="16"/>
      <c r="B203" s="16"/>
      <c r="C203" s="16"/>
    </row>
    <row r="204" spans="1:3" ht="14.25" customHeight="1">
      <c r="A204" s="16"/>
      <c r="B204" s="16"/>
      <c r="C204" s="16"/>
    </row>
    <row r="205" spans="1:3" ht="14.25" customHeight="1">
      <c r="A205" s="16"/>
      <c r="B205" s="16"/>
      <c r="C205" s="16"/>
    </row>
    <row r="206" spans="1:3" ht="14.25" customHeight="1">
      <c r="A206" s="16"/>
      <c r="B206" s="16"/>
      <c r="C206" s="16"/>
    </row>
    <row r="207" spans="1:3" ht="14.25" customHeight="1">
      <c r="A207" s="16"/>
      <c r="B207" s="16"/>
      <c r="C207" s="16"/>
    </row>
    <row r="208" spans="1:3" ht="14.25" customHeight="1">
      <c r="A208" s="16"/>
      <c r="B208" s="16"/>
      <c r="C208" s="16"/>
    </row>
    <row r="209" spans="1:3" ht="14.25" customHeight="1">
      <c r="A209" s="16"/>
      <c r="B209" s="16"/>
      <c r="C209" s="16"/>
    </row>
    <row r="210" spans="1:3" ht="14.25" customHeight="1">
      <c r="A210" s="16"/>
      <c r="B210" s="16"/>
      <c r="C210" s="16"/>
    </row>
    <row r="211" spans="1:3" ht="14.25" customHeight="1">
      <c r="A211" s="16"/>
      <c r="B211" s="16"/>
      <c r="C211" s="16"/>
    </row>
    <row r="212" spans="1:3" ht="14.25" customHeight="1">
      <c r="A212" s="16"/>
      <c r="B212" s="16"/>
      <c r="C212" s="16"/>
    </row>
    <row r="213" spans="1:3" ht="14.25" customHeight="1">
      <c r="A213" s="16"/>
      <c r="B213" s="16"/>
      <c r="C213" s="16"/>
    </row>
    <row r="214" spans="1:3" ht="14.25" customHeight="1">
      <c r="A214" s="16"/>
      <c r="B214" s="16"/>
      <c r="C214" s="16"/>
    </row>
    <row r="215" spans="1:3" ht="14.25" customHeight="1">
      <c r="A215" s="16"/>
      <c r="B215" s="16"/>
      <c r="C215" s="16"/>
    </row>
    <row r="216" spans="1:3" ht="14.25" customHeight="1">
      <c r="A216" s="16"/>
      <c r="B216" s="16"/>
      <c r="C216" s="16"/>
    </row>
    <row r="217" spans="1:3" ht="14.25" customHeight="1">
      <c r="A217" s="16"/>
      <c r="B217" s="16"/>
      <c r="C217" s="16"/>
    </row>
    <row r="218" spans="1:3" ht="14.25" customHeight="1">
      <c r="A218" s="16"/>
      <c r="B218" s="16"/>
      <c r="C218" s="16"/>
    </row>
    <row r="219" spans="1:3" ht="14.25" customHeight="1">
      <c r="A219" s="16"/>
      <c r="B219" s="16"/>
      <c r="C219" s="16"/>
    </row>
    <row r="220" spans="1:3" ht="14.25" customHeight="1">
      <c r="A220" s="16"/>
      <c r="B220" s="16"/>
      <c r="C220" s="16"/>
    </row>
    <row r="221" spans="1:3" ht="14.25" customHeight="1">
      <c r="A221" s="16"/>
      <c r="B221" s="16"/>
      <c r="C221" s="16"/>
    </row>
    <row r="222" spans="1:3" ht="14.25" customHeight="1">
      <c r="A222" s="16"/>
      <c r="B222" s="16"/>
      <c r="C222" s="16"/>
    </row>
    <row r="223" spans="1:3" ht="14.25" customHeight="1">
      <c r="A223" s="16"/>
      <c r="B223" s="16"/>
      <c r="C223" s="16"/>
    </row>
    <row r="224" spans="1:3" ht="14.25" customHeight="1">
      <c r="A224" s="16"/>
      <c r="B224" s="16"/>
      <c r="C224" s="16"/>
    </row>
    <row r="225" spans="1:3" ht="14.25" customHeight="1">
      <c r="A225" s="16"/>
      <c r="B225" s="16"/>
      <c r="C225" s="16"/>
    </row>
    <row r="226" spans="1:3" ht="14.25" customHeight="1">
      <c r="A226" s="16"/>
      <c r="B226" s="16"/>
      <c r="C226" s="16"/>
    </row>
    <row r="227" spans="1:3" ht="14.25" customHeight="1">
      <c r="A227" s="16"/>
      <c r="B227" s="16"/>
      <c r="C227" s="16"/>
    </row>
    <row r="228" spans="1:3" ht="14.25" customHeight="1">
      <c r="A228" s="16"/>
      <c r="B228" s="16"/>
      <c r="C228" s="16"/>
    </row>
    <row r="229" spans="1:3" ht="14.25" customHeight="1">
      <c r="A229" s="16"/>
      <c r="B229" s="16"/>
      <c r="C229" s="16"/>
    </row>
    <row r="230" spans="1:3" ht="14.25" customHeight="1">
      <c r="A230" s="16"/>
      <c r="B230" s="16"/>
      <c r="C230" s="16"/>
    </row>
    <row r="231" spans="1:3" ht="14.25" customHeight="1">
      <c r="A231" s="16"/>
      <c r="B231" s="16"/>
      <c r="C231" s="16"/>
    </row>
    <row r="232" spans="1:3" ht="14.25" customHeight="1">
      <c r="A232" s="16"/>
      <c r="B232" s="16"/>
      <c r="C232" s="16"/>
    </row>
    <row r="233" spans="1:3" ht="14.25" customHeight="1">
      <c r="A233" s="16"/>
      <c r="B233" s="16"/>
      <c r="C233" s="16"/>
    </row>
    <row r="234" spans="1:3" ht="14.25" customHeight="1">
      <c r="A234" s="16"/>
      <c r="B234" s="16"/>
      <c r="C234" s="16"/>
    </row>
    <row r="235" spans="1:3" ht="14.25" customHeight="1">
      <c r="A235" s="16"/>
      <c r="B235" s="16"/>
      <c r="C235" s="16"/>
    </row>
    <row r="236" spans="1:3" ht="14.25" customHeight="1">
      <c r="A236" s="16"/>
      <c r="B236" s="16"/>
      <c r="C236" s="16"/>
    </row>
    <row r="237" spans="1:3" ht="14.25" customHeight="1">
      <c r="A237" s="16"/>
      <c r="B237" s="16"/>
      <c r="C237" s="16"/>
    </row>
    <row r="238" spans="1:3" ht="14.25" customHeight="1">
      <c r="A238" s="16"/>
      <c r="B238" s="16"/>
      <c r="C238" s="16"/>
    </row>
    <row r="239" spans="1:3" ht="14.25" customHeight="1">
      <c r="A239" s="16"/>
      <c r="B239" s="16"/>
      <c r="C239" s="16"/>
    </row>
    <row r="240" spans="1:3" ht="14.25" customHeight="1">
      <c r="A240" s="16"/>
      <c r="B240" s="16"/>
      <c r="C240" s="16"/>
    </row>
    <row r="241" spans="1:3" ht="14.25" customHeight="1">
      <c r="A241" s="16"/>
      <c r="B241" s="16"/>
      <c r="C241" s="16"/>
    </row>
    <row r="242" spans="1:3" ht="14.25" customHeight="1">
      <c r="A242" s="16"/>
      <c r="B242" s="16"/>
      <c r="C242" s="16"/>
    </row>
    <row r="243" spans="1:3" ht="14.25" customHeight="1">
      <c r="A243" s="16"/>
      <c r="B243" s="16"/>
      <c r="C243" s="16"/>
    </row>
    <row r="244" spans="1:3" ht="14.25" customHeight="1">
      <c r="A244" s="16"/>
      <c r="B244" s="16"/>
      <c r="C244" s="16"/>
    </row>
    <row r="245" spans="1:3" ht="14.25" customHeight="1">
      <c r="A245" s="16"/>
      <c r="B245" s="16"/>
      <c r="C245" s="16"/>
    </row>
    <row r="246" spans="1:3" ht="14.25" customHeight="1">
      <c r="A246" s="16"/>
      <c r="B246" s="16"/>
      <c r="C246" s="16"/>
    </row>
    <row r="247" spans="1:3" ht="14.25" customHeight="1">
      <c r="A247" s="16"/>
      <c r="B247" s="16"/>
      <c r="C247" s="16"/>
    </row>
    <row r="248" spans="1:3" ht="14.25" customHeight="1">
      <c r="A248" s="16"/>
      <c r="B248" s="16"/>
      <c r="C248" s="16"/>
    </row>
    <row r="249" spans="1:3" ht="14.25" customHeight="1">
      <c r="A249" s="16"/>
      <c r="B249" s="16"/>
      <c r="C249" s="16"/>
    </row>
    <row r="250" spans="1:3" ht="14.25" customHeight="1">
      <c r="A250" s="16"/>
      <c r="B250" s="16"/>
      <c r="C250" s="16"/>
    </row>
    <row r="251" spans="1:3" ht="14.25" customHeight="1">
      <c r="A251" s="16"/>
      <c r="B251" s="16"/>
      <c r="C251" s="16"/>
    </row>
    <row r="252" spans="1:3" ht="14.25" customHeight="1">
      <c r="A252" s="16"/>
      <c r="B252" s="16"/>
      <c r="C252" s="16"/>
    </row>
    <row r="253" spans="1:3" ht="15.75" customHeight="1"/>
    <row r="254" spans="1:3" ht="15.75" customHeight="1"/>
    <row r="255" spans="1:3" ht="15.75" customHeight="1"/>
    <row r="256" spans="1:3"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sheetData>
  <mergeCells count="1">
    <mergeCell ref="A1:C1"/>
  </mergeCells>
  <phoneticPr fontId="31" type="noConversion"/>
  <conditionalFormatting sqref="A3:B10 A12:B30 A32:B50 A52 A55:B56">
    <cfRule type="expression" dxfId="97" priority="1">
      <formula>$A3="Vincent"</formula>
    </cfRule>
  </conditionalFormatting>
  <conditionalFormatting sqref="B51:B53">
    <cfRule type="expression" dxfId="96" priority="2">
      <formula>$A51="Vincent"</formula>
    </cfRule>
  </conditionalFormatting>
  <pageMargins left="0.7" right="0.7" top="0.75" bottom="0.75" header="0" footer="0"/>
  <pageSetup orientation="landscape"/>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999"/>
  <sheetViews>
    <sheetView topLeftCell="B1" workbookViewId="0">
      <selection activeCell="G2" sqref="G2:G34"/>
    </sheetView>
  </sheetViews>
  <sheetFormatPr defaultColWidth="12.625" defaultRowHeight="15" customHeight="1"/>
  <cols>
    <col min="1" max="1" width="14.875" customWidth="1"/>
    <col min="2" max="2" width="17.25" customWidth="1"/>
    <col min="3" max="3" width="15.375" customWidth="1"/>
    <col min="4" max="4" width="13.125" customWidth="1"/>
    <col min="5" max="5" width="14.5" customWidth="1"/>
    <col min="6" max="6" width="33" customWidth="1"/>
    <col min="7" max="7" width="17.125" customWidth="1"/>
    <col min="8" max="9" width="8.625" customWidth="1"/>
    <col min="10" max="10" width="38.75" customWidth="1"/>
    <col min="11" max="11" width="8.625" customWidth="1"/>
    <col min="12" max="12" width="33.625" customWidth="1"/>
  </cols>
  <sheetData>
    <row r="1" spans="1:25" ht="13.5" customHeight="1">
      <c r="A1" s="32" t="s">
        <v>332</v>
      </c>
      <c r="B1" s="32" t="s">
        <v>333</v>
      </c>
      <c r="C1" s="32" t="s">
        <v>334</v>
      </c>
      <c r="D1" s="32" t="s">
        <v>335</v>
      </c>
      <c r="E1" s="32" t="s">
        <v>336</v>
      </c>
      <c r="F1" s="32" t="s">
        <v>6</v>
      </c>
      <c r="G1" s="33" t="s">
        <v>337</v>
      </c>
      <c r="H1" s="22"/>
      <c r="I1" s="22"/>
      <c r="J1" s="548" t="s">
        <v>229</v>
      </c>
      <c r="K1" s="549"/>
      <c r="L1" s="22"/>
      <c r="M1" s="22"/>
      <c r="N1" s="22"/>
      <c r="O1" s="22"/>
      <c r="P1" s="22"/>
      <c r="Q1" s="22"/>
      <c r="R1" s="22"/>
      <c r="S1" s="22"/>
      <c r="T1" s="22"/>
      <c r="U1" s="22"/>
      <c r="V1" s="22"/>
      <c r="W1" s="22"/>
      <c r="X1" s="22"/>
      <c r="Y1" s="22"/>
    </row>
    <row r="2" spans="1:25" ht="13.5" customHeight="1">
      <c r="A2" s="34" t="s">
        <v>91</v>
      </c>
      <c r="B2" s="34">
        <v>25</v>
      </c>
      <c r="C2" s="35">
        <v>18</v>
      </c>
      <c r="D2" s="35">
        <v>7</v>
      </c>
      <c r="E2" s="35">
        <v>0</v>
      </c>
      <c r="F2" s="544"/>
      <c r="G2" s="36">
        <f>(D2*75)+(E2*62.5)</f>
        <v>525</v>
      </c>
      <c r="H2" s="22"/>
      <c r="I2" s="22"/>
      <c r="J2" s="22" t="s">
        <v>338</v>
      </c>
      <c r="K2" s="22" t="s">
        <v>339</v>
      </c>
      <c r="L2" s="22"/>
      <c r="M2" s="22"/>
      <c r="N2" s="22"/>
      <c r="O2" s="22"/>
      <c r="P2" s="22"/>
      <c r="Q2" s="22"/>
      <c r="R2" s="22"/>
      <c r="S2" s="22"/>
      <c r="T2" s="22"/>
      <c r="U2" s="22"/>
      <c r="V2" s="22"/>
      <c r="W2" s="22"/>
      <c r="X2" s="22"/>
      <c r="Y2" s="22"/>
    </row>
    <row r="3" spans="1:25" ht="13.5" customHeight="1">
      <c r="A3" s="34" t="s">
        <v>130</v>
      </c>
      <c r="B3" s="34">
        <v>0</v>
      </c>
      <c r="C3" s="35">
        <v>0</v>
      </c>
      <c r="D3" s="35">
        <v>0</v>
      </c>
      <c r="E3" s="35">
        <v>0</v>
      </c>
      <c r="F3" s="544"/>
      <c r="G3" s="36">
        <f t="shared" ref="G3:G34" si="0">(D3*75)+(E3*62.5)</f>
        <v>0</v>
      </c>
      <c r="H3" s="22"/>
      <c r="I3" s="22"/>
      <c r="J3" s="22" t="s">
        <v>340</v>
      </c>
      <c r="K3" s="22" t="s">
        <v>341</v>
      </c>
      <c r="L3" s="22"/>
      <c r="M3" s="22"/>
      <c r="N3" s="22"/>
      <c r="O3" s="22"/>
      <c r="P3" s="22"/>
      <c r="Q3" s="22"/>
      <c r="R3" s="22"/>
      <c r="S3" s="22"/>
      <c r="T3" s="22"/>
      <c r="U3" s="22"/>
      <c r="V3" s="22"/>
      <c r="W3" s="22"/>
      <c r="X3" s="22"/>
      <c r="Y3" s="22"/>
    </row>
    <row r="4" spans="1:25" ht="13.5" customHeight="1">
      <c r="A4" s="34" t="s">
        <v>168</v>
      </c>
      <c r="B4" s="34">
        <v>12</v>
      </c>
      <c r="C4" s="35">
        <v>0</v>
      </c>
      <c r="D4" s="35">
        <v>12</v>
      </c>
      <c r="E4" s="35">
        <v>0</v>
      </c>
      <c r="F4" s="544"/>
      <c r="G4" s="36">
        <f t="shared" si="0"/>
        <v>900</v>
      </c>
      <c r="H4" s="22"/>
      <c r="I4" s="22"/>
      <c r="J4" s="22" t="s">
        <v>342</v>
      </c>
      <c r="K4" s="22" t="s">
        <v>343</v>
      </c>
      <c r="L4" s="22"/>
      <c r="M4" s="22"/>
      <c r="N4" s="22"/>
      <c r="O4" s="22"/>
      <c r="P4" s="22"/>
      <c r="Q4" s="22"/>
      <c r="R4" s="22"/>
      <c r="S4" s="22"/>
      <c r="T4" s="22"/>
      <c r="U4" s="22"/>
      <c r="V4" s="22"/>
      <c r="W4" s="22"/>
      <c r="X4" s="22"/>
      <c r="Y4" s="22"/>
    </row>
    <row r="5" spans="1:25" ht="13.5" customHeight="1">
      <c r="A5" s="34" t="s">
        <v>135</v>
      </c>
      <c r="B5" s="34">
        <v>0</v>
      </c>
      <c r="C5" s="35">
        <v>0</v>
      </c>
      <c r="D5" s="35">
        <v>0</v>
      </c>
      <c r="E5" s="35">
        <v>0</v>
      </c>
      <c r="F5" s="544"/>
      <c r="G5" s="36">
        <f t="shared" si="0"/>
        <v>0</v>
      </c>
      <c r="H5" s="22"/>
      <c r="I5" s="22"/>
      <c r="J5" s="22" t="s">
        <v>344</v>
      </c>
      <c r="K5" s="22" t="s">
        <v>345</v>
      </c>
      <c r="L5" s="22"/>
      <c r="M5" s="22"/>
      <c r="N5" s="22"/>
      <c r="O5" s="22"/>
      <c r="P5" s="22"/>
      <c r="Q5" s="22"/>
      <c r="R5" s="22"/>
      <c r="S5" s="22"/>
      <c r="T5" s="22"/>
      <c r="U5" s="22"/>
      <c r="V5" s="22"/>
      <c r="W5" s="22"/>
      <c r="X5" s="22"/>
      <c r="Y5" s="22"/>
    </row>
    <row r="6" spans="1:25" ht="13.5" customHeight="1">
      <c r="A6" s="34" t="s">
        <v>346</v>
      </c>
      <c r="B6" s="34">
        <v>1</v>
      </c>
      <c r="C6" s="35">
        <v>0</v>
      </c>
      <c r="D6" s="35">
        <v>1</v>
      </c>
      <c r="E6" s="35">
        <v>0</v>
      </c>
      <c r="F6" s="544"/>
      <c r="G6" s="36">
        <f t="shared" si="0"/>
        <v>75</v>
      </c>
      <c r="H6" s="22"/>
      <c r="I6" s="22"/>
      <c r="J6" s="22"/>
      <c r="K6" s="22"/>
      <c r="L6" s="22"/>
      <c r="M6" s="22"/>
      <c r="N6" s="22"/>
      <c r="O6" s="22"/>
      <c r="P6" s="22"/>
      <c r="Q6" s="22"/>
      <c r="R6" s="22"/>
      <c r="S6" s="22"/>
      <c r="T6" s="22"/>
      <c r="U6" s="22"/>
      <c r="V6" s="22"/>
      <c r="W6" s="22"/>
      <c r="X6" s="22"/>
      <c r="Y6" s="22"/>
    </row>
    <row r="7" spans="1:25" ht="13.5" customHeight="1">
      <c r="A7" s="34" t="s">
        <v>83</v>
      </c>
      <c r="B7" s="34">
        <v>20</v>
      </c>
      <c r="C7" s="35">
        <v>10</v>
      </c>
      <c r="D7" s="35">
        <v>10</v>
      </c>
      <c r="E7" s="35">
        <v>0</v>
      </c>
      <c r="F7" s="544"/>
      <c r="G7" s="36">
        <f t="shared" si="0"/>
        <v>750</v>
      </c>
      <c r="H7" s="22"/>
      <c r="I7" s="22"/>
      <c r="J7" s="22"/>
      <c r="K7" s="22"/>
      <c r="L7" s="22"/>
      <c r="M7" s="22"/>
      <c r="N7" s="22"/>
      <c r="O7" s="22"/>
      <c r="P7" s="22"/>
      <c r="Q7" s="22"/>
      <c r="R7" s="22"/>
      <c r="S7" s="22"/>
      <c r="T7" s="22"/>
      <c r="U7" s="22"/>
      <c r="V7" s="22"/>
      <c r="W7" s="22"/>
      <c r="X7" s="22"/>
      <c r="Y7" s="22"/>
    </row>
    <row r="8" spans="1:25" ht="13.5" customHeight="1">
      <c r="A8" s="34" t="s">
        <v>72</v>
      </c>
      <c r="B8" s="34">
        <v>11</v>
      </c>
      <c r="C8" s="35">
        <v>7</v>
      </c>
      <c r="D8" s="35">
        <v>4</v>
      </c>
      <c r="E8" s="35">
        <v>0</v>
      </c>
      <c r="F8" s="544"/>
      <c r="G8" s="36">
        <f t="shared" si="0"/>
        <v>300</v>
      </c>
      <c r="H8" s="22"/>
      <c r="I8" s="22"/>
      <c r="L8" s="22"/>
      <c r="M8" s="22"/>
      <c r="N8" s="22"/>
      <c r="O8" s="22"/>
      <c r="P8" s="22"/>
      <c r="Q8" s="22"/>
      <c r="R8" s="22"/>
      <c r="S8" s="22"/>
      <c r="T8" s="22"/>
      <c r="U8" s="22"/>
      <c r="V8" s="22"/>
      <c r="W8" s="22"/>
      <c r="X8" s="22"/>
      <c r="Y8" s="22"/>
    </row>
    <row r="9" spans="1:25" ht="13.5" customHeight="1">
      <c r="A9" s="34" t="s">
        <v>192</v>
      </c>
      <c r="B9" s="34">
        <v>4</v>
      </c>
      <c r="C9" s="35">
        <v>1</v>
      </c>
      <c r="D9" s="35">
        <v>3</v>
      </c>
      <c r="E9" s="35">
        <v>0</v>
      </c>
      <c r="F9" s="544"/>
      <c r="G9" s="36">
        <f t="shared" si="0"/>
        <v>225</v>
      </c>
      <c r="H9" s="22"/>
      <c r="I9" s="22"/>
      <c r="L9" s="22"/>
      <c r="M9" s="22"/>
      <c r="N9" s="22"/>
      <c r="O9" s="22"/>
      <c r="P9" s="22"/>
      <c r="Q9" s="22"/>
      <c r="R9" s="22"/>
      <c r="S9" s="22"/>
      <c r="T9" s="22"/>
      <c r="U9" s="22"/>
      <c r="V9" s="22"/>
      <c r="W9" s="22"/>
      <c r="X9" s="22"/>
      <c r="Y9" s="22"/>
    </row>
    <row r="10" spans="1:25" ht="13.5" customHeight="1">
      <c r="A10" s="34" t="s">
        <v>200</v>
      </c>
      <c r="B10" s="34">
        <v>23</v>
      </c>
      <c r="C10" s="35">
        <v>3</v>
      </c>
      <c r="D10" s="35">
        <v>16</v>
      </c>
      <c r="E10" s="35">
        <v>4</v>
      </c>
      <c r="F10" s="544" t="s">
        <v>347</v>
      </c>
      <c r="G10" s="36">
        <f t="shared" si="0"/>
        <v>1450</v>
      </c>
      <c r="H10" s="22"/>
      <c r="I10" s="22"/>
      <c r="L10" s="22"/>
      <c r="M10" s="22"/>
      <c r="N10" s="22"/>
      <c r="O10" s="22"/>
      <c r="P10" s="22"/>
      <c r="Q10" s="22"/>
      <c r="R10" s="22"/>
      <c r="S10" s="22"/>
      <c r="T10" s="22"/>
      <c r="U10" s="22"/>
      <c r="V10" s="22"/>
      <c r="W10" s="22"/>
      <c r="X10" s="22"/>
      <c r="Y10" s="22"/>
    </row>
    <row r="11" spans="1:25" ht="13.5" customHeight="1">
      <c r="A11" s="34" t="s">
        <v>348</v>
      </c>
      <c r="B11" s="34">
        <v>18</v>
      </c>
      <c r="C11" s="35">
        <v>7</v>
      </c>
      <c r="D11" s="35">
        <v>11</v>
      </c>
      <c r="E11" s="35">
        <v>0</v>
      </c>
      <c r="F11" s="544"/>
      <c r="G11" s="36">
        <f t="shared" si="0"/>
        <v>825</v>
      </c>
      <c r="H11" s="22"/>
      <c r="I11" s="22"/>
      <c r="L11" s="22"/>
      <c r="M11" s="22"/>
      <c r="N11" s="22"/>
      <c r="O11" s="22"/>
      <c r="P11" s="22"/>
      <c r="Q11" s="22"/>
      <c r="R11" s="22"/>
      <c r="S11" s="22"/>
      <c r="T11" s="22"/>
      <c r="U11" s="22"/>
      <c r="V11" s="22"/>
      <c r="W11" s="22"/>
      <c r="X11" s="22"/>
      <c r="Y11" s="22"/>
    </row>
    <row r="12" spans="1:25" ht="13.5" customHeight="1">
      <c r="A12" s="34" t="s">
        <v>111</v>
      </c>
      <c r="B12" s="34">
        <v>42</v>
      </c>
      <c r="C12" s="35">
        <v>4</v>
      </c>
      <c r="D12" s="35">
        <v>36</v>
      </c>
      <c r="E12" s="35">
        <v>2</v>
      </c>
      <c r="F12" s="544" t="s">
        <v>347</v>
      </c>
      <c r="G12" s="36">
        <f t="shared" si="0"/>
        <v>2825</v>
      </c>
      <c r="H12" s="22"/>
      <c r="I12" s="22"/>
      <c r="J12" s="22"/>
      <c r="K12" s="22"/>
      <c r="L12" s="22"/>
      <c r="M12" s="22"/>
      <c r="N12" s="22"/>
      <c r="O12" s="22"/>
      <c r="P12" s="22"/>
      <c r="Q12" s="22"/>
      <c r="R12" s="22"/>
      <c r="S12" s="22"/>
      <c r="T12" s="22"/>
      <c r="U12" s="22"/>
      <c r="V12" s="22"/>
      <c r="W12" s="22"/>
      <c r="X12" s="22"/>
      <c r="Y12" s="22"/>
    </row>
    <row r="13" spans="1:25" ht="13.5" customHeight="1">
      <c r="A13" s="34" t="s">
        <v>89</v>
      </c>
      <c r="B13" s="34">
        <v>40</v>
      </c>
      <c r="C13" s="35">
        <v>33</v>
      </c>
      <c r="D13" s="35">
        <v>7</v>
      </c>
      <c r="E13" s="35">
        <v>0</v>
      </c>
      <c r="F13" s="544"/>
      <c r="G13" s="36">
        <f t="shared" si="0"/>
        <v>525</v>
      </c>
      <c r="H13" s="22"/>
      <c r="I13" s="22"/>
      <c r="J13" s="22"/>
      <c r="K13" s="22"/>
      <c r="L13" s="22"/>
      <c r="M13" s="22"/>
      <c r="N13" s="22"/>
      <c r="O13" s="22"/>
      <c r="P13" s="22"/>
      <c r="Q13" s="22"/>
      <c r="R13" s="22"/>
      <c r="S13" s="22"/>
      <c r="T13" s="22"/>
      <c r="U13" s="22"/>
      <c r="V13" s="22"/>
      <c r="W13" s="22"/>
      <c r="X13" s="22"/>
      <c r="Y13" s="22"/>
    </row>
    <row r="14" spans="1:25" ht="13.5" customHeight="1">
      <c r="A14" s="34" t="s">
        <v>186</v>
      </c>
      <c r="B14" s="34">
        <v>0</v>
      </c>
      <c r="C14" s="35">
        <v>0</v>
      </c>
      <c r="D14" s="35">
        <v>0</v>
      </c>
      <c r="E14" s="35">
        <v>0</v>
      </c>
      <c r="F14" s="544"/>
      <c r="G14" s="36">
        <f t="shared" si="0"/>
        <v>0</v>
      </c>
      <c r="H14" s="22"/>
      <c r="I14" s="22"/>
      <c r="J14" s="22"/>
      <c r="K14" s="22"/>
      <c r="L14" s="22"/>
      <c r="M14" s="22"/>
      <c r="N14" s="22"/>
      <c r="O14" s="22"/>
      <c r="P14" s="22"/>
      <c r="Q14" s="22"/>
      <c r="R14" s="22"/>
      <c r="S14" s="22"/>
      <c r="T14" s="22"/>
      <c r="U14" s="22"/>
      <c r="V14" s="22"/>
      <c r="W14" s="22"/>
      <c r="X14" s="22"/>
      <c r="Y14" s="22"/>
    </row>
    <row r="15" spans="1:25" ht="13.5" customHeight="1">
      <c r="A15" s="34" t="s">
        <v>349</v>
      </c>
      <c r="B15" s="34">
        <v>3</v>
      </c>
      <c r="C15" s="35">
        <v>2</v>
      </c>
      <c r="D15" s="35">
        <v>1</v>
      </c>
      <c r="E15" s="35">
        <v>0</v>
      </c>
      <c r="F15" s="544"/>
      <c r="G15" s="36">
        <f t="shared" si="0"/>
        <v>75</v>
      </c>
      <c r="H15" s="22"/>
      <c r="I15" s="22"/>
      <c r="J15" s="22"/>
      <c r="K15" s="22"/>
      <c r="L15" s="22"/>
      <c r="M15" s="22"/>
      <c r="N15" s="22"/>
      <c r="O15" s="22"/>
      <c r="P15" s="22"/>
      <c r="Q15" s="22"/>
      <c r="R15" s="22"/>
      <c r="S15" s="22"/>
      <c r="T15" s="22"/>
      <c r="U15" s="22"/>
      <c r="V15" s="22"/>
      <c r="W15" s="22"/>
      <c r="X15" s="22"/>
      <c r="Y15" s="22"/>
    </row>
    <row r="16" spans="1:25" ht="13.5" customHeight="1">
      <c r="A16" s="34" t="s">
        <v>188</v>
      </c>
      <c r="B16" s="34">
        <v>0</v>
      </c>
      <c r="C16" s="35">
        <v>0</v>
      </c>
      <c r="D16" s="35">
        <v>0</v>
      </c>
      <c r="E16" s="35">
        <v>0</v>
      </c>
      <c r="F16" s="544"/>
      <c r="G16" s="36">
        <f t="shared" si="0"/>
        <v>0</v>
      </c>
      <c r="H16" s="22"/>
      <c r="I16" s="22"/>
      <c r="J16" s="22"/>
      <c r="K16" s="22"/>
      <c r="L16" s="22"/>
      <c r="M16" s="22"/>
      <c r="N16" s="22"/>
      <c r="O16" s="22"/>
      <c r="P16" s="22"/>
      <c r="Q16" s="22"/>
      <c r="R16" s="22"/>
      <c r="S16" s="22"/>
      <c r="T16" s="22"/>
      <c r="U16" s="22"/>
      <c r="V16" s="22"/>
      <c r="W16" s="22"/>
      <c r="X16" s="22"/>
      <c r="Y16" s="22"/>
    </row>
    <row r="17" spans="1:25" ht="13.5" customHeight="1">
      <c r="A17" s="34" t="s">
        <v>350</v>
      </c>
      <c r="B17" s="34">
        <v>9</v>
      </c>
      <c r="C17" s="35">
        <v>8</v>
      </c>
      <c r="D17" s="35">
        <v>1</v>
      </c>
      <c r="E17" s="35">
        <v>0</v>
      </c>
      <c r="F17" s="544"/>
      <c r="G17" s="36">
        <f t="shared" si="0"/>
        <v>75</v>
      </c>
      <c r="H17" s="22"/>
      <c r="I17" s="22"/>
      <c r="J17" s="22"/>
      <c r="K17" s="22"/>
      <c r="L17" s="22"/>
      <c r="M17" s="22"/>
      <c r="N17" s="22"/>
      <c r="O17" s="22"/>
      <c r="P17" s="22"/>
      <c r="Q17" s="22"/>
      <c r="R17" s="22"/>
      <c r="S17" s="22"/>
      <c r="T17" s="22"/>
      <c r="U17" s="22"/>
      <c r="V17" s="22"/>
      <c r="W17" s="22"/>
      <c r="X17" s="22"/>
      <c r="Y17" s="22"/>
    </row>
    <row r="18" spans="1:25" ht="13.5" customHeight="1">
      <c r="A18" s="34" t="s">
        <v>74</v>
      </c>
      <c r="B18" s="34">
        <v>6</v>
      </c>
      <c r="C18" s="35">
        <v>0</v>
      </c>
      <c r="D18" s="35">
        <v>6</v>
      </c>
      <c r="E18" s="35">
        <v>0</v>
      </c>
      <c r="F18" s="544"/>
      <c r="G18" s="36">
        <f t="shared" si="0"/>
        <v>450</v>
      </c>
      <c r="I18" s="22"/>
      <c r="J18" s="22"/>
      <c r="K18" s="22"/>
      <c r="L18" s="22"/>
      <c r="M18" s="22"/>
      <c r="N18" s="22"/>
      <c r="O18" s="22"/>
      <c r="P18" s="22"/>
      <c r="Q18" s="22"/>
      <c r="R18" s="22"/>
      <c r="S18" s="22"/>
      <c r="T18" s="22"/>
      <c r="U18" s="22"/>
      <c r="V18" s="22"/>
      <c r="W18" s="22"/>
      <c r="X18" s="22"/>
      <c r="Y18" s="22"/>
    </row>
    <row r="19" spans="1:25" ht="13.5" customHeight="1">
      <c r="A19" s="34" t="s">
        <v>138</v>
      </c>
      <c r="B19" s="34">
        <v>0</v>
      </c>
      <c r="C19" s="35">
        <v>0</v>
      </c>
      <c r="D19" s="35">
        <v>0</v>
      </c>
      <c r="E19" s="35">
        <v>0</v>
      </c>
      <c r="F19" s="544"/>
      <c r="G19" s="36">
        <f t="shared" si="0"/>
        <v>0</v>
      </c>
      <c r="H19" s="22"/>
      <c r="I19" s="22"/>
      <c r="J19" s="22"/>
      <c r="K19" s="22"/>
      <c r="L19" s="22"/>
      <c r="M19" s="22"/>
      <c r="N19" s="22"/>
      <c r="O19" s="22"/>
      <c r="P19" s="22"/>
      <c r="Q19" s="22"/>
      <c r="R19" s="22"/>
      <c r="S19" s="22"/>
      <c r="T19" s="22"/>
      <c r="U19" s="22"/>
      <c r="V19" s="22"/>
      <c r="W19" s="22"/>
      <c r="X19" s="22"/>
      <c r="Y19" s="22"/>
    </row>
    <row r="20" spans="1:25" ht="13.5" customHeight="1">
      <c r="A20" s="34" t="s">
        <v>100</v>
      </c>
      <c r="B20" s="34">
        <v>0</v>
      </c>
      <c r="C20" s="35">
        <v>0</v>
      </c>
      <c r="D20" s="35">
        <v>0</v>
      </c>
      <c r="E20" s="35">
        <v>0</v>
      </c>
      <c r="F20" s="544"/>
      <c r="G20" s="36">
        <f t="shared" si="0"/>
        <v>0</v>
      </c>
      <c r="H20" s="22"/>
      <c r="I20" s="22"/>
      <c r="J20" s="22"/>
      <c r="K20" s="22"/>
      <c r="L20" s="22"/>
      <c r="M20" s="22"/>
      <c r="N20" s="22"/>
      <c r="O20" s="22"/>
      <c r="P20" s="22"/>
      <c r="Q20" s="22"/>
      <c r="R20" s="22"/>
      <c r="S20" s="22"/>
      <c r="T20" s="22"/>
      <c r="U20" s="22"/>
      <c r="V20" s="22"/>
      <c r="W20" s="22"/>
      <c r="X20" s="22"/>
      <c r="Y20" s="22"/>
    </row>
    <row r="21" spans="1:25" ht="13.5" customHeight="1">
      <c r="A21" s="34" t="s">
        <v>351</v>
      </c>
      <c r="B21" s="34">
        <v>7</v>
      </c>
      <c r="C21" s="35">
        <v>0</v>
      </c>
      <c r="D21" s="35">
        <v>7</v>
      </c>
      <c r="E21" s="35">
        <v>0</v>
      </c>
      <c r="F21" s="544"/>
      <c r="G21" s="36">
        <f t="shared" si="0"/>
        <v>525</v>
      </c>
      <c r="H21" s="22"/>
      <c r="I21" s="22"/>
      <c r="J21" s="22"/>
      <c r="K21" s="22"/>
      <c r="L21" s="22"/>
      <c r="M21" s="22"/>
      <c r="N21" s="22"/>
      <c r="O21" s="22"/>
      <c r="P21" s="22"/>
      <c r="Q21" s="22"/>
      <c r="R21" s="22"/>
      <c r="S21" s="22"/>
      <c r="T21" s="22"/>
      <c r="U21" s="22"/>
      <c r="V21" s="22"/>
      <c r="W21" s="22"/>
      <c r="X21" s="22"/>
      <c r="Y21" s="22"/>
    </row>
    <row r="22" spans="1:25" ht="13.5" customHeight="1">
      <c r="A22" s="34" t="s">
        <v>94</v>
      </c>
      <c r="B22" s="34">
        <v>0</v>
      </c>
      <c r="C22" s="35">
        <v>0</v>
      </c>
      <c r="D22" s="35">
        <v>0</v>
      </c>
      <c r="E22" s="35">
        <v>0</v>
      </c>
      <c r="F22" s="544"/>
      <c r="G22" s="36">
        <f t="shared" si="0"/>
        <v>0</v>
      </c>
      <c r="H22" s="22"/>
      <c r="I22" s="22"/>
      <c r="J22" s="22"/>
      <c r="K22" s="22"/>
      <c r="L22" s="22"/>
      <c r="M22" s="22"/>
      <c r="N22" s="22"/>
      <c r="O22" s="22"/>
      <c r="P22" s="22"/>
      <c r="Q22" s="22"/>
      <c r="R22" s="22"/>
      <c r="S22" s="22"/>
      <c r="T22" s="22"/>
      <c r="U22" s="22"/>
      <c r="V22" s="22"/>
      <c r="W22" s="22"/>
      <c r="X22" s="22"/>
      <c r="Y22" s="22"/>
    </row>
    <row r="23" spans="1:25" ht="13.5" customHeight="1">
      <c r="A23" s="34" t="s">
        <v>352</v>
      </c>
      <c r="B23" s="34">
        <v>3</v>
      </c>
      <c r="C23" s="35">
        <v>0</v>
      </c>
      <c r="D23" s="35">
        <v>3</v>
      </c>
      <c r="E23" s="35">
        <v>0</v>
      </c>
      <c r="F23" s="544"/>
      <c r="G23" s="36">
        <f t="shared" si="0"/>
        <v>225</v>
      </c>
      <c r="H23" s="22"/>
      <c r="I23" s="22"/>
      <c r="J23" s="22"/>
      <c r="K23" s="22"/>
      <c r="L23" s="22"/>
      <c r="M23" s="22"/>
      <c r="N23" s="22"/>
      <c r="O23" s="22"/>
      <c r="P23" s="22"/>
      <c r="Q23" s="22"/>
      <c r="R23" s="22"/>
      <c r="S23" s="22"/>
      <c r="T23" s="22"/>
      <c r="U23" s="22"/>
      <c r="V23" s="22"/>
      <c r="W23" s="22"/>
      <c r="X23" s="22"/>
      <c r="Y23" s="22"/>
    </row>
    <row r="24" spans="1:25" ht="13.5" customHeight="1">
      <c r="A24" s="34" t="s">
        <v>353</v>
      </c>
      <c r="B24" s="34">
        <v>0</v>
      </c>
      <c r="C24" s="35">
        <v>0</v>
      </c>
      <c r="D24" s="35">
        <v>0</v>
      </c>
      <c r="E24" s="35">
        <v>0</v>
      </c>
      <c r="F24" s="544"/>
      <c r="G24" s="36">
        <f t="shared" si="0"/>
        <v>0</v>
      </c>
      <c r="H24" s="22"/>
      <c r="I24" s="22"/>
      <c r="J24" s="22"/>
      <c r="K24" s="22"/>
      <c r="L24" s="22"/>
      <c r="M24" s="22"/>
      <c r="N24" s="22"/>
      <c r="O24" s="22"/>
      <c r="P24" s="22"/>
      <c r="Q24" s="22"/>
      <c r="R24" s="22"/>
      <c r="S24" s="22"/>
      <c r="T24" s="22"/>
      <c r="U24" s="22"/>
      <c r="V24" s="22"/>
      <c r="W24" s="22"/>
      <c r="X24" s="22"/>
      <c r="Y24" s="22"/>
    </row>
    <row r="25" spans="1:25" ht="13.5" customHeight="1">
      <c r="A25" s="34" t="s">
        <v>354</v>
      </c>
      <c r="B25" s="34">
        <v>26</v>
      </c>
      <c r="C25" s="35">
        <v>16</v>
      </c>
      <c r="D25" s="35">
        <v>10</v>
      </c>
      <c r="E25" s="35">
        <v>0</v>
      </c>
      <c r="F25" s="544"/>
      <c r="G25" s="36">
        <f t="shared" si="0"/>
        <v>750</v>
      </c>
      <c r="H25" s="22"/>
      <c r="I25" s="22"/>
      <c r="J25" s="22"/>
      <c r="K25" s="22"/>
      <c r="L25" s="22"/>
      <c r="M25" s="22"/>
      <c r="N25" s="22"/>
      <c r="O25" s="22"/>
      <c r="P25" s="22"/>
      <c r="Q25" s="22"/>
      <c r="R25" s="22"/>
      <c r="S25" s="22"/>
      <c r="T25" s="22"/>
      <c r="U25" s="22"/>
      <c r="V25" s="22"/>
      <c r="W25" s="22"/>
      <c r="X25" s="22"/>
      <c r="Y25" s="22"/>
    </row>
    <row r="26" spans="1:25" ht="13.5" customHeight="1">
      <c r="A26" s="34" t="s">
        <v>355</v>
      </c>
      <c r="B26" s="34">
        <v>2</v>
      </c>
      <c r="C26" s="35">
        <v>0</v>
      </c>
      <c r="D26" s="35">
        <v>2</v>
      </c>
      <c r="E26" s="35">
        <v>0</v>
      </c>
      <c r="F26" s="544"/>
      <c r="G26" s="36">
        <f t="shared" si="0"/>
        <v>150</v>
      </c>
      <c r="H26" s="22"/>
      <c r="I26" s="22"/>
      <c r="J26" s="22"/>
      <c r="K26" s="22"/>
      <c r="L26" s="22"/>
      <c r="M26" s="22"/>
      <c r="N26" s="22"/>
      <c r="O26" s="22"/>
      <c r="P26" s="22"/>
      <c r="Q26" s="22"/>
      <c r="R26" s="22"/>
      <c r="S26" s="22"/>
      <c r="T26" s="22"/>
      <c r="U26" s="22"/>
      <c r="V26" s="22"/>
      <c r="W26" s="22"/>
      <c r="X26" s="22"/>
      <c r="Y26" s="22"/>
    </row>
    <row r="27" spans="1:25" ht="13.5" customHeight="1">
      <c r="A27" s="34" t="s">
        <v>97</v>
      </c>
      <c r="B27" s="34">
        <v>33</v>
      </c>
      <c r="C27" s="35">
        <v>14</v>
      </c>
      <c r="D27" s="35">
        <v>19</v>
      </c>
      <c r="E27" s="35">
        <v>0</v>
      </c>
      <c r="F27" s="544"/>
      <c r="G27" s="36">
        <f t="shared" si="0"/>
        <v>1425</v>
      </c>
      <c r="H27" s="22"/>
      <c r="I27" s="22"/>
      <c r="J27" s="22"/>
      <c r="K27" s="22"/>
      <c r="L27" s="22"/>
      <c r="M27" s="22"/>
      <c r="N27" s="22"/>
      <c r="O27" s="22"/>
      <c r="P27" s="22"/>
      <c r="Q27" s="22"/>
      <c r="R27" s="22"/>
      <c r="S27" s="22"/>
      <c r="T27" s="22"/>
      <c r="U27" s="22"/>
      <c r="V27" s="22"/>
      <c r="W27" s="22"/>
      <c r="X27" s="22"/>
      <c r="Y27" s="22"/>
    </row>
    <row r="28" spans="1:25" ht="13.5" customHeight="1">
      <c r="A28" s="34" t="s">
        <v>171</v>
      </c>
      <c r="B28" s="34">
        <v>1</v>
      </c>
      <c r="C28" s="35">
        <v>0</v>
      </c>
      <c r="D28" s="35">
        <v>1</v>
      </c>
      <c r="E28" s="35">
        <v>0</v>
      </c>
      <c r="F28" s="544"/>
      <c r="G28" s="36">
        <f t="shared" si="0"/>
        <v>75</v>
      </c>
      <c r="H28" s="22"/>
      <c r="I28" s="22"/>
      <c r="J28" s="22"/>
      <c r="K28" s="22"/>
      <c r="L28" s="22"/>
      <c r="M28" s="22"/>
      <c r="N28" s="22"/>
      <c r="O28" s="22"/>
      <c r="P28" s="22"/>
      <c r="Q28" s="22"/>
      <c r="R28" s="22"/>
      <c r="S28" s="22"/>
      <c r="T28" s="22"/>
      <c r="U28" s="22"/>
      <c r="V28" s="22"/>
      <c r="W28" s="22"/>
      <c r="X28" s="22"/>
      <c r="Y28" s="22"/>
    </row>
    <row r="29" spans="1:25" ht="13.5" customHeight="1">
      <c r="A29" s="34" t="s">
        <v>356</v>
      </c>
      <c r="B29" s="34">
        <v>0</v>
      </c>
      <c r="C29" s="35">
        <v>0</v>
      </c>
      <c r="D29" s="35">
        <v>0</v>
      </c>
      <c r="E29" s="35">
        <v>0</v>
      </c>
      <c r="F29" s="544"/>
      <c r="G29" s="36">
        <f t="shared" si="0"/>
        <v>0</v>
      </c>
      <c r="H29" s="22"/>
      <c r="I29" s="22"/>
      <c r="J29" s="22"/>
      <c r="K29" s="22"/>
      <c r="L29" s="22"/>
      <c r="M29" s="22"/>
      <c r="N29" s="22"/>
      <c r="O29" s="22"/>
      <c r="P29" s="22"/>
      <c r="Q29" s="22"/>
      <c r="R29" s="22"/>
      <c r="S29" s="22"/>
      <c r="T29" s="22"/>
      <c r="U29" s="22"/>
      <c r="V29" s="22"/>
      <c r="W29" s="22"/>
      <c r="X29" s="22"/>
      <c r="Y29" s="22"/>
    </row>
    <row r="30" spans="1:25" ht="13.5" customHeight="1">
      <c r="A30" s="34" t="s">
        <v>147</v>
      </c>
      <c r="B30" s="34">
        <v>8</v>
      </c>
      <c r="C30" s="35">
        <v>5</v>
      </c>
      <c r="D30" s="35">
        <v>3</v>
      </c>
      <c r="E30" s="35">
        <v>0</v>
      </c>
      <c r="F30" s="544"/>
      <c r="G30" s="36">
        <f t="shared" si="0"/>
        <v>225</v>
      </c>
      <c r="H30" s="22"/>
      <c r="I30" s="22"/>
      <c r="J30" s="22"/>
      <c r="K30" s="22"/>
      <c r="L30" s="22"/>
      <c r="M30" s="22"/>
      <c r="N30" s="22"/>
      <c r="O30" s="22"/>
      <c r="P30" s="22"/>
      <c r="Q30" s="22"/>
      <c r="R30" s="22"/>
      <c r="S30" s="22"/>
      <c r="T30" s="22"/>
      <c r="U30" s="22"/>
      <c r="V30" s="22"/>
      <c r="W30" s="22"/>
      <c r="X30" s="22"/>
      <c r="Y30" s="22"/>
    </row>
    <row r="31" spans="1:25" ht="13.5" customHeight="1">
      <c r="A31" s="34" t="s">
        <v>176</v>
      </c>
      <c r="B31" s="34">
        <v>0</v>
      </c>
      <c r="C31" s="35">
        <v>0</v>
      </c>
      <c r="D31" s="35">
        <v>0</v>
      </c>
      <c r="E31" s="35">
        <v>0</v>
      </c>
      <c r="F31" s="544"/>
      <c r="G31" s="36">
        <f t="shared" si="0"/>
        <v>0</v>
      </c>
      <c r="H31" s="22"/>
      <c r="I31" s="22"/>
      <c r="J31" s="22"/>
      <c r="K31" s="22"/>
      <c r="L31" s="22"/>
      <c r="M31" s="22"/>
      <c r="N31" s="22"/>
      <c r="O31" s="22"/>
      <c r="P31" s="22"/>
      <c r="Q31" s="22"/>
      <c r="R31" s="22"/>
      <c r="S31" s="22"/>
      <c r="T31" s="22"/>
      <c r="U31" s="22"/>
      <c r="V31" s="22"/>
      <c r="W31" s="22"/>
      <c r="X31" s="22"/>
      <c r="Y31" s="22"/>
    </row>
    <row r="32" spans="1:25" ht="13.5" customHeight="1">
      <c r="A32" s="34" t="s">
        <v>143</v>
      </c>
      <c r="B32" s="34">
        <v>13</v>
      </c>
      <c r="C32" s="35">
        <v>0</v>
      </c>
      <c r="D32" s="35">
        <v>12</v>
      </c>
      <c r="E32" s="35">
        <v>1</v>
      </c>
      <c r="F32" s="544"/>
      <c r="G32" s="36">
        <f t="shared" si="0"/>
        <v>962.5</v>
      </c>
      <c r="H32" s="22"/>
      <c r="I32" s="22"/>
      <c r="J32" s="22"/>
      <c r="K32" s="22"/>
      <c r="L32" s="22"/>
      <c r="M32" s="22"/>
      <c r="N32" s="22"/>
      <c r="O32" s="22"/>
      <c r="P32" s="22"/>
      <c r="Q32" s="22"/>
      <c r="R32" s="22"/>
      <c r="S32" s="22"/>
      <c r="T32" s="22"/>
      <c r="U32" s="22"/>
      <c r="V32" s="22"/>
      <c r="W32" s="22"/>
      <c r="X32" s="22"/>
      <c r="Y32" s="22"/>
    </row>
    <row r="33" spans="1:25" ht="13.5" customHeight="1">
      <c r="A33" s="34" t="s">
        <v>79</v>
      </c>
      <c r="B33" s="34">
        <v>5</v>
      </c>
      <c r="C33" s="35">
        <v>1</v>
      </c>
      <c r="D33" s="35">
        <v>4</v>
      </c>
      <c r="E33" s="35">
        <v>0</v>
      </c>
      <c r="F33" s="544"/>
      <c r="G33" s="36">
        <f t="shared" si="0"/>
        <v>300</v>
      </c>
      <c r="H33" s="22"/>
      <c r="I33" s="22"/>
      <c r="J33" s="22"/>
      <c r="K33" s="22"/>
      <c r="L33" s="22"/>
      <c r="M33" s="22"/>
      <c r="N33" s="22"/>
      <c r="O33" s="22"/>
      <c r="P33" s="22"/>
      <c r="Q33" s="22"/>
      <c r="R33" s="22"/>
      <c r="S33" s="22"/>
      <c r="T33" s="22"/>
      <c r="U33" s="22"/>
      <c r="V33" s="22"/>
      <c r="W33" s="22"/>
      <c r="X33" s="22"/>
      <c r="Y33" s="22"/>
    </row>
    <row r="34" spans="1:25" ht="13.5" customHeight="1">
      <c r="A34" s="34" t="s">
        <v>81</v>
      </c>
      <c r="B34" s="34">
        <v>8</v>
      </c>
      <c r="C34" s="35">
        <v>0</v>
      </c>
      <c r="D34" s="35">
        <v>6</v>
      </c>
      <c r="E34" s="35">
        <v>2</v>
      </c>
      <c r="F34" s="544"/>
      <c r="G34" s="36">
        <f t="shared" si="0"/>
        <v>575</v>
      </c>
      <c r="H34" s="22"/>
      <c r="I34" s="22"/>
      <c r="J34" s="22"/>
      <c r="K34" s="22"/>
      <c r="L34" s="22"/>
      <c r="M34" s="22"/>
      <c r="N34" s="22"/>
      <c r="O34" s="22"/>
      <c r="P34" s="22"/>
      <c r="Q34" s="22"/>
      <c r="R34" s="22"/>
      <c r="S34" s="22"/>
      <c r="T34" s="22"/>
      <c r="U34" s="22"/>
      <c r="V34" s="22"/>
      <c r="W34" s="22"/>
      <c r="X34" s="22"/>
      <c r="Y34" s="22"/>
    </row>
    <row r="35" spans="1:25" ht="13.5" customHeight="1">
      <c r="A35" s="22"/>
      <c r="B35" s="22">
        <f t="shared" ref="B35:E35" si="1">SUM(B2:B34)</f>
        <v>320</v>
      </c>
      <c r="C35" s="22">
        <f t="shared" si="1"/>
        <v>129</v>
      </c>
      <c r="D35" s="22">
        <f t="shared" si="1"/>
        <v>182</v>
      </c>
      <c r="E35" s="22">
        <f t="shared" si="1"/>
        <v>9</v>
      </c>
      <c r="F35" s="22"/>
      <c r="G35" s="37"/>
      <c r="H35" s="22"/>
      <c r="I35" s="22"/>
      <c r="J35" s="22"/>
      <c r="K35" s="22"/>
      <c r="L35" s="22"/>
      <c r="M35" s="22"/>
      <c r="N35" s="22"/>
      <c r="O35" s="22"/>
      <c r="P35" s="22"/>
      <c r="Q35" s="22"/>
      <c r="R35" s="22"/>
      <c r="S35" s="22"/>
      <c r="T35" s="22"/>
      <c r="U35" s="22"/>
      <c r="V35" s="22"/>
      <c r="W35" s="22"/>
      <c r="X35" s="22"/>
      <c r="Y35" s="22"/>
    </row>
    <row r="36" spans="1:25" ht="13.5" customHeight="1">
      <c r="A36" s="22"/>
      <c r="B36" s="22"/>
      <c r="C36" s="22"/>
      <c r="D36" s="22"/>
      <c r="E36" s="22"/>
      <c r="F36" s="22"/>
      <c r="G36" s="37"/>
      <c r="H36" s="22"/>
      <c r="I36" s="22"/>
      <c r="J36" s="22"/>
      <c r="K36" s="22"/>
      <c r="L36" s="22"/>
      <c r="M36" s="22"/>
      <c r="N36" s="22"/>
      <c r="O36" s="22"/>
      <c r="P36" s="22"/>
      <c r="Q36" s="22"/>
      <c r="R36" s="22"/>
      <c r="S36" s="22"/>
      <c r="T36" s="22"/>
      <c r="U36" s="22"/>
      <c r="V36" s="22"/>
      <c r="W36" s="22"/>
      <c r="X36" s="22"/>
      <c r="Y36" s="22"/>
    </row>
    <row r="37" spans="1:25" ht="13.5" customHeight="1">
      <c r="A37" s="22"/>
      <c r="B37" s="22"/>
      <c r="C37" s="22"/>
      <c r="D37" s="254">
        <f>75*D35</f>
        <v>13650</v>
      </c>
      <c r="E37" s="254">
        <f>62.5*E35</f>
        <v>562.5</v>
      </c>
      <c r="F37" s="22"/>
      <c r="G37" s="37">
        <f>SUM(D37:E37)</f>
        <v>14212.5</v>
      </c>
      <c r="H37" s="22"/>
      <c r="I37" s="22"/>
      <c r="J37" s="22"/>
      <c r="K37" s="22"/>
      <c r="L37" s="22"/>
      <c r="M37" s="22"/>
      <c r="N37" s="22"/>
      <c r="O37" s="22"/>
      <c r="P37" s="22"/>
      <c r="Q37" s="22"/>
      <c r="R37" s="22"/>
      <c r="S37" s="22"/>
      <c r="T37" s="22"/>
      <c r="U37" s="22"/>
      <c r="V37" s="22"/>
      <c r="W37" s="22"/>
      <c r="X37" s="22"/>
      <c r="Y37" s="22"/>
    </row>
    <row r="38" spans="1:25" ht="13.5" customHeight="1">
      <c r="A38" s="22"/>
      <c r="B38" s="22"/>
      <c r="C38" s="22"/>
      <c r="D38" s="22"/>
      <c r="E38" s="22"/>
      <c r="F38" s="22"/>
      <c r="G38" s="37"/>
      <c r="H38" s="22"/>
      <c r="I38" s="22"/>
      <c r="J38" s="22"/>
      <c r="K38" s="22"/>
      <c r="L38" s="22"/>
      <c r="M38" s="22"/>
      <c r="N38" s="22"/>
      <c r="O38" s="22"/>
      <c r="P38" s="22"/>
      <c r="Q38" s="22"/>
      <c r="R38" s="22"/>
      <c r="S38" s="22"/>
      <c r="T38" s="22"/>
      <c r="U38" s="22"/>
      <c r="V38" s="22"/>
      <c r="W38" s="22"/>
      <c r="X38" s="22"/>
      <c r="Y38" s="22"/>
    </row>
    <row r="39" spans="1:25" ht="13.5" customHeight="1">
      <c r="A39" s="22"/>
      <c r="B39" s="22"/>
      <c r="C39" s="22"/>
      <c r="D39" s="22"/>
      <c r="E39" s="22"/>
      <c r="F39" s="22"/>
      <c r="G39" s="37"/>
      <c r="H39" s="22"/>
      <c r="I39" s="22"/>
      <c r="J39" s="22"/>
      <c r="K39" s="22"/>
      <c r="L39" s="22"/>
      <c r="M39" s="22"/>
      <c r="N39" s="22"/>
      <c r="O39" s="22"/>
      <c r="P39" s="22"/>
      <c r="Q39" s="22"/>
      <c r="R39" s="22"/>
      <c r="S39" s="22"/>
      <c r="T39" s="22"/>
      <c r="U39" s="22"/>
      <c r="V39" s="22"/>
      <c r="W39" s="22"/>
      <c r="X39" s="22"/>
      <c r="Y39" s="22"/>
    </row>
    <row r="40" spans="1:25" ht="13.5" customHeight="1">
      <c r="A40" s="22"/>
      <c r="B40" s="22"/>
      <c r="C40" s="22"/>
      <c r="D40" s="22"/>
      <c r="E40" s="22"/>
      <c r="F40" s="22"/>
      <c r="G40" s="37"/>
      <c r="H40" s="22"/>
      <c r="I40" s="22"/>
      <c r="J40" s="22"/>
      <c r="K40" s="22"/>
      <c r="L40" s="22"/>
      <c r="M40" s="22"/>
      <c r="N40" s="22"/>
      <c r="O40" s="22"/>
      <c r="P40" s="22"/>
      <c r="Q40" s="22"/>
      <c r="R40" s="22"/>
      <c r="S40" s="22"/>
      <c r="T40" s="22"/>
      <c r="U40" s="22"/>
      <c r="V40" s="22"/>
      <c r="W40" s="22"/>
      <c r="X40" s="22"/>
      <c r="Y40" s="22"/>
    </row>
    <row r="41" spans="1:25" ht="13.5" customHeight="1">
      <c r="A41" s="22"/>
      <c r="B41" s="22"/>
      <c r="C41" s="22"/>
      <c r="D41" s="22"/>
      <c r="E41" s="22"/>
      <c r="F41" s="22"/>
      <c r="G41" s="37"/>
      <c r="H41" s="22"/>
      <c r="I41" s="22"/>
      <c r="J41" s="22"/>
      <c r="K41" s="22"/>
      <c r="L41" s="22"/>
      <c r="M41" s="22"/>
      <c r="N41" s="22"/>
      <c r="O41" s="22"/>
      <c r="P41" s="22"/>
      <c r="Q41" s="22"/>
      <c r="R41" s="22"/>
      <c r="S41" s="22"/>
      <c r="T41" s="22"/>
      <c r="U41" s="22"/>
      <c r="V41" s="22"/>
      <c r="W41" s="22"/>
      <c r="X41" s="22"/>
      <c r="Y41" s="22"/>
    </row>
    <row r="42" spans="1:25" ht="13.5" customHeight="1">
      <c r="A42" s="22"/>
      <c r="B42" s="22"/>
      <c r="C42" s="22"/>
      <c r="D42" s="22"/>
      <c r="E42" s="22"/>
      <c r="F42" s="22"/>
      <c r="G42" s="37"/>
      <c r="H42" s="22"/>
      <c r="I42" s="22"/>
      <c r="J42" s="22"/>
      <c r="K42" s="22"/>
      <c r="L42" s="22"/>
      <c r="M42" s="22"/>
      <c r="N42" s="22"/>
      <c r="O42" s="22"/>
      <c r="P42" s="22"/>
      <c r="Q42" s="22"/>
      <c r="R42" s="22"/>
      <c r="S42" s="22"/>
      <c r="T42" s="22"/>
      <c r="U42" s="22"/>
      <c r="V42" s="22"/>
      <c r="W42" s="22"/>
      <c r="X42" s="22"/>
      <c r="Y42" s="22"/>
    </row>
    <row r="43" spans="1:25" ht="13.5" customHeight="1">
      <c r="A43" s="22"/>
      <c r="B43" s="22"/>
      <c r="C43" s="22"/>
      <c r="D43" s="22"/>
      <c r="E43" s="22"/>
      <c r="F43" s="22"/>
      <c r="G43" s="37"/>
      <c r="H43" s="22"/>
      <c r="I43" s="22"/>
      <c r="J43" s="22"/>
      <c r="K43" s="22"/>
      <c r="L43" s="22"/>
      <c r="M43" s="22"/>
      <c r="N43" s="22"/>
      <c r="O43" s="22"/>
      <c r="P43" s="22"/>
      <c r="Q43" s="22"/>
      <c r="R43" s="22"/>
      <c r="S43" s="22"/>
      <c r="T43" s="22"/>
      <c r="U43" s="22"/>
      <c r="V43" s="22"/>
      <c r="W43" s="22"/>
      <c r="X43" s="22"/>
      <c r="Y43" s="22"/>
    </row>
    <row r="44" spans="1:25" ht="13.5" customHeight="1">
      <c r="A44" s="22"/>
      <c r="B44" s="22"/>
      <c r="C44" s="22"/>
      <c r="D44" s="22"/>
      <c r="E44" s="22"/>
      <c r="F44" s="22"/>
      <c r="G44" s="37"/>
      <c r="H44" s="22"/>
      <c r="I44" s="22"/>
      <c r="J44" s="22"/>
      <c r="K44" s="22"/>
      <c r="L44" s="22"/>
      <c r="M44" s="22"/>
      <c r="N44" s="22"/>
      <c r="O44" s="22"/>
      <c r="P44" s="22"/>
      <c r="Q44" s="22"/>
      <c r="R44" s="22"/>
      <c r="S44" s="22"/>
      <c r="T44" s="22"/>
      <c r="U44" s="22"/>
      <c r="V44" s="22"/>
      <c r="W44" s="22"/>
      <c r="X44" s="22"/>
      <c r="Y44" s="22"/>
    </row>
    <row r="45" spans="1:25" ht="13.5" customHeight="1">
      <c r="A45" s="22"/>
      <c r="B45" s="22"/>
      <c r="C45" s="22"/>
      <c r="D45" s="22"/>
      <c r="E45" s="22"/>
      <c r="F45" s="22"/>
      <c r="G45" s="37"/>
      <c r="H45" s="22"/>
      <c r="I45" s="22"/>
      <c r="J45" s="22"/>
      <c r="K45" s="22"/>
      <c r="L45" s="22"/>
      <c r="M45" s="22"/>
      <c r="N45" s="22"/>
      <c r="O45" s="22"/>
      <c r="P45" s="22"/>
      <c r="Q45" s="22"/>
      <c r="R45" s="22"/>
      <c r="S45" s="22"/>
      <c r="T45" s="22"/>
      <c r="U45" s="22"/>
      <c r="V45" s="22"/>
      <c r="W45" s="22"/>
      <c r="X45" s="22"/>
      <c r="Y45" s="22"/>
    </row>
    <row r="46" spans="1:25" ht="13.5" customHeight="1">
      <c r="A46" s="22"/>
      <c r="B46" s="22"/>
      <c r="C46" s="22"/>
      <c r="D46" s="22"/>
      <c r="E46" s="22"/>
      <c r="F46" s="22"/>
      <c r="G46" s="37"/>
      <c r="H46" s="22"/>
      <c r="I46" s="22"/>
      <c r="J46" s="22"/>
      <c r="K46" s="22"/>
      <c r="L46" s="22"/>
      <c r="M46" s="22"/>
      <c r="N46" s="22"/>
      <c r="O46" s="22"/>
      <c r="P46" s="22"/>
      <c r="Q46" s="22"/>
      <c r="R46" s="22"/>
      <c r="S46" s="22"/>
      <c r="T46" s="22"/>
      <c r="U46" s="22"/>
      <c r="V46" s="22"/>
      <c r="W46" s="22"/>
      <c r="X46" s="22"/>
      <c r="Y46" s="22"/>
    </row>
    <row r="47" spans="1:25" ht="13.5" customHeight="1">
      <c r="A47" s="22"/>
      <c r="B47" s="22"/>
      <c r="C47" s="22"/>
      <c r="D47" s="22"/>
      <c r="E47" s="22"/>
      <c r="F47" s="22"/>
      <c r="G47" s="37"/>
      <c r="H47" s="22"/>
      <c r="I47" s="22"/>
      <c r="J47" s="22"/>
      <c r="K47" s="22"/>
      <c r="L47" s="22"/>
      <c r="M47" s="22"/>
      <c r="N47" s="22"/>
      <c r="O47" s="22"/>
      <c r="P47" s="22"/>
      <c r="Q47" s="22"/>
      <c r="R47" s="22"/>
      <c r="S47" s="22"/>
      <c r="T47" s="22"/>
      <c r="U47" s="22"/>
      <c r="V47" s="22"/>
      <c r="W47" s="22"/>
      <c r="X47" s="22"/>
      <c r="Y47" s="22"/>
    </row>
    <row r="48" spans="1:25" ht="13.5" customHeight="1">
      <c r="A48" s="22"/>
      <c r="B48" s="22"/>
      <c r="C48" s="22"/>
      <c r="D48" s="22"/>
      <c r="E48" s="22"/>
      <c r="F48" s="22"/>
      <c r="G48" s="37"/>
      <c r="H48" s="22"/>
      <c r="I48" s="22"/>
      <c r="J48" s="22"/>
      <c r="K48" s="22"/>
      <c r="L48" s="22"/>
      <c r="M48" s="22"/>
      <c r="N48" s="22"/>
      <c r="O48" s="22"/>
      <c r="P48" s="22"/>
      <c r="Q48" s="22"/>
      <c r="R48" s="22"/>
      <c r="S48" s="22"/>
      <c r="T48" s="22"/>
      <c r="U48" s="22"/>
      <c r="V48" s="22"/>
      <c r="W48" s="22"/>
      <c r="X48" s="22"/>
      <c r="Y48" s="22"/>
    </row>
    <row r="49" spans="1:25" ht="13.5" customHeight="1">
      <c r="A49" s="22"/>
      <c r="B49" s="22"/>
      <c r="C49" s="22"/>
      <c r="D49" s="22"/>
      <c r="E49" s="22"/>
      <c r="F49" s="22"/>
      <c r="G49" s="37"/>
      <c r="H49" s="22"/>
      <c r="I49" s="22"/>
      <c r="J49" s="22"/>
      <c r="K49" s="22"/>
      <c r="L49" s="22"/>
      <c r="M49" s="22"/>
      <c r="N49" s="22"/>
      <c r="O49" s="22"/>
      <c r="P49" s="22"/>
      <c r="Q49" s="22"/>
      <c r="R49" s="22"/>
      <c r="S49" s="22"/>
      <c r="T49" s="22"/>
      <c r="U49" s="22"/>
      <c r="V49" s="22"/>
      <c r="W49" s="22"/>
      <c r="X49" s="22"/>
      <c r="Y49" s="22"/>
    </row>
    <row r="50" spans="1:25" ht="13.5" customHeight="1">
      <c r="A50" s="22"/>
      <c r="B50" s="22"/>
      <c r="C50" s="22"/>
      <c r="D50" s="22"/>
      <c r="E50" s="22"/>
      <c r="F50" s="22"/>
      <c r="G50" s="37"/>
      <c r="H50" s="22"/>
      <c r="I50" s="22"/>
      <c r="J50" s="22"/>
      <c r="K50" s="22"/>
      <c r="L50" s="22"/>
      <c r="M50" s="22"/>
      <c r="N50" s="22"/>
      <c r="O50" s="22"/>
      <c r="P50" s="22"/>
      <c r="Q50" s="22"/>
      <c r="R50" s="22"/>
      <c r="S50" s="22"/>
      <c r="T50" s="22"/>
      <c r="U50" s="22"/>
      <c r="V50" s="22"/>
      <c r="W50" s="22"/>
      <c r="X50" s="22"/>
      <c r="Y50" s="22"/>
    </row>
    <row r="51" spans="1:25" ht="13.5" customHeight="1">
      <c r="A51" s="22"/>
      <c r="B51" s="22"/>
      <c r="C51" s="22"/>
      <c r="D51" s="22"/>
      <c r="E51" s="22"/>
      <c r="F51" s="22"/>
      <c r="G51" s="37"/>
      <c r="H51" s="22"/>
      <c r="I51" s="22"/>
      <c r="J51" s="22"/>
      <c r="K51" s="22"/>
      <c r="L51" s="22"/>
      <c r="M51" s="22"/>
      <c r="N51" s="22"/>
      <c r="O51" s="22"/>
      <c r="P51" s="22"/>
      <c r="Q51" s="22"/>
      <c r="R51" s="22"/>
      <c r="S51" s="22"/>
      <c r="T51" s="22"/>
      <c r="U51" s="22"/>
      <c r="V51" s="22"/>
      <c r="W51" s="22"/>
      <c r="X51" s="22"/>
      <c r="Y51" s="22"/>
    </row>
    <row r="52" spans="1:25" ht="13.5" customHeight="1">
      <c r="A52" s="22"/>
      <c r="B52" s="22"/>
      <c r="C52" s="22"/>
      <c r="D52" s="22"/>
      <c r="E52" s="22"/>
      <c r="F52" s="22"/>
      <c r="G52" s="37"/>
      <c r="H52" s="22"/>
      <c r="I52" s="22"/>
      <c r="J52" s="22"/>
      <c r="K52" s="22"/>
      <c r="L52" s="22"/>
      <c r="M52" s="22"/>
      <c r="N52" s="22"/>
      <c r="O52" s="22"/>
      <c r="P52" s="22"/>
      <c r="Q52" s="22"/>
      <c r="R52" s="22"/>
      <c r="S52" s="22"/>
      <c r="T52" s="22"/>
      <c r="U52" s="22"/>
      <c r="V52" s="22"/>
      <c r="W52" s="22"/>
      <c r="X52" s="22"/>
      <c r="Y52" s="22"/>
    </row>
    <row r="53" spans="1:25" ht="13.5" customHeight="1">
      <c r="A53" s="22"/>
      <c r="B53" s="22"/>
      <c r="C53" s="22"/>
      <c r="D53" s="22"/>
      <c r="E53" s="22"/>
      <c r="F53" s="22"/>
      <c r="G53" s="37"/>
      <c r="H53" s="22"/>
      <c r="I53" s="22"/>
      <c r="J53" s="22"/>
      <c r="K53" s="22"/>
      <c r="L53" s="22"/>
      <c r="M53" s="22"/>
      <c r="N53" s="22"/>
      <c r="O53" s="22"/>
      <c r="P53" s="22"/>
      <c r="Q53" s="22"/>
      <c r="R53" s="22"/>
      <c r="S53" s="22"/>
      <c r="T53" s="22"/>
      <c r="U53" s="22"/>
      <c r="V53" s="22"/>
      <c r="W53" s="22"/>
      <c r="X53" s="22"/>
      <c r="Y53" s="22"/>
    </row>
    <row r="54" spans="1:25" ht="13.5" customHeight="1">
      <c r="A54" s="22"/>
      <c r="B54" s="22"/>
      <c r="C54" s="22"/>
      <c r="D54" s="22"/>
      <c r="E54" s="22"/>
      <c r="F54" s="22"/>
      <c r="G54" s="37"/>
      <c r="H54" s="22"/>
      <c r="I54" s="22"/>
      <c r="J54" s="22"/>
      <c r="K54" s="22"/>
      <c r="L54" s="22"/>
      <c r="M54" s="22"/>
      <c r="N54" s="22"/>
      <c r="O54" s="22"/>
      <c r="P54" s="22"/>
      <c r="Q54" s="22"/>
      <c r="R54" s="22"/>
      <c r="S54" s="22"/>
      <c r="T54" s="22"/>
      <c r="U54" s="22"/>
      <c r="V54" s="22"/>
      <c r="W54" s="22"/>
      <c r="X54" s="22"/>
      <c r="Y54" s="22"/>
    </row>
    <row r="55" spans="1:25" ht="13.5" customHeight="1">
      <c r="A55" s="22"/>
      <c r="B55" s="22"/>
      <c r="C55" s="22"/>
      <c r="D55" s="22"/>
      <c r="E55" s="22"/>
      <c r="F55" s="22"/>
      <c r="G55" s="37"/>
      <c r="H55" s="22"/>
      <c r="I55" s="22"/>
      <c r="J55" s="22"/>
      <c r="K55" s="22"/>
      <c r="L55" s="22"/>
      <c r="M55" s="22"/>
      <c r="N55" s="22"/>
      <c r="O55" s="22"/>
      <c r="P55" s="22"/>
      <c r="Q55" s="22"/>
      <c r="R55" s="22"/>
      <c r="S55" s="22"/>
      <c r="T55" s="22"/>
      <c r="U55" s="22"/>
      <c r="V55" s="22"/>
      <c r="W55" s="22"/>
      <c r="X55" s="22"/>
      <c r="Y55" s="22"/>
    </row>
    <row r="56" spans="1:25" ht="13.5" customHeight="1">
      <c r="A56" s="22"/>
      <c r="B56" s="22"/>
      <c r="C56" s="22"/>
      <c r="D56" s="22"/>
      <c r="E56" s="22"/>
      <c r="F56" s="22"/>
      <c r="G56" s="37"/>
      <c r="H56" s="22"/>
      <c r="I56" s="22"/>
      <c r="J56" s="22"/>
      <c r="K56" s="22"/>
      <c r="L56" s="22"/>
      <c r="M56" s="22"/>
      <c r="N56" s="22"/>
      <c r="O56" s="22"/>
      <c r="P56" s="22"/>
      <c r="Q56" s="22"/>
      <c r="R56" s="22"/>
      <c r="S56" s="22"/>
      <c r="T56" s="22"/>
      <c r="U56" s="22"/>
      <c r="V56" s="22"/>
      <c r="W56" s="22"/>
      <c r="X56" s="22"/>
      <c r="Y56" s="22"/>
    </row>
    <row r="57" spans="1:25" ht="13.5" customHeight="1">
      <c r="A57" s="22"/>
      <c r="B57" s="22"/>
      <c r="C57" s="22"/>
      <c r="D57" s="22"/>
      <c r="E57" s="22"/>
      <c r="F57" s="22"/>
      <c r="G57" s="37"/>
      <c r="H57" s="22"/>
      <c r="I57" s="22"/>
      <c r="J57" s="22"/>
      <c r="K57" s="22"/>
      <c r="L57" s="22"/>
      <c r="M57" s="22"/>
      <c r="N57" s="22"/>
      <c r="O57" s="22"/>
      <c r="P57" s="22"/>
      <c r="Q57" s="22"/>
      <c r="R57" s="22"/>
      <c r="S57" s="22"/>
      <c r="T57" s="22"/>
      <c r="U57" s="22"/>
      <c r="V57" s="22"/>
      <c r="W57" s="22"/>
      <c r="X57" s="22"/>
      <c r="Y57" s="22"/>
    </row>
    <row r="58" spans="1:25" ht="13.5" customHeight="1">
      <c r="A58" s="22"/>
      <c r="B58" s="22"/>
      <c r="C58" s="22"/>
      <c r="D58" s="22"/>
      <c r="E58" s="22"/>
      <c r="F58" s="22"/>
      <c r="G58" s="37"/>
      <c r="H58" s="22"/>
      <c r="I58" s="22"/>
      <c r="J58" s="22"/>
      <c r="K58" s="22"/>
      <c r="L58" s="22"/>
      <c r="M58" s="22"/>
      <c r="N58" s="22"/>
      <c r="O58" s="22"/>
      <c r="P58" s="22"/>
      <c r="Q58" s="22"/>
      <c r="R58" s="22"/>
      <c r="S58" s="22"/>
      <c r="T58" s="22"/>
      <c r="U58" s="22"/>
      <c r="V58" s="22"/>
      <c r="W58" s="22"/>
      <c r="X58" s="22"/>
      <c r="Y58" s="22"/>
    </row>
    <row r="59" spans="1:25" ht="13.5" customHeight="1">
      <c r="A59" s="22"/>
      <c r="B59" s="22"/>
      <c r="C59" s="22"/>
      <c r="D59" s="22"/>
      <c r="E59" s="22"/>
      <c r="F59" s="22"/>
      <c r="G59" s="37"/>
      <c r="H59" s="22"/>
      <c r="I59" s="22"/>
      <c r="J59" s="22"/>
      <c r="K59" s="22"/>
      <c r="L59" s="22"/>
      <c r="M59" s="22"/>
      <c r="N59" s="22"/>
      <c r="O59" s="22"/>
      <c r="P59" s="22"/>
      <c r="Q59" s="22"/>
      <c r="R59" s="22"/>
      <c r="S59" s="22"/>
      <c r="T59" s="22"/>
      <c r="U59" s="22"/>
      <c r="V59" s="22"/>
      <c r="W59" s="22"/>
      <c r="X59" s="22"/>
      <c r="Y59" s="22"/>
    </row>
    <row r="60" spans="1:25" ht="13.5" customHeight="1">
      <c r="A60" s="22"/>
      <c r="B60" s="22"/>
      <c r="C60" s="22"/>
      <c r="D60" s="22"/>
      <c r="E60" s="22"/>
      <c r="F60" s="22"/>
      <c r="G60" s="37"/>
      <c r="H60" s="22"/>
      <c r="I60" s="22"/>
      <c r="J60" s="22"/>
      <c r="K60" s="22"/>
      <c r="L60" s="22"/>
      <c r="M60" s="22"/>
      <c r="N60" s="22"/>
      <c r="O60" s="22"/>
      <c r="P60" s="22"/>
      <c r="Q60" s="22"/>
      <c r="R60" s="22"/>
      <c r="S60" s="22"/>
      <c r="T60" s="22"/>
      <c r="U60" s="22"/>
      <c r="V60" s="22"/>
      <c r="W60" s="22"/>
      <c r="X60" s="22"/>
      <c r="Y60" s="22"/>
    </row>
    <row r="61" spans="1:25" ht="13.5" customHeight="1">
      <c r="A61" s="22"/>
      <c r="B61" s="22"/>
      <c r="C61" s="22"/>
      <c r="D61" s="22"/>
      <c r="E61" s="22"/>
      <c r="F61" s="22"/>
      <c r="G61" s="37"/>
      <c r="H61" s="22"/>
      <c r="I61" s="22"/>
      <c r="J61" s="22"/>
      <c r="K61" s="22"/>
      <c r="L61" s="22"/>
      <c r="M61" s="22"/>
      <c r="N61" s="22"/>
      <c r="O61" s="22"/>
      <c r="P61" s="22"/>
      <c r="Q61" s="22"/>
      <c r="R61" s="22"/>
      <c r="S61" s="22"/>
      <c r="T61" s="22"/>
      <c r="U61" s="22"/>
      <c r="V61" s="22"/>
      <c r="W61" s="22"/>
      <c r="X61" s="22"/>
      <c r="Y61" s="22"/>
    </row>
    <row r="62" spans="1:25" ht="13.5" customHeight="1">
      <c r="A62" s="22"/>
      <c r="B62" s="22"/>
      <c r="C62" s="22"/>
      <c r="D62" s="22"/>
      <c r="E62" s="22"/>
      <c r="F62" s="22"/>
      <c r="G62" s="37"/>
      <c r="H62" s="22"/>
      <c r="I62" s="22"/>
      <c r="J62" s="22"/>
      <c r="K62" s="22"/>
      <c r="L62" s="22"/>
      <c r="M62" s="22"/>
      <c r="N62" s="22"/>
      <c r="O62" s="22"/>
      <c r="P62" s="22"/>
      <c r="Q62" s="22"/>
      <c r="R62" s="22"/>
      <c r="S62" s="22"/>
      <c r="T62" s="22"/>
      <c r="U62" s="22"/>
      <c r="V62" s="22"/>
      <c r="W62" s="22"/>
      <c r="X62" s="22"/>
      <c r="Y62" s="22"/>
    </row>
    <row r="63" spans="1:25" ht="13.5" customHeight="1">
      <c r="A63" s="22"/>
      <c r="B63" s="22"/>
      <c r="C63" s="22"/>
      <c r="D63" s="22"/>
      <c r="E63" s="22"/>
      <c r="F63" s="22"/>
      <c r="G63" s="37"/>
      <c r="H63" s="22"/>
      <c r="I63" s="22"/>
      <c r="J63" s="22"/>
      <c r="K63" s="22"/>
      <c r="L63" s="22"/>
      <c r="M63" s="22"/>
      <c r="N63" s="22"/>
      <c r="O63" s="22"/>
      <c r="P63" s="22"/>
      <c r="Q63" s="22"/>
      <c r="R63" s="22"/>
      <c r="S63" s="22"/>
      <c r="T63" s="22"/>
      <c r="U63" s="22"/>
      <c r="V63" s="22"/>
      <c r="W63" s="22"/>
      <c r="X63" s="22"/>
      <c r="Y63" s="22"/>
    </row>
    <row r="64" spans="1:25" ht="13.5" customHeight="1">
      <c r="A64" s="22"/>
      <c r="B64" s="22"/>
      <c r="C64" s="22"/>
      <c r="D64" s="22"/>
      <c r="E64" s="22"/>
      <c r="F64" s="22"/>
      <c r="G64" s="37"/>
      <c r="H64" s="22"/>
      <c r="I64" s="22"/>
      <c r="J64" s="22"/>
      <c r="K64" s="22"/>
      <c r="L64" s="22"/>
      <c r="M64" s="22"/>
      <c r="N64" s="22"/>
      <c r="O64" s="22"/>
      <c r="P64" s="22"/>
      <c r="Q64" s="22"/>
      <c r="R64" s="22"/>
      <c r="S64" s="22"/>
      <c r="T64" s="22"/>
      <c r="U64" s="22"/>
      <c r="V64" s="22"/>
      <c r="W64" s="22"/>
      <c r="X64" s="22"/>
      <c r="Y64" s="22"/>
    </row>
    <row r="65" spans="1:25" ht="13.5" customHeight="1">
      <c r="A65" s="22"/>
      <c r="B65" s="22"/>
      <c r="C65" s="22"/>
      <c r="D65" s="22"/>
      <c r="E65" s="22"/>
      <c r="F65" s="22"/>
      <c r="G65" s="37"/>
      <c r="H65" s="22"/>
      <c r="I65" s="22"/>
      <c r="J65" s="22"/>
      <c r="K65" s="22"/>
      <c r="L65" s="22"/>
      <c r="M65" s="22"/>
      <c r="N65" s="22"/>
      <c r="O65" s="22"/>
      <c r="P65" s="22"/>
      <c r="Q65" s="22"/>
      <c r="R65" s="22"/>
      <c r="S65" s="22"/>
      <c r="T65" s="22"/>
      <c r="U65" s="22"/>
      <c r="V65" s="22"/>
      <c r="W65" s="22"/>
      <c r="X65" s="22"/>
      <c r="Y65" s="22"/>
    </row>
    <row r="66" spans="1:25" ht="13.5" customHeight="1">
      <c r="A66" s="22"/>
      <c r="B66" s="22"/>
      <c r="C66" s="22"/>
      <c r="D66" s="22"/>
      <c r="E66" s="22"/>
      <c r="F66" s="22"/>
      <c r="G66" s="37"/>
      <c r="H66" s="22"/>
      <c r="I66" s="22"/>
      <c r="J66" s="22"/>
      <c r="K66" s="22"/>
      <c r="L66" s="22"/>
      <c r="M66" s="22"/>
      <c r="N66" s="22"/>
      <c r="O66" s="22"/>
      <c r="P66" s="22"/>
      <c r="Q66" s="22"/>
      <c r="R66" s="22"/>
      <c r="S66" s="22"/>
      <c r="T66" s="22"/>
      <c r="U66" s="22"/>
      <c r="V66" s="22"/>
      <c r="W66" s="22"/>
      <c r="X66" s="22"/>
      <c r="Y66" s="22"/>
    </row>
    <row r="67" spans="1:25" ht="13.5" customHeight="1">
      <c r="A67" s="22"/>
      <c r="B67" s="22"/>
      <c r="C67" s="22"/>
      <c r="D67" s="22"/>
      <c r="E67" s="22"/>
      <c r="F67" s="22"/>
      <c r="G67" s="37"/>
      <c r="H67" s="22"/>
      <c r="I67" s="22"/>
      <c r="J67" s="22"/>
      <c r="K67" s="22"/>
      <c r="L67" s="22"/>
      <c r="M67" s="22"/>
      <c r="N67" s="22"/>
      <c r="O67" s="22"/>
      <c r="P67" s="22"/>
      <c r="Q67" s="22"/>
      <c r="R67" s="22"/>
      <c r="S67" s="22"/>
      <c r="T67" s="22"/>
      <c r="U67" s="22"/>
      <c r="V67" s="22"/>
      <c r="W67" s="22"/>
      <c r="X67" s="22"/>
      <c r="Y67" s="22"/>
    </row>
    <row r="68" spans="1:25" ht="13.5" customHeight="1">
      <c r="A68" s="22"/>
      <c r="B68" s="22"/>
      <c r="C68" s="22"/>
      <c r="D68" s="22"/>
      <c r="E68" s="22"/>
      <c r="F68" s="22"/>
      <c r="G68" s="37"/>
      <c r="H68" s="22"/>
      <c r="I68" s="22"/>
      <c r="J68" s="22"/>
      <c r="K68" s="22"/>
      <c r="L68" s="22"/>
      <c r="M68" s="22"/>
      <c r="N68" s="22"/>
      <c r="O68" s="22"/>
      <c r="P68" s="22"/>
      <c r="Q68" s="22"/>
      <c r="R68" s="22"/>
      <c r="S68" s="22"/>
      <c r="T68" s="22"/>
      <c r="U68" s="22"/>
      <c r="V68" s="22"/>
      <c r="W68" s="22"/>
      <c r="X68" s="22"/>
      <c r="Y68" s="22"/>
    </row>
    <row r="69" spans="1:25" ht="13.5" customHeight="1">
      <c r="A69" s="22"/>
      <c r="B69" s="22"/>
      <c r="C69" s="22"/>
      <c r="D69" s="22"/>
      <c r="E69" s="22"/>
      <c r="F69" s="22"/>
      <c r="G69" s="37"/>
      <c r="H69" s="22"/>
      <c r="I69" s="22"/>
      <c r="J69" s="22"/>
      <c r="K69" s="22"/>
      <c r="L69" s="22"/>
      <c r="M69" s="22"/>
      <c r="N69" s="22"/>
      <c r="O69" s="22"/>
      <c r="P69" s="22"/>
      <c r="Q69" s="22"/>
      <c r="R69" s="22"/>
      <c r="S69" s="22"/>
      <c r="T69" s="22"/>
      <c r="U69" s="22"/>
      <c r="V69" s="22"/>
      <c r="W69" s="22"/>
      <c r="X69" s="22"/>
      <c r="Y69" s="22"/>
    </row>
    <row r="70" spans="1:25" ht="13.5" customHeight="1">
      <c r="A70" s="22"/>
      <c r="B70" s="22"/>
      <c r="C70" s="22"/>
      <c r="D70" s="22"/>
      <c r="E70" s="22"/>
      <c r="F70" s="22"/>
      <c r="G70" s="37"/>
      <c r="H70" s="22"/>
      <c r="I70" s="22"/>
      <c r="J70" s="22"/>
      <c r="K70" s="22"/>
      <c r="L70" s="22"/>
      <c r="M70" s="22"/>
      <c r="N70" s="22"/>
      <c r="O70" s="22"/>
      <c r="P70" s="22"/>
      <c r="Q70" s="22"/>
      <c r="R70" s="22"/>
      <c r="S70" s="22"/>
      <c r="T70" s="22"/>
      <c r="U70" s="22"/>
      <c r="V70" s="22"/>
      <c r="W70" s="22"/>
      <c r="X70" s="22"/>
      <c r="Y70" s="22"/>
    </row>
    <row r="71" spans="1:25" ht="13.5" customHeight="1">
      <c r="A71" s="22"/>
      <c r="B71" s="22"/>
      <c r="C71" s="22"/>
      <c r="D71" s="22"/>
      <c r="E71" s="22"/>
      <c r="F71" s="22"/>
      <c r="G71" s="37"/>
      <c r="H71" s="22"/>
      <c r="I71" s="22"/>
      <c r="J71" s="22"/>
      <c r="K71" s="22"/>
      <c r="L71" s="22"/>
      <c r="M71" s="22"/>
      <c r="N71" s="22"/>
      <c r="O71" s="22"/>
      <c r="P71" s="22"/>
      <c r="Q71" s="22"/>
      <c r="R71" s="22"/>
      <c r="S71" s="22"/>
      <c r="T71" s="22"/>
      <c r="U71" s="22"/>
      <c r="V71" s="22"/>
      <c r="W71" s="22"/>
      <c r="X71" s="22"/>
      <c r="Y71" s="22"/>
    </row>
    <row r="72" spans="1:25" ht="13.5" customHeight="1">
      <c r="A72" s="22"/>
      <c r="B72" s="22"/>
      <c r="C72" s="22"/>
      <c r="D72" s="22"/>
      <c r="E72" s="22"/>
      <c r="F72" s="22"/>
      <c r="G72" s="37"/>
      <c r="H72" s="22"/>
      <c r="I72" s="22"/>
      <c r="J72" s="22"/>
      <c r="K72" s="22"/>
      <c r="L72" s="22"/>
      <c r="M72" s="22"/>
      <c r="N72" s="22"/>
      <c r="O72" s="22"/>
      <c r="P72" s="22"/>
      <c r="Q72" s="22"/>
      <c r="R72" s="22"/>
      <c r="S72" s="22"/>
      <c r="T72" s="22"/>
      <c r="U72" s="22"/>
      <c r="V72" s="22"/>
      <c r="W72" s="22"/>
      <c r="X72" s="22"/>
      <c r="Y72" s="22"/>
    </row>
    <row r="73" spans="1:25" ht="13.5" customHeight="1">
      <c r="A73" s="22"/>
      <c r="B73" s="22"/>
      <c r="C73" s="22"/>
      <c r="D73" s="22"/>
      <c r="E73" s="22"/>
      <c r="F73" s="22"/>
      <c r="G73" s="37"/>
      <c r="H73" s="22"/>
      <c r="I73" s="22"/>
      <c r="J73" s="22"/>
      <c r="K73" s="22"/>
      <c r="L73" s="22"/>
      <c r="M73" s="22"/>
      <c r="N73" s="22"/>
      <c r="O73" s="22"/>
      <c r="P73" s="22"/>
      <c r="Q73" s="22"/>
      <c r="R73" s="22"/>
      <c r="S73" s="22"/>
      <c r="T73" s="22"/>
      <c r="U73" s="22"/>
      <c r="V73" s="22"/>
      <c r="W73" s="22"/>
      <c r="X73" s="22"/>
      <c r="Y73" s="22"/>
    </row>
    <row r="74" spans="1:25" ht="13.5" customHeight="1">
      <c r="A74" s="22"/>
      <c r="B74" s="22"/>
      <c r="C74" s="22"/>
      <c r="D74" s="22"/>
      <c r="E74" s="22"/>
      <c r="F74" s="22"/>
      <c r="G74" s="37"/>
      <c r="H74" s="22"/>
      <c r="I74" s="22"/>
      <c r="J74" s="22"/>
      <c r="K74" s="22"/>
      <c r="L74" s="22"/>
      <c r="M74" s="22"/>
      <c r="N74" s="22"/>
      <c r="O74" s="22"/>
      <c r="P74" s="22"/>
      <c r="Q74" s="22"/>
      <c r="R74" s="22"/>
      <c r="S74" s="22"/>
      <c r="T74" s="22"/>
      <c r="U74" s="22"/>
      <c r="V74" s="22"/>
      <c r="W74" s="22"/>
      <c r="X74" s="22"/>
      <c r="Y74" s="22"/>
    </row>
    <row r="75" spans="1:25" ht="13.5" customHeight="1">
      <c r="A75" s="22"/>
      <c r="B75" s="22"/>
      <c r="C75" s="22"/>
      <c r="D75" s="22"/>
      <c r="E75" s="22"/>
      <c r="F75" s="22"/>
      <c r="G75" s="37"/>
      <c r="H75" s="22"/>
      <c r="I75" s="22"/>
      <c r="J75" s="22"/>
      <c r="K75" s="22"/>
      <c r="L75" s="22"/>
      <c r="M75" s="22"/>
      <c r="N75" s="22"/>
      <c r="O75" s="22"/>
      <c r="P75" s="22"/>
      <c r="Q75" s="22"/>
      <c r="R75" s="22"/>
      <c r="S75" s="22"/>
      <c r="T75" s="22"/>
      <c r="U75" s="22"/>
      <c r="V75" s="22"/>
      <c r="W75" s="22"/>
      <c r="X75" s="22"/>
      <c r="Y75" s="22"/>
    </row>
    <row r="76" spans="1:25" ht="13.5" customHeight="1">
      <c r="A76" s="22"/>
      <c r="B76" s="22"/>
      <c r="C76" s="22"/>
      <c r="D76" s="22"/>
      <c r="E76" s="22"/>
      <c r="F76" s="22"/>
      <c r="G76" s="37"/>
      <c r="H76" s="22"/>
      <c r="I76" s="22"/>
      <c r="J76" s="22"/>
      <c r="K76" s="22"/>
      <c r="L76" s="22"/>
      <c r="M76" s="22"/>
      <c r="N76" s="22"/>
      <c r="O76" s="22"/>
      <c r="P76" s="22"/>
      <c r="Q76" s="22"/>
      <c r="R76" s="22"/>
      <c r="S76" s="22"/>
      <c r="T76" s="22"/>
      <c r="U76" s="22"/>
      <c r="V76" s="22"/>
      <c r="W76" s="22"/>
      <c r="X76" s="22"/>
      <c r="Y76" s="22"/>
    </row>
    <row r="77" spans="1:25" ht="13.5" customHeight="1">
      <c r="A77" s="22"/>
      <c r="B77" s="22"/>
      <c r="C77" s="22"/>
      <c r="D77" s="22"/>
      <c r="E77" s="22"/>
      <c r="F77" s="22"/>
      <c r="G77" s="37"/>
      <c r="H77" s="22"/>
      <c r="I77" s="22"/>
      <c r="J77" s="22"/>
      <c r="K77" s="22"/>
      <c r="L77" s="22"/>
      <c r="M77" s="22"/>
      <c r="N77" s="22"/>
      <c r="O77" s="22"/>
      <c r="P77" s="22"/>
      <c r="Q77" s="22"/>
      <c r="R77" s="22"/>
      <c r="S77" s="22"/>
      <c r="T77" s="22"/>
      <c r="U77" s="22"/>
      <c r="V77" s="22"/>
      <c r="W77" s="22"/>
      <c r="X77" s="22"/>
      <c r="Y77" s="22"/>
    </row>
    <row r="78" spans="1:25" ht="13.5" customHeight="1">
      <c r="A78" s="22"/>
      <c r="B78" s="22"/>
      <c r="C78" s="22"/>
      <c r="D78" s="22"/>
      <c r="E78" s="22"/>
      <c r="F78" s="22"/>
      <c r="G78" s="37"/>
      <c r="H78" s="22"/>
      <c r="I78" s="22"/>
      <c r="J78" s="22"/>
      <c r="K78" s="22"/>
      <c r="L78" s="22"/>
      <c r="M78" s="22"/>
      <c r="N78" s="22"/>
      <c r="O78" s="22"/>
      <c r="P78" s="22"/>
      <c r="Q78" s="22"/>
      <c r="R78" s="22"/>
      <c r="S78" s="22"/>
      <c r="T78" s="22"/>
      <c r="U78" s="22"/>
      <c r="V78" s="22"/>
      <c r="W78" s="22"/>
      <c r="X78" s="22"/>
      <c r="Y78" s="22"/>
    </row>
    <row r="79" spans="1:25" ht="13.5" customHeight="1">
      <c r="A79" s="22"/>
      <c r="B79" s="22"/>
      <c r="C79" s="22"/>
      <c r="D79" s="22"/>
      <c r="E79" s="22"/>
      <c r="F79" s="22"/>
      <c r="G79" s="37"/>
      <c r="H79" s="22"/>
      <c r="I79" s="22"/>
      <c r="J79" s="22"/>
      <c r="K79" s="22"/>
      <c r="L79" s="22"/>
      <c r="M79" s="22"/>
      <c r="N79" s="22"/>
      <c r="O79" s="22"/>
      <c r="P79" s="22"/>
      <c r="Q79" s="22"/>
      <c r="R79" s="22"/>
      <c r="S79" s="22"/>
      <c r="T79" s="22"/>
      <c r="U79" s="22"/>
      <c r="V79" s="22"/>
      <c r="W79" s="22"/>
      <c r="X79" s="22"/>
      <c r="Y79" s="22"/>
    </row>
    <row r="80" spans="1:25" ht="13.5" customHeight="1">
      <c r="A80" s="22"/>
      <c r="B80" s="22"/>
      <c r="C80" s="22"/>
      <c r="D80" s="22"/>
      <c r="E80" s="22"/>
      <c r="F80" s="22"/>
      <c r="G80" s="37"/>
      <c r="H80" s="22"/>
      <c r="I80" s="22"/>
      <c r="J80" s="22"/>
      <c r="K80" s="22"/>
      <c r="L80" s="22"/>
      <c r="M80" s="22"/>
      <c r="N80" s="22"/>
      <c r="O80" s="22"/>
      <c r="P80" s="22"/>
      <c r="Q80" s="22"/>
      <c r="R80" s="22"/>
      <c r="S80" s="22"/>
      <c r="T80" s="22"/>
      <c r="U80" s="22"/>
      <c r="V80" s="22"/>
      <c r="W80" s="22"/>
      <c r="X80" s="22"/>
      <c r="Y80" s="22"/>
    </row>
    <row r="81" spans="1:25" ht="13.5" customHeight="1">
      <c r="A81" s="22"/>
      <c r="B81" s="22"/>
      <c r="C81" s="22"/>
      <c r="D81" s="22"/>
      <c r="E81" s="22"/>
      <c r="F81" s="22"/>
      <c r="G81" s="37"/>
      <c r="H81" s="22"/>
      <c r="I81" s="22"/>
      <c r="J81" s="22"/>
      <c r="K81" s="22"/>
      <c r="L81" s="22"/>
      <c r="M81" s="22"/>
      <c r="N81" s="22"/>
      <c r="O81" s="22"/>
      <c r="P81" s="22"/>
      <c r="Q81" s="22"/>
      <c r="R81" s="22"/>
      <c r="S81" s="22"/>
      <c r="T81" s="22"/>
      <c r="U81" s="22"/>
      <c r="V81" s="22"/>
      <c r="W81" s="22"/>
      <c r="X81" s="22"/>
      <c r="Y81" s="22"/>
    </row>
    <row r="82" spans="1:25" ht="13.5" customHeight="1">
      <c r="A82" s="22"/>
      <c r="B82" s="22"/>
      <c r="C82" s="22"/>
      <c r="D82" s="22"/>
      <c r="E82" s="22"/>
      <c r="F82" s="22"/>
      <c r="G82" s="37"/>
      <c r="H82" s="22"/>
      <c r="I82" s="22"/>
      <c r="J82" s="22"/>
      <c r="K82" s="22"/>
      <c r="L82" s="22"/>
      <c r="M82" s="22"/>
      <c r="N82" s="22"/>
      <c r="O82" s="22"/>
      <c r="P82" s="22"/>
      <c r="Q82" s="22"/>
      <c r="R82" s="22"/>
      <c r="S82" s="22"/>
      <c r="T82" s="22"/>
      <c r="U82" s="22"/>
      <c r="V82" s="22"/>
      <c r="W82" s="22"/>
      <c r="X82" s="22"/>
      <c r="Y82" s="22"/>
    </row>
    <row r="83" spans="1:25" ht="13.5" customHeight="1">
      <c r="A83" s="22"/>
      <c r="B83" s="22"/>
      <c r="C83" s="22"/>
      <c r="D83" s="22"/>
      <c r="E83" s="22"/>
      <c r="F83" s="22"/>
      <c r="G83" s="37"/>
      <c r="H83" s="22"/>
      <c r="I83" s="22"/>
      <c r="J83" s="22"/>
      <c r="K83" s="22"/>
      <c r="L83" s="22"/>
      <c r="M83" s="22"/>
      <c r="N83" s="22"/>
      <c r="O83" s="22"/>
      <c r="P83" s="22"/>
      <c r="Q83" s="22"/>
      <c r="R83" s="22"/>
      <c r="S83" s="22"/>
      <c r="T83" s="22"/>
      <c r="U83" s="22"/>
      <c r="V83" s="22"/>
      <c r="W83" s="22"/>
      <c r="X83" s="22"/>
      <c r="Y83" s="22"/>
    </row>
    <row r="84" spans="1:25" ht="13.5" customHeight="1">
      <c r="A84" s="22"/>
      <c r="B84" s="22"/>
      <c r="C84" s="22"/>
      <c r="D84" s="22"/>
      <c r="E84" s="22"/>
      <c r="F84" s="22"/>
      <c r="G84" s="37"/>
      <c r="H84" s="22"/>
      <c r="I84" s="22"/>
      <c r="J84" s="22"/>
      <c r="K84" s="22"/>
      <c r="L84" s="22"/>
      <c r="M84" s="22"/>
      <c r="N84" s="22"/>
      <c r="O84" s="22"/>
      <c r="P84" s="22"/>
      <c r="Q84" s="22"/>
      <c r="R84" s="22"/>
      <c r="S84" s="22"/>
      <c r="T84" s="22"/>
      <c r="U84" s="22"/>
      <c r="V84" s="22"/>
      <c r="W84" s="22"/>
      <c r="X84" s="22"/>
      <c r="Y84" s="22"/>
    </row>
    <row r="85" spans="1:25" ht="13.5" customHeight="1">
      <c r="A85" s="22"/>
      <c r="B85" s="22"/>
      <c r="C85" s="22"/>
      <c r="D85" s="22"/>
      <c r="E85" s="22"/>
      <c r="F85" s="22"/>
      <c r="G85" s="37"/>
      <c r="H85" s="22"/>
      <c r="I85" s="22"/>
      <c r="J85" s="22"/>
      <c r="K85" s="22"/>
      <c r="L85" s="22"/>
      <c r="M85" s="22"/>
      <c r="N85" s="22"/>
      <c r="O85" s="22"/>
      <c r="P85" s="22"/>
      <c r="Q85" s="22"/>
      <c r="R85" s="22"/>
      <c r="S85" s="22"/>
      <c r="T85" s="22"/>
      <c r="U85" s="22"/>
      <c r="V85" s="22"/>
      <c r="W85" s="22"/>
      <c r="X85" s="22"/>
      <c r="Y85" s="22"/>
    </row>
    <row r="86" spans="1:25" ht="13.5" customHeight="1">
      <c r="A86" s="22"/>
      <c r="B86" s="22"/>
      <c r="C86" s="22"/>
      <c r="D86" s="22"/>
      <c r="E86" s="22"/>
      <c r="F86" s="22"/>
      <c r="G86" s="37"/>
      <c r="H86" s="22"/>
      <c r="I86" s="22"/>
      <c r="J86" s="22"/>
      <c r="K86" s="22"/>
      <c r="L86" s="22"/>
      <c r="M86" s="22"/>
      <c r="N86" s="22"/>
      <c r="O86" s="22"/>
      <c r="P86" s="22"/>
      <c r="Q86" s="22"/>
      <c r="R86" s="22"/>
      <c r="S86" s="22"/>
      <c r="T86" s="22"/>
      <c r="U86" s="22"/>
      <c r="V86" s="22"/>
      <c r="W86" s="22"/>
      <c r="X86" s="22"/>
      <c r="Y86" s="22"/>
    </row>
    <row r="87" spans="1:25" ht="13.5" customHeight="1">
      <c r="A87" s="22"/>
      <c r="B87" s="22"/>
      <c r="C87" s="22"/>
      <c r="D87" s="22"/>
      <c r="E87" s="22"/>
      <c r="F87" s="22"/>
      <c r="G87" s="37"/>
      <c r="H87" s="22"/>
      <c r="I87" s="22"/>
      <c r="J87" s="22"/>
      <c r="K87" s="22"/>
      <c r="L87" s="22"/>
      <c r="M87" s="22"/>
      <c r="N87" s="22"/>
      <c r="O87" s="22"/>
      <c r="P87" s="22"/>
      <c r="Q87" s="22"/>
      <c r="R87" s="22"/>
      <c r="S87" s="22"/>
      <c r="T87" s="22"/>
      <c r="U87" s="22"/>
      <c r="V87" s="22"/>
      <c r="W87" s="22"/>
      <c r="X87" s="22"/>
      <c r="Y87" s="22"/>
    </row>
    <row r="88" spans="1:25" ht="13.5" customHeight="1">
      <c r="A88" s="22"/>
      <c r="B88" s="22"/>
      <c r="C88" s="22"/>
      <c r="D88" s="22"/>
      <c r="E88" s="22"/>
      <c r="F88" s="22"/>
      <c r="G88" s="37"/>
      <c r="H88" s="22"/>
      <c r="I88" s="22"/>
      <c r="J88" s="22"/>
      <c r="K88" s="22"/>
      <c r="L88" s="22"/>
      <c r="M88" s="22"/>
      <c r="N88" s="22"/>
      <c r="O88" s="22"/>
      <c r="P88" s="22"/>
      <c r="Q88" s="22"/>
      <c r="R88" s="22"/>
      <c r="S88" s="22"/>
      <c r="T88" s="22"/>
      <c r="U88" s="22"/>
      <c r="V88" s="22"/>
      <c r="W88" s="22"/>
      <c r="X88" s="22"/>
      <c r="Y88" s="22"/>
    </row>
    <row r="89" spans="1:25" ht="13.5" customHeight="1">
      <c r="A89" s="22"/>
      <c r="B89" s="22"/>
      <c r="C89" s="22"/>
      <c r="D89" s="22"/>
      <c r="E89" s="22"/>
      <c r="F89" s="22"/>
      <c r="G89" s="37"/>
      <c r="H89" s="22"/>
      <c r="I89" s="22"/>
      <c r="J89" s="22"/>
      <c r="K89" s="22"/>
      <c r="L89" s="22"/>
      <c r="M89" s="22"/>
      <c r="N89" s="22"/>
      <c r="O89" s="22"/>
      <c r="P89" s="22"/>
      <c r="Q89" s="22"/>
      <c r="R89" s="22"/>
      <c r="S89" s="22"/>
      <c r="T89" s="22"/>
      <c r="U89" s="22"/>
      <c r="V89" s="22"/>
      <c r="W89" s="22"/>
      <c r="X89" s="22"/>
      <c r="Y89" s="22"/>
    </row>
    <row r="90" spans="1:25" ht="13.5" customHeight="1">
      <c r="A90" s="22"/>
      <c r="B90" s="22"/>
      <c r="C90" s="22"/>
      <c r="D90" s="22"/>
      <c r="E90" s="22"/>
      <c r="F90" s="22"/>
      <c r="G90" s="37"/>
      <c r="H90" s="22"/>
      <c r="I90" s="22"/>
      <c r="J90" s="22"/>
      <c r="K90" s="22"/>
      <c r="L90" s="22"/>
      <c r="M90" s="22"/>
      <c r="N90" s="22"/>
      <c r="O90" s="22"/>
      <c r="P90" s="22"/>
      <c r="Q90" s="22"/>
      <c r="R90" s="22"/>
      <c r="S90" s="22"/>
      <c r="T90" s="22"/>
      <c r="U90" s="22"/>
      <c r="V90" s="22"/>
      <c r="W90" s="22"/>
      <c r="X90" s="22"/>
      <c r="Y90" s="22"/>
    </row>
    <row r="91" spans="1:25" ht="13.5" customHeight="1">
      <c r="A91" s="22"/>
      <c r="B91" s="22"/>
      <c r="C91" s="22"/>
      <c r="D91" s="22"/>
      <c r="E91" s="22"/>
      <c r="F91" s="22"/>
      <c r="G91" s="37"/>
      <c r="H91" s="22"/>
      <c r="I91" s="22"/>
      <c r="J91" s="22"/>
      <c r="K91" s="22"/>
      <c r="L91" s="22"/>
      <c r="M91" s="22"/>
      <c r="N91" s="22"/>
      <c r="O91" s="22"/>
      <c r="P91" s="22"/>
      <c r="Q91" s="22"/>
      <c r="R91" s="22"/>
      <c r="S91" s="22"/>
      <c r="T91" s="22"/>
      <c r="U91" s="22"/>
      <c r="V91" s="22"/>
      <c r="W91" s="22"/>
      <c r="X91" s="22"/>
      <c r="Y91" s="22"/>
    </row>
    <row r="92" spans="1:25" ht="13.5" customHeight="1">
      <c r="A92" s="22"/>
      <c r="B92" s="22"/>
      <c r="C92" s="22"/>
      <c r="D92" s="22"/>
      <c r="E92" s="22"/>
      <c r="F92" s="22"/>
      <c r="G92" s="37"/>
      <c r="H92" s="22"/>
      <c r="I92" s="22"/>
      <c r="J92" s="22"/>
      <c r="K92" s="22"/>
      <c r="L92" s="22"/>
      <c r="M92" s="22"/>
      <c r="N92" s="22"/>
      <c r="O92" s="22"/>
      <c r="P92" s="22"/>
      <c r="Q92" s="22"/>
      <c r="R92" s="22"/>
      <c r="S92" s="22"/>
      <c r="T92" s="22"/>
      <c r="U92" s="22"/>
      <c r="V92" s="22"/>
      <c r="W92" s="22"/>
      <c r="X92" s="22"/>
      <c r="Y92" s="22"/>
    </row>
    <row r="93" spans="1:25" ht="13.5" customHeight="1">
      <c r="A93" s="22"/>
      <c r="B93" s="22"/>
      <c r="C93" s="22"/>
      <c r="D93" s="22"/>
      <c r="E93" s="22"/>
      <c r="F93" s="22"/>
      <c r="G93" s="37"/>
      <c r="H93" s="22"/>
      <c r="I93" s="22"/>
      <c r="J93" s="22"/>
      <c r="K93" s="22"/>
      <c r="L93" s="22"/>
      <c r="M93" s="22"/>
      <c r="N93" s="22"/>
      <c r="O93" s="22"/>
      <c r="P93" s="22"/>
      <c r="Q93" s="22"/>
      <c r="R93" s="22"/>
      <c r="S93" s="22"/>
      <c r="T93" s="22"/>
      <c r="U93" s="22"/>
      <c r="V93" s="22"/>
      <c r="W93" s="22"/>
      <c r="X93" s="22"/>
      <c r="Y93" s="22"/>
    </row>
    <row r="94" spans="1:25" ht="13.5" customHeight="1">
      <c r="A94" s="22"/>
      <c r="B94" s="22"/>
      <c r="C94" s="22"/>
      <c r="D94" s="22"/>
      <c r="E94" s="22"/>
      <c r="F94" s="22"/>
      <c r="G94" s="37"/>
      <c r="H94" s="22"/>
      <c r="I94" s="22"/>
      <c r="J94" s="22"/>
      <c r="K94" s="22"/>
      <c r="L94" s="22"/>
      <c r="M94" s="22"/>
      <c r="N94" s="22"/>
      <c r="O94" s="22"/>
      <c r="P94" s="22"/>
      <c r="Q94" s="22"/>
      <c r="R94" s="22"/>
      <c r="S94" s="22"/>
      <c r="T94" s="22"/>
      <c r="U94" s="22"/>
      <c r="V94" s="22"/>
      <c r="W94" s="22"/>
      <c r="X94" s="22"/>
      <c r="Y94" s="22"/>
    </row>
    <row r="95" spans="1:25" ht="13.5" customHeight="1">
      <c r="A95" s="22"/>
      <c r="B95" s="22"/>
      <c r="C95" s="22"/>
      <c r="D95" s="22"/>
      <c r="E95" s="22"/>
      <c r="F95" s="22"/>
      <c r="G95" s="37"/>
      <c r="H95" s="22"/>
      <c r="I95" s="22"/>
      <c r="J95" s="22"/>
      <c r="K95" s="22"/>
      <c r="L95" s="22"/>
      <c r="M95" s="22"/>
      <c r="N95" s="22"/>
      <c r="O95" s="22"/>
      <c r="P95" s="22"/>
      <c r="Q95" s="22"/>
      <c r="R95" s="22"/>
      <c r="S95" s="22"/>
      <c r="T95" s="22"/>
      <c r="U95" s="22"/>
      <c r="V95" s="22"/>
      <c r="W95" s="22"/>
      <c r="X95" s="22"/>
      <c r="Y95" s="22"/>
    </row>
    <row r="96" spans="1:25" ht="13.5" customHeight="1">
      <c r="A96" s="22"/>
      <c r="B96" s="22"/>
      <c r="C96" s="22"/>
      <c r="D96" s="22"/>
      <c r="E96" s="22"/>
      <c r="F96" s="22"/>
      <c r="G96" s="37"/>
      <c r="H96" s="22"/>
      <c r="I96" s="22"/>
      <c r="J96" s="22"/>
      <c r="K96" s="22"/>
      <c r="L96" s="22"/>
      <c r="M96" s="22"/>
      <c r="N96" s="22"/>
      <c r="O96" s="22"/>
      <c r="P96" s="22"/>
      <c r="Q96" s="22"/>
      <c r="R96" s="22"/>
      <c r="S96" s="22"/>
      <c r="T96" s="22"/>
      <c r="U96" s="22"/>
      <c r="V96" s="22"/>
      <c r="W96" s="22"/>
      <c r="X96" s="22"/>
      <c r="Y96" s="22"/>
    </row>
    <row r="97" spans="1:25" ht="13.5" customHeight="1">
      <c r="A97" s="22"/>
      <c r="B97" s="22"/>
      <c r="C97" s="22"/>
      <c r="D97" s="22"/>
      <c r="E97" s="22"/>
      <c r="F97" s="22"/>
      <c r="G97" s="37"/>
      <c r="H97" s="22"/>
      <c r="I97" s="22"/>
      <c r="J97" s="22"/>
      <c r="K97" s="22"/>
      <c r="L97" s="22"/>
      <c r="M97" s="22"/>
      <c r="N97" s="22"/>
      <c r="O97" s="22"/>
      <c r="P97" s="22"/>
      <c r="Q97" s="22"/>
      <c r="R97" s="22"/>
      <c r="S97" s="22"/>
      <c r="T97" s="22"/>
      <c r="U97" s="22"/>
      <c r="V97" s="22"/>
      <c r="W97" s="22"/>
      <c r="X97" s="22"/>
      <c r="Y97" s="22"/>
    </row>
    <row r="98" spans="1:25" ht="13.5" customHeight="1">
      <c r="A98" s="22"/>
      <c r="B98" s="22"/>
      <c r="C98" s="22"/>
      <c r="D98" s="22"/>
      <c r="E98" s="22"/>
      <c r="F98" s="22"/>
      <c r="G98" s="37"/>
      <c r="H98" s="22"/>
      <c r="I98" s="22"/>
      <c r="J98" s="22"/>
      <c r="K98" s="22"/>
      <c r="L98" s="22"/>
      <c r="M98" s="22"/>
      <c r="N98" s="22"/>
      <c r="O98" s="22"/>
      <c r="P98" s="22"/>
      <c r="Q98" s="22"/>
      <c r="R98" s="22"/>
      <c r="S98" s="22"/>
      <c r="T98" s="22"/>
      <c r="U98" s="22"/>
      <c r="V98" s="22"/>
      <c r="W98" s="22"/>
      <c r="X98" s="22"/>
      <c r="Y98" s="22"/>
    </row>
    <row r="99" spans="1:25" ht="13.5" customHeight="1">
      <c r="A99" s="22"/>
      <c r="B99" s="22"/>
      <c r="C99" s="22"/>
      <c r="D99" s="22"/>
      <c r="E99" s="22"/>
      <c r="F99" s="22"/>
      <c r="G99" s="37"/>
      <c r="H99" s="22"/>
      <c r="I99" s="22"/>
      <c r="J99" s="22"/>
      <c r="K99" s="22"/>
      <c r="L99" s="22"/>
      <c r="M99" s="22"/>
      <c r="N99" s="22"/>
      <c r="O99" s="22"/>
      <c r="P99" s="22"/>
      <c r="Q99" s="22"/>
      <c r="R99" s="22"/>
      <c r="S99" s="22"/>
      <c r="T99" s="22"/>
      <c r="U99" s="22"/>
      <c r="V99" s="22"/>
      <c r="W99" s="22"/>
      <c r="X99" s="22"/>
      <c r="Y99" s="22"/>
    </row>
    <row r="100" spans="1:25" ht="13.5" customHeight="1">
      <c r="A100" s="22"/>
      <c r="B100" s="22"/>
      <c r="C100" s="22"/>
      <c r="D100" s="22"/>
      <c r="E100" s="22"/>
      <c r="F100" s="22"/>
      <c r="G100" s="37"/>
      <c r="H100" s="22"/>
      <c r="I100" s="22"/>
      <c r="J100" s="22"/>
      <c r="K100" s="22"/>
      <c r="L100" s="22"/>
      <c r="M100" s="22"/>
      <c r="N100" s="22"/>
      <c r="O100" s="22"/>
      <c r="P100" s="22"/>
      <c r="Q100" s="22"/>
      <c r="R100" s="22"/>
      <c r="S100" s="22"/>
      <c r="T100" s="22"/>
      <c r="U100" s="22"/>
      <c r="V100" s="22"/>
      <c r="W100" s="22"/>
      <c r="X100" s="22"/>
      <c r="Y100" s="22"/>
    </row>
    <row r="101" spans="1:25" ht="13.5" customHeight="1">
      <c r="A101" s="22"/>
      <c r="B101" s="22"/>
      <c r="C101" s="22"/>
      <c r="D101" s="22"/>
      <c r="E101" s="22"/>
      <c r="F101" s="22"/>
      <c r="G101" s="37"/>
      <c r="H101" s="22"/>
      <c r="I101" s="22"/>
      <c r="J101" s="22"/>
      <c r="K101" s="22"/>
      <c r="L101" s="22"/>
      <c r="M101" s="22"/>
      <c r="N101" s="22"/>
      <c r="O101" s="22"/>
      <c r="P101" s="22"/>
      <c r="Q101" s="22"/>
      <c r="R101" s="22"/>
      <c r="S101" s="22"/>
      <c r="T101" s="22"/>
      <c r="U101" s="22"/>
      <c r="V101" s="22"/>
      <c r="W101" s="22"/>
      <c r="X101" s="22"/>
      <c r="Y101" s="22"/>
    </row>
    <row r="102" spans="1:25" ht="13.5" customHeight="1">
      <c r="A102" s="22"/>
      <c r="B102" s="22"/>
      <c r="C102" s="22"/>
      <c r="D102" s="22"/>
      <c r="E102" s="22"/>
      <c r="F102" s="22"/>
      <c r="G102" s="37"/>
      <c r="H102" s="22"/>
      <c r="I102" s="22"/>
      <c r="J102" s="22"/>
      <c r="K102" s="22"/>
      <c r="L102" s="22"/>
      <c r="M102" s="22"/>
      <c r="N102" s="22"/>
      <c r="O102" s="22"/>
      <c r="P102" s="22"/>
      <c r="Q102" s="22"/>
      <c r="R102" s="22"/>
      <c r="S102" s="22"/>
      <c r="T102" s="22"/>
      <c r="U102" s="22"/>
      <c r="V102" s="22"/>
      <c r="W102" s="22"/>
      <c r="X102" s="22"/>
      <c r="Y102" s="22"/>
    </row>
    <row r="103" spans="1:25" ht="13.5" customHeight="1">
      <c r="A103" s="22"/>
      <c r="B103" s="22"/>
      <c r="C103" s="22"/>
      <c r="D103" s="22"/>
      <c r="E103" s="22"/>
      <c r="F103" s="22"/>
      <c r="G103" s="37"/>
      <c r="H103" s="22"/>
      <c r="I103" s="22"/>
      <c r="J103" s="22"/>
      <c r="K103" s="22"/>
      <c r="L103" s="22"/>
      <c r="M103" s="22"/>
      <c r="N103" s="22"/>
      <c r="O103" s="22"/>
      <c r="P103" s="22"/>
      <c r="Q103" s="22"/>
      <c r="R103" s="22"/>
      <c r="S103" s="22"/>
      <c r="T103" s="22"/>
      <c r="U103" s="22"/>
      <c r="V103" s="22"/>
      <c r="W103" s="22"/>
      <c r="X103" s="22"/>
      <c r="Y103" s="22"/>
    </row>
    <row r="104" spans="1:25" ht="13.5" customHeight="1">
      <c r="A104" s="22"/>
      <c r="B104" s="22"/>
      <c r="C104" s="22"/>
      <c r="D104" s="22"/>
      <c r="E104" s="22"/>
      <c r="F104" s="22"/>
      <c r="G104" s="37"/>
      <c r="H104" s="22"/>
      <c r="I104" s="22"/>
      <c r="J104" s="22"/>
      <c r="K104" s="22"/>
      <c r="L104" s="22"/>
      <c r="M104" s="22"/>
      <c r="N104" s="22"/>
      <c r="O104" s="22"/>
      <c r="P104" s="22"/>
      <c r="Q104" s="22"/>
      <c r="R104" s="22"/>
      <c r="S104" s="22"/>
      <c r="T104" s="22"/>
      <c r="U104" s="22"/>
      <c r="V104" s="22"/>
      <c r="W104" s="22"/>
      <c r="X104" s="22"/>
      <c r="Y104" s="22"/>
    </row>
    <row r="105" spans="1:25" ht="13.5" customHeight="1">
      <c r="A105" s="22"/>
      <c r="B105" s="22"/>
      <c r="C105" s="22"/>
      <c r="D105" s="22"/>
      <c r="E105" s="22"/>
      <c r="F105" s="22"/>
      <c r="G105" s="37"/>
      <c r="H105" s="22"/>
      <c r="I105" s="22"/>
      <c r="J105" s="22"/>
      <c r="K105" s="22"/>
      <c r="L105" s="22"/>
      <c r="M105" s="22"/>
      <c r="N105" s="22"/>
      <c r="O105" s="22"/>
      <c r="P105" s="22"/>
      <c r="Q105" s="22"/>
      <c r="R105" s="22"/>
      <c r="S105" s="22"/>
      <c r="T105" s="22"/>
      <c r="U105" s="22"/>
      <c r="V105" s="22"/>
      <c r="W105" s="22"/>
      <c r="X105" s="22"/>
      <c r="Y105" s="22"/>
    </row>
    <row r="106" spans="1:25" ht="13.5" customHeight="1">
      <c r="A106" s="22"/>
      <c r="B106" s="22"/>
      <c r="C106" s="22"/>
      <c r="D106" s="22"/>
      <c r="E106" s="22"/>
      <c r="F106" s="22"/>
      <c r="G106" s="37"/>
      <c r="H106" s="22"/>
      <c r="I106" s="22"/>
      <c r="J106" s="22"/>
      <c r="K106" s="22"/>
      <c r="L106" s="22"/>
      <c r="M106" s="22"/>
      <c r="N106" s="22"/>
      <c r="O106" s="22"/>
      <c r="P106" s="22"/>
      <c r="Q106" s="22"/>
      <c r="R106" s="22"/>
      <c r="S106" s="22"/>
      <c r="T106" s="22"/>
      <c r="U106" s="22"/>
      <c r="V106" s="22"/>
      <c r="W106" s="22"/>
      <c r="X106" s="22"/>
      <c r="Y106" s="22"/>
    </row>
    <row r="107" spans="1:25" ht="13.5" customHeight="1">
      <c r="A107" s="22"/>
      <c r="B107" s="22"/>
      <c r="C107" s="22"/>
      <c r="D107" s="22"/>
      <c r="E107" s="22"/>
      <c r="F107" s="22"/>
      <c r="G107" s="37"/>
      <c r="H107" s="22"/>
      <c r="I107" s="22"/>
      <c r="J107" s="22"/>
      <c r="K107" s="22"/>
      <c r="L107" s="22"/>
      <c r="M107" s="22"/>
      <c r="N107" s="22"/>
      <c r="O107" s="22"/>
      <c r="P107" s="22"/>
      <c r="Q107" s="22"/>
      <c r="R107" s="22"/>
      <c r="S107" s="22"/>
      <c r="T107" s="22"/>
      <c r="U107" s="22"/>
      <c r="V107" s="22"/>
      <c r="W107" s="22"/>
      <c r="X107" s="22"/>
      <c r="Y107" s="22"/>
    </row>
    <row r="108" spans="1:25" ht="13.5" customHeight="1">
      <c r="A108" s="22"/>
      <c r="B108" s="22"/>
      <c r="C108" s="22"/>
      <c r="D108" s="22"/>
      <c r="E108" s="22"/>
      <c r="F108" s="22"/>
      <c r="G108" s="37"/>
      <c r="H108" s="22"/>
      <c r="I108" s="22"/>
      <c r="J108" s="22"/>
      <c r="K108" s="22"/>
      <c r="L108" s="22"/>
      <c r="M108" s="22"/>
      <c r="N108" s="22"/>
      <c r="O108" s="22"/>
      <c r="P108" s="22"/>
      <c r="Q108" s="22"/>
      <c r="R108" s="22"/>
      <c r="S108" s="22"/>
      <c r="T108" s="22"/>
      <c r="U108" s="22"/>
      <c r="V108" s="22"/>
      <c r="W108" s="22"/>
      <c r="X108" s="22"/>
      <c r="Y108" s="22"/>
    </row>
    <row r="109" spans="1:25" ht="13.5" customHeight="1">
      <c r="A109" s="22"/>
      <c r="B109" s="22"/>
      <c r="C109" s="22"/>
      <c r="D109" s="22"/>
      <c r="E109" s="22"/>
      <c r="F109" s="22"/>
      <c r="G109" s="37"/>
      <c r="H109" s="22"/>
      <c r="I109" s="22"/>
      <c r="J109" s="22"/>
      <c r="K109" s="22"/>
      <c r="L109" s="22"/>
      <c r="M109" s="22"/>
      <c r="N109" s="22"/>
      <c r="O109" s="22"/>
      <c r="P109" s="22"/>
      <c r="Q109" s="22"/>
      <c r="R109" s="22"/>
      <c r="S109" s="22"/>
      <c r="T109" s="22"/>
      <c r="U109" s="22"/>
      <c r="V109" s="22"/>
      <c r="W109" s="22"/>
      <c r="X109" s="22"/>
      <c r="Y109" s="22"/>
    </row>
    <row r="110" spans="1:25" ht="13.5" customHeight="1">
      <c r="A110" s="22"/>
      <c r="B110" s="22"/>
      <c r="C110" s="22"/>
      <c r="D110" s="22"/>
      <c r="E110" s="22"/>
      <c r="F110" s="22"/>
      <c r="G110" s="37"/>
      <c r="H110" s="22"/>
      <c r="I110" s="22"/>
      <c r="J110" s="22"/>
      <c r="K110" s="22"/>
      <c r="L110" s="22"/>
      <c r="M110" s="22"/>
      <c r="N110" s="22"/>
      <c r="O110" s="22"/>
      <c r="P110" s="22"/>
      <c r="Q110" s="22"/>
      <c r="R110" s="22"/>
      <c r="S110" s="22"/>
      <c r="T110" s="22"/>
      <c r="U110" s="22"/>
      <c r="V110" s="22"/>
      <c r="W110" s="22"/>
      <c r="X110" s="22"/>
      <c r="Y110" s="22"/>
    </row>
    <row r="111" spans="1:25" ht="13.5" customHeight="1">
      <c r="A111" s="22"/>
      <c r="B111" s="22"/>
      <c r="C111" s="22"/>
      <c r="D111" s="22"/>
      <c r="E111" s="22"/>
      <c r="F111" s="22"/>
      <c r="G111" s="37"/>
      <c r="H111" s="22"/>
      <c r="I111" s="22"/>
      <c r="J111" s="22"/>
      <c r="K111" s="22"/>
      <c r="L111" s="22"/>
      <c r="M111" s="22"/>
      <c r="N111" s="22"/>
      <c r="O111" s="22"/>
      <c r="P111" s="22"/>
      <c r="Q111" s="22"/>
      <c r="R111" s="22"/>
      <c r="S111" s="22"/>
      <c r="T111" s="22"/>
      <c r="U111" s="22"/>
      <c r="V111" s="22"/>
      <c r="W111" s="22"/>
      <c r="X111" s="22"/>
      <c r="Y111" s="22"/>
    </row>
    <row r="112" spans="1:25" ht="13.5" customHeight="1">
      <c r="A112" s="22"/>
      <c r="B112" s="22"/>
      <c r="C112" s="22"/>
      <c r="D112" s="22"/>
      <c r="E112" s="22"/>
      <c r="F112" s="22"/>
      <c r="G112" s="37"/>
      <c r="H112" s="22"/>
      <c r="I112" s="22"/>
      <c r="J112" s="22"/>
      <c r="K112" s="22"/>
      <c r="L112" s="22"/>
      <c r="M112" s="22"/>
      <c r="N112" s="22"/>
      <c r="O112" s="22"/>
      <c r="P112" s="22"/>
      <c r="Q112" s="22"/>
      <c r="R112" s="22"/>
      <c r="S112" s="22"/>
      <c r="T112" s="22"/>
      <c r="U112" s="22"/>
      <c r="V112" s="22"/>
      <c r="W112" s="22"/>
      <c r="X112" s="22"/>
      <c r="Y112" s="22"/>
    </row>
    <row r="113" spans="1:25" ht="13.5" customHeight="1">
      <c r="A113" s="22"/>
      <c r="B113" s="22"/>
      <c r="C113" s="22"/>
      <c r="D113" s="22"/>
      <c r="E113" s="22"/>
      <c r="F113" s="22"/>
      <c r="G113" s="37"/>
      <c r="H113" s="22"/>
      <c r="I113" s="22"/>
      <c r="J113" s="22"/>
      <c r="K113" s="22"/>
      <c r="L113" s="22"/>
      <c r="M113" s="22"/>
      <c r="N113" s="22"/>
      <c r="O113" s="22"/>
      <c r="P113" s="22"/>
      <c r="Q113" s="22"/>
      <c r="R113" s="22"/>
      <c r="S113" s="22"/>
      <c r="T113" s="22"/>
      <c r="U113" s="22"/>
      <c r="V113" s="22"/>
      <c r="W113" s="22"/>
      <c r="X113" s="22"/>
      <c r="Y113" s="22"/>
    </row>
    <row r="114" spans="1:25" ht="13.5" customHeight="1">
      <c r="A114" s="22"/>
      <c r="B114" s="22"/>
      <c r="C114" s="22"/>
      <c r="D114" s="22"/>
      <c r="E114" s="22"/>
      <c r="F114" s="22"/>
      <c r="G114" s="37"/>
      <c r="H114" s="22"/>
      <c r="I114" s="22"/>
      <c r="J114" s="22"/>
      <c r="K114" s="22"/>
      <c r="L114" s="22"/>
      <c r="M114" s="22"/>
      <c r="N114" s="22"/>
      <c r="O114" s="22"/>
      <c r="P114" s="22"/>
      <c r="Q114" s="22"/>
      <c r="R114" s="22"/>
      <c r="S114" s="22"/>
      <c r="T114" s="22"/>
      <c r="U114" s="22"/>
      <c r="V114" s="22"/>
      <c r="W114" s="22"/>
      <c r="X114" s="22"/>
      <c r="Y114" s="22"/>
    </row>
    <row r="115" spans="1:25" ht="13.5" customHeight="1">
      <c r="A115" s="22"/>
      <c r="B115" s="22"/>
      <c r="C115" s="22"/>
      <c r="D115" s="22"/>
      <c r="E115" s="22"/>
      <c r="F115" s="22"/>
      <c r="G115" s="37"/>
      <c r="H115" s="22"/>
      <c r="I115" s="22"/>
      <c r="J115" s="22"/>
      <c r="K115" s="22"/>
      <c r="L115" s="22"/>
      <c r="M115" s="22"/>
      <c r="N115" s="22"/>
      <c r="O115" s="22"/>
      <c r="P115" s="22"/>
      <c r="Q115" s="22"/>
      <c r="R115" s="22"/>
      <c r="S115" s="22"/>
      <c r="T115" s="22"/>
      <c r="U115" s="22"/>
      <c r="V115" s="22"/>
      <c r="W115" s="22"/>
      <c r="X115" s="22"/>
      <c r="Y115" s="22"/>
    </row>
    <row r="116" spans="1:25" ht="13.5" customHeight="1">
      <c r="A116" s="22"/>
      <c r="B116" s="22"/>
      <c r="C116" s="22"/>
      <c r="D116" s="22"/>
      <c r="E116" s="22"/>
      <c r="F116" s="22"/>
      <c r="G116" s="37"/>
      <c r="H116" s="22"/>
      <c r="I116" s="22"/>
      <c r="J116" s="22"/>
      <c r="K116" s="22"/>
      <c r="L116" s="22"/>
      <c r="M116" s="22"/>
      <c r="N116" s="22"/>
      <c r="O116" s="22"/>
      <c r="P116" s="22"/>
      <c r="Q116" s="22"/>
      <c r="R116" s="22"/>
      <c r="S116" s="22"/>
      <c r="T116" s="22"/>
      <c r="U116" s="22"/>
      <c r="V116" s="22"/>
      <c r="W116" s="22"/>
      <c r="X116" s="22"/>
      <c r="Y116" s="22"/>
    </row>
    <row r="117" spans="1:25" ht="13.5" customHeight="1">
      <c r="A117" s="22"/>
      <c r="B117" s="22"/>
      <c r="C117" s="22"/>
      <c r="D117" s="22"/>
      <c r="E117" s="22"/>
      <c r="F117" s="22"/>
      <c r="G117" s="37"/>
      <c r="H117" s="22"/>
      <c r="I117" s="22"/>
      <c r="J117" s="22"/>
      <c r="K117" s="22"/>
      <c r="L117" s="22"/>
      <c r="M117" s="22"/>
      <c r="N117" s="22"/>
      <c r="O117" s="22"/>
      <c r="P117" s="22"/>
      <c r="Q117" s="22"/>
      <c r="R117" s="22"/>
      <c r="S117" s="22"/>
      <c r="T117" s="22"/>
      <c r="U117" s="22"/>
      <c r="V117" s="22"/>
      <c r="W117" s="22"/>
      <c r="X117" s="22"/>
      <c r="Y117" s="22"/>
    </row>
    <row r="118" spans="1:25" ht="13.5" customHeight="1">
      <c r="A118" s="22"/>
      <c r="B118" s="22"/>
      <c r="C118" s="22"/>
      <c r="D118" s="22"/>
      <c r="E118" s="22"/>
      <c r="F118" s="22"/>
      <c r="G118" s="37"/>
      <c r="H118" s="22"/>
      <c r="I118" s="22"/>
      <c r="J118" s="22"/>
      <c r="K118" s="22"/>
      <c r="L118" s="22"/>
      <c r="M118" s="22"/>
      <c r="N118" s="22"/>
      <c r="O118" s="22"/>
      <c r="P118" s="22"/>
      <c r="Q118" s="22"/>
      <c r="R118" s="22"/>
      <c r="S118" s="22"/>
      <c r="T118" s="22"/>
      <c r="U118" s="22"/>
      <c r="V118" s="22"/>
      <c r="W118" s="22"/>
      <c r="X118" s="22"/>
      <c r="Y118" s="22"/>
    </row>
    <row r="119" spans="1:25" ht="13.5" customHeight="1">
      <c r="A119" s="22"/>
      <c r="B119" s="22"/>
      <c r="C119" s="22"/>
      <c r="D119" s="22"/>
      <c r="E119" s="22"/>
      <c r="F119" s="22"/>
      <c r="G119" s="37"/>
      <c r="H119" s="22"/>
      <c r="I119" s="22"/>
      <c r="J119" s="22"/>
      <c r="K119" s="22"/>
      <c r="L119" s="22"/>
      <c r="M119" s="22"/>
      <c r="N119" s="22"/>
      <c r="O119" s="22"/>
      <c r="P119" s="22"/>
      <c r="Q119" s="22"/>
      <c r="R119" s="22"/>
      <c r="S119" s="22"/>
      <c r="T119" s="22"/>
      <c r="U119" s="22"/>
      <c r="V119" s="22"/>
      <c r="W119" s="22"/>
      <c r="X119" s="22"/>
      <c r="Y119" s="22"/>
    </row>
    <row r="120" spans="1:25" ht="13.5" customHeight="1">
      <c r="A120" s="22"/>
      <c r="B120" s="22"/>
      <c r="C120" s="22"/>
      <c r="D120" s="22"/>
      <c r="E120" s="22"/>
      <c r="F120" s="22"/>
      <c r="G120" s="37"/>
      <c r="H120" s="22"/>
      <c r="I120" s="22"/>
      <c r="J120" s="22"/>
      <c r="K120" s="22"/>
      <c r="L120" s="22"/>
      <c r="M120" s="22"/>
      <c r="N120" s="22"/>
      <c r="O120" s="22"/>
      <c r="P120" s="22"/>
      <c r="Q120" s="22"/>
      <c r="R120" s="22"/>
      <c r="S120" s="22"/>
      <c r="T120" s="22"/>
      <c r="U120" s="22"/>
      <c r="V120" s="22"/>
      <c r="W120" s="22"/>
      <c r="X120" s="22"/>
      <c r="Y120" s="22"/>
    </row>
    <row r="121" spans="1:25" ht="13.5" customHeight="1">
      <c r="A121" s="22"/>
      <c r="B121" s="22"/>
      <c r="C121" s="22"/>
      <c r="D121" s="22"/>
      <c r="E121" s="22"/>
      <c r="F121" s="22"/>
      <c r="G121" s="37"/>
      <c r="H121" s="22"/>
      <c r="I121" s="22"/>
      <c r="J121" s="22"/>
      <c r="K121" s="22"/>
      <c r="L121" s="22"/>
      <c r="M121" s="22"/>
      <c r="N121" s="22"/>
      <c r="O121" s="22"/>
      <c r="P121" s="22"/>
      <c r="Q121" s="22"/>
      <c r="R121" s="22"/>
      <c r="S121" s="22"/>
      <c r="T121" s="22"/>
      <c r="U121" s="22"/>
      <c r="V121" s="22"/>
      <c r="W121" s="22"/>
      <c r="X121" s="22"/>
      <c r="Y121" s="22"/>
    </row>
    <row r="122" spans="1:25" ht="13.5" customHeight="1">
      <c r="A122" s="22"/>
      <c r="B122" s="22"/>
      <c r="C122" s="22"/>
      <c r="D122" s="22"/>
      <c r="E122" s="22"/>
      <c r="F122" s="22"/>
      <c r="G122" s="37"/>
      <c r="H122" s="22"/>
      <c r="I122" s="22"/>
      <c r="J122" s="22"/>
      <c r="K122" s="22"/>
      <c r="L122" s="22"/>
      <c r="M122" s="22"/>
      <c r="N122" s="22"/>
      <c r="O122" s="22"/>
      <c r="P122" s="22"/>
      <c r="Q122" s="22"/>
      <c r="R122" s="22"/>
      <c r="S122" s="22"/>
      <c r="T122" s="22"/>
      <c r="U122" s="22"/>
      <c r="V122" s="22"/>
      <c r="W122" s="22"/>
      <c r="X122" s="22"/>
      <c r="Y122" s="22"/>
    </row>
    <row r="123" spans="1:25" ht="13.5" customHeight="1">
      <c r="A123" s="22"/>
      <c r="B123" s="22"/>
      <c r="C123" s="22"/>
      <c r="D123" s="22"/>
      <c r="E123" s="22"/>
      <c r="F123" s="22"/>
      <c r="G123" s="37"/>
      <c r="H123" s="22"/>
      <c r="I123" s="22"/>
      <c r="J123" s="22"/>
      <c r="K123" s="22"/>
      <c r="L123" s="22"/>
      <c r="M123" s="22"/>
      <c r="N123" s="22"/>
      <c r="O123" s="22"/>
      <c r="P123" s="22"/>
      <c r="Q123" s="22"/>
      <c r="R123" s="22"/>
      <c r="S123" s="22"/>
      <c r="T123" s="22"/>
      <c r="U123" s="22"/>
      <c r="V123" s="22"/>
      <c r="W123" s="22"/>
      <c r="X123" s="22"/>
      <c r="Y123" s="22"/>
    </row>
    <row r="124" spans="1:25" ht="13.5" customHeight="1">
      <c r="A124" s="22"/>
      <c r="B124" s="22"/>
      <c r="C124" s="22"/>
      <c r="D124" s="22"/>
      <c r="E124" s="22"/>
      <c r="F124" s="22"/>
      <c r="G124" s="37"/>
      <c r="H124" s="22"/>
      <c r="I124" s="22"/>
      <c r="J124" s="22"/>
      <c r="K124" s="22"/>
      <c r="L124" s="22"/>
      <c r="M124" s="22"/>
      <c r="N124" s="22"/>
      <c r="O124" s="22"/>
      <c r="P124" s="22"/>
      <c r="Q124" s="22"/>
      <c r="R124" s="22"/>
      <c r="S124" s="22"/>
      <c r="T124" s="22"/>
      <c r="U124" s="22"/>
      <c r="V124" s="22"/>
      <c r="W124" s="22"/>
      <c r="X124" s="22"/>
      <c r="Y124" s="22"/>
    </row>
    <row r="125" spans="1:25" ht="13.5" customHeight="1">
      <c r="A125" s="22"/>
      <c r="B125" s="22"/>
      <c r="C125" s="22"/>
      <c r="D125" s="22"/>
      <c r="E125" s="22"/>
      <c r="F125" s="22"/>
      <c r="G125" s="37"/>
      <c r="H125" s="22"/>
      <c r="I125" s="22"/>
      <c r="J125" s="22"/>
      <c r="K125" s="22"/>
      <c r="L125" s="22"/>
      <c r="M125" s="22"/>
      <c r="N125" s="22"/>
      <c r="O125" s="22"/>
      <c r="P125" s="22"/>
      <c r="Q125" s="22"/>
      <c r="R125" s="22"/>
      <c r="S125" s="22"/>
      <c r="T125" s="22"/>
      <c r="U125" s="22"/>
      <c r="V125" s="22"/>
      <c r="W125" s="22"/>
      <c r="X125" s="22"/>
      <c r="Y125" s="22"/>
    </row>
    <row r="126" spans="1:25" ht="13.5" customHeight="1">
      <c r="A126" s="22"/>
      <c r="B126" s="22"/>
      <c r="C126" s="22"/>
      <c r="D126" s="22"/>
      <c r="E126" s="22"/>
      <c r="F126" s="22"/>
      <c r="G126" s="37"/>
      <c r="H126" s="22"/>
      <c r="I126" s="22"/>
      <c r="J126" s="22"/>
      <c r="K126" s="22"/>
      <c r="L126" s="22"/>
      <c r="M126" s="22"/>
      <c r="N126" s="22"/>
      <c r="O126" s="22"/>
      <c r="P126" s="22"/>
      <c r="Q126" s="22"/>
      <c r="R126" s="22"/>
      <c r="S126" s="22"/>
      <c r="T126" s="22"/>
      <c r="U126" s="22"/>
      <c r="V126" s="22"/>
      <c r="W126" s="22"/>
      <c r="X126" s="22"/>
      <c r="Y126" s="22"/>
    </row>
    <row r="127" spans="1:25" ht="13.5" customHeight="1">
      <c r="A127" s="22"/>
      <c r="B127" s="22"/>
      <c r="C127" s="22"/>
      <c r="D127" s="22"/>
      <c r="E127" s="22"/>
      <c r="F127" s="22"/>
      <c r="G127" s="37"/>
      <c r="H127" s="22"/>
      <c r="I127" s="22"/>
      <c r="J127" s="22"/>
      <c r="K127" s="22"/>
      <c r="L127" s="22"/>
      <c r="M127" s="22"/>
      <c r="N127" s="22"/>
      <c r="O127" s="22"/>
      <c r="P127" s="22"/>
      <c r="Q127" s="22"/>
      <c r="R127" s="22"/>
      <c r="S127" s="22"/>
      <c r="T127" s="22"/>
      <c r="U127" s="22"/>
      <c r="V127" s="22"/>
      <c r="W127" s="22"/>
      <c r="X127" s="22"/>
      <c r="Y127" s="22"/>
    </row>
    <row r="128" spans="1:25" ht="13.5" customHeight="1">
      <c r="A128" s="22"/>
      <c r="B128" s="22"/>
      <c r="C128" s="22"/>
      <c r="D128" s="22"/>
      <c r="E128" s="22"/>
      <c r="F128" s="22"/>
      <c r="G128" s="37"/>
      <c r="H128" s="22"/>
      <c r="I128" s="22"/>
      <c r="J128" s="22"/>
      <c r="K128" s="22"/>
      <c r="L128" s="22"/>
      <c r="M128" s="22"/>
      <c r="N128" s="22"/>
      <c r="O128" s="22"/>
      <c r="P128" s="22"/>
      <c r="Q128" s="22"/>
      <c r="R128" s="22"/>
      <c r="S128" s="22"/>
      <c r="T128" s="22"/>
      <c r="U128" s="22"/>
      <c r="V128" s="22"/>
      <c r="W128" s="22"/>
      <c r="X128" s="22"/>
      <c r="Y128" s="22"/>
    </row>
    <row r="129" spans="1:25" ht="13.5" customHeight="1">
      <c r="A129" s="22"/>
      <c r="B129" s="22"/>
      <c r="C129" s="22"/>
      <c r="D129" s="22"/>
      <c r="E129" s="22"/>
      <c r="F129" s="22"/>
      <c r="G129" s="37"/>
      <c r="H129" s="22"/>
      <c r="I129" s="22"/>
      <c r="J129" s="22"/>
      <c r="K129" s="22"/>
      <c r="L129" s="22"/>
      <c r="M129" s="22"/>
      <c r="N129" s="22"/>
      <c r="O129" s="22"/>
      <c r="P129" s="22"/>
      <c r="Q129" s="22"/>
      <c r="R129" s="22"/>
      <c r="S129" s="22"/>
      <c r="T129" s="22"/>
      <c r="U129" s="22"/>
      <c r="V129" s="22"/>
      <c r="W129" s="22"/>
      <c r="X129" s="22"/>
      <c r="Y129" s="22"/>
    </row>
    <row r="130" spans="1:25" ht="13.5" customHeight="1">
      <c r="A130" s="22"/>
      <c r="B130" s="22"/>
      <c r="C130" s="22"/>
      <c r="D130" s="22"/>
      <c r="E130" s="22"/>
      <c r="F130" s="22"/>
      <c r="G130" s="37"/>
      <c r="H130" s="22"/>
      <c r="I130" s="22"/>
      <c r="J130" s="22"/>
      <c r="K130" s="22"/>
      <c r="L130" s="22"/>
      <c r="M130" s="22"/>
      <c r="N130" s="22"/>
      <c r="O130" s="22"/>
      <c r="P130" s="22"/>
      <c r="Q130" s="22"/>
      <c r="R130" s="22"/>
      <c r="S130" s="22"/>
      <c r="T130" s="22"/>
      <c r="U130" s="22"/>
      <c r="V130" s="22"/>
      <c r="W130" s="22"/>
      <c r="X130" s="22"/>
      <c r="Y130" s="22"/>
    </row>
    <row r="131" spans="1:25" ht="13.5" customHeight="1">
      <c r="A131" s="22"/>
      <c r="B131" s="22"/>
      <c r="C131" s="22"/>
      <c r="D131" s="22"/>
      <c r="E131" s="22"/>
      <c r="F131" s="22"/>
      <c r="G131" s="37"/>
      <c r="H131" s="22"/>
      <c r="I131" s="22"/>
      <c r="J131" s="22"/>
      <c r="K131" s="22"/>
      <c r="L131" s="22"/>
      <c r="M131" s="22"/>
      <c r="N131" s="22"/>
      <c r="O131" s="22"/>
      <c r="P131" s="22"/>
      <c r="Q131" s="22"/>
      <c r="R131" s="22"/>
      <c r="S131" s="22"/>
      <c r="T131" s="22"/>
      <c r="U131" s="22"/>
      <c r="V131" s="22"/>
      <c r="W131" s="22"/>
      <c r="X131" s="22"/>
      <c r="Y131" s="22"/>
    </row>
    <row r="132" spans="1:25" ht="13.5" customHeight="1">
      <c r="A132" s="22"/>
      <c r="B132" s="22"/>
      <c r="C132" s="22"/>
      <c r="D132" s="22"/>
      <c r="E132" s="22"/>
      <c r="F132" s="22"/>
      <c r="G132" s="37"/>
      <c r="H132" s="22"/>
      <c r="I132" s="22"/>
      <c r="J132" s="22"/>
      <c r="K132" s="22"/>
      <c r="L132" s="22"/>
      <c r="M132" s="22"/>
      <c r="N132" s="22"/>
      <c r="O132" s="22"/>
      <c r="P132" s="22"/>
      <c r="Q132" s="22"/>
      <c r="R132" s="22"/>
      <c r="S132" s="22"/>
      <c r="T132" s="22"/>
      <c r="U132" s="22"/>
      <c r="V132" s="22"/>
      <c r="W132" s="22"/>
      <c r="X132" s="22"/>
      <c r="Y132" s="22"/>
    </row>
    <row r="133" spans="1:25" ht="13.5" customHeight="1">
      <c r="A133" s="22"/>
      <c r="B133" s="22"/>
      <c r="C133" s="22"/>
      <c r="D133" s="22"/>
      <c r="E133" s="22"/>
      <c r="F133" s="22"/>
      <c r="G133" s="37"/>
      <c r="H133" s="22"/>
      <c r="I133" s="22"/>
      <c r="J133" s="22"/>
      <c r="K133" s="22"/>
      <c r="L133" s="22"/>
      <c r="M133" s="22"/>
      <c r="N133" s="22"/>
      <c r="O133" s="22"/>
      <c r="P133" s="22"/>
      <c r="Q133" s="22"/>
      <c r="R133" s="22"/>
      <c r="S133" s="22"/>
      <c r="T133" s="22"/>
      <c r="U133" s="22"/>
      <c r="V133" s="22"/>
      <c r="W133" s="22"/>
      <c r="X133" s="22"/>
      <c r="Y133" s="22"/>
    </row>
    <row r="134" spans="1:25" ht="13.5" customHeight="1">
      <c r="A134" s="22"/>
      <c r="B134" s="22"/>
      <c r="C134" s="22"/>
      <c r="D134" s="22"/>
      <c r="E134" s="22"/>
      <c r="F134" s="22"/>
      <c r="G134" s="37"/>
      <c r="H134" s="22"/>
      <c r="I134" s="22"/>
      <c r="J134" s="22"/>
      <c r="K134" s="22"/>
      <c r="L134" s="22"/>
      <c r="M134" s="22"/>
      <c r="N134" s="22"/>
      <c r="O134" s="22"/>
      <c r="P134" s="22"/>
      <c r="Q134" s="22"/>
      <c r="R134" s="22"/>
      <c r="S134" s="22"/>
      <c r="T134" s="22"/>
      <c r="U134" s="22"/>
      <c r="V134" s="22"/>
      <c r="W134" s="22"/>
      <c r="X134" s="22"/>
      <c r="Y134" s="22"/>
    </row>
    <row r="135" spans="1:25" ht="13.5" customHeight="1">
      <c r="A135" s="22"/>
      <c r="B135" s="22"/>
      <c r="C135" s="22"/>
      <c r="D135" s="22"/>
      <c r="E135" s="22"/>
      <c r="F135" s="22"/>
      <c r="G135" s="37"/>
      <c r="H135" s="22"/>
      <c r="I135" s="22"/>
      <c r="J135" s="22"/>
      <c r="K135" s="22"/>
      <c r="L135" s="22"/>
      <c r="M135" s="22"/>
      <c r="N135" s="22"/>
      <c r="O135" s="22"/>
      <c r="P135" s="22"/>
      <c r="Q135" s="22"/>
      <c r="R135" s="22"/>
      <c r="S135" s="22"/>
      <c r="T135" s="22"/>
      <c r="U135" s="22"/>
      <c r="V135" s="22"/>
      <c r="W135" s="22"/>
      <c r="X135" s="22"/>
      <c r="Y135" s="22"/>
    </row>
    <row r="136" spans="1:25" ht="13.5" customHeight="1">
      <c r="A136" s="22"/>
      <c r="B136" s="22"/>
      <c r="C136" s="22"/>
      <c r="D136" s="22"/>
      <c r="E136" s="22"/>
      <c r="F136" s="22"/>
      <c r="G136" s="37"/>
      <c r="H136" s="22"/>
      <c r="I136" s="22"/>
      <c r="J136" s="22"/>
      <c r="K136" s="22"/>
      <c r="L136" s="22"/>
      <c r="M136" s="22"/>
      <c r="N136" s="22"/>
      <c r="O136" s="22"/>
      <c r="P136" s="22"/>
      <c r="Q136" s="22"/>
      <c r="R136" s="22"/>
      <c r="S136" s="22"/>
      <c r="T136" s="22"/>
      <c r="U136" s="22"/>
      <c r="V136" s="22"/>
      <c r="W136" s="22"/>
      <c r="X136" s="22"/>
      <c r="Y136" s="22"/>
    </row>
    <row r="137" spans="1:25" ht="13.5" customHeight="1">
      <c r="A137" s="22"/>
      <c r="B137" s="22"/>
      <c r="C137" s="22"/>
      <c r="D137" s="22"/>
      <c r="E137" s="22"/>
      <c r="F137" s="22"/>
      <c r="G137" s="37"/>
      <c r="H137" s="22"/>
      <c r="I137" s="22"/>
      <c r="J137" s="22"/>
      <c r="K137" s="22"/>
      <c r="L137" s="22"/>
      <c r="M137" s="22"/>
      <c r="N137" s="22"/>
      <c r="O137" s="22"/>
      <c r="P137" s="22"/>
      <c r="Q137" s="22"/>
      <c r="R137" s="22"/>
      <c r="S137" s="22"/>
      <c r="T137" s="22"/>
      <c r="U137" s="22"/>
      <c r="V137" s="22"/>
      <c r="W137" s="22"/>
      <c r="X137" s="22"/>
      <c r="Y137" s="22"/>
    </row>
    <row r="138" spans="1:25" ht="13.5" customHeight="1">
      <c r="A138" s="22"/>
      <c r="B138" s="22"/>
      <c r="C138" s="22"/>
      <c r="D138" s="22"/>
      <c r="E138" s="22"/>
      <c r="F138" s="22"/>
      <c r="G138" s="37"/>
      <c r="H138" s="22"/>
      <c r="I138" s="22"/>
      <c r="J138" s="22"/>
      <c r="K138" s="22"/>
      <c r="L138" s="22"/>
      <c r="M138" s="22"/>
      <c r="N138" s="22"/>
      <c r="O138" s="22"/>
      <c r="P138" s="22"/>
      <c r="Q138" s="22"/>
      <c r="R138" s="22"/>
      <c r="S138" s="22"/>
      <c r="T138" s="22"/>
      <c r="U138" s="22"/>
      <c r="V138" s="22"/>
      <c r="W138" s="22"/>
      <c r="X138" s="22"/>
      <c r="Y138" s="22"/>
    </row>
    <row r="139" spans="1:25" ht="13.5" customHeight="1">
      <c r="A139" s="22"/>
      <c r="B139" s="22"/>
      <c r="C139" s="22"/>
      <c r="D139" s="22"/>
      <c r="E139" s="22"/>
      <c r="F139" s="22"/>
      <c r="G139" s="37"/>
      <c r="H139" s="22"/>
      <c r="I139" s="22"/>
      <c r="J139" s="22"/>
      <c r="K139" s="22"/>
      <c r="L139" s="22"/>
      <c r="M139" s="22"/>
      <c r="N139" s="22"/>
      <c r="O139" s="22"/>
      <c r="P139" s="22"/>
      <c r="Q139" s="22"/>
      <c r="R139" s="22"/>
      <c r="S139" s="22"/>
      <c r="T139" s="22"/>
      <c r="U139" s="22"/>
      <c r="V139" s="22"/>
      <c r="W139" s="22"/>
      <c r="X139" s="22"/>
      <c r="Y139" s="22"/>
    </row>
    <row r="140" spans="1:25" ht="13.5" customHeight="1">
      <c r="A140" s="22"/>
      <c r="B140" s="22"/>
      <c r="C140" s="22"/>
      <c r="D140" s="22"/>
      <c r="E140" s="22"/>
      <c r="F140" s="22"/>
      <c r="G140" s="37"/>
      <c r="H140" s="22"/>
      <c r="I140" s="22"/>
      <c r="J140" s="22"/>
      <c r="K140" s="22"/>
      <c r="L140" s="22"/>
      <c r="M140" s="22"/>
      <c r="N140" s="22"/>
      <c r="O140" s="22"/>
      <c r="P140" s="22"/>
      <c r="Q140" s="22"/>
      <c r="R140" s="22"/>
      <c r="S140" s="22"/>
      <c r="T140" s="22"/>
      <c r="U140" s="22"/>
      <c r="V140" s="22"/>
      <c r="W140" s="22"/>
      <c r="X140" s="22"/>
      <c r="Y140" s="22"/>
    </row>
    <row r="141" spans="1:25" ht="13.5" customHeight="1">
      <c r="A141" s="22"/>
      <c r="B141" s="22"/>
      <c r="C141" s="22"/>
      <c r="D141" s="22"/>
      <c r="E141" s="22"/>
      <c r="F141" s="22"/>
      <c r="G141" s="37"/>
      <c r="H141" s="22"/>
      <c r="I141" s="22"/>
      <c r="J141" s="22"/>
      <c r="K141" s="22"/>
      <c r="L141" s="22"/>
      <c r="M141" s="22"/>
      <c r="N141" s="22"/>
      <c r="O141" s="22"/>
      <c r="P141" s="22"/>
      <c r="Q141" s="22"/>
      <c r="R141" s="22"/>
      <c r="S141" s="22"/>
      <c r="T141" s="22"/>
      <c r="U141" s="22"/>
      <c r="V141" s="22"/>
      <c r="W141" s="22"/>
      <c r="X141" s="22"/>
      <c r="Y141" s="22"/>
    </row>
    <row r="142" spans="1:25" ht="13.5" customHeight="1">
      <c r="A142" s="22"/>
      <c r="B142" s="22"/>
      <c r="C142" s="22"/>
      <c r="D142" s="22"/>
      <c r="E142" s="22"/>
      <c r="F142" s="22"/>
      <c r="G142" s="37"/>
      <c r="H142" s="22"/>
      <c r="I142" s="22"/>
      <c r="J142" s="22"/>
      <c r="K142" s="22"/>
      <c r="L142" s="22"/>
      <c r="M142" s="22"/>
      <c r="N142" s="22"/>
      <c r="O142" s="22"/>
      <c r="P142" s="22"/>
      <c r="Q142" s="22"/>
      <c r="R142" s="22"/>
      <c r="S142" s="22"/>
      <c r="T142" s="22"/>
      <c r="U142" s="22"/>
      <c r="V142" s="22"/>
      <c r="W142" s="22"/>
      <c r="X142" s="22"/>
      <c r="Y142" s="22"/>
    </row>
    <row r="143" spans="1:25" ht="13.5" customHeight="1">
      <c r="A143" s="22"/>
      <c r="B143" s="22"/>
      <c r="C143" s="22"/>
      <c r="D143" s="22"/>
      <c r="E143" s="22"/>
      <c r="F143" s="22"/>
      <c r="G143" s="37"/>
      <c r="H143" s="22"/>
      <c r="I143" s="22"/>
      <c r="J143" s="22"/>
      <c r="K143" s="22"/>
      <c r="L143" s="22"/>
      <c r="M143" s="22"/>
      <c r="N143" s="22"/>
      <c r="O143" s="22"/>
      <c r="P143" s="22"/>
      <c r="Q143" s="22"/>
      <c r="R143" s="22"/>
      <c r="S143" s="22"/>
      <c r="T143" s="22"/>
      <c r="U143" s="22"/>
      <c r="V143" s="22"/>
      <c r="W143" s="22"/>
      <c r="X143" s="22"/>
      <c r="Y143" s="22"/>
    </row>
    <row r="144" spans="1:25" ht="13.5" customHeight="1">
      <c r="A144" s="22"/>
      <c r="B144" s="22"/>
      <c r="C144" s="22"/>
      <c r="D144" s="22"/>
      <c r="E144" s="22"/>
      <c r="F144" s="22"/>
      <c r="G144" s="37"/>
      <c r="H144" s="22"/>
      <c r="I144" s="22"/>
      <c r="J144" s="22"/>
      <c r="K144" s="22"/>
      <c r="L144" s="22"/>
      <c r="M144" s="22"/>
      <c r="N144" s="22"/>
      <c r="O144" s="22"/>
      <c r="P144" s="22"/>
      <c r="Q144" s="22"/>
      <c r="R144" s="22"/>
      <c r="S144" s="22"/>
      <c r="T144" s="22"/>
      <c r="U144" s="22"/>
      <c r="V144" s="22"/>
      <c r="W144" s="22"/>
      <c r="X144" s="22"/>
      <c r="Y144" s="22"/>
    </row>
    <row r="145" spans="1:25" ht="13.5" customHeight="1">
      <c r="A145" s="22"/>
      <c r="B145" s="22"/>
      <c r="C145" s="22"/>
      <c r="D145" s="22"/>
      <c r="E145" s="22"/>
      <c r="F145" s="22"/>
      <c r="G145" s="37"/>
      <c r="H145" s="22"/>
      <c r="I145" s="22"/>
      <c r="J145" s="22"/>
      <c r="K145" s="22"/>
      <c r="L145" s="22"/>
      <c r="M145" s="22"/>
      <c r="N145" s="22"/>
      <c r="O145" s="22"/>
      <c r="P145" s="22"/>
      <c r="Q145" s="22"/>
      <c r="R145" s="22"/>
      <c r="S145" s="22"/>
      <c r="T145" s="22"/>
      <c r="U145" s="22"/>
      <c r="V145" s="22"/>
      <c r="W145" s="22"/>
      <c r="X145" s="22"/>
      <c r="Y145" s="22"/>
    </row>
    <row r="146" spans="1:25" ht="13.5" customHeight="1">
      <c r="A146" s="22"/>
      <c r="B146" s="22"/>
      <c r="C146" s="22"/>
      <c r="D146" s="22"/>
      <c r="E146" s="22"/>
      <c r="F146" s="22"/>
      <c r="G146" s="37"/>
      <c r="H146" s="22"/>
      <c r="I146" s="22"/>
      <c r="J146" s="22"/>
      <c r="K146" s="22"/>
      <c r="L146" s="22"/>
      <c r="M146" s="22"/>
      <c r="N146" s="22"/>
      <c r="O146" s="22"/>
      <c r="P146" s="22"/>
      <c r="Q146" s="22"/>
      <c r="R146" s="22"/>
      <c r="S146" s="22"/>
      <c r="T146" s="22"/>
      <c r="U146" s="22"/>
      <c r="V146" s="22"/>
      <c r="W146" s="22"/>
      <c r="X146" s="22"/>
      <c r="Y146" s="22"/>
    </row>
    <row r="147" spans="1:25" ht="13.5" customHeight="1">
      <c r="A147" s="22"/>
      <c r="B147" s="22"/>
      <c r="C147" s="22"/>
      <c r="D147" s="22"/>
      <c r="E147" s="22"/>
      <c r="F147" s="22"/>
      <c r="G147" s="37"/>
      <c r="H147" s="22"/>
      <c r="I147" s="22"/>
      <c r="J147" s="22"/>
      <c r="K147" s="22"/>
      <c r="L147" s="22"/>
      <c r="M147" s="22"/>
      <c r="N147" s="22"/>
      <c r="O147" s="22"/>
      <c r="P147" s="22"/>
      <c r="Q147" s="22"/>
      <c r="R147" s="22"/>
      <c r="S147" s="22"/>
      <c r="T147" s="22"/>
      <c r="U147" s="22"/>
      <c r="V147" s="22"/>
      <c r="W147" s="22"/>
      <c r="X147" s="22"/>
      <c r="Y147" s="22"/>
    </row>
    <row r="148" spans="1:25" ht="13.5" customHeight="1">
      <c r="A148" s="22"/>
      <c r="B148" s="22"/>
      <c r="C148" s="22"/>
      <c r="D148" s="22"/>
      <c r="E148" s="22"/>
      <c r="F148" s="22"/>
      <c r="G148" s="37"/>
      <c r="H148" s="22"/>
      <c r="I148" s="22"/>
      <c r="J148" s="22"/>
      <c r="K148" s="22"/>
      <c r="L148" s="22"/>
      <c r="M148" s="22"/>
      <c r="N148" s="22"/>
      <c r="O148" s="22"/>
      <c r="P148" s="22"/>
      <c r="Q148" s="22"/>
      <c r="R148" s="22"/>
      <c r="S148" s="22"/>
      <c r="T148" s="22"/>
      <c r="U148" s="22"/>
      <c r="V148" s="22"/>
      <c r="W148" s="22"/>
      <c r="X148" s="22"/>
      <c r="Y148" s="22"/>
    </row>
    <row r="149" spans="1:25" ht="13.5" customHeight="1">
      <c r="A149" s="22"/>
      <c r="B149" s="22"/>
      <c r="C149" s="22"/>
      <c r="D149" s="22"/>
      <c r="E149" s="22"/>
      <c r="F149" s="22"/>
      <c r="G149" s="37"/>
      <c r="H149" s="22"/>
      <c r="I149" s="22"/>
      <c r="J149" s="22"/>
      <c r="K149" s="22"/>
      <c r="L149" s="22"/>
      <c r="M149" s="22"/>
      <c r="N149" s="22"/>
      <c r="O149" s="22"/>
      <c r="P149" s="22"/>
      <c r="Q149" s="22"/>
      <c r="R149" s="22"/>
      <c r="S149" s="22"/>
      <c r="T149" s="22"/>
      <c r="U149" s="22"/>
      <c r="V149" s="22"/>
      <c r="W149" s="22"/>
      <c r="X149" s="22"/>
      <c r="Y149" s="22"/>
    </row>
    <row r="150" spans="1:25" ht="13.5" customHeight="1">
      <c r="A150" s="22"/>
      <c r="B150" s="22"/>
      <c r="C150" s="22"/>
      <c r="D150" s="22"/>
      <c r="E150" s="22"/>
      <c r="F150" s="22"/>
      <c r="G150" s="37"/>
      <c r="H150" s="22"/>
      <c r="I150" s="22"/>
      <c r="J150" s="22"/>
      <c r="K150" s="22"/>
      <c r="L150" s="22"/>
      <c r="M150" s="22"/>
      <c r="N150" s="22"/>
      <c r="O150" s="22"/>
      <c r="P150" s="22"/>
      <c r="Q150" s="22"/>
      <c r="R150" s="22"/>
      <c r="S150" s="22"/>
      <c r="T150" s="22"/>
      <c r="U150" s="22"/>
      <c r="V150" s="22"/>
      <c r="W150" s="22"/>
      <c r="X150" s="22"/>
      <c r="Y150" s="22"/>
    </row>
    <row r="151" spans="1:25" ht="13.5" customHeight="1">
      <c r="A151" s="22"/>
      <c r="B151" s="22"/>
      <c r="C151" s="22"/>
      <c r="D151" s="22"/>
      <c r="E151" s="22"/>
      <c r="F151" s="22"/>
      <c r="G151" s="37"/>
      <c r="H151" s="22"/>
      <c r="I151" s="22"/>
      <c r="J151" s="22"/>
      <c r="K151" s="22"/>
      <c r="L151" s="22"/>
      <c r="M151" s="22"/>
      <c r="N151" s="22"/>
      <c r="O151" s="22"/>
      <c r="P151" s="22"/>
      <c r="Q151" s="22"/>
      <c r="R151" s="22"/>
      <c r="S151" s="22"/>
      <c r="T151" s="22"/>
      <c r="U151" s="22"/>
      <c r="V151" s="22"/>
      <c r="W151" s="22"/>
      <c r="X151" s="22"/>
      <c r="Y151" s="22"/>
    </row>
    <row r="152" spans="1:25" ht="13.5" customHeight="1">
      <c r="A152" s="22"/>
      <c r="B152" s="22"/>
      <c r="C152" s="22"/>
      <c r="D152" s="22"/>
      <c r="E152" s="22"/>
      <c r="F152" s="22"/>
      <c r="G152" s="37"/>
      <c r="H152" s="22"/>
      <c r="I152" s="22"/>
      <c r="J152" s="22"/>
      <c r="K152" s="22"/>
      <c r="L152" s="22"/>
      <c r="M152" s="22"/>
      <c r="N152" s="22"/>
      <c r="O152" s="22"/>
      <c r="P152" s="22"/>
      <c r="Q152" s="22"/>
      <c r="R152" s="22"/>
      <c r="S152" s="22"/>
      <c r="T152" s="22"/>
      <c r="U152" s="22"/>
      <c r="V152" s="22"/>
      <c r="W152" s="22"/>
      <c r="X152" s="22"/>
      <c r="Y152" s="22"/>
    </row>
    <row r="153" spans="1:25" ht="13.5" customHeight="1">
      <c r="A153" s="22"/>
      <c r="B153" s="22"/>
      <c r="C153" s="22"/>
      <c r="D153" s="22"/>
      <c r="E153" s="22"/>
      <c r="F153" s="22"/>
      <c r="G153" s="37"/>
      <c r="H153" s="22"/>
      <c r="I153" s="22"/>
      <c r="J153" s="22"/>
      <c r="K153" s="22"/>
      <c r="L153" s="22"/>
      <c r="M153" s="22"/>
      <c r="N153" s="22"/>
      <c r="O153" s="22"/>
      <c r="P153" s="22"/>
      <c r="Q153" s="22"/>
      <c r="R153" s="22"/>
      <c r="S153" s="22"/>
      <c r="T153" s="22"/>
      <c r="U153" s="22"/>
      <c r="V153" s="22"/>
      <c r="W153" s="22"/>
      <c r="X153" s="22"/>
      <c r="Y153" s="22"/>
    </row>
    <row r="154" spans="1:25" ht="13.5" customHeight="1">
      <c r="A154" s="22"/>
      <c r="B154" s="22"/>
      <c r="C154" s="22"/>
      <c r="D154" s="22"/>
      <c r="E154" s="22"/>
      <c r="F154" s="22"/>
      <c r="G154" s="37"/>
      <c r="H154" s="22"/>
      <c r="I154" s="22"/>
      <c r="J154" s="22"/>
      <c r="K154" s="22"/>
      <c r="L154" s="22"/>
      <c r="M154" s="22"/>
      <c r="N154" s="22"/>
      <c r="O154" s="22"/>
      <c r="P154" s="22"/>
      <c r="Q154" s="22"/>
      <c r="R154" s="22"/>
      <c r="S154" s="22"/>
      <c r="T154" s="22"/>
      <c r="U154" s="22"/>
      <c r="V154" s="22"/>
      <c r="W154" s="22"/>
      <c r="X154" s="22"/>
      <c r="Y154" s="22"/>
    </row>
    <row r="155" spans="1:25" ht="13.5" customHeight="1">
      <c r="A155" s="22"/>
      <c r="B155" s="22"/>
      <c r="C155" s="22"/>
      <c r="D155" s="22"/>
      <c r="E155" s="22"/>
      <c r="F155" s="22"/>
      <c r="G155" s="37"/>
      <c r="H155" s="22"/>
      <c r="I155" s="22"/>
      <c r="J155" s="22"/>
      <c r="K155" s="22"/>
      <c r="L155" s="22"/>
      <c r="M155" s="22"/>
      <c r="N155" s="22"/>
      <c r="O155" s="22"/>
      <c r="P155" s="22"/>
      <c r="Q155" s="22"/>
      <c r="R155" s="22"/>
      <c r="S155" s="22"/>
      <c r="T155" s="22"/>
      <c r="U155" s="22"/>
      <c r="V155" s="22"/>
      <c r="W155" s="22"/>
      <c r="X155" s="22"/>
      <c r="Y155" s="22"/>
    </row>
    <row r="156" spans="1:25" ht="13.5" customHeight="1">
      <c r="A156" s="22"/>
      <c r="B156" s="22"/>
      <c r="C156" s="22"/>
      <c r="D156" s="22"/>
      <c r="E156" s="22"/>
      <c r="F156" s="22"/>
      <c r="G156" s="37"/>
      <c r="H156" s="22"/>
      <c r="I156" s="22"/>
      <c r="J156" s="22"/>
      <c r="K156" s="22"/>
      <c r="L156" s="22"/>
      <c r="M156" s="22"/>
      <c r="N156" s="22"/>
      <c r="O156" s="22"/>
      <c r="P156" s="22"/>
      <c r="Q156" s="22"/>
      <c r="R156" s="22"/>
      <c r="S156" s="22"/>
      <c r="T156" s="22"/>
      <c r="U156" s="22"/>
      <c r="V156" s="22"/>
      <c r="W156" s="22"/>
      <c r="X156" s="22"/>
      <c r="Y156" s="22"/>
    </row>
    <row r="157" spans="1:25" ht="13.5" customHeight="1">
      <c r="A157" s="22"/>
      <c r="B157" s="22"/>
      <c r="C157" s="22"/>
      <c r="D157" s="22"/>
      <c r="E157" s="22"/>
      <c r="F157" s="22"/>
      <c r="G157" s="37"/>
      <c r="H157" s="22"/>
      <c r="I157" s="22"/>
      <c r="J157" s="22"/>
      <c r="K157" s="22"/>
      <c r="L157" s="22"/>
      <c r="M157" s="22"/>
      <c r="N157" s="22"/>
      <c r="O157" s="22"/>
      <c r="P157" s="22"/>
      <c r="Q157" s="22"/>
      <c r="R157" s="22"/>
      <c r="S157" s="22"/>
      <c r="T157" s="22"/>
      <c r="U157" s="22"/>
      <c r="V157" s="22"/>
      <c r="W157" s="22"/>
      <c r="X157" s="22"/>
      <c r="Y157" s="22"/>
    </row>
    <row r="158" spans="1:25" ht="13.5" customHeight="1">
      <c r="A158" s="22"/>
      <c r="B158" s="22"/>
      <c r="C158" s="22"/>
      <c r="D158" s="22"/>
      <c r="E158" s="22"/>
      <c r="F158" s="22"/>
      <c r="G158" s="37"/>
      <c r="H158" s="22"/>
      <c r="I158" s="22"/>
      <c r="J158" s="22"/>
      <c r="K158" s="22"/>
      <c r="L158" s="22"/>
      <c r="M158" s="22"/>
      <c r="N158" s="22"/>
      <c r="O158" s="22"/>
      <c r="P158" s="22"/>
      <c r="Q158" s="22"/>
      <c r="R158" s="22"/>
      <c r="S158" s="22"/>
      <c r="T158" s="22"/>
      <c r="U158" s="22"/>
      <c r="V158" s="22"/>
      <c r="W158" s="22"/>
      <c r="X158" s="22"/>
      <c r="Y158" s="22"/>
    </row>
    <row r="159" spans="1:25" ht="13.5" customHeight="1">
      <c r="A159" s="22"/>
      <c r="B159" s="22"/>
      <c r="C159" s="22"/>
      <c r="D159" s="22"/>
      <c r="E159" s="22"/>
      <c r="F159" s="22"/>
      <c r="G159" s="37"/>
      <c r="H159" s="22"/>
      <c r="I159" s="22"/>
      <c r="J159" s="22"/>
      <c r="K159" s="22"/>
      <c r="L159" s="22"/>
      <c r="M159" s="22"/>
      <c r="N159" s="22"/>
      <c r="O159" s="22"/>
      <c r="P159" s="22"/>
      <c r="Q159" s="22"/>
      <c r="R159" s="22"/>
      <c r="S159" s="22"/>
      <c r="T159" s="22"/>
      <c r="U159" s="22"/>
      <c r="V159" s="22"/>
      <c r="W159" s="22"/>
      <c r="X159" s="22"/>
      <c r="Y159" s="22"/>
    </row>
    <row r="160" spans="1:25" ht="13.5" customHeight="1">
      <c r="A160" s="22"/>
      <c r="B160" s="22"/>
      <c r="C160" s="22"/>
      <c r="D160" s="22"/>
      <c r="E160" s="22"/>
      <c r="F160" s="22"/>
      <c r="G160" s="37"/>
      <c r="H160" s="22"/>
      <c r="I160" s="22"/>
      <c r="J160" s="22"/>
      <c r="K160" s="22"/>
      <c r="L160" s="22"/>
      <c r="M160" s="22"/>
      <c r="N160" s="22"/>
      <c r="O160" s="22"/>
      <c r="P160" s="22"/>
      <c r="Q160" s="22"/>
      <c r="R160" s="22"/>
      <c r="S160" s="22"/>
      <c r="T160" s="22"/>
      <c r="U160" s="22"/>
      <c r="V160" s="22"/>
      <c r="W160" s="22"/>
      <c r="X160" s="22"/>
      <c r="Y160" s="22"/>
    </row>
    <row r="161" spans="1:25" ht="13.5" customHeight="1">
      <c r="A161" s="22"/>
      <c r="B161" s="22"/>
      <c r="C161" s="22"/>
      <c r="D161" s="22"/>
      <c r="E161" s="22"/>
      <c r="F161" s="22"/>
      <c r="G161" s="37"/>
      <c r="H161" s="22"/>
      <c r="I161" s="22"/>
      <c r="J161" s="22"/>
      <c r="K161" s="22"/>
      <c r="L161" s="22"/>
      <c r="M161" s="22"/>
      <c r="N161" s="22"/>
      <c r="O161" s="22"/>
      <c r="P161" s="22"/>
      <c r="Q161" s="22"/>
      <c r="R161" s="22"/>
      <c r="S161" s="22"/>
      <c r="T161" s="22"/>
      <c r="U161" s="22"/>
      <c r="V161" s="22"/>
      <c r="W161" s="22"/>
      <c r="X161" s="22"/>
      <c r="Y161" s="22"/>
    </row>
    <row r="162" spans="1:25" ht="13.5" customHeight="1">
      <c r="A162" s="22"/>
      <c r="B162" s="22"/>
      <c r="C162" s="22"/>
      <c r="D162" s="22"/>
      <c r="E162" s="22"/>
      <c r="F162" s="22"/>
      <c r="G162" s="37"/>
      <c r="H162" s="22"/>
      <c r="I162" s="22"/>
      <c r="J162" s="22"/>
      <c r="K162" s="22"/>
      <c r="L162" s="22"/>
      <c r="M162" s="22"/>
      <c r="N162" s="22"/>
      <c r="O162" s="22"/>
      <c r="P162" s="22"/>
      <c r="Q162" s="22"/>
      <c r="R162" s="22"/>
      <c r="S162" s="22"/>
      <c r="T162" s="22"/>
      <c r="U162" s="22"/>
      <c r="V162" s="22"/>
      <c r="W162" s="22"/>
      <c r="X162" s="22"/>
      <c r="Y162" s="22"/>
    </row>
    <row r="163" spans="1:25" ht="13.5" customHeight="1">
      <c r="A163" s="22"/>
      <c r="B163" s="22"/>
      <c r="C163" s="22"/>
      <c r="D163" s="22"/>
      <c r="E163" s="22"/>
      <c r="F163" s="22"/>
      <c r="G163" s="37"/>
      <c r="H163" s="22"/>
      <c r="I163" s="22"/>
      <c r="J163" s="22"/>
      <c r="K163" s="22"/>
      <c r="L163" s="22"/>
      <c r="M163" s="22"/>
      <c r="N163" s="22"/>
      <c r="O163" s="22"/>
      <c r="P163" s="22"/>
      <c r="Q163" s="22"/>
      <c r="R163" s="22"/>
      <c r="S163" s="22"/>
      <c r="T163" s="22"/>
      <c r="U163" s="22"/>
      <c r="V163" s="22"/>
      <c r="W163" s="22"/>
      <c r="X163" s="22"/>
      <c r="Y163" s="22"/>
    </row>
    <row r="164" spans="1:25" ht="13.5" customHeight="1">
      <c r="A164" s="22"/>
      <c r="B164" s="22"/>
      <c r="C164" s="22"/>
      <c r="D164" s="22"/>
      <c r="E164" s="22"/>
      <c r="F164" s="22"/>
      <c r="G164" s="37"/>
      <c r="H164" s="22"/>
      <c r="I164" s="22"/>
      <c r="J164" s="22"/>
      <c r="K164" s="22"/>
      <c r="L164" s="22"/>
      <c r="M164" s="22"/>
      <c r="N164" s="22"/>
      <c r="O164" s="22"/>
      <c r="P164" s="22"/>
      <c r="Q164" s="22"/>
      <c r="R164" s="22"/>
      <c r="S164" s="22"/>
      <c r="T164" s="22"/>
      <c r="U164" s="22"/>
      <c r="V164" s="22"/>
      <c r="W164" s="22"/>
      <c r="X164" s="22"/>
      <c r="Y164" s="22"/>
    </row>
    <row r="165" spans="1:25" ht="13.5" customHeight="1">
      <c r="A165" s="22"/>
      <c r="B165" s="22"/>
      <c r="C165" s="22"/>
      <c r="D165" s="22"/>
      <c r="E165" s="22"/>
      <c r="F165" s="22"/>
      <c r="G165" s="37"/>
      <c r="H165" s="22"/>
      <c r="I165" s="22"/>
      <c r="J165" s="22"/>
      <c r="K165" s="22"/>
      <c r="L165" s="22"/>
      <c r="M165" s="22"/>
      <c r="N165" s="22"/>
      <c r="O165" s="22"/>
      <c r="P165" s="22"/>
      <c r="Q165" s="22"/>
      <c r="R165" s="22"/>
      <c r="S165" s="22"/>
      <c r="T165" s="22"/>
      <c r="U165" s="22"/>
      <c r="V165" s="22"/>
      <c r="W165" s="22"/>
      <c r="X165" s="22"/>
      <c r="Y165" s="22"/>
    </row>
    <row r="166" spans="1:25" ht="13.5" customHeight="1">
      <c r="A166" s="22"/>
      <c r="B166" s="22"/>
      <c r="C166" s="22"/>
      <c r="D166" s="22"/>
      <c r="E166" s="22"/>
      <c r="F166" s="22"/>
      <c r="G166" s="37"/>
      <c r="H166" s="22"/>
      <c r="I166" s="22"/>
      <c r="J166" s="22"/>
      <c r="K166" s="22"/>
      <c r="L166" s="22"/>
      <c r="M166" s="22"/>
      <c r="N166" s="22"/>
      <c r="O166" s="22"/>
      <c r="P166" s="22"/>
      <c r="Q166" s="22"/>
      <c r="R166" s="22"/>
      <c r="S166" s="22"/>
      <c r="T166" s="22"/>
      <c r="U166" s="22"/>
      <c r="V166" s="22"/>
      <c r="W166" s="22"/>
      <c r="X166" s="22"/>
      <c r="Y166" s="22"/>
    </row>
    <row r="167" spans="1:25" ht="13.5" customHeight="1">
      <c r="A167" s="22"/>
      <c r="B167" s="22"/>
      <c r="C167" s="22"/>
      <c r="D167" s="22"/>
      <c r="E167" s="22"/>
      <c r="F167" s="22"/>
      <c r="G167" s="37"/>
      <c r="H167" s="22"/>
      <c r="I167" s="22"/>
      <c r="J167" s="22"/>
      <c r="K167" s="22"/>
      <c r="L167" s="22"/>
      <c r="M167" s="22"/>
      <c r="N167" s="22"/>
      <c r="O167" s="22"/>
      <c r="P167" s="22"/>
      <c r="Q167" s="22"/>
      <c r="R167" s="22"/>
      <c r="S167" s="22"/>
      <c r="T167" s="22"/>
      <c r="U167" s="22"/>
      <c r="V167" s="22"/>
      <c r="W167" s="22"/>
      <c r="X167" s="22"/>
      <c r="Y167" s="22"/>
    </row>
    <row r="168" spans="1:25" ht="13.5" customHeight="1">
      <c r="A168" s="22"/>
      <c r="B168" s="22"/>
      <c r="C168" s="22"/>
      <c r="D168" s="22"/>
      <c r="E168" s="22"/>
      <c r="F168" s="22"/>
      <c r="G168" s="37"/>
      <c r="H168" s="22"/>
      <c r="I168" s="22"/>
      <c r="J168" s="22"/>
      <c r="K168" s="22"/>
      <c r="L168" s="22"/>
      <c r="M168" s="22"/>
      <c r="N168" s="22"/>
      <c r="O168" s="22"/>
      <c r="P168" s="22"/>
      <c r="Q168" s="22"/>
      <c r="R168" s="22"/>
      <c r="S168" s="22"/>
      <c r="T168" s="22"/>
      <c r="U168" s="22"/>
      <c r="V168" s="22"/>
      <c r="W168" s="22"/>
      <c r="X168" s="22"/>
      <c r="Y168" s="22"/>
    </row>
    <row r="169" spans="1:25" ht="13.5" customHeight="1">
      <c r="A169" s="22"/>
      <c r="B169" s="22"/>
      <c r="C169" s="22"/>
      <c r="D169" s="22"/>
      <c r="E169" s="22"/>
      <c r="F169" s="22"/>
      <c r="G169" s="37"/>
      <c r="H169" s="22"/>
      <c r="I169" s="22"/>
      <c r="J169" s="22"/>
      <c r="K169" s="22"/>
      <c r="L169" s="22"/>
      <c r="M169" s="22"/>
      <c r="N169" s="22"/>
      <c r="O169" s="22"/>
      <c r="P169" s="22"/>
      <c r="Q169" s="22"/>
      <c r="R169" s="22"/>
      <c r="S169" s="22"/>
      <c r="T169" s="22"/>
      <c r="U169" s="22"/>
      <c r="V169" s="22"/>
      <c r="W169" s="22"/>
      <c r="X169" s="22"/>
      <c r="Y169" s="22"/>
    </row>
    <row r="170" spans="1:25" ht="13.5" customHeight="1">
      <c r="A170" s="22"/>
      <c r="B170" s="22"/>
      <c r="C170" s="22"/>
      <c r="D170" s="22"/>
      <c r="E170" s="22"/>
      <c r="F170" s="22"/>
      <c r="G170" s="37"/>
      <c r="H170" s="22"/>
      <c r="I170" s="22"/>
      <c r="J170" s="22"/>
      <c r="K170" s="22"/>
      <c r="L170" s="22"/>
      <c r="M170" s="22"/>
      <c r="N170" s="22"/>
      <c r="O170" s="22"/>
      <c r="P170" s="22"/>
      <c r="Q170" s="22"/>
      <c r="R170" s="22"/>
      <c r="S170" s="22"/>
      <c r="T170" s="22"/>
      <c r="U170" s="22"/>
      <c r="V170" s="22"/>
      <c r="W170" s="22"/>
      <c r="X170" s="22"/>
      <c r="Y170" s="22"/>
    </row>
    <row r="171" spans="1:25" ht="13.5" customHeight="1">
      <c r="A171" s="22"/>
      <c r="B171" s="22"/>
      <c r="C171" s="22"/>
      <c r="D171" s="22"/>
      <c r="E171" s="22"/>
      <c r="F171" s="22"/>
      <c r="G171" s="37"/>
      <c r="H171" s="22"/>
      <c r="I171" s="22"/>
      <c r="J171" s="22"/>
      <c r="K171" s="22"/>
      <c r="L171" s="22"/>
      <c r="M171" s="22"/>
      <c r="N171" s="22"/>
      <c r="O171" s="22"/>
      <c r="P171" s="22"/>
      <c r="Q171" s="22"/>
      <c r="R171" s="22"/>
      <c r="S171" s="22"/>
      <c r="T171" s="22"/>
      <c r="U171" s="22"/>
      <c r="V171" s="22"/>
      <c r="W171" s="22"/>
      <c r="X171" s="22"/>
      <c r="Y171" s="22"/>
    </row>
    <row r="172" spans="1:25" ht="13.5" customHeight="1">
      <c r="A172" s="22"/>
      <c r="B172" s="22"/>
      <c r="C172" s="22"/>
      <c r="D172" s="22"/>
      <c r="E172" s="22"/>
      <c r="F172" s="22"/>
      <c r="G172" s="37"/>
      <c r="H172" s="22"/>
      <c r="I172" s="22"/>
      <c r="J172" s="22"/>
      <c r="K172" s="22"/>
      <c r="L172" s="22"/>
      <c r="M172" s="22"/>
      <c r="N172" s="22"/>
      <c r="O172" s="22"/>
      <c r="P172" s="22"/>
      <c r="Q172" s="22"/>
      <c r="R172" s="22"/>
      <c r="S172" s="22"/>
      <c r="T172" s="22"/>
      <c r="U172" s="22"/>
      <c r="V172" s="22"/>
      <c r="W172" s="22"/>
      <c r="X172" s="22"/>
      <c r="Y172" s="22"/>
    </row>
    <row r="173" spans="1:25" ht="13.5" customHeight="1">
      <c r="A173" s="22"/>
      <c r="B173" s="22"/>
      <c r="C173" s="22"/>
      <c r="D173" s="22"/>
      <c r="E173" s="22"/>
      <c r="F173" s="22"/>
      <c r="G173" s="37"/>
      <c r="H173" s="22"/>
      <c r="I173" s="22"/>
      <c r="J173" s="22"/>
      <c r="K173" s="22"/>
      <c r="L173" s="22"/>
      <c r="M173" s="22"/>
      <c r="N173" s="22"/>
      <c r="O173" s="22"/>
      <c r="P173" s="22"/>
      <c r="Q173" s="22"/>
      <c r="R173" s="22"/>
      <c r="S173" s="22"/>
      <c r="T173" s="22"/>
      <c r="U173" s="22"/>
      <c r="V173" s="22"/>
      <c r="W173" s="22"/>
      <c r="X173" s="22"/>
      <c r="Y173" s="22"/>
    </row>
    <row r="174" spans="1:25" ht="13.5" customHeight="1">
      <c r="A174" s="22"/>
      <c r="B174" s="22"/>
      <c r="C174" s="22"/>
      <c r="D174" s="22"/>
      <c r="E174" s="22"/>
      <c r="F174" s="22"/>
      <c r="G174" s="37"/>
      <c r="H174" s="22"/>
      <c r="I174" s="22"/>
      <c r="J174" s="22"/>
      <c r="K174" s="22"/>
      <c r="L174" s="22"/>
      <c r="M174" s="22"/>
      <c r="N174" s="22"/>
      <c r="O174" s="22"/>
      <c r="P174" s="22"/>
      <c r="Q174" s="22"/>
      <c r="R174" s="22"/>
      <c r="S174" s="22"/>
      <c r="T174" s="22"/>
      <c r="U174" s="22"/>
      <c r="V174" s="22"/>
      <c r="W174" s="22"/>
      <c r="X174" s="22"/>
      <c r="Y174" s="22"/>
    </row>
    <row r="175" spans="1:25" ht="13.5" customHeight="1">
      <c r="A175" s="22"/>
      <c r="B175" s="22"/>
      <c r="C175" s="22"/>
      <c r="D175" s="22"/>
      <c r="E175" s="22"/>
      <c r="F175" s="22"/>
      <c r="G175" s="37"/>
      <c r="H175" s="22"/>
      <c r="I175" s="22"/>
      <c r="J175" s="22"/>
      <c r="K175" s="22"/>
      <c r="L175" s="22"/>
      <c r="M175" s="22"/>
      <c r="N175" s="22"/>
      <c r="O175" s="22"/>
      <c r="P175" s="22"/>
      <c r="Q175" s="22"/>
      <c r="R175" s="22"/>
      <c r="S175" s="22"/>
      <c r="T175" s="22"/>
      <c r="U175" s="22"/>
      <c r="V175" s="22"/>
      <c r="W175" s="22"/>
      <c r="X175" s="22"/>
      <c r="Y175" s="22"/>
    </row>
    <row r="176" spans="1:25" ht="13.5" customHeight="1">
      <c r="A176" s="22"/>
      <c r="B176" s="22"/>
      <c r="C176" s="22"/>
      <c r="D176" s="22"/>
      <c r="E176" s="22"/>
      <c r="F176" s="22"/>
      <c r="G176" s="37"/>
      <c r="H176" s="22"/>
      <c r="I176" s="22"/>
      <c r="J176" s="22"/>
      <c r="K176" s="22"/>
      <c r="L176" s="22"/>
      <c r="M176" s="22"/>
      <c r="N176" s="22"/>
      <c r="O176" s="22"/>
      <c r="P176" s="22"/>
      <c r="Q176" s="22"/>
      <c r="R176" s="22"/>
      <c r="S176" s="22"/>
      <c r="T176" s="22"/>
      <c r="U176" s="22"/>
      <c r="V176" s="22"/>
      <c r="W176" s="22"/>
      <c r="X176" s="22"/>
      <c r="Y176" s="22"/>
    </row>
    <row r="177" spans="1:25" ht="13.5" customHeight="1">
      <c r="A177" s="22"/>
      <c r="B177" s="22"/>
      <c r="C177" s="22"/>
      <c r="D177" s="22"/>
      <c r="E177" s="22"/>
      <c r="F177" s="22"/>
      <c r="G177" s="37"/>
      <c r="H177" s="22"/>
      <c r="I177" s="22"/>
      <c r="J177" s="22"/>
      <c r="K177" s="22"/>
      <c r="L177" s="22"/>
      <c r="M177" s="22"/>
      <c r="N177" s="22"/>
      <c r="O177" s="22"/>
      <c r="P177" s="22"/>
      <c r="Q177" s="22"/>
      <c r="R177" s="22"/>
      <c r="S177" s="22"/>
      <c r="T177" s="22"/>
      <c r="U177" s="22"/>
      <c r="V177" s="22"/>
      <c r="W177" s="22"/>
      <c r="X177" s="22"/>
      <c r="Y177" s="22"/>
    </row>
    <row r="178" spans="1:25" ht="13.5" customHeight="1">
      <c r="A178" s="22"/>
      <c r="B178" s="22"/>
      <c r="C178" s="22"/>
      <c r="D178" s="22"/>
      <c r="E178" s="22"/>
      <c r="F178" s="22"/>
      <c r="G178" s="37"/>
      <c r="H178" s="22"/>
      <c r="I178" s="22"/>
      <c r="J178" s="22"/>
      <c r="K178" s="22"/>
      <c r="L178" s="22"/>
      <c r="M178" s="22"/>
      <c r="N178" s="22"/>
      <c r="O178" s="22"/>
      <c r="P178" s="22"/>
      <c r="Q178" s="22"/>
      <c r="R178" s="22"/>
      <c r="S178" s="22"/>
      <c r="T178" s="22"/>
      <c r="U178" s="22"/>
      <c r="V178" s="22"/>
      <c r="W178" s="22"/>
      <c r="X178" s="22"/>
      <c r="Y178" s="22"/>
    </row>
    <row r="179" spans="1:25" ht="13.5" customHeight="1">
      <c r="A179" s="22"/>
      <c r="B179" s="22"/>
      <c r="C179" s="22"/>
      <c r="D179" s="22"/>
      <c r="E179" s="22"/>
      <c r="F179" s="22"/>
      <c r="G179" s="37"/>
      <c r="H179" s="22"/>
      <c r="I179" s="22"/>
      <c r="J179" s="22"/>
      <c r="K179" s="22"/>
      <c r="L179" s="22"/>
      <c r="M179" s="22"/>
      <c r="N179" s="22"/>
      <c r="O179" s="22"/>
      <c r="P179" s="22"/>
      <c r="Q179" s="22"/>
      <c r="R179" s="22"/>
      <c r="S179" s="22"/>
      <c r="T179" s="22"/>
      <c r="U179" s="22"/>
      <c r="V179" s="22"/>
      <c r="W179" s="22"/>
      <c r="X179" s="22"/>
      <c r="Y179" s="22"/>
    </row>
    <row r="180" spans="1:25" ht="13.5" customHeight="1">
      <c r="A180" s="22"/>
      <c r="B180" s="22"/>
      <c r="C180" s="22"/>
      <c r="D180" s="22"/>
      <c r="E180" s="22"/>
      <c r="F180" s="22"/>
      <c r="G180" s="37"/>
      <c r="H180" s="22"/>
      <c r="I180" s="22"/>
      <c r="J180" s="22"/>
      <c r="K180" s="22"/>
      <c r="L180" s="22"/>
      <c r="M180" s="22"/>
      <c r="N180" s="22"/>
      <c r="O180" s="22"/>
      <c r="P180" s="22"/>
      <c r="Q180" s="22"/>
      <c r="R180" s="22"/>
      <c r="S180" s="22"/>
      <c r="T180" s="22"/>
      <c r="U180" s="22"/>
      <c r="V180" s="22"/>
      <c r="W180" s="22"/>
      <c r="X180" s="22"/>
      <c r="Y180" s="22"/>
    </row>
    <row r="181" spans="1:25" ht="13.5" customHeight="1">
      <c r="A181" s="22"/>
      <c r="B181" s="22"/>
      <c r="C181" s="22"/>
      <c r="D181" s="22"/>
      <c r="E181" s="22"/>
      <c r="F181" s="22"/>
      <c r="G181" s="37"/>
      <c r="H181" s="22"/>
      <c r="I181" s="22"/>
      <c r="J181" s="22"/>
      <c r="K181" s="22"/>
      <c r="L181" s="22"/>
      <c r="M181" s="22"/>
      <c r="N181" s="22"/>
      <c r="O181" s="22"/>
      <c r="P181" s="22"/>
      <c r="Q181" s="22"/>
      <c r="R181" s="22"/>
      <c r="S181" s="22"/>
      <c r="T181" s="22"/>
      <c r="U181" s="22"/>
      <c r="V181" s="22"/>
      <c r="W181" s="22"/>
      <c r="X181" s="22"/>
      <c r="Y181" s="22"/>
    </row>
    <row r="182" spans="1:25" ht="13.5" customHeight="1">
      <c r="A182" s="22"/>
      <c r="B182" s="22"/>
      <c r="C182" s="22"/>
      <c r="D182" s="22"/>
      <c r="E182" s="22"/>
      <c r="F182" s="22"/>
      <c r="G182" s="37"/>
      <c r="H182" s="22"/>
      <c r="I182" s="22"/>
      <c r="J182" s="22"/>
      <c r="K182" s="22"/>
      <c r="L182" s="22"/>
      <c r="M182" s="22"/>
      <c r="N182" s="22"/>
      <c r="O182" s="22"/>
      <c r="P182" s="22"/>
      <c r="Q182" s="22"/>
      <c r="R182" s="22"/>
      <c r="S182" s="22"/>
      <c r="T182" s="22"/>
      <c r="U182" s="22"/>
      <c r="V182" s="22"/>
      <c r="W182" s="22"/>
      <c r="X182" s="22"/>
      <c r="Y182" s="22"/>
    </row>
    <row r="183" spans="1:25" ht="13.5" customHeight="1">
      <c r="A183" s="22"/>
      <c r="B183" s="22"/>
      <c r="C183" s="22"/>
      <c r="D183" s="22"/>
      <c r="E183" s="22"/>
      <c r="F183" s="22"/>
      <c r="G183" s="37"/>
      <c r="H183" s="22"/>
      <c r="I183" s="22"/>
      <c r="J183" s="22"/>
      <c r="K183" s="22"/>
      <c r="L183" s="22"/>
      <c r="M183" s="22"/>
      <c r="N183" s="22"/>
      <c r="O183" s="22"/>
      <c r="P183" s="22"/>
      <c r="Q183" s="22"/>
      <c r="R183" s="22"/>
      <c r="S183" s="22"/>
      <c r="T183" s="22"/>
      <c r="U183" s="22"/>
      <c r="V183" s="22"/>
      <c r="W183" s="22"/>
      <c r="X183" s="22"/>
      <c r="Y183" s="22"/>
    </row>
    <row r="184" spans="1:25" ht="13.5" customHeight="1">
      <c r="A184" s="22"/>
      <c r="B184" s="22"/>
      <c r="C184" s="22"/>
      <c r="D184" s="22"/>
      <c r="E184" s="22"/>
      <c r="F184" s="22"/>
      <c r="G184" s="37"/>
      <c r="H184" s="22"/>
      <c r="I184" s="22"/>
      <c r="J184" s="22"/>
      <c r="K184" s="22"/>
      <c r="L184" s="22"/>
      <c r="M184" s="22"/>
      <c r="N184" s="22"/>
      <c r="O184" s="22"/>
      <c r="P184" s="22"/>
      <c r="Q184" s="22"/>
      <c r="R184" s="22"/>
      <c r="S184" s="22"/>
      <c r="T184" s="22"/>
      <c r="U184" s="22"/>
      <c r="V184" s="22"/>
      <c r="W184" s="22"/>
      <c r="X184" s="22"/>
      <c r="Y184" s="22"/>
    </row>
    <row r="185" spans="1:25" ht="13.5" customHeight="1">
      <c r="A185" s="22"/>
      <c r="B185" s="22"/>
      <c r="C185" s="22"/>
      <c r="D185" s="22"/>
      <c r="E185" s="22"/>
      <c r="F185" s="22"/>
      <c r="G185" s="37"/>
      <c r="H185" s="22"/>
      <c r="I185" s="22"/>
      <c r="J185" s="22"/>
      <c r="K185" s="22"/>
      <c r="L185" s="22"/>
      <c r="M185" s="22"/>
      <c r="N185" s="22"/>
      <c r="O185" s="22"/>
      <c r="P185" s="22"/>
      <c r="Q185" s="22"/>
      <c r="R185" s="22"/>
      <c r="S185" s="22"/>
      <c r="T185" s="22"/>
      <c r="U185" s="22"/>
      <c r="V185" s="22"/>
      <c r="W185" s="22"/>
      <c r="X185" s="22"/>
      <c r="Y185" s="22"/>
    </row>
    <row r="186" spans="1:25" ht="13.5" customHeight="1">
      <c r="A186" s="22"/>
      <c r="B186" s="22"/>
      <c r="C186" s="22"/>
      <c r="D186" s="22"/>
      <c r="E186" s="22"/>
      <c r="F186" s="22"/>
      <c r="G186" s="37"/>
      <c r="H186" s="22"/>
      <c r="I186" s="22"/>
      <c r="J186" s="22"/>
      <c r="K186" s="22"/>
      <c r="L186" s="22"/>
      <c r="M186" s="22"/>
      <c r="N186" s="22"/>
      <c r="O186" s="22"/>
      <c r="P186" s="22"/>
      <c r="Q186" s="22"/>
      <c r="R186" s="22"/>
      <c r="S186" s="22"/>
      <c r="T186" s="22"/>
      <c r="U186" s="22"/>
      <c r="V186" s="22"/>
      <c r="W186" s="22"/>
      <c r="X186" s="22"/>
      <c r="Y186" s="22"/>
    </row>
    <row r="187" spans="1:25" ht="13.5" customHeight="1">
      <c r="A187" s="22"/>
      <c r="B187" s="22"/>
      <c r="C187" s="22"/>
      <c r="D187" s="22"/>
      <c r="E187" s="22"/>
      <c r="F187" s="22"/>
      <c r="G187" s="37"/>
      <c r="H187" s="22"/>
      <c r="I187" s="22"/>
      <c r="J187" s="22"/>
      <c r="K187" s="22"/>
      <c r="L187" s="22"/>
      <c r="M187" s="22"/>
      <c r="N187" s="22"/>
      <c r="O187" s="22"/>
      <c r="P187" s="22"/>
      <c r="Q187" s="22"/>
      <c r="R187" s="22"/>
      <c r="S187" s="22"/>
      <c r="T187" s="22"/>
      <c r="U187" s="22"/>
      <c r="V187" s="22"/>
      <c r="W187" s="22"/>
      <c r="X187" s="22"/>
      <c r="Y187" s="22"/>
    </row>
    <row r="188" spans="1:25" ht="13.5" customHeight="1">
      <c r="A188" s="22"/>
      <c r="B188" s="22"/>
      <c r="C188" s="22"/>
      <c r="D188" s="22"/>
      <c r="E188" s="22"/>
      <c r="F188" s="22"/>
      <c r="G188" s="37"/>
      <c r="H188" s="22"/>
      <c r="I188" s="22"/>
      <c r="J188" s="22"/>
      <c r="K188" s="22"/>
      <c r="L188" s="22"/>
      <c r="M188" s="22"/>
      <c r="N188" s="22"/>
      <c r="O188" s="22"/>
      <c r="P188" s="22"/>
      <c r="Q188" s="22"/>
      <c r="R188" s="22"/>
      <c r="S188" s="22"/>
      <c r="T188" s="22"/>
      <c r="U188" s="22"/>
      <c r="V188" s="22"/>
      <c r="W188" s="22"/>
      <c r="X188" s="22"/>
      <c r="Y188" s="22"/>
    </row>
    <row r="189" spans="1:25" ht="13.5" customHeight="1">
      <c r="A189" s="22"/>
      <c r="B189" s="22"/>
      <c r="C189" s="22"/>
      <c r="D189" s="22"/>
      <c r="E189" s="22"/>
      <c r="F189" s="22"/>
      <c r="G189" s="37"/>
      <c r="H189" s="22"/>
      <c r="I189" s="22"/>
      <c r="J189" s="22"/>
      <c r="K189" s="22"/>
      <c r="L189" s="22"/>
      <c r="M189" s="22"/>
      <c r="N189" s="22"/>
      <c r="O189" s="22"/>
      <c r="P189" s="22"/>
      <c r="Q189" s="22"/>
      <c r="R189" s="22"/>
      <c r="S189" s="22"/>
      <c r="T189" s="22"/>
      <c r="U189" s="22"/>
      <c r="V189" s="22"/>
      <c r="W189" s="22"/>
      <c r="X189" s="22"/>
      <c r="Y189" s="22"/>
    </row>
    <row r="190" spans="1:25" ht="13.5" customHeight="1">
      <c r="A190" s="22"/>
      <c r="B190" s="22"/>
      <c r="C190" s="22"/>
      <c r="D190" s="22"/>
      <c r="E190" s="22"/>
      <c r="F190" s="22"/>
      <c r="G190" s="37"/>
      <c r="H190" s="22"/>
      <c r="I190" s="22"/>
      <c r="J190" s="22"/>
      <c r="K190" s="22"/>
      <c r="L190" s="22"/>
      <c r="M190" s="22"/>
      <c r="N190" s="22"/>
      <c r="O190" s="22"/>
      <c r="P190" s="22"/>
      <c r="Q190" s="22"/>
      <c r="R190" s="22"/>
      <c r="S190" s="22"/>
      <c r="T190" s="22"/>
      <c r="U190" s="22"/>
      <c r="V190" s="22"/>
      <c r="W190" s="22"/>
      <c r="X190" s="22"/>
      <c r="Y190" s="22"/>
    </row>
    <row r="191" spans="1:25" ht="13.5" customHeight="1">
      <c r="A191" s="22"/>
      <c r="B191" s="22"/>
      <c r="C191" s="22"/>
      <c r="D191" s="22"/>
      <c r="E191" s="22"/>
      <c r="F191" s="22"/>
      <c r="G191" s="37"/>
      <c r="H191" s="22"/>
      <c r="I191" s="22"/>
      <c r="J191" s="22"/>
      <c r="K191" s="22"/>
      <c r="L191" s="22"/>
      <c r="M191" s="22"/>
      <c r="N191" s="22"/>
      <c r="O191" s="22"/>
      <c r="P191" s="22"/>
      <c r="Q191" s="22"/>
      <c r="R191" s="22"/>
      <c r="S191" s="22"/>
      <c r="T191" s="22"/>
      <c r="U191" s="22"/>
      <c r="V191" s="22"/>
      <c r="W191" s="22"/>
      <c r="X191" s="22"/>
      <c r="Y191" s="22"/>
    </row>
    <row r="192" spans="1:25" ht="13.5" customHeight="1">
      <c r="A192" s="22"/>
      <c r="B192" s="22"/>
      <c r="C192" s="22"/>
      <c r="D192" s="22"/>
      <c r="E192" s="22"/>
      <c r="F192" s="22"/>
      <c r="G192" s="37"/>
      <c r="H192" s="22"/>
      <c r="I192" s="22"/>
      <c r="J192" s="22"/>
      <c r="K192" s="22"/>
      <c r="L192" s="22"/>
      <c r="M192" s="22"/>
      <c r="N192" s="22"/>
      <c r="O192" s="22"/>
      <c r="P192" s="22"/>
      <c r="Q192" s="22"/>
      <c r="R192" s="22"/>
      <c r="S192" s="22"/>
      <c r="T192" s="22"/>
      <c r="U192" s="22"/>
      <c r="V192" s="22"/>
      <c r="W192" s="22"/>
      <c r="X192" s="22"/>
      <c r="Y192" s="22"/>
    </row>
    <row r="193" spans="1:25" ht="13.5" customHeight="1">
      <c r="A193" s="22"/>
      <c r="B193" s="22"/>
      <c r="C193" s="22"/>
      <c r="D193" s="22"/>
      <c r="E193" s="22"/>
      <c r="F193" s="22"/>
      <c r="G193" s="37"/>
      <c r="H193" s="22"/>
      <c r="I193" s="22"/>
      <c r="J193" s="22"/>
      <c r="K193" s="22"/>
      <c r="L193" s="22"/>
      <c r="M193" s="22"/>
      <c r="N193" s="22"/>
      <c r="O193" s="22"/>
      <c r="P193" s="22"/>
      <c r="Q193" s="22"/>
      <c r="R193" s="22"/>
      <c r="S193" s="22"/>
      <c r="T193" s="22"/>
      <c r="U193" s="22"/>
      <c r="V193" s="22"/>
      <c r="W193" s="22"/>
      <c r="X193" s="22"/>
      <c r="Y193" s="22"/>
    </row>
    <row r="194" spans="1:25" ht="13.5" customHeight="1">
      <c r="A194" s="22"/>
      <c r="B194" s="22"/>
      <c r="C194" s="22"/>
      <c r="D194" s="22"/>
      <c r="E194" s="22"/>
      <c r="F194" s="22"/>
      <c r="G194" s="37"/>
      <c r="H194" s="22"/>
      <c r="I194" s="22"/>
      <c r="J194" s="22"/>
      <c r="K194" s="22"/>
      <c r="L194" s="22"/>
      <c r="M194" s="22"/>
      <c r="N194" s="22"/>
      <c r="O194" s="22"/>
      <c r="P194" s="22"/>
      <c r="Q194" s="22"/>
      <c r="R194" s="22"/>
      <c r="S194" s="22"/>
      <c r="T194" s="22"/>
      <c r="U194" s="22"/>
      <c r="V194" s="22"/>
      <c r="W194" s="22"/>
      <c r="X194" s="22"/>
      <c r="Y194" s="22"/>
    </row>
    <row r="195" spans="1:25" ht="13.5" customHeight="1">
      <c r="A195" s="22"/>
      <c r="B195" s="22"/>
      <c r="C195" s="22"/>
      <c r="D195" s="22"/>
      <c r="E195" s="22"/>
      <c r="F195" s="22"/>
      <c r="G195" s="37"/>
      <c r="H195" s="22"/>
      <c r="I195" s="22"/>
      <c r="J195" s="22"/>
      <c r="K195" s="22"/>
      <c r="L195" s="22"/>
      <c r="M195" s="22"/>
      <c r="N195" s="22"/>
      <c r="O195" s="22"/>
      <c r="P195" s="22"/>
      <c r="Q195" s="22"/>
      <c r="R195" s="22"/>
      <c r="S195" s="22"/>
      <c r="T195" s="22"/>
      <c r="U195" s="22"/>
      <c r="V195" s="22"/>
      <c r="W195" s="22"/>
      <c r="X195" s="22"/>
      <c r="Y195" s="22"/>
    </row>
    <row r="196" spans="1:25" ht="13.5" customHeight="1">
      <c r="A196" s="22"/>
      <c r="B196" s="22"/>
      <c r="C196" s="22"/>
      <c r="D196" s="22"/>
      <c r="E196" s="22"/>
      <c r="F196" s="22"/>
      <c r="G196" s="37"/>
      <c r="H196" s="22"/>
      <c r="I196" s="22"/>
      <c r="J196" s="22"/>
      <c r="K196" s="22"/>
      <c r="L196" s="22"/>
      <c r="M196" s="22"/>
      <c r="N196" s="22"/>
      <c r="O196" s="22"/>
      <c r="P196" s="22"/>
      <c r="Q196" s="22"/>
      <c r="R196" s="22"/>
      <c r="S196" s="22"/>
      <c r="T196" s="22"/>
      <c r="U196" s="22"/>
      <c r="V196" s="22"/>
      <c r="W196" s="22"/>
      <c r="X196" s="22"/>
      <c r="Y196" s="22"/>
    </row>
    <row r="197" spans="1:25" ht="13.5" customHeight="1">
      <c r="A197" s="22"/>
      <c r="B197" s="22"/>
      <c r="C197" s="22"/>
      <c r="D197" s="22"/>
      <c r="E197" s="22"/>
      <c r="F197" s="22"/>
      <c r="G197" s="37"/>
      <c r="H197" s="22"/>
      <c r="I197" s="22"/>
      <c r="J197" s="22"/>
      <c r="K197" s="22"/>
      <c r="L197" s="22"/>
      <c r="M197" s="22"/>
      <c r="N197" s="22"/>
      <c r="O197" s="22"/>
      <c r="P197" s="22"/>
      <c r="Q197" s="22"/>
      <c r="R197" s="22"/>
      <c r="S197" s="22"/>
      <c r="T197" s="22"/>
      <c r="U197" s="22"/>
      <c r="V197" s="22"/>
      <c r="W197" s="22"/>
      <c r="X197" s="22"/>
      <c r="Y197" s="22"/>
    </row>
    <row r="198" spans="1:25" ht="13.5" customHeight="1">
      <c r="A198" s="22"/>
      <c r="B198" s="22"/>
      <c r="C198" s="22"/>
      <c r="D198" s="22"/>
      <c r="E198" s="22"/>
      <c r="F198" s="22"/>
      <c r="G198" s="37"/>
      <c r="H198" s="22"/>
      <c r="I198" s="22"/>
      <c r="J198" s="22"/>
      <c r="K198" s="22"/>
      <c r="L198" s="22"/>
      <c r="M198" s="22"/>
      <c r="N198" s="22"/>
      <c r="O198" s="22"/>
      <c r="P198" s="22"/>
      <c r="Q198" s="22"/>
      <c r="R198" s="22"/>
      <c r="S198" s="22"/>
      <c r="T198" s="22"/>
      <c r="U198" s="22"/>
      <c r="V198" s="22"/>
      <c r="W198" s="22"/>
      <c r="X198" s="22"/>
      <c r="Y198" s="22"/>
    </row>
    <row r="199" spans="1:25" ht="13.5" customHeight="1">
      <c r="A199" s="22"/>
      <c r="B199" s="22"/>
      <c r="C199" s="22"/>
      <c r="D199" s="22"/>
      <c r="E199" s="22"/>
      <c r="F199" s="22"/>
      <c r="G199" s="37"/>
      <c r="H199" s="22"/>
      <c r="I199" s="22"/>
      <c r="J199" s="22"/>
      <c r="K199" s="22"/>
      <c r="L199" s="22"/>
      <c r="M199" s="22"/>
      <c r="N199" s="22"/>
      <c r="O199" s="22"/>
      <c r="P199" s="22"/>
      <c r="Q199" s="22"/>
      <c r="R199" s="22"/>
      <c r="S199" s="22"/>
      <c r="T199" s="22"/>
      <c r="U199" s="22"/>
      <c r="V199" s="22"/>
      <c r="W199" s="22"/>
      <c r="X199" s="22"/>
      <c r="Y199" s="22"/>
    </row>
    <row r="200" spans="1:25" ht="13.5" customHeight="1">
      <c r="A200" s="22"/>
      <c r="B200" s="22"/>
      <c r="C200" s="22"/>
      <c r="D200" s="22"/>
      <c r="E200" s="22"/>
      <c r="F200" s="22"/>
      <c r="G200" s="37"/>
      <c r="H200" s="22"/>
      <c r="I200" s="22"/>
      <c r="J200" s="22"/>
      <c r="K200" s="22"/>
      <c r="L200" s="22"/>
      <c r="M200" s="22"/>
      <c r="N200" s="22"/>
      <c r="O200" s="22"/>
      <c r="P200" s="22"/>
      <c r="Q200" s="22"/>
      <c r="R200" s="22"/>
      <c r="S200" s="22"/>
      <c r="T200" s="22"/>
      <c r="U200" s="22"/>
      <c r="V200" s="22"/>
      <c r="W200" s="22"/>
      <c r="X200" s="22"/>
      <c r="Y200" s="22"/>
    </row>
    <row r="201" spans="1:25" ht="13.5" customHeight="1">
      <c r="A201" s="22"/>
      <c r="B201" s="22"/>
      <c r="C201" s="22"/>
      <c r="D201" s="22"/>
      <c r="E201" s="22"/>
      <c r="F201" s="22"/>
      <c r="G201" s="37"/>
      <c r="H201" s="22"/>
      <c r="I201" s="22"/>
      <c r="J201" s="22"/>
      <c r="K201" s="22"/>
      <c r="L201" s="22"/>
      <c r="M201" s="22"/>
      <c r="N201" s="22"/>
      <c r="O201" s="22"/>
      <c r="P201" s="22"/>
      <c r="Q201" s="22"/>
      <c r="R201" s="22"/>
      <c r="S201" s="22"/>
      <c r="T201" s="22"/>
      <c r="U201" s="22"/>
      <c r="V201" s="22"/>
      <c r="W201" s="22"/>
      <c r="X201" s="22"/>
      <c r="Y201" s="22"/>
    </row>
    <row r="202" spans="1:25" ht="13.5" customHeight="1">
      <c r="A202" s="22"/>
      <c r="B202" s="22"/>
      <c r="C202" s="22"/>
      <c r="D202" s="22"/>
      <c r="E202" s="22"/>
      <c r="F202" s="22"/>
      <c r="G202" s="37"/>
      <c r="H202" s="22"/>
      <c r="I202" s="22"/>
      <c r="J202" s="22"/>
      <c r="K202" s="22"/>
      <c r="L202" s="22"/>
      <c r="M202" s="22"/>
      <c r="N202" s="22"/>
      <c r="O202" s="22"/>
      <c r="P202" s="22"/>
      <c r="Q202" s="22"/>
      <c r="R202" s="22"/>
      <c r="S202" s="22"/>
      <c r="T202" s="22"/>
      <c r="U202" s="22"/>
      <c r="V202" s="22"/>
      <c r="W202" s="22"/>
      <c r="X202" s="22"/>
      <c r="Y202" s="22"/>
    </row>
    <row r="203" spans="1:25" ht="13.5" customHeight="1">
      <c r="A203" s="22"/>
      <c r="B203" s="22"/>
      <c r="C203" s="22"/>
      <c r="D203" s="22"/>
      <c r="E203" s="22"/>
      <c r="F203" s="22"/>
      <c r="G203" s="37"/>
      <c r="H203" s="22"/>
      <c r="I203" s="22"/>
      <c r="J203" s="22"/>
      <c r="K203" s="22"/>
      <c r="L203" s="22"/>
      <c r="M203" s="22"/>
      <c r="N203" s="22"/>
      <c r="O203" s="22"/>
      <c r="P203" s="22"/>
      <c r="Q203" s="22"/>
      <c r="R203" s="22"/>
      <c r="S203" s="22"/>
      <c r="T203" s="22"/>
      <c r="U203" s="22"/>
      <c r="V203" s="22"/>
      <c r="W203" s="22"/>
      <c r="X203" s="22"/>
      <c r="Y203" s="22"/>
    </row>
    <row r="204" spans="1:25" ht="13.5" customHeight="1">
      <c r="A204" s="22"/>
      <c r="B204" s="22"/>
      <c r="C204" s="22"/>
      <c r="D204" s="22"/>
      <c r="E204" s="22"/>
      <c r="F204" s="22"/>
      <c r="G204" s="37"/>
      <c r="H204" s="22"/>
      <c r="I204" s="22"/>
      <c r="J204" s="22"/>
      <c r="K204" s="22"/>
      <c r="L204" s="22"/>
      <c r="M204" s="22"/>
      <c r="N204" s="22"/>
      <c r="O204" s="22"/>
      <c r="P204" s="22"/>
      <c r="Q204" s="22"/>
      <c r="R204" s="22"/>
      <c r="S204" s="22"/>
      <c r="T204" s="22"/>
      <c r="U204" s="22"/>
      <c r="V204" s="22"/>
      <c r="W204" s="22"/>
      <c r="X204" s="22"/>
      <c r="Y204" s="22"/>
    </row>
    <row r="205" spans="1:25" ht="13.5" customHeight="1">
      <c r="A205" s="22"/>
      <c r="B205" s="22"/>
      <c r="C205" s="22"/>
      <c r="D205" s="22"/>
      <c r="E205" s="22"/>
      <c r="F205" s="22"/>
      <c r="G205" s="37"/>
      <c r="H205" s="22"/>
      <c r="I205" s="22"/>
      <c r="J205" s="22"/>
      <c r="K205" s="22"/>
      <c r="L205" s="22"/>
      <c r="M205" s="22"/>
      <c r="N205" s="22"/>
      <c r="O205" s="22"/>
      <c r="P205" s="22"/>
      <c r="Q205" s="22"/>
      <c r="R205" s="22"/>
      <c r="S205" s="22"/>
      <c r="T205" s="22"/>
      <c r="U205" s="22"/>
      <c r="V205" s="22"/>
      <c r="W205" s="22"/>
      <c r="X205" s="22"/>
      <c r="Y205" s="22"/>
    </row>
    <row r="206" spans="1:25" ht="13.5" customHeight="1">
      <c r="A206" s="22"/>
      <c r="B206" s="22"/>
      <c r="C206" s="22"/>
      <c r="D206" s="22"/>
      <c r="E206" s="22"/>
      <c r="F206" s="22"/>
      <c r="G206" s="37"/>
      <c r="H206" s="22"/>
      <c r="I206" s="22"/>
      <c r="J206" s="22"/>
      <c r="K206" s="22"/>
      <c r="L206" s="22"/>
      <c r="M206" s="22"/>
      <c r="N206" s="22"/>
      <c r="O206" s="22"/>
      <c r="P206" s="22"/>
      <c r="Q206" s="22"/>
      <c r="R206" s="22"/>
      <c r="S206" s="22"/>
      <c r="T206" s="22"/>
      <c r="U206" s="22"/>
      <c r="V206" s="22"/>
      <c r="W206" s="22"/>
      <c r="X206" s="22"/>
      <c r="Y206" s="22"/>
    </row>
    <row r="207" spans="1:25" ht="13.5" customHeight="1">
      <c r="A207" s="22"/>
      <c r="B207" s="22"/>
      <c r="C207" s="22"/>
      <c r="D207" s="22"/>
      <c r="E207" s="22"/>
      <c r="F207" s="22"/>
      <c r="G207" s="37"/>
      <c r="H207" s="22"/>
      <c r="I207" s="22"/>
      <c r="J207" s="22"/>
      <c r="K207" s="22"/>
      <c r="L207" s="22"/>
      <c r="M207" s="22"/>
      <c r="N207" s="22"/>
      <c r="O207" s="22"/>
      <c r="P207" s="22"/>
      <c r="Q207" s="22"/>
      <c r="R207" s="22"/>
      <c r="S207" s="22"/>
      <c r="T207" s="22"/>
      <c r="U207" s="22"/>
      <c r="V207" s="22"/>
      <c r="W207" s="22"/>
      <c r="X207" s="22"/>
      <c r="Y207" s="22"/>
    </row>
    <row r="208" spans="1:25" ht="13.5" customHeight="1">
      <c r="A208" s="22"/>
      <c r="B208" s="22"/>
      <c r="C208" s="22"/>
      <c r="D208" s="22"/>
      <c r="E208" s="22"/>
      <c r="F208" s="22"/>
      <c r="G208" s="37"/>
      <c r="H208" s="22"/>
      <c r="I208" s="22"/>
      <c r="J208" s="22"/>
      <c r="K208" s="22"/>
      <c r="L208" s="22"/>
      <c r="M208" s="22"/>
      <c r="N208" s="22"/>
      <c r="O208" s="22"/>
      <c r="P208" s="22"/>
      <c r="Q208" s="22"/>
      <c r="R208" s="22"/>
      <c r="S208" s="22"/>
      <c r="T208" s="22"/>
      <c r="U208" s="22"/>
      <c r="V208" s="22"/>
      <c r="W208" s="22"/>
      <c r="X208" s="22"/>
      <c r="Y208" s="22"/>
    </row>
    <row r="209" spans="1:25" ht="13.5" customHeight="1">
      <c r="A209" s="22"/>
      <c r="B209" s="22"/>
      <c r="C209" s="22"/>
      <c r="D209" s="22"/>
      <c r="E209" s="22"/>
      <c r="F209" s="22"/>
      <c r="G209" s="37"/>
      <c r="H209" s="22"/>
      <c r="I209" s="22"/>
      <c r="J209" s="22"/>
      <c r="K209" s="22"/>
      <c r="L209" s="22"/>
      <c r="M209" s="22"/>
      <c r="N209" s="22"/>
      <c r="O209" s="22"/>
      <c r="P209" s="22"/>
      <c r="Q209" s="22"/>
      <c r="R209" s="22"/>
      <c r="S209" s="22"/>
      <c r="T209" s="22"/>
      <c r="U209" s="22"/>
      <c r="V209" s="22"/>
      <c r="W209" s="22"/>
      <c r="X209" s="22"/>
      <c r="Y209" s="22"/>
    </row>
    <row r="210" spans="1:25" ht="13.5" customHeight="1">
      <c r="A210" s="22"/>
      <c r="B210" s="22"/>
      <c r="C210" s="22"/>
      <c r="D210" s="22"/>
      <c r="E210" s="22"/>
      <c r="F210" s="22"/>
      <c r="G210" s="37"/>
      <c r="H210" s="22"/>
      <c r="I210" s="22"/>
      <c r="J210" s="22"/>
      <c r="K210" s="22"/>
      <c r="L210" s="22"/>
      <c r="M210" s="22"/>
      <c r="N210" s="22"/>
      <c r="O210" s="22"/>
      <c r="P210" s="22"/>
      <c r="Q210" s="22"/>
      <c r="R210" s="22"/>
      <c r="S210" s="22"/>
      <c r="T210" s="22"/>
      <c r="U210" s="22"/>
      <c r="V210" s="22"/>
      <c r="W210" s="22"/>
      <c r="X210" s="22"/>
      <c r="Y210" s="22"/>
    </row>
    <row r="211" spans="1:25" ht="13.5" customHeight="1">
      <c r="A211" s="22"/>
      <c r="B211" s="22"/>
      <c r="C211" s="22"/>
      <c r="D211" s="22"/>
      <c r="E211" s="22"/>
      <c r="F211" s="22"/>
      <c r="G211" s="37"/>
      <c r="H211" s="22"/>
      <c r="I211" s="22"/>
      <c r="J211" s="22"/>
      <c r="K211" s="22"/>
      <c r="L211" s="22"/>
      <c r="M211" s="22"/>
      <c r="N211" s="22"/>
      <c r="O211" s="22"/>
      <c r="P211" s="22"/>
      <c r="Q211" s="22"/>
      <c r="R211" s="22"/>
      <c r="S211" s="22"/>
      <c r="T211" s="22"/>
      <c r="U211" s="22"/>
      <c r="V211" s="22"/>
      <c r="W211" s="22"/>
      <c r="X211" s="22"/>
      <c r="Y211" s="22"/>
    </row>
    <row r="212" spans="1:25" ht="13.5" customHeight="1">
      <c r="A212" s="22"/>
      <c r="B212" s="22"/>
      <c r="C212" s="22"/>
      <c r="D212" s="22"/>
      <c r="E212" s="22"/>
      <c r="F212" s="22"/>
      <c r="G212" s="37"/>
      <c r="H212" s="22"/>
      <c r="I212" s="22"/>
      <c r="J212" s="22"/>
      <c r="K212" s="22"/>
      <c r="L212" s="22"/>
      <c r="M212" s="22"/>
      <c r="N212" s="22"/>
      <c r="O212" s="22"/>
      <c r="P212" s="22"/>
      <c r="Q212" s="22"/>
      <c r="R212" s="22"/>
      <c r="S212" s="22"/>
      <c r="T212" s="22"/>
      <c r="U212" s="22"/>
      <c r="V212" s="22"/>
      <c r="W212" s="22"/>
      <c r="X212" s="22"/>
      <c r="Y212" s="22"/>
    </row>
    <row r="213" spans="1:25" ht="13.5" customHeight="1">
      <c r="A213" s="22"/>
      <c r="B213" s="22"/>
      <c r="C213" s="22"/>
      <c r="D213" s="22"/>
      <c r="E213" s="22"/>
      <c r="F213" s="22"/>
      <c r="G213" s="37"/>
      <c r="H213" s="22"/>
      <c r="I213" s="22"/>
      <c r="J213" s="22"/>
      <c r="K213" s="22"/>
      <c r="L213" s="22"/>
      <c r="M213" s="22"/>
      <c r="N213" s="22"/>
      <c r="O213" s="22"/>
      <c r="P213" s="22"/>
      <c r="Q213" s="22"/>
      <c r="R213" s="22"/>
      <c r="S213" s="22"/>
      <c r="T213" s="22"/>
      <c r="U213" s="22"/>
      <c r="V213" s="22"/>
      <c r="W213" s="22"/>
      <c r="X213" s="22"/>
      <c r="Y213" s="22"/>
    </row>
    <row r="214" spans="1:25" ht="13.5" customHeight="1">
      <c r="A214" s="22"/>
      <c r="B214" s="22"/>
      <c r="C214" s="22"/>
      <c r="D214" s="22"/>
      <c r="E214" s="22"/>
      <c r="F214" s="22"/>
      <c r="G214" s="37"/>
      <c r="H214" s="22"/>
      <c r="I214" s="22"/>
      <c r="J214" s="22"/>
      <c r="K214" s="22"/>
      <c r="L214" s="22"/>
      <c r="M214" s="22"/>
      <c r="N214" s="22"/>
      <c r="O214" s="22"/>
      <c r="P214" s="22"/>
      <c r="Q214" s="22"/>
      <c r="R214" s="22"/>
      <c r="S214" s="22"/>
      <c r="T214" s="22"/>
      <c r="U214" s="22"/>
      <c r="V214" s="22"/>
      <c r="W214" s="22"/>
      <c r="X214" s="22"/>
      <c r="Y214" s="22"/>
    </row>
    <row r="215" spans="1:25" ht="13.5" customHeight="1">
      <c r="A215" s="22"/>
      <c r="B215" s="22"/>
      <c r="C215" s="22"/>
      <c r="D215" s="22"/>
      <c r="E215" s="22"/>
      <c r="F215" s="22"/>
      <c r="G215" s="37"/>
      <c r="H215" s="22"/>
      <c r="I215" s="22"/>
      <c r="J215" s="22"/>
      <c r="K215" s="22"/>
      <c r="L215" s="22"/>
      <c r="M215" s="22"/>
      <c r="N215" s="22"/>
      <c r="O215" s="22"/>
      <c r="P215" s="22"/>
      <c r="Q215" s="22"/>
      <c r="R215" s="22"/>
      <c r="S215" s="22"/>
      <c r="T215" s="22"/>
      <c r="U215" s="22"/>
      <c r="V215" s="22"/>
      <c r="W215" s="22"/>
      <c r="X215" s="22"/>
      <c r="Y215" s="22"/>
    </row>
    <row r="216" spans="1:25" ht="13.5" customHeight="1">
      <c r="A216" s="22"/>
      <c r="B216" s="22"/>
      <c r="C216" s="22"/>
      <c r="D216" s="22"/>
      <c r="E216" s="22"/>
      <c r="F216" s="22"/>
      <c r="G216" s="37"/>
      <c r="H216" s="22"/>
      <c r="I216" s="22"/>
      <c r="J216" s="22"/>
      <c r="K216" s="22"/>
      <c r="L216" s="22"/>
      <c r="M216" s="22"/>
      <c r="N216" s="22"/>
      <c r="O216" s="22"/>
      <c r="P216" s="22"/>
      <c r="Q216" s="22"/>
      <c r="R216" s="22"/>
      <c r="S216" s="22"/>
      <c r="T216" s="22"/>
      <c r="U216" s="22"/>
      <c r="V216" s="22"/>
      <c r="W216" s="22"/>
      <c r="X216" s="22"/>
      <c r="Y216" s="22"/>
    </row>
    <row r="217" spans="1:25" ht="13.5" customHeight="1">
      <c r="A217" s="22"/>
      <c r="B217" s="22"/>
      <c r="C217" s="22"/>
      <c r="D217" s="22"/>
      <c r="E217" s="22"/>
      <c r="F217" s="22"/>
      <c r="G217" s="37"/>
      <c r="H217" s="22"/>
      <c r="I217" s="22"/>
      <c r="J217" s="22"/>
      <c r="K217" s="22"/>
      <c r="L217" s="22"/>
      <c r="M217" s="22"/>
      <c r="N217" s="22"/>
      <c r="O217" s="22"/>
      <c r="P217" s="22"/>
      <c r="Q217" s="22"/>
      <c r="R217" s="22"/>
      <c r="S217" s="22"/>
      <c r="T217" s="22"/>
      <c r="U217" s="22"/>
      <c r="V217" s="22"/>
      <c r="W217" s="22"/>
      <c r="X217" s="22"/>
      <c r="Y217" s="22"/>
    </row>
    <row r="218" spans="1:25" ht="13.5" customHeight="1">
      <c r="A218" s="22"/>
      <c r="B218" s="22"/>
      <c r="C218" s="22"/>
      <c r="D218" s="22"/>
      <c r="E218" s="22"/>
      <c r="F218" s="22"/>
      <c r="G218" s="37"/>
      <c r="H218" s="22"/>
      <c r="I218" s="22"/>
      <c r="J218" s="22"/>
      <c r="K218" s="22"/>
      <c r="L218" s="22"/>
      <c r="M218" s="22"/>
      <c r="N218" s="22"/>
      <c r="O218" s="22"/>
      <c r="P218" s="22"/>
      <c r="Q218" s="22"/>
      <c r="R218" s="22"/>
      <c r="S218" s="22"/>
      <c r="T218" s="22"/>
      <c r="U218" s="22"/>
      <c r="V218" s="22"/>
      <c r="W218" s="22"/>
      <c r="X218" s="22"/>
      <c r="Y218" s="22"/>
    </row>
    <row r="219" spans="1:25" ht="13.5" customHeight="1">
      <c r="A219" s="22"/>
      <c r="B219" s="22"/>
      <c r="C219" s="22"/>
      <c r="D219" s="22"/>
      <c r="E219" s="22"/>
      <c r="F219" s="22"/>
      <c r="G219" s="37"/>
      <c r="H219" s="22"/>
      <c r="I219" s="22"/>
      <c r="J219" s="22"/>
      <c r="K219" s="22"/>
      <c r="L219" s="22"/>
      <c r="M219" s="22"/>
      <c r="N219" s="22"/>
      <c r="O219" s="22"/>
      <c r="P219" s="22"/>
      <c r="Q219" s="22"/>
      <c r="R219" s="22"/>
      <c r="S219" s="22"/>
      <c r="T219" s="22"/>
      <c r="U219" s="22"/>
      <c r="V219" s="22"/>
      <c r="W219" s="22"/>
      <c r="X219" s="22"/>
      <c r="Y219" s="22"/>
    </row>
    <row r="220" spans="1:25" ht="13.5" customHeight="1">
      <c r="A220" s="22"/>
      <c r="B220" s="22"/>
      <c r="C220" s="22"/>
      <c r="D220" s="22"/>
      <c r="E220" s="22"/>
      <c r="F220" s="22"/>
      <c r="G220" s="37"/>
      <c r="H220" s="22"/>
      <c r="I220" s="22"/>
      <c r="J220" s="22"/>
      <c r="K220" s="22"/>
      <c r="L220" s="22"/>
      <c r="M220" s="22"/>
      <c r="N220" s="22"/>
      <c r="O220" s="22"/>
      <c r="P220" s="22"/>
      <c r="Q220" s="22"/>
      <c r="R220" s="22"/>
      <c r="S220" s="22"/>
      <c r="T220" s="22"/>
      <c r="U220" s="22"/>
      <c r="V220" s="22"/>
      <c r="W220" s="22"/>
      <c r="X220" s="22"/>
      <c r="Y220" s="22"/>
    </row>
    <row r="221" spans="1:25" ht="13.5" customHeight="1">
      <c r="A221" s="22"/>
      <c r="B221" s="22"/>
      <c r="C221" s="22"/>
      <c r="D221" s="22"/>
      <c r="E221" s="22"/>
      <c r="F221" s="22"/>
      <c r="G221" s="37"/>
      <c r="H221" s="22"/>
      <c r="I221" s="22"/>
      <c r="J221" s="22"/>
      <c r="K221" s="22"/>
      <c r="L221" s="22"/>
      <c r="M221" s="22"/>
      <c r="N221" s="22"/>
      <c r="O221" s="22"/>
      <c r="P221" s="22"/>
      <c r="Q221" s="22"/>
      <c r="R221" s="22"/>
      <c r="S221" s="22"/>
      <c r="T221" s="22"/>
      <c r="U221" s="22"/>
      <c r="V221" s="22"/>
      <c r="W221" s="22"/>
      <c r="X221" s="22"/>
      <c r="Y221" s="22"/>
    </row>
    <row r="222" spans="1:25" ht="13.5" customHeight="1">
      <c r="A222" s="22"/>
      <c r="B222" s="22"/>
      <c r="C222" s="22"/>
      <c r="D222" s="22"/>
      <c r="E222" s="22"/>
      <c r="F222" s="22"/>
      <c r="G222" s="37"/>
      <c r="H222" s="22"/>
      <c r="I222" s="22"/>
      <c r="J222" s="22"/>
      <c r="K222" s="22"/>
      <c r="L222" s="22"/>
      <c r="M222" s="22"/>
      <c r="N222" s="22"/>
      <c r="O222" s="22"/>
      <c r="P222" s="22"/>
      <c r="Q222" s="22"/>
      <c r="R222" s="22"/>
      <c r="S222" s="22"/>
      <c r="T222" s="22"/>
      <c r="U222" s="22"/>
      <c r="V222" s="22"/>
      <c r="W222" s="22"/>
      <c r="X222" s="22"/>
      <c r="Y222" s="22"/>
    </row>
    <row r="223" spans="1:25" ht="13.5" customHeight="1">
      <c r="A223" s="22"/>
      <c r="B223" s="22"/>
      <c r="C223" s="22"/>
      <c r="D223" s="22"/>
      <c r="E223" s="22"/>
      <c r="F223" s="22"/>
      <c r="G223" s="37"/>
      <c r="H223" s="22"/>
      <c r="I223" s="22"/>
      <c r="J223" s="22"/>
      <c r="K223" s="22"/>
      <c r="L223" s="22"/>
      <c r="M223" s="22"/>
      <c r="N223" s="22"/>
      <c r="O223" s="22"/>
      <c r="P223" s="22"/>
      <c r="Q223" s="22"/>
      <c r="R223" s="22"/>
      <c r="S223" s="22"/>
      <c r="T223" s="22"/>
      <c r="U223" s="22"/>
      <c r="V223" s="22"/>
      <c r="W223" s="22"/>
      <c r="X223" s="22"/>
      <c r="Y223" s="22"/>
    </row>
    <row r="224" spans="1:25" ht="13.5" customHeight="1">
      <c r="A224" s="22"/>
      <c r="B224" s="22"/>
      <c r="C224" s="22"/>
      <c r="D224" s="22"/>
      <c r="E224" s="22"/>
      <c r="F224" s="22"/>
      <c r="G224" s="37"/>
      <c r="H224" s="22"/>
      <c r="I224" s="22"/>
      <c r="J224" s="22"/>
      <c r="K224" s="22"/>
      <c r="L224" s="22"/>
      <c r="M224" s="22"/>
      <c r="N224" s="22"/>
      <c r="O224" s="22"/>
      <c r="P224" s="22"/>
      <c r="Q224" s="22"/>
      <c r="R224" s="22"/>
      <c r="S224" s="22"/>
      <c r="T224" s="22"/>
      <c r="U224" s="22"/>
      <c r="V224" s="22"/>
      <c r="W224" s="22"/>
      <c r="X224" s="22"/>
      <c r="Y224" s="22"/>
    </row>
    <row r="225" spans="1:25" ht="13.5" customHeight="1">
      <c r="A225" s="22"/>
      <c r="B225" s="22"/>
      <c r="C225" s="22"/>
      <c r="D225" s="22"/>
      <c r="E225" s="22"/>
      <c r="F225" s="22"/>
      <c r="G225" s="37"/>
      <c r="H225" s="22"/>
      <c r="I225" s="22"/>
      <c r="J225" s="22"/>
      <c r="K225" s="22"/>
      <c r="L225" s="22"/>
      <c r="M225" s="22"/>
      <c r="N225" s="22"/>
      <c r="O225" s="22"/>
      <c r="P225" s="22"/>
      <c r="Q225" s="22"/>
      <c r="R225" s="22"/>
      <c r="S225" s="22"/>
      <c r="T225" s="22"/>
      <c r="U225" s="22"/>
      <c r="V225" s="22"/>
      <c r="W225" s="22"/>
      <c r="X225" s="22"/>
      <c r="Y225" s="22"/>
    </row>
    <row r="226" spans="1:25" ht="13.5" customHeight="1">
      <c r="A226" s="22"/>
      <c r="B226" s="22"/>
      <c r="C226" s="22"/>
      <c r="D226" s="22"/>
      <c r="E226" s="22"/>
      <c r="F226" s="22"/>
      <c r="G226" s="37"/>
      <c r="H226" s="22"/>
      <c r="I226" s="22"/>
      <c r="J226" s="22"/>
      <c r="K226" s="22"/>
      <c r="L226" s="22"/>
      <c r="M226" s="22"/>
      <c r="N226" s="22"/>
      <c r="O226" s="22"/>
      <c r="P226" s="22"/>
      <c r="Q226" s="22"/>
      <c r="R226" s="22"/>
      <c r="S226" s="22"/>
      <c r="T226" s="22"/>
      <c r="U226" s="22"/>
      <c r="V226" s="22"/>
      <c r="W226" s="22"/>
      <c r="X226" s="22"/>
      <c r="Y226" s="22"/>
    </row>
    <row r="227" spans="1:25" ht="13.5" customHeight="1">
      <c r="A227" s="22"/>
      <c r="B227" s="22"/>
      <c r="C227" s="22"/>
      <c r="D227" s="22"/>
      <c r="E227" s="22"/>
      <c r="F227" s="22"/>
      <c r="G227" s="37"/>
      <c r="H227" s="22"/>
      <c r="I227" s="22"/>
      <c r="J227" s="22"/>
      <c r="K227" s="22"/>
      <c r="L227" s="22"/>
      <c r="M227" s="22"/>
      <c r="N227" s="22"/>
      <c r="O227" s="22"/>
      <c r="P227" s="22"/>
      <c r="Q227" s="22"/>
      <c r="R227" s="22"/>
      <c r="S227" s="22"/>
      <c r="T227" s="22"/>
      <c r="U227" s="22"/>
      <c r="V227" s="22"/>
      <c r="W227" s="22"/>
      <c r="X227" s="22"/>
      <c r="Y227" s="22"/>
    </row>
    <row r="228" spans="1:25" ht="13.5" customHeight="1">
      <c r="A228" s="22"/>
      <c r="B228" s="22"/>
      <c r="C228" s="22"/>
      <c r="D228" s="22"/>
      <c r="E228" s="22"/>
      <c r="F228" s="22"/>
      <c r="G228" s="37"/>
      <c r="H228" s="22"/>
      <c r="I228" s="22"/>
      <c r="J228" s="22"/>
      <c r="K228" s="22"/>
      <c r="L228" s="22"/>
      <c r="M228" s="22"/>
      <c r="N228" s="22"/>
      <c r="O228" s="22"/>
      <c r="P228" s="22"/>
      <c r="Q228" s="22"/>
      <c r="R228" s="22"/>
      <c r="S228" s="22"/>
      <c r="T228" s="22"/>
      <c r="U228" s="22"/>
      <c r="V228" s="22"/>
      <c r="W228" s="22"/>
      <c r="X228" s="22"/>
      <c r="Y228" s="22"/>
    </row>
    <row r="229" spans="1:25" ht="13.5" customHeight="1">
      <c r="A229" s="22"/>
      <c r="B229" s="22"/>
      <c r="C229" s="22"/>
      <c r="D229" s="22"/>
      <c r="E229" s="22"/>
      <c r="F229" s="22"/>
      <c r="G229" s="37"/>
      <c r="H229" s="22"/>
      <c r="I229" s="22"/>
      <c r="J229" s="22"/>
      <c r="K229" s="22"/>
      <c r="L229" s="22"/>
      <c r="M229" s="22"/>
      <c r="N229" s="22"/>
      <c r="O229" s="22"/>
      <c r="P229" s="22"/>
      <c r="Q229" s="22"/>
      <c r="R229" s="22"/>
      <c r="S229" s="22"/>
      <c r="T229" s="22"/>
      <c r="U229" s="22"/>
      <c r="V229" s="22"/>
      <c r="W229" s="22"/>
      <c r="X229" s="22"/>
      <c r="Y229" s="22"/>
    </row>
    <row r="230" spans="1:25" ht="13.5" customHeight="1">
      <c r="A230" s="22"/>
      <c r="B230" s="22"/>
      <c r="C230" s="22"/>
      <c r="D230" s="22"/>
      <c r="E230" s="22"/>
      <c r="F230" s="22"/>
      <c r="G230" s="37"/>
      <c r="H230" s="22"/>
      <c r="I230" s="22"/>
      <c r="J230" s="22"/>
      <c r="K230" s="22"/>
      <c r="L230" s="22"/>
      <c r="M230" s="22"/>
      <c r="N230" s="22"/>
      <c r="O230" s="22"/>
      <c r="P230" s="22"/>
      <c r="Q230" s="22"/>
      <c r="R230" s="22"/>
      <c r="S230" s="22"/>
      <c r="T230" s="22"/>
      <c r="U230" s="22"/>
      <c r="V230" s="22"/>
      <c r="W230" s="22"/>
      <c r="X230" s="22"/>
      <c r="Y230" s="22"/>
    </row>
    <row r="231" spans="1:25" ht="13.5" customHeight="1">
      <c r="A231" s="22"/>
      <c r="B231" s="22"/>
      <c r="C231" s="22"/>
      <c r="D231" s="22"/>
      <c r="E231" s="22"/>
      <c r="F231" s="22"/>
      <c r="G231" s="37"/>
      <c r="H231" s="22"/>
      <c r="I231" s="22"/>
      <c r="J231" s="22"/>
      <c r="K231" s="22"/>
      <c r="L231" s="22"/>
      <c r="M231" s="22"/>
      <c r="N231" s="22"/>
      <c r="O231" s="22"/>
      <c r="P231" s="22"/>
      <c r="Q231" s="22"/>
      <c r="R231" s="22"/>
      <c r="S231" s="22"/>
      <c r="T231" s="22"/>
      <c r="U231" s="22"/>
      <c r="V231" s="22"/>
      <c r="W231" s="22"/>
      <c r="X231" s="22"/>
      <c r="Y231" s="22"/>
    </row>
    <row r="232" spans="1:25" ht="13.5" customHeight="1">
      <c r="A232" s="22"/>
      <c r="B232" s="22"/>
      <c r="C232" s="22"/>
      <c r="D232" s="22"/>
      <c r="E232" s="22"/>
      <c r="F232" s="22"/>
      <c r="G232" s="37"/>
      <c r="H232" s="22"/>
      <c r="I232" s="22"/>
      <c r="J232" s="22"/>
      <c r="K232" s="22"/>
      <c r="L232" s="22"/>
      <c r="M232" s="22"/>
      <c r="N232" s="22"/>
      <c r="O232" s="22"/>
      <c r="P232" s="22"/>
      <c r="Q232" s="22"/>
      <c r="R232" s="22"/>
      <c r="S232" s="22"/>
      <c r="T232" s="22"/>
      <c r="U232" s="22"/>
      <c r="V232" s="22"/>
      <c r="W232" s="22"/>
      <c r="X232" s="22"/>
      <c r="Y232" s="22"/>
    </row>
    <row r="233" spans="1:25" ht="13.5" customHeight="1">
      <c r="A233" s="22"/>
      <c r="B233" s="22"/>
      <c r="C233" s="22"/>
      <c r="D233" s="22"/>
      <c r="E233" s="22"/>
      <c r="F233" s="22"/>
      <c r="G233" s="37"/>
      <c r="H233" s="22"/>
      <c r="I233" s="22"/>
      <c r="J233" s="22"/>
      <c r="K233" s="22"/>
      <c r="L233" s="22"/>
      <c r="M233" s="22"/>
      <c r="N233" s="22"/>
      <c r="O233" s="22"/>
      <c r="P233" s="22"/>
      <c r="Q233" s="22"/>
      <c r="R233" s="22"/>
      <c r="S233" s="22"/>
      <c r="T233" s="22"/>
      <c r="U233" s="22"/>
      <c r="V233" s="22"/>
      <c r="W233" s="22"/>
      <c r="X233" s="22"/>
      <c r="Y233" s="22"/>
    </row>
    <row r="234" spans="1:25" ht="13.5" customHeight="1">
      <c r="A234" s="22"/>
      <c r="B234" s="22"/>
      <c r="C234" s="22"/>
      <c r="D234" s="22"/>
      <c r="E234" s="22"/>
      <c r="F234" s="22"/>
      <c r="G234" s="37"/>
      <c r="H234" s="22"/>
      <c r="I234" s="22"/>
      <c r="J234" s="22"/>
      <c r="K234" s="22"/>
      <c r="L234" s="22"/>
      <c r="M234" s="22"/>
      <c r="N234" s="22"/>
      <c r="O234" s="22"/>
      <c r="P234" s="22"/>
      <c r="Q234" s="22"/>
      <c r="R234" s="22"/>
      <c r="S234" s="22"/>
      <c r="T234" s="22"/>
      <c r="U234" s="22"/>
      <c r="V234" s="22"/>
      <c r="W234" s="22"/>
      <c r="X234" s="22"/>
      <c r="Y234" s="22"/>
    </row>
    <row r="235" spans="1:25" ht="15.75" customHeight="1">
      <c r="A235" s="22"/>
      <c r="B235" s="22"/>
      <c r="C235" s="22"/>
      <c r="D235" s="22"/>
      <c r="E235" s="22"/>
      <c r="F235" s="22"/>
      <c r="G235" s="22"/>
      <c r="H235" s="22"/>
      <c r="I235" s="22"/>
      <c r="J235" s="22"/>
      <c r="K235" s="22"/>
      <c r="L235" s="22"/>
      <c r="M235" s="22"/>
      <c r="N235" s="22"/>
      <c r="O235" s="22"/>
      <c r="P235" s="22"/>
      <c r="Q235" s="22"/>
      <c r="R235" s="22"/>
      <c r="S235" s="22"/>
      <c r="T235" s="22"/>
      <c r="U235" s="22"/>
      <c r="V235" s="22"/>
      <c r="W235" s="22"/>
      <c r="X235" s="22"/>
      <c r="Y235" s="22"/>
    </row>
    <row r="236" spans="1:25" ht="15.75" customHeight="1">
      <c r="A236" s="22"/>
      <c r="B236" s="22"/>
      <c r="C236" s="22"/>
      <c r="D236" s="22"/>
      <c r="E236" s="22"/>
      <c r="F236" s="22"/>
      <c r="G236" s="22"/>
      <c r="H236" s="22"/>
      <c r="I236" s="22"/>
      <c r="J236" s="22"/>
      <c r="K236" s="22"/>
      <c r="L236" s="22"/>
      <c r="M236" s="22"/>
      <c r="N236" s="22"/>
      <c r="O236" s="22"/>
      <c r="P236" s="22"/>
      <c r="Q236" s="22"/>
      <c r="R236" s="22"/>
      <c r="S236" s="22"/>
      <c r="T236" s="22"/>
      <c r="U236" s="22"/>
      <c r="V236" s="22"/>
      <c r="W236" s="22"/>
      <c r="X236" s="22"/>
      <c r="Y236" s="22"/>
    </row>
    <row r="237" spans="1:25" ht="15.75" customHeight="1">
      <c r="A237" s="22"/>
      <c r="B237" s="22"/>
      <c r="C237" s="22"/>
      <c r="D237" s="22"/>
      <c r="E237" s="22"/>
      <c r="F237" s="22"/>
      <c r="G237" s="22"/>
      <c r="H237" s="22"/>
      <c r="I237" s="22"/>
      <c r="J237" s="22"/>
      <c r="K237" s="22"/>
      <c r="L237" s="22"/>
      <c r="M237" s="22"/>
      <c r="N237" s="22"/>
      <c r="O237" s="22"/>
      <c r="P237" s="22"/>
      <c r="Q237" s="22"/>
      <c r="R237" s="22"/>
      <c r="S237" s="22"/>
      <c r="T237" s="22"/>
      <c r="U237" s="22"/>
      <c r="V237" s="22"/>
      <c r="W237" s="22"/>
      <c r="X237" s="22"/>
      <c r="Y237" s="22"/>
    </row>
    <row r="238" spans="1:25" ht="15.75" customHeight="1">
      <c r="A238" s="22"/>
      <c r="B238" s="22"/>
      <c r="C238" s="22"/>
      <c r="D238" s="22"/>
      <c r="E238" s="22"/>
      <c r="F238" s="22"/>
      <c r="G238" s="22"/>
      <c r="H238" s="22"/>
      <c r="I238" s="22"/>
      <c r="J238" s="22"/>
      <c r="K238" s="22"/>
      <c r="L238" s="22"/>
      <c r="M238" s="22"/>
      <c r="N238" s="22"/>
      <c r="O238" s="22"/>
      <c r="P238" s="22"/>
      <c r="Q238" s="22"/>
      <c r="R238" s="22"/>
      <c r="S238" s="22"/>
      <c r="T238" s="22"/>
      <c r="U238" s="22"/>
      <c r="V238" s="22"/>
      <c r="W238" s="22"/>
      <c r="X238" s="22"/>
      <c r="Y238" s="22"/>
    </row>
    <row r="239" spans="1:25" ht="15.75" customHeight="1">
      <c r="A239" s="22"/>
      <c r="B239" s="22"/>
      <c r="C239" s="22"/>
      <c r="D239" s="22"/>
      <c r="E239" s="22"/>
      <c r="F239" s="22"/>
      <c r="G239" s="22"/>
      <c r="H239" s="22"/>
      <c r="I239" s="22"/>
      <c r="J239" s="22"/>
      <c r="K239" s="22"/>
      <c r="L239" s="22"/>
      <c r="M239" s="22"/>
      <c r="N239" s="22"/>
      <c r="O239" s="22"/>
      <c r="P239" s="22"/>
      <c r="Q239" s="22"/>
      <c r="R239" s="22"/>
      <c r="S239" s="22"/>
      <c r="T239" s="22"/>
      <c r="U239" s="22"/>
      <c r="V239" s="22"/>
      <c r="W239" s="22"/>
      <c r="X239" s="22"/>
      <c r="Y239" s="22"/>
    </row>
    <row r="240" spans="1:25" ht="15.75" customHeight="1">
      <c r="A240" s="22"/>
      <c r="B240" s="22"/>
      <c r="C240" s="22"/>
      <c r="D240" s="22"/>
      <c r="E240" s="22"/>
      <c r="F240" s="22"/>
      <c r="G240" s="22"/>
      <c r="H240" s="22"/>
      <c r="I240" s="22"/>
      <c r="J240" s="22"/>
      <c r="K240" s="22"/>
      <c r="L240" s="22"/>
      <c r="M240" s="22"/>
      <c r="N240" s="22"/>
      <c r="O240" s="22"/>
      <c r="P240" s="22"/>
      <c r="Q240" s="22"/>
      <c r="R240" s="22"/>
      <c r="S240" s="22"/>
      <c r="T240" s="22"/>
      <c r="U240" s="22"/>
      <c r="V240" s="22"/>
      <c r="W240" s="22"/>
      <c r="X240" s="22"/>
      <c r="Y240" s="22"/>
    </row>
    <row r="241" spans="1:25" ht="15.75" customHeight="1">
      <c r="A241" s="22"/>
      <c r="B241" s="22"/>
      <c r="C241" s="22"/>
      <c r="D241" s="22"/>
      <c r="E241" s="22"/>
      <c r="F241" s="22"/>
      <c r="G241" s="22"/>
      <c r="H241" s="22"/>
      <c r="I241" s="22"/>
      <c r="J241" s="22"/>
      <c r="K241" s="22"/>
      <c r="L241" s="22"/>
      <c r="M241" s="22"/>
      <c r="N241" s="22"/>
      <c r="O241" s="22"/>
      <c r="P241" s="22"/>
      <c r="Q241" s="22"/>
      <c r="R241" s="22"/>
      <c r="S241" s="22"/>
      <c r="T241" s="22"/>
      <c r="U241" s="22"/>
      <c r="V241" s="22"/>
      <c r="W241" s="22"/>
      <c r="X241" s="22"/>
      <c r="Y241" s="22"/>
    </row>
    <row r="242" spans="1:25" ht="15.75" customHeight="1">
      <c r="A242" s="22"/>
      <c r="B242" s="22"/>
      <c r="C242" s="22"/>
      <c r="D242" s="22"/>
      <c r="E242" s="22"/>
      <c r="F242" s="22"/>
      <c r="G242" s="22"/>
      <c r="H242" s="22"/>
      <c r="I242" s="22"/>
      <c r="J242" s="22"/>
      <c r="K242" s="22"/>
      <c r="L242" s="22"/>
      <c r="M242" s="22"/>
      <c r="N242" s="22"/>
      <c r="O242" s="22"/>
      <c r="P242" s="22"/>
      <c r="Q242" s="22"/>
      <c r="R242" s="22"/>
      <c r="S242" s="22"/>
      <c r="T242" s="22"/>
      <c r="U242" s="22"/>
      <c r="V242" s="22"/>
      <c r="W242" s="22"/>
      <c r="X242" s="22"/>
      <c r="Y242" s="22"/>
    </row>
    <row r="243" spans="1:25" ht="15.75" customHeight="1">
      <c r="A243" s="22"/>
      <c r="B243" s="22"/>
      <c r="C243" s="22"/>
      <c r="D243" s="22"/>
      <c r="E243" s="22"/>
      <c r="F243" s="22"/>
      <c r="G243" s="22"/>
      <c r="H243" s="22"/>
      <c r="I243" s="22"/>
      <c r="J243" s="22"/>
      <c r="K243" s="22"/>
      <c r="L243" s="22"/>
      <c r="M243" s="22"/>
      <c r="N243" s="22"/>
      <c r="O243" s="22"/>
      <c r="P243" s="22"/>
      <c r="Q243" s="22"/>
      <c r="R243" s="22"/>
      <c r="S243" s="22"/>
      <c r="T243" s="22"/>
      <c r="U243" s="22"/>
      <c r="V243" s="22"/>
      <c r="W243" s="22"/>
      <c r="X243" s="22"/>
      <c r="Y243" s="22"/>
    </row>
    <row r="244" spans="1:25" ht="15.75" customHeight="1">
      <c r="A244" s="22"/>
      <c r="B244" s="22"/>
      <c r="C244" s="22"/>
      <c r="D244" s="22"/>
      <c r="E244" s="22"/>
      <c r="F244" s="22"/>
      <c r="G244" s="22"/>
      <c r="H244" s="22"/>
      <c r="I244" s="22"/>
      <c r="J244" s="22"/>
      <c r="K244" s="22"/>
      <c r="L244" s="22"/>
      <c r="M244" s="22"/>
      <c r="N244" s="22"/>
      <c r="O244" s="22"/>
      <c r="P244" s="22"/>
      <c r="Q244" s="22"/>
      <c r="R244" s="22"/>
      <c r="S244" s="22"/>
      <c r="T244" s="22"/>
      <c r="U244" s="22"/>
      <c r="V244" s="22"/>
      <c r="W244" s="22"/>
      <c r="X244" s="22"/>
      <c r="Y244" s="22"/>
    </row>
    <row r="245" spans="1:25" ht="15.75" customHeight="1">
      <c r="A245" s="22"/>
      <c r="B245" s="22"/>
      <c r="C245" s="22"/>
      <c r="D245" s="22"/>
      <c r="E245" s="22"/>
      <c r="F245" s="22"/>
      <c r="G245" s="22"/>
      <c r="H245" s="22"/>
      <c r="I245" s="22"/>
      <c r="J245" s="22"/>
      <c r="K245" s="22"/>
      <c r="L245" s="22"/>
      <c r="M245" s="22"/>
      <c r="N245" s="22"/>
      <c r="O245" s="22"/>
      <c r="P245" s="22"/>
      <c r="Q245" s="22"/>
      <c r="R245" s="22"/>
      <c r="S245" s="22"/>
      <c r="T245" s="22"/>
      <c r="U245" s="22"/>
      <c r="V245" s="22"/>
      <c r="W245" s="22"/>
      <c r="X245" s="22"/>
      <c r="Y245" s="22"/>
    </row>
    <row r="246" spans="1:25" ht="15.75" customHeight="1">
      <c r="A246" s="22"/>
      <c r="B246" s="22"/>
      <c r="C246" s="22"/>
      <c r="D246" s="22"/>
      <c r="E246" s="22"/>
      <c r="F246" s="22"/>
      <c r="G246" s="22"/>
      <c r="H246" s="22"/>
      <c r="I246" s="22"/>
      <c r="J246" s="22"/>
      <c r="K246" s="22"/>
      <c r="L246" s="22"/>
      <c r="M246" s="22"/>
      <c r="N246" s="22"/>
      <c r="O246" s="22"/>
      <c r="P246" s="22"/>
      <c r="Q246" s="22"/>
      <c r="R246" s="22"/>
      <c r="S246" s="22"/>
      <c r="T246" s="22"/>
      <c r="U246" s="22"/>
      <c r="V246" s="22"/>
      <c r="W246" s="22"/>
      <c r="X246" s="22"/>
      <c r="Y246" s="22"/>
    </row>
    <row r="247" spans="1:25" ht="15.75" customHeight="1">
      <c r="A247" s="22"/>
      <c r="B247" s="22"/>
      <c r="C247" s="22"/>
      <c r="D247" s="22"/>
      <c r="E247" s="22"/>
      <c r="F247" s="22"/>
      <c r="G247" s="22"/>
      <c r="H247" s="22"/>
      <c r="I247" s="22"/>
      <c r="J247" s="22"/>
      <c r="K247" s="22"/>
      <c r="L247" s="22"/>
      <c r="M247" s="22"/>
      <c r="N247" s="22"/>
      <c r="O247" s="22"/>
      <c r="P247" s="22"/>
      <c r="Q247" s="22"/>
      <c r="R247" s="22"/>
      <c r="S247" s="22"/>
      <c r="T247" s="22"/>
      <c r="U247" s="22"/>
      <c r="V247" s="22"/>
      <c r="W247" s="22"/>
      <c r="X247" s="22"/>
      <c r="Y247" s="22"/>
    </row>
    <row r="248" spans="1:25" ht="15.75" customHeight="1">
      <c r="A248" s="22"/>
      <c r="B248" s="22"/>
      <c r="C248" s="22"/>
      <c r="D248" s="22"/>
      <c r="E248" s="22"/>
      <c r="F248" s="22"/>
      <c r="G248" s="22"/>
      <c r="H248" s="22"/>
      <c r="I248" s="22"/>
      <c r="J248" s="22"/>
      <c r="K248" s="22"/>
      <c r="L248" s="22"/>
      <c r="M248" s="22"/>
      <c r="N248" s="22"/>
      <c r="O248" s="22"/>
      <c r="P248" s="22"/>
      <c r="Q248" s="22"/>
      <c r="R248" s="22"/>
      <c r="S248" s="22"/>
      <c r="T248" s="22"/>
      <c r="U248" s="22"/>
      <c r="V248" s="22"/>
      <c r="W248" s="22"/>
      <c r="X248" s="22"/>
      <c r="Y248" s="22"/>
    </row>
    <row r="249" spans="1:25" ht="15.75" customHeight="1">
      <c r="A249" s="22"/>
      <c r="B249" s="22"/>
      <c r="C249" s="22"/>
      <c r="D249" s="22"/>
      <c r="E249" s="22"/>
      <c r="F249" s="22"/>
      <c r="G249" s="22"/>
      <c r="H249" s="22"/>
      <c r="I249" s="22"/>
      <c r="J249" s="22"/>
      <c r="K249" s="22"/>
      <c r="L249" s="22"/>
      <c r="M249" s="22"/>
      <c r="N249" s="22"/>
      <c r="O249" s="22"/>
      <c r="P249" s="22"/>
      <c r="Q249" s="22"/>
      <c r="R249" s="22"/>
      <c r="S249" s="22"/>
      <c r="T249" s="22"/>
      <c r="U249" s="22"/>
      <c r="V249" s="22"/>
      <c r="W249" s="22"/>
      <c r="X249" s="22"/>
      <c r="Y249" s="22"/>
    </row>
    <row r="250" spans="1:25" ht="15.75" customHeight="1">
      <c r="A250" s="22"/>
      <c r="B250" s="22"/>
      <c r="C250" s="22"/>
      <c r="D250" s="22"/>
      <c r="E250" s="22"/>
      <c r="F250" s="22"/>
      <c r="G250" s="22"/>
      <c r="H250" s="22"/>
      <c r="I250" s="22"/>
      <c r="J250" s="22"/>
      <c r="K250" s="22"/>
      <c r="L250" s="22"/>
      <c r="M250" s="22"/>
      <c r="N250" s="22"/>
      <c r="O250" s="22"/>
      <c r="P250" s="22"/>
      <c r="Q250" s="22"/>
      <c r="R250" s="22"/>
      <c r="S250" s="22"/>
      <c r="T250" s="22"/>
      <c r="U250" s="22"/>
      <c r="V250" s="22"/>
      <c r="W250" s="22"/>
      <c r="X250" s="22"/>
      <c r="Y250" s="22"/>
    </row>
    <row r="251" spans="1:25" ht="15.75" customHeight="1">
      <c r="A251" s="22"/>
      <c r="B251" s="22"/>
      <c r="C251" s="22"/>
      <c r="D251" s="22"/>
      <c r="E251" s="22"/>
      <c r="F251" s="22"/>
      <c r="G251" s="22"/>
      <c r="H251" s="22"/>
      <c r="I251" s="22"/>
      <c r="J251" s="22"/>
      <c r="K251" s="22"/>
      <c r="L251" s="22"/>
      <c r="M251" s="22"/>
      <c r="N251" s="22"/>
      <c r="O251" s="22"/>
      <c r="P251" s="22"/>
      <c r="Q251" s="22"/>
      <c r="R251" s="22"/>
      <c r="S251" s="22"/>
      <c r="T251" s="22"/>
      <c r="U251" s="22"/>
      <c r="V251" s="22"/>
      <c r="W251" s="22"/>
      <c r="X251" s="22"/>
      <c r="Y251" s="22"/>
    </row>
    <row r="252" spans="1:25" ht="15.75" customHeight="1">
      <c r="A252" s="22"/>
      <c r="B252" s="22"/>
      <c r="C252" s="22"/>
      <c r="D252" s="22"/>
      <c r="E252" s="22"/>
      <c r="F252" s="22"/>
      <c r="G252" s="22"/>
      <c r="H252" s="22"/>
      <c r="I252" s="22"/>
      <c r="J252" s="22"/>
      <c r="K252" s="22"/>
      <c r="L252" s="22"/>
      <c r="M252" s="22"/>
      <c r="N252" s="22"/>
      <c r="O252" s="22"/>
      <c r="P252" s="22"/>
      <c r="Q252" s="22"/>
      <c r="R252" s="22"/>
      <c r="S252" s="22"/>
      <c r="T252" s="22"/>
      <c r="U252" s="22"/>
      <c r="V252" s="22"/>
      <c r="W252" s="22"/>
      <c r="X252" s="22"/>
      <c r="Y252" s="22"/>
    </row>
    <row r="253" spans="1:25" ht="15.75" customHeight="1">
      <c r="A253" s="22"/>
      <c r="B253" s="22"/>
      <c r="C253" s="22"/>
      <c r="D253" s="22"/>
      <c r="E253" s="22"/>
      <c r="F253" s="22"/>
      <c r="G253" s="22"/>
      <c r="H253" s="22"/>
      <c r="I253" s="22"/>
      <c r="J253" s="22"/>
      <c r="K253" s="22"/>
      <c r="L253" s="22"/>
      <c r="M253" s="22"/>
      <c r="N253" s="22"/>
      <c r="O253" s="22"/>
      <c r="P253" s="22"/>
      <c r="Q253" s="22"/>
      <c r="R253" s="22"/>
      <c r="S253" s="22"/>
      <c r="T253" s="22"/>
      <c r="U253" s="22"/>
      <c r="V253" s="22"/>
      <c r="W253" s="22"/>
      <c r="X253" s="22"/>
      <c r="Y253" s="22"/>
    </row>
    <row r="254" spans="1:25" ht="15.75" customHeight="1">
      <c r="A254" s="22"/>
      <c r="B254" s="22"/>
      <c r="C254" s="22"/>
      <c r="D254" s="22"/>
      <c r="E254" s="22"/>
      <c r="F254" s="22"/>
      <c r="G254" s="22"/>
      <c r="H254" s="22"/>
      <c r="I254" s="22"/>
      <c r="J254" s="22"/>
      <c r="K254" s="22"/>
      <c r="L254" s="22"/>
      <c r="M254" s="22"/>
      <c r="N254" s="22"/>
      <c r="O254" s="22"/>
      <c r="P254" s="22"/>
      <c r="Q254" s="22"/>
      <c r="R254" s="22"/>
      <c r="S254" s="22"/>
      <c r="T254" s="22"/>
      <c r="U254" s="22"/>
      <c r="V254" s="22"/>
      <c r="W254" s="22"/>
      <c r="X254" s="22"/>
      <c r="Y254" s="22"/>
    </row>
    <row r="255" spans="1:25" ht="15.75" customHeight="1">
      <c r="A255" s="22"/>
      <c r="B255" s="22"/>
      <c r="C255" s="22"/>
      <c r="D255" s="22"/>
      <c r="E255" s="22"/>
      <c r="F255" s="22"/>
      <c r="G255" s="22"/>
      <c r="H255" s="22"/>
      <c r="I255" s="22"/>
      <c r="J255" s="22"/>
      <c r="K255" s="22"/>
      <c r="L255" s="22"/>
      <c r="M255" s="22"/>
      <c r="N255" s="22"/>
      <c r="O255" s="22"/>
      <c r="P255" s="22"/>
      <c r="Q255" s="22"/>
      <c r="R255" s="22"/>
      <c r="S255" s="22"/>
      <c r="T255" s="22"/>
      <c r="U255" s="22"/>
      <c r="V255" s="22"/>
      <c r="W255" s="22"/>
      <c r="X255" s="22"/>
      <c r="Y255" s="22"/>
    </row>
    <row r="256" spans="1:25" ht="15.75" customHeight="1">
      <c r="A256" s="22"/>
      <c r="B256" s="22"/>
      <c r="C256" s="22"/>
      <c r="D256" s="22"/>
      <c r="E256" s="22"/>
      <c r="F256" s="22"/>
      <c r="G256" s="22"/>
      <c r="H256" s="22"/>
      <c r="I256" s="22"/>
      <c r="J256" s="22"/>
      <c r="K256" s="22"/>
      <c r="L256" s="22"/>
      <c r="M256" s="22"/>
      <c r="N256" s="22"/>
      <c r="O256" s="22"/>
      <c r="P256" s="22"/>
      <c r="Q256" s="22"/>
      <c r="R256" s="22"/>
      <c r="S256" s="22"/>
      <c r="T256" s="22"/>
      <c r="U256" s="22"/>
      <c r="V256" s="22"/>
      <c r="W256" s="22"/>
      <c r="X256" s="22"/>
      <c r="Y256" s="22"/>
    </row>
    <row r="257" spans="1:25" ht="15.75" customHeight="1">
      <c r="A257" s="22"/>
      <c r="B257" s="22"/>
      <c r="C257" s="22"/>
      <c r="D257" s="22"/>
      <c r="E257" s="22"/>
      <c r="F257" s="22"/>
      <c r="G257" s="22"/>
      <c r="H257" s="22"/>
      <c r="I257" s="22"/>
      <c r="J257" s="22"/>
      <c r="K257" s="22"/>
      <c r="L257" s="22"/>
      <c r="M257" s="22"/>
      <c r="N257" s="22"/>
      <c r="O257" s="22"/>
      <c r="P257" s="22"/>
      <c r="Q257" s="22"/>
      <c r="R257" s="22"/>
      <c r="S257" s="22"/>
      <c r="T257" s="22"/>
      <c r="U257" s="22"/>
      <c r="V257" s="22"/>
      <c r="W257" s="22"/>
      <c r="X257" s="22"/>
      <c r="Y257" s="22"/>
    </row>
    <row r="258" spans="1:25" ht="15.75" customHeight="1">
      <c r="A258" s="22"/>
      <c r="B258" s="22"/>
      <c r="C258" s="22"/>
      <c r="D258" s="22"/>
      <c r="E258" s="22"/>
      <c r="F258" s="22"/>
      <c r="G258" s="22"/>
      <c r="H258" s="22"/>
      <c r="I258" s="22"/>
      <c r="J258" s="22"/>
      <c r="K258" s="22"/>
      <c r="L258" s="22"/>
      <c r="M258" s="22"/>
      <c r="N258" s="22"/>
      <c r="O258" s="22"/>
      <c r="P258" s="22"/>
      <c r="Q258" s="22"/>
      <c r="R258" s="22"/>
      <c r="S258" s="22"/>
      <c r="T258" s="22"/>
      <c r="U258" s="22"/>
      <c r="V258" s="22"/>
      <c r="W258" s="22"/>
      <c r="X258" s="22"/>
      <c r="Y258" s="22"/>
    </row>
    <row r="259" spans="1:25" ht="15.75" customHeight="1">
      <c r="A259" s="22"/>
      <c r="B259" s="22"/>
      <c r="C259" s="22"/>
      <c r="D259" s="22"/>
      <c r="E259" s="22"/>
      <c r="F259" s="22"/>
      <c r="G259" s="22"/>
      <c r="H259" s="22"/>
      <c r="I259" s="22"/>
      <c r="J259" s="22"/>
      <c r="K259" s="22"/>
      <c r="L259" s="22"/>
      <c r="M259" s="22"/>
      <c r="N259" s="22"/>
      <c r="O259" s="22"/>
      <c r="P259" s="22"/>
      <c r="Q259" s="22"/>
      <c r="R259" s="22"/>
      <c r="S259" s="22"/>
      <c r="T259" s="22"/>
      <c r="U259" s="22"/>
      <c r="V259" s="22"/>
      <c r="W259" s="22"/>
      <c r="X259" s="22"/>
      <c r="Y259" s="22"/>
    </row>
    <row r="260" spans="1:25" ht="15.75" customHeight="1">
      <c r="A260" s="22"/>
      <c r="B260" s="22"/>
      <c r="C260" s="22"/>
      <c r="D260" s="22"/>
      <c r="E260" s="22"/>
      <c r="F260" s="22"/>
      <c r="G260" s="22"/>
      <c r="H260" s="22"/>
      <c r="I260" s="22"/>
      <c r="J260" s="22"/>
      <c r="K260" s="22"/>
      <c r="L260" s="22"/>
      <c r="M260" s="22"/>
      <c r="N260" s="22"/>
      <c r="O260" s="22"/>
      <c r="P260" s="22"/>
      <c r="Q260" s="22"/>
      <c r="R260" s="22"/>
      <c r="S260" s="22"/>
      <c r="T260" s="22"/>
      <c r="U260" s="22"/>
      <c r="V260" s="22"/>
      <c r="W260" s="22"/>
      <c r="X260" s="22"/>
      <c r="Y260" s="22"/>
    </row>
    <row r="261" spans="1:25" ht="15.75" customHeight="1">
      <c r="A261" s="22"/>
      <c r="B261" s="22"/>
      <c r="C261" s="22"/>
      <c r="D261" s="22"/>
      <c r="E261" s="22"/>
      <c r="F261" s="22"/>
      <c r="G261" s="22"/>
      <c r="H261" s="22"/>
      <c r="I261" s="22"/>
      <c r="J261" s="22"/>
      <c r="K261" s="22"/>
      <c r="L261" s="22"/>
      <c r="M261" s="22"/>
      <c r="N261" s="22"/>
      <c r="O261" s="22"/>
      <c r="P261" s="22"/>
      <c r="Q261" s="22"/>
      <c r="R261" s="22"/>
      <c r="S261" s="22"/>
      <c r="T261" s="22"/>
      <c r="U261" s="22"/>
      <c r="V261" s="22"/>
      <c r="W261" s="22"/>
      <c r="X261" s="22"/>
      <c r="Y261" s="22"/>
    </row>
    <row r="262" spans="1:25" ht="15.75" customHeight="1">
      <c r="A262" s="22"/>
      <c r="B262" s="22"/>
      <c r="C262" s="22"/>
      <c r="D262" s="22"/>
      <c r="E262" s="22"/>
      <c r="F262" s="22"/>
      <c r="G262" s="22"/>
      <c r="H262" s="22"/>
      <c r="I262" s="22"/>
      <c r="J262" s="22"/>
      <c r="K262" s="22"/>
      <c r="L262" s="22"/>
      <c r="M262" s="22"/>
      <c r="N262" s="22"/>
      <c r="O262" s="22"/>
      <c r="P262" s="22"/>
      <c r="Q262" s="22"/>
      <c r="R262" s="22"/>
      <c r="S262" s="22"/>
      <c r="T262" s="22"/>
      <c r="U262" s="22"/>
      <c r="V262" s="22"/>
      <c r="W262" s="22"/>
      <c r="X262" s="22"/>
      <c r="Y262" s="22"/>
    </row>
    <row r="263" spans="1:25" ht="15.75" customHeight="1">
      <c r="A263" s="22"/>
      <c r="B263" s="22"/>
      <c r="C263" s="22"/>
      <c r="D263" s="22"/>
      <c r="E263" s="22"/>
      <c r="F263" s="22"/>
      <c r="G263" s="22"/>
      <c r="H263" s="22"/>
      <c r="I263" s="22"/>
      <c r="J263" s="22"/>
      <c r="K263" s="22"/>
      <c r="L263" s="22"/>
      <c r="M263" s="22"/>
      <c r="N263" s="22"/>
      <c r="O263" s="22"/>
      <c r="P263" s="22"/>
      <c r="Q263" s="22"/>
      <c r="R263" s="22"/>
      <c r="S263" s="22"/>
      <c r="T263" s="22"/>
      <c r="U263" s="22"/>
      <c r="V263" s="22"/>
      <c r="W263" s="22"/>
      <c r="X263" s="22"/>
      <c r="Y263" s="22"/>
    </row>
    <row r="264" spans="1:25" ht="15.75" customHeight="1">
      <c r="A264" s="22"/>
      <c r="B264" s="22"/>
      <c r="C264" s="22"/>
      <c r="D264" s="22"/>
      <c r="E264" s="22"/>
      <c r="F264" s="22"/>
      <c r="G264" s="22"/>
      <c r="H264" s="22"/>
      <c r="I264" s="22"/>
      <c r="J264" s="22"/>
      <c r="K264" s="22"/>
      <c r="L264" s="22"/>
      <c r="M264" s="22"/>
      <c r="N264" s="22"/>
      <c r="O264" s="22"/>
      <c r="P264" s="22"/>
      <c r="Q264" s="22"/>
      <c r="R264" s="22"/>
      <c r="S264" s="22"/>
      <c r="T264" s="22"/>
      <c r="U264" s="22"/>
      <c r="V264" s="22"/>
      <c r="W264" s="22"/>
      <c r="X264" s="22"/>
      <c r="Y264" s="22"/>
    </row>
    <row r="265" spans="1:25" ht="15.75" customHeight="1">
      <c r="A265" s="22"/>
      <c r="B265" s="22"/>
      <c r="C265" s="22"/>
      <c r="D265" s="22"/>
      <c r="E265" s="22"/>
      <c r="F265" s="22"/>
      <c r="G265" s="22"/>
      <c r="H265" s="22"/>
      <c r="I265" s="22"/>
      <c r="J265" s="22"/>
      <c r="K265" s="22"/>
      <c r="L265" s="22"/>
      <c r="M265" s="22"/>
      <c r="N265" s="22"/>
      <c r="O265" s="22"/>
      <c r="P265" s="22"/>
      <c r="Q265" s="22"/>
      <c r="R265" s="22"/>
      <c r="S265" s="22"/>
      <c r="T265" s="22"/>
      <c r="U265" s="22"/>
      <c r="V265" s="22"/>
      <c r="W265" s="22"/>
      <c r="X265" s="22"/>
      <c r="Y265" s="22"/>
    </row>
    <row r="266" spans="1:25" ht="15.75" customHeight="1">
      <c r="A266" s="22"/>
      <c r="B266" s="22"/>
      <c r="C266" s="22"/>
      <c r="D266" s="22"/>
      <c r="E266" s="22"/>
      <c r="F266" s="22"/>
      <c r="G266" s="22"/>
      <c r="H266" s="22"/>
      <c r="I266" s="22"/>
      <c r="J266" s="22"/>
      <c r="K266" s="22"/>
      <c r="L266" s="22"/>
      <c r="M266" s="22"/>
      <c r="N266" s="22"/>
      <c r="O266" s="22"/>
      <c r="P266" s="22"/>
      <c r="Q266" s="22"/>
      <c r="R266" s="22"/>
      <c r="S266" s="22"/>
      <c r="T266" s="22"/>
      <c r="U266" s="22"/>
      <c r="V266" s="22"/>
      <c r="W266" s="22"/>
      <c r="X266" s="22"/>
      <c r="Y266" s="22"/>
    </row>
    <row r="267" spans="1:25" ht="15.75" customHeight="1">
      <c r="A267" s="22"/>
      <c r="B267" s="22"/>
      <c r="C267" s="22"/>
      <c r="D267" s="22"/>
      <c r="E267" s="22"/>
      <c r="F267" s="22"/>
      <c r="G267" s="22"/>
      <c r="H267" s="22"/>
      <c r="I267" s="22"/>
      <c r="J267" s="22"/>
      <c r="K267" s="22"/>
      <c r="L267" s="22"/>
      <c r="M267" s="22"/>
      <c r="N267" s="22"/>
      <c r="O267" s="22"/>
      <c r="P267" s="22"/>
      <c r="Q267" s="22"/>
      <c r="R267" s="22"/>
      <c r="S267" s="22"/>
      <c r="T267" s="22"/>
      <c r="U267" s="22"/>
      <c r="V267" s="22"/>
      <c r="W267" s="22"/>
      <c r="X267" s="22"/>
      <c r="Y267" s="22"/>
    </row>
    <row r="268" spans="1:25" ht="15.75" customHeight="1">
      <c r="A268" s="22"/>
      <c r="B268" s="22"/>
      <c r="C268" s="22"/>
      <c r="D268" s="22"/>
      <c r="E268" s="22"/>
      <c r="F268" s="22"/>
      <c r="G268" s="22"/>
      <c r="H268" s="22"/>
      <c r="I268" s="22"/>
      <c r="J268" s="22"/>
      <c r="K268" s="22"/>
      <c r="L268" s="22"/>
      <c r="M268" s="22"/>
      <c r="N268" s="22"/>
      <c r="O268" s="22"/>
      <c r="P268" s="22"/>
      <c r="Q268" s="22"/>
      <c r="R268" s="22"/>
      <c r="S268" s="22"/>
      <c r="T268" s="22"/>
      <c r="U268" s="22"/>
      <c r="V268" s="22"/>
      <c r="W268" s="22"/>
      <c r="X268" s="22"/>
      <c r="Y268" s="22"/>
    </row>
    <row r="269" spans="1:25" ht="15.75" customHeight="1">
      <c r="A269" s="22"/>
      <c r="B269" s="22"/>
      <c r="C269" s="22"/>
      <c r="D269" s="22"/>
      <c r="E269" s="22"/>
      <c r="F269" s="22"/>
      <c r="G269" s="22"/>
      <c r="H269" s="22"/>
      <c r="I269" s="22"/>
      <c r="J269" s="22"/>
      <c r="K269" s="22"/>
      <c r="L269" s="22"/>
      <c r="M269" s="22"/>
      <c r="N269" s="22"/>
      <c r="O269" s="22"/>
      <c r="P269" s="22"/>
      <c r="Q269" s="22"/>
      <c r="R269" s="22"/>
      <c r="S269" s="22"/>
      <c r="T269" s="22"/>
      <c r="U269" s="22"/>
      <c r="V269" s="22"/>
      <c r="W269" s="22"/>
      <c r="X269" s="22"/>
      <c r="Y269" s="22"/>
    </row>
    <row r="270" spans="1:25" ht="15.75" customHeight="1">
      <c r="A270" s="22"/>
      <c r="B270" s="22"/>
      <c r="C270" s="22"/>
      <c r="D270" s="22"/>
      <c r="E270" s="22"/>
      <c r="F270" s="22"/>
      <c r="G270" s="22"/>
      <c r="H270" s="22"/>
      <c r="I270" s="22"/>
      <c r="J270" s="22"/>
      <c r="K270" s="22"/>
      <c r="L270" s="22"/>
      <c r="M270" s="22"/>
      <c r="N270" s="22"/>
      <c r="O270" s="22"/>
      <c r="P270" s="22"/>
      <c r="Q270" s="22"/>
      <c r="R270" s="22"/>
      <c r="S270" s="22"/>
      <c r="T270" s="22"/>
      <c r="U270" s="22"/>
      <c r="V270" s="22"/>
      <c r="W270" s="22"/>
      <c r="X270" s="22"/>
      <c r="Y270" s="22"/>
    </row>
    <row r="271" spans="1:25" ht="15.75" customHeight="1">
      <c r="A271" s="22"/>
      <c r="B271" s="22"/>
      <c r="C271" s="22"/>
      <c r="D271" s="22"/>
      <c r="E271" s="22"/>
      <c r="F271" s="22"/>
      <c r="G271" s="22"/>
      <c r="H271" s="22"/>
      <c r="I271" s="22"/>
      <c r="J271" s="22"/>
      <c r="K271" s="22"/>
      <c r="L271" s="22"/>
      <c r="M271" s="22"/>
      <c r="N271" s="22"/>
      <c r="O271" s="22"/>
      <c r="P271" s="22"/>
      <c r="Q271" s="22"/>
      <c r="R271" s="22"/>
      <c r="S271" s="22"/>
      <c r="T271" s="22"/>
      <c r="U271" s="22"/>
      <c r="V271" s="22"/>
      <c r="W271" s="22"/>
      <c r="X271" s="22"/>
      <c r="Y271" s="22"/>
    </row>
    <row r="272" spans="1:25" ht="15.75" customHeight="1">
      <c r="A272" s="22"/>
      <c r="B272" s="22"/>
      <c r="C272" s="22"/>
      <c r="D272" s="22"/>
      <c r="E272" s="22"/>
      <c r="F272" s="22"/>
      <c r="G272" s="22"/>
      <c r="H272" s="22"/>
      <c r="I272" s="22"/>
      <c r="J272" s="22"/>
      <c r="K272" s="22"/>
      <c r="L272" s="22"/>
      <c r="M272" s="22"/>
      <c r="N272" s="22"/>
      <c r="O272" s="22"/>
      <c r="P272" s="22"/>
      <c r="Q272" s="22"/>
      <c r="R272" s="22"/>
      <c r="S272" s="22"/>
      <c r="T272" s="22"/>
      <c r="U272" s="22"/>
      <c r="V272" s="22"/>
      <c r="W272" s="22"/>
      <c r="X272" s="22"/>
      <c r="Y272" s="22"/>
    </row>
    <row r="273" spans="1:25" ht="15.75" customHeight="1">
      <c r="A273" s="22"/>
      <c r="B273" s="22"/>
      <c r="C273" s="22"/>
      <c r="D273" s="22"/>
      <c r="E273" s="22"/>
      <c r="F273" s="22"/>
      <c r="G273" s="22"/>
      <c r="H273" s="22"/>
      <c r="I273" s="22"/>
      <c r="J273" s="22"/>
      <c r="K273" s="22"/>
      <c r="L273" s="22"/>
      <c r="M273" s="22"/>
      <c r="N273" s="22"/>
      <c r="O273" s="22"/>
      <c r="P273" s="22"/>
      <c r="Q273" s="22"/>
      <c r="R273" s="22"/>
      <c r="S273" s="22"/>
      <c r="T273" s="22"/>
      <c r="U273" s="22"/>
      <c r="V273" s="22"/>
      <c r="W273" s="22"/>
      <c r="X273" s="22"/>
      <c r="Y273" s="22"/>
    </row>
    <row r="274" spans="1:25" ht="15.75" customHeight="1">
      <c r="A274" s="22"/>
      <c r="B274" s="22"/>
      <c r="C274" s="22"/>
      <c r="D274" s="22"/>
      <c r="E274" s="22"/>
      <c r="F274" s="22"/>
      <c r="G274" s="22"/>
      <c r="H274" s="22"/>
      <c r="I274" s="22"/>
      <c r="J274" s="22"/>
      <c r="K274" s="22"/>
      <c r="L274" s="22"/>
      <c r="M274" s="22"/>
      <c r="N274" s="22"/>
      <c r="O274" s="22"/>
      <c r="P274" s="22"/>
      <c r="Q274" s="22"/>
      <c r="R274" s="22"/>
      <c r="S274" s="22"/>
      <c r="T274" s="22"/>
      <c r="U274" s="22"/>
      <c r="V274" s="22"/>
      <c r="W274" s="22"/>
      <c r="X274" s="22"/>
      <c r="Y274" s="22"/>
    </row>
    <row r="275" spans="1:25" ht="15.75" customHeight="1">
      <c r="A275" s="22"/>
      <c r="B275" s="22"/>
      <c r="C275" s="22"/>
      <c r="D275" s="22"/>
      <c r="E275" s="22"/>
      <c r="F275" s="22"/>
      <c r="G275" s="22"/>
      <c r="H275" s="22"/>
      <c r="I275" s="22"/>
      <c r="J275" s="22"/>
      <c r="K275" s="22"/>
      <c r="L275" s="22"/>
      <c r="M275" s="22"/>
      <c r="N275" s="22"/>
      <c r="O275" s="22"/>
      <c r="P275" s="22"/>
      <c r="Q275" s="22"/>
      <c r="R275" s="22"/>
      <c r="S275" s="22"/>
      <c r="T275" s="22"/>
      <c r="U275" s="22"/>
      <c r="V275" s="22"/>
      <c r="W275" s="22"/>
      <c r="X275" s="22"/>
      <c r="Y275" s="22"/>
    </row>
    <row r="276" spans="1:25" ht="15.75" customHeight="1">
      <c r="A276" s="22"/>
      <c r="B276" s="22"/>
      <c r="C276" s="22"/>
      <c r="D276" s="22"/>
      <c r="E276" s="22"/>
      <c r="F276" s="22"/>
      <c r="G276" s="22"/>
      <c r="H276" s="22"/>
      <c r="I276" s="22"/>
      <c r="J276" s="22"/>
      <c r="K276" s="22"/>
      <c r="L276" s="22"/>
      <c r="M276" s="22"/>
      <c r="N276" s="22"/>
      <c r="O276" s="22"/>
      <c r="P276" s="22"/>
      <c r="Q276" s="22"/>
      <c r="R276" s="22"/>
      <c r="S276" s="22"/>
      <c r="T276" s="22"/>
      <c r="U276" s="22"/>
      <c r="V276" s="22"/>
      <c r="W276" s="22"/>
      <c r="X276" s="22"/>
      <c r="Y276" s="22"/>
    </row>
    <row r="277" spans="1:25" ht="15.75" customHeight="1">
      <c r="A277" s="22"/>
      <c r="B277" s="22"/>
      <c r="C277" s="22"/>
      <c r="D277" s="22"/>
      <c r="E277" s="22"/>
      <c r="F277" s="22"/>
      <c r="G277" s="22"/>
      <c r="H277" s="22"/>
      <c r="I277" s="22"/>
      <c r="J277" s="22"/>
      <c r="K277" s="22"/>
      <c r="L277" s="22"/>
      <c r="M277" s="22"/>
      <c r="N277" s="22"/>
      <c r="O277" s="22"/>
      <c r="P277" s="22"/>
      <c r="Q277" s="22"/>
      <c r="R277" s="22"/>
      <c r="S277" s="22"/>
      <c r="T277" s="22"/>
      <c r="U277" s="22"/>
      <c r="V277" s="22"/>
      <c r="W277" s="22"/>
      <c r="X277" s="22"/>
      <c r="Y277" s="22"/>
    </row>
    <row r="278" spans="1:25" ht="15.75" customHeight="1">
      <c r="A278" s="22"/>
      <c r="B278" s="22"/>
      <c r="C278" s="22"/>
      <c r="D278" s="22"/>
      <c r="E278" s="22"/>
      <c r="F278" s="22"/>
      <c r="G278" s="22"/>
      <c r="H278" s="22"/>
      <c r="I278" s="22"/>
      <c r="J278" s="22"/>
      <c r="K278" s="22"/>
      <c r="L278" s="22"/>
      <c r="M278" s="22"/>
      <c r="N278" s="22"/>
      <c r="O278" s="22"/>
      <c r="P278" s="22"/>
      <c r="Q278" s="22"/>
      <c r="R278" s="22"/>
      <c r="S278" s="22"/>
      <c r="T278" s="22"/>
      <c r="U278" s="22"/>
      <c r="V278" s="22"/>
      <c r="W278" s="22"/>
      <c r="X278" s="22"/>
      <c r="Y278" s="22"/>
    </row>
    <row r="279" spans="1:25" ht="15.75" customHeight="1">
      <c r="A279" s="22"/>
      <c r="B279" s="22"/>
      <c r="C279" s="22"/>
      <c r="D279" s="22"/>
      <c r="E279" s="22"/>
      <c r="F279" s="22"/>
      <c r="G279" s="22"/>
      <c r="H279" s="22"/>
      <c r="I279" s="22"/>
      <c r="J279" s="22"/>
      <c r="K279" s="22"/>
      <c r="L279" s="22"/>
      <c r="M279" s="22"/>
      <c r="N279" s="22"/>
      <c r="O279" s="22"/>
      <c r="P279" s="22"/>
      <c r="Q279" s="22"/>
      <c r="R279" s="22"/>
      <c r="S279" s="22"/>
      <c r="T279" s="22"/>
      <c r="U279" s="22"/>
      <c r="V279" s="22"/>
      <c r="W279" s="22"/>
      <c r="X279" s="22"/>
      <c r="Y279" s="22"/>
    </row>
    <row r="280" spans="1:25" ht="15.75" customHeight="1">
      <c r="A280" s="22"/>
      <c r="B280" s="22"/>
      <c r="C280" s="22"/>
      <c r="D280" s="22"/>
      <c r="E280" s="22"/>
      <c r="F280" s="22"/>
      <c r="G280" s="22"/>
      <c r="H280" s="22"/>
      <c r="I280" s="22"/>
      <c r="J280" s="22"/>
      <c r="K280" s="22"/>
      <c r="L280" s="22"/>
      <c r="M280" s="22"/>
      <c r="N280" s="22"/>
      <c r="O280" s="22"/>
      <c r="P280" s="22"/>
      <c r="Q280" s="22"/>
      <c r="R280" s="22"/>
      <c r="S280" s="22"/>
      <c r="T280" s="22"/>
      <c r="U280" s="22"/>
      <c r="V280" s="22"/>
      <c r="W280" s="22"/>
      <c r="X280" s="22"/>
      <c r="Y280" s="22"/>
    </row>
    <row r="281" spans="1:25" ht="15.75" customHeight="1">
      <c r="A281" s="22"/>
      <c r="B281" s="22"/>
      <c r="C281" s="22"/>
      <c r="D281" s="22"/>
      <c r="E281" s="22"/>
      <c r="F281" s="22"/>
      <c r="G281" s="22"/>
      <c r="H281" s="22"/>
      <c r="I281" s="22"/>
      <c r="J281" s="22"/>
      <c r="K281" s="22"/>
      <c r="L281" s="22"/>
      <c r="M281" s="22"/>
      <c r="N281" s="22"/>
      <c r="O281" s="22"/>
      <c r="P281" s="22"/>
      <c r="Q281" s="22"/>
      <c r="R281" s="22"/>
      <c r="S281" s="22"/>
      <c r="T281" s="22"/>
      <c r="U281" s="22"/>
      <c r="V281" s="22"/>
      <c r="W281" s="22"/>
      <c r="X281" s="22"/>
      <c r="Y281" s="22"/>
    </row>
    <row r="282" spans="1:25" ht="15.75" customHeight="1">
      <c r="A282" s="22"/>
      <c r="B282" s="22"/>
      <c r="C282" s="22"/>
      <c r="D282" s="22"/>
      <c r="E282" s="22"/>
      <c r="F282" s="22"/>
      <c r="G282" s="22"/>
      <c r="H282" s="22"/>
      <c r="I282" s="22"/>
      <c r="J282" s="22"/>
      <c r="K282" s="22"/>
      <c r="L282" s="22"/>
      <c r="M282" s="22"/>
      <c r="N282" s="22"/>
      <c r="O282" s="22"/>
      <c r="P282" s="22"/>
      <c r="Q282" s="22"/>
      <c r="R282" s="22"/>
      <c r="S282" s="22"/>
      <c r="T282" s="22"/>
      <c r="U282" s="22"/>
      <c r="V282" s="22"/>
      <c r="W282" s="22"/>
      <c r="X282" s="22"/>
      <c r="Y282" s="22"/>
    </row>
    <row r="283" spans="1:25" ht="15.75" customHeight="1">
      <c r="A283" s="22"/>
      <c r="B283" s="22"/>
      <c r="C283" s="22"/>
      <c r="D283" s="22"/>
      <c r="E283" s="22"/>
      <c r="F283" s="22"/>
      <c r="G283" s="22"/>
      <c r="H283" s="22"/>
      <c r="I283" s="22"/>
      <c r="J283" s="22"/>
      <c r="K283" s="22"/>
      <c r="L283" s="22"/>
      <c r="M283" s="22"/>
      <c r="N283" s="22"/>
      <c r="O283" s="22"/>
      <c r="P283" s="22"/>
      <c r="Q283" s="22"/>
      <c r="R283" s="22"/>
      <c r="S283" s="22"/>
      <c r="T283" s="22"/>
      <c r="U283" s="22"/>
      <c r="V283" s="22"/>
      <c r="W283" s="22"/>
      <c r="X283" s="22"/>
      <c r="Y283" s="22"/>
    </row>
    <row r="284" spans="1:25" ht="15.75" customHeight="1">
      <c r="A284" s="22"/>
      <c r="B284" s="22"/>
      <c r="C284" s="22"/>
      <c r="D284" s="22"/>
      <c r="E284" s="22"/>
      <c r="F284" s="22"/>
      <c r="G284" s="22"/>
      <c r="H284" s="22"/>
      <c r="I284" s="22"/>
      <c r="J284" s="22"/>
      <c r="K284" s="22"/>
      <c r="L284" s="22"/>
      <c r="M284" s="22"/>
      <c r="N284" s="22"/>
      <c r="O284" s="22"/>
      <c r="P284" s="22"/>
      <c r="Q284" s="22"/>
      <c r="R284" s="22"/>
      <c r="S284" s="22"/>
      <c r="T284" s="22"/>
      <c r="U284" s="22"/>
      <c r="V284" s="22"/>
      <c r="W284" s="22"/>
      <c r="X284" s="22"/>
      <c r="Y284" s="22"/>
    </row>
    <row r="285" spans="1:25" ht="15.75" customHeight="1">
      <c r="A285" s="22"/>
      <c r="B285" s="22"/>
      <c r="C285" s="22"/>
      <c r="D285" s="22"/>
      <c r="E285" s="22"/>
      <c r="F285" s="22"/>
      <c r="G285" s="22"/>
      <c r="H285" s="22"/>
      <c r="I285" s="22"/>
      <c r="J285" s="22"/>
      <c r="K285" s="22"/>
      <c r="L285" s="22"/>
      <c r="M285" s="22"/>
      <c r="N285" s="22"/>
      <c r="O285" s="22"/>
      <c r="P285" s="22"/>
      <c r="Q285" s="22"/>
      <c r="R285" s="22"/>
      <c r="S285" s="22"/>
      <c r="T285" s="22"/>
      <c r="U285" s="22"/>
      <c r="V285" s="22"/>
      <c r="W285" s="22"/>
      <c r="X285" s="22"/>
      <c r="Y285" s="22"/>
    </row>
    <row r="286" spans="1:25" ht="15.75" customHeight="1">
      <c r="A286" s="22"/>
      <c r="B286" s="22"/>
      <c r="C286" s="22"/>
      <c r="D286" s="22"/>
      <c r="E286" s="22"/>
      <c r="F286" s="22"/>
      <c r="G286" s="22"/>
      <c r="H286" s="22"/>
      <c r="I286" s="22"/>
      <c r="J286" s="22"/>
      <c r="K286" s="22"/>
      <c r="L286" s="22"/>
      <c r="M286" s="22"/>
      <c r="N286" s="22"/>
      <c r="O286" s="22"/>
      <c r="P286" s="22"/>
      <c r="Q286" s="22"/>
      <c r="R286" s="22"/>
      <c r="S286" s="22"/>
      <c r="T286" s="22"/>
      <c r="U286" s="22"/>
      <c r="V286" s="22"/>
      <c r="W286" s="22"/>
      <c r="X286" s="22"/>
      <c r="Y286" s="22"/>
    </row>
    <row r="287" spans="1:25" ht="15.75" customHeight="1">
      <c r="A287" s="22"/>
      <c r="B287" s="22"/>
      <c r="C287" s="22"/>
      <c r="D287" s="22"/>
      <c r="E287" s="22"/>
      <c r="F287" s="22"/>
      <c r="G287" s="22"/>
      <c r="H287" s="22"/>
      <c r="I287" s="22"/>
      <c r="J287" s="22"/>
      <c r="K287" s="22"/>
      <c r="L287" s="22"/>
      <c r="M287" s="22"/>
      <c r="N287" s="22"/>
      <c r="O287" s="22"/>
      <c r="P287" s="22"/>
      <c r="Q287" s="22"/>
      <c r="R287" s="22"/>
      <c r="S287" s="22"/>
      <c r="T287" s="22"/>
      <c r="U287" s="22"/>
      <c r="V287" s="22"/>
      <c r="W287" s="22"/>
      <c r="X287" s="22"/>
      <c r="Y287" s="22"/>
    </row>
    <row r="288" spans="1:25" ht="15.75" customHeight="1">
      <c r="A288" s="22"/>
      <c r="B288" s="22"/>
      <c r="C288" s="22"/>
      <c r="D288" s="22"/>
      <c r="E288" s="22"/>
      <c r="F288" s="22"/>
      <c r="G288" s="22"/>
      <c r="H288" s="22"/>
      <c r="I288" s="22"/>
      <c r="J288" s="22"/>
      <c r="K288" s="22"/>
      <c r="L288" s="22"/>
      <c r="M288" s="22"/>
      <c r="N288" s="22"/>
      <c r="O288" s="22"/>
      <c r="P288" s="22"/>
      <c r="Q288" s="22"/>
      <c r="R288" s="22"/>
      <c r="S288" s="22"/>
      <c r="T288" s="22"/>
      <c r="U288" s="22"/>
      <c r="V288" s="22"/>
      <c r="W288" s="22"/>
      <c r="X288" s="22"/>
      <c r="Y288" s="22"/>
    </row>
    <row r="289" spans="1:25" ht="15.75" customHeight="1">
      <c r="A289" s="22"/>
      <c r="B289" s="22"/>
      <c r="C289" s="22"/>
      <c r="D289" s="22"/>
      <c r="E289" s="22"/>
      <c r="F289" s="22"/>
      <c r="G289" s="22"/>
      <c r="H289" s="22"/>
      <c r="I289" s="22"/>
      <c r="J289" s="22"/>
      <c r="K289" s="22"/>
      <c r="L289" s="22"/>
      <c r="M289" s="22"/>
      <c r="N289" s="22"/>
      <c r="O289" s="22"/>
      <c r="P289" s="22"/>
      <c r="Q289" s="22"/>
      <c r="R289" s="22"/>
      <c r="S289" s="22"/>
      <c r="T289" s="22"/>
      <c r="U289" s="22"/>
      <c r="V289" s="22"/>
      <c r="W289" s="22"/>
      <c r="X289" s="22"/>
      <c r="Y289" s="22"/>
    </row>
    <row r="290" spans="1:25" ht="15.75" customHeight="1">
      <c r="A290" s="22"/>
      <c r="B290" s="22"/>
      <c r="C290" s="22"/>
      <c r="D290" s="22"/>
      <c r="E290" s="22"/>
      <c r="F290" s="22"/>
      <c r="G290" s="22"/>
      <c r="H290" s="22"/>
      <c r="I290" s="22"/>
      <c r="J290" s="22"/>
      <c r="K290" s="22"/>
      <c r="L290" s="22"/>
      <c r="M290" s="22"/>
      <c r="N290" s="22"/>
      <c r="O290" s="22"/>
      <c r="P290" s="22"/>
      <c r="Q290" s="22"/>
      <c r="R290" s="22"/>
      <c r="S290" s="22"/>
      <c r="T290" s="22"/>
      <c r="U290" s="22"/>
      <c r="V290" s="22"/>
      <c r="W290" s="22"/>
      <c r="X290" s="22"/>
      <c r="Y290" s="22"/>
    </row>
    <row r="291" spans="1:25" ht="15.75" customHeight="1">
      <c r="A291" s="22"/>
      <c r="B291" s="22"/>
      <c r="C291" s="22"/>
      <c r="D291" s="22"/>
      <c r="E291" s="22"/>
      <c r="F291" s="22"/>
      <c r="G291" s="22"/>
      <c r="H291" s="22"/>
      <c r="I291" s="22"/>
      <c r="J291" s="22"/>
      <c r="K291" s="22"/>
      <c r="L291" s="22"/>
      <c r="M291" s="22"/>
      <c r="N291" s="22"/>
      <c r="O291" s="22"/>
      <c r="P291" s="22"/>
      <c r="Q291" s="22"/>
      <c r="R291" s="22"/>
      <c r="S291" s="22"/>
      <c r="T291" s="22"/>
      <c r="U291" s="22"/>
      <c r="V291" s="22"/>
      <c r="W291" s="22"/>
      <c r="X291" s="22"/>
      <c r="Y291" s="22"/>
    </row>
    <row r="292" spans="1:25" ht="15.75" customHeight="1">
      <c r="A292" s="22"/>
      <c r="B292" s="22"/>
      <c r="C292" s="22"/>
      <c r="D292" s="22"/>
      <c r="E292" s="22"/>
      <c r="F292" s="22"/>
      <c r="G292" s="22"/>
      <c r="H292" s="22"/>
      <c r="I292" s="22"/>
      <c r="J292" s="22"/>
      <c r="K292" s="22"/>
      <c r="L292" s="22"/>
      <c r="M292" s="22"/>
      <c r="N292" s="22"/>
      <c r="O292" s="22"/>
      <c r="P292" s="22"/>
      <c r="Q292" s="22"/>
      <c r="R292" s="22"/>
      <c r="S292" s="22"/>
      <c r="T292" s="22"/>
      <c r="U292" s="22"/>
      <c r="V292" s="22"/>
      <c r="W292" s="22"/>
      <c r="X292" s="22"/>
      <c r="Y292" s="22"/>
    </row>
    <row r="293" spans="1:25" ht="15.75" customHeight="1">
      <c r="A293" s="22"/>
      <c r="B293" s="22"/>
      <c r="C293" s="22"/>
      <c r="D293" s="22"/>
      <c r="E293" s="22"/>
      <c r="F293" s="22"/>
      <c r="G293" s="22"/>
      <c r="H293" s="22"/>
      <c r="I293" s="22"/>
      <c r="J293" s="22"/>
      <c r="K293" s="22"/>
      <c r="L293" s="22"/>
      <c r="M293" s="22"/>
      <c r="N293" s="22"/>
      <c r="O293" s="22"/>
      <c r="P293" s="22"/>
      <c r="Q293" s="22"/>
      <c r="R293" s="22"/>
      <c r="S293" s="22"/>
      <c r="T293" s="22"/>
      <c r="U293" s="22"/>
      <c r="V293" s="22"/>
      <c r="W293" s="22"/>
      <c r="X293" s="22"/>
      <c r="Y293" s="22"/>
    </row>
    <row r="294" spans="1:25" ht="15.75" customHeight="1">
      <c r="A294" s="22"/>
      <c r="B294" s="22"/>
      <c r="C294" s="22"/>
      <c r="D294" s="22"/>
      <c r="E294" s="22"/>
      <c r="F294" s="22"/>
      <c r="G294" s="22"/>
      <c r="H294" s="22"/>
      <c r="I294" s="22"/>
      <c r="J294" s="22"/>
      <c r="K294" s="22"/>
      <c r="L294" s="22"/>
      <c r="M294" s="22"/>
      <c r="N294" s="22"/>
      <c r="O294" s="22"/>
      <c r="P294" s="22"/>
      <c r="Q294" s="22"/>
      <c r="R294" s="22"/>
      <c r="S294" s="22"/>
      <c r="T294" s="22"/>
      <c r="U294" s="22"/>
      <c r="V294" s="22"/>
      <c r="W294" s="22"/>
      <c r="X294" s="22"/>
      <c r="Y294" s="22"/>
    </row>
    <row r="295" spans="1:25" ht="15.75" customHeight="1">
      <c r="A295" s="22"/>
      <c r="B295" s="22"/>
      <c r="C295" s="22"/>
      <c r="D295" s="22"/>
      <c r="E295" s="22"/>
      <c r="F295" s="22"/>
      <c r="G295" s="22"/>
      <c r="H295" s="22"/>
      <c r="I295" s="22"/>
      <c r="J295" s="22"/>
      <c r="K295" s="22"/>
      <c r="L295" s="22"/>
      <c r="M295" s="22"/>
      <c r="N295" s="22"/>
      <c r="O295" s="22"/>
      <c r="P295" s="22"/>
      <c r="Q295" s="22"/>
      <c r="R295" s="22"/>
      <c r="S295" s="22"/>
      <c r="T295" s="22"/>
      <c r="U295" s="22"/>
      <c r="V295" s="22"/>
      <c r="W295" s="22"/>
      <c r="X295" s="22"/>
      <c r="Y295" s="22"/>
    </row>
    <row r="296" spans="1:25" ht="15.75" customHeight="1">
      <c r="A296" s="22"/>
      <c r="B296" s="22"/>
      <c r="C296" s="22"/>
      <c r="D296" s="22"/>
      <c r="E296" s="22"/>
      <c r="F296" s="22"/>
      <c r="G296" s="22"/>
      <c r="H296" s="22"/>
      <c r="I296" s="22"/>
      <c r="J296" s="22"/>
      <c r="K296" s="22"/>
      <c r="L296" s="22"/>
      <c r="M296" s="22"/>
      <c r="N296" s="22"/>
      <c r="O296" s="22"/>
      <c r="P296" s="22"/>
      <c r="Q296" s="22"/>
      <c r="R296" s="22"/>
      <c r="S296" s="22"/>
      <c r="T296" s="22"/>
      <c r="U296" s="22"/>
      <c r="V296" s="22"/>
      <c r="W296" s="22"/>
      <c r="X296" s="22"/>
      <c r="Y296" s="22"/>
    </row>
    <row r="297" spans="1:25" ht="15.75" customHeight="1">
      <c r="A297" s="22"/>
      <c r="B297" s="22"/>
      <c r="C297" s="22"/>
      <c r="D297" s="22"/>
      <c r="E297" s="22"/>
      <c r="F297" s="22"/>
      <c r="G297" s="22"/>
      <c r="H297" s="22"/>
      <c r="I297" s="22"/>
      <c r="J297" s="22"/>
      <c r="K297" s="22"/>
      <c r="L297" s="22"/>
      <c r="M297" s="22"/>
      <c r="N297" s="22"/>
      <c r="O297" s="22"/>
      <c r="P297" s="22"/>
      <c r="Q297" s="22"/>
      <c r="R297" s="22"/>
      <c r="S297" s="22"/>
      <c r="T297" s="22"/>
      <c r="U297" s="22"/>
      <c r="V297" s="22"/>
      <c r="W297" s="22"/>
      <c r="X297" s="22"/>
      <c r="Y297" s="22"/>
    </row>
    <row r="298" spans="1:25" ht="15.75" customHeight="1">
      <c r="A298" s="22"/>
      <c r="B298" s="22"/>
      <c r="C298" s="22"/>
      <c r="D298" s="22"/>
      <c r="E298" s="22"/>
      <c r="F298" s="22"/>
      <c r="G298" s="22"/>
      <c r="H298" s="22"/>
      <c r="I298" s="22"/>
      <c r="J298" s="22"/>
      <c r="K298" s="22"/>
      <c r="L298" s="22"/>
      <c r="M298" s="22"/>
      <c r="N298" s="22"/>
      <c r="O298" s="22"/>
      <c r="P298" s="22"/>
      <c r="Q298" s="22"/>
      <c r="R298" s="22"/>
      <c r="S298" s="22"/>
      <c r="T298" s="22"/>
      <c r="U298" s="22"/>
      <c r="V298" s="22"/>
      <c r="W298" s="22"/>
      <c r="X298" s="22"/>
      <c r="Y298" s="22"/>
    </row>
    <row r="299" spans="1:25" ht="15.75" customHeight="1">
      <c r="A299" s="22"/>
      <c r="B299" s="22"/>
      <c r="C299" s="22"/>
      <c r="D299" s="22"/>
      <c r="E299" s="22"/>
      <c r="F299" s="22"/>
      <c r="G299" s="22"/>
      <c r="H299" s="22"/>
      <c r="I299" s="22"/>
      <c r="J299" s="22"/>
      <c r="K299" s="22"/>
      <c r="L299" s="22"/>
      <c r="M299" s="22"/>
      <c r="N299" s="22"/>
      <c r="O299" s="22"/>
      <c r="P299" s="22"/>
      <c r="Q299" s="22"/>
      <c r="R299" s="22"/>
      <c r="S299" s="22"/>
      <c r="T299" s="22"/>
      <c r="U299" s="22"/>
      <c r="V299" s="22"/>
      <c r="W299" s="22"/>
      <c r="X299" s="22"/>
      <c r="Y299" s="22"/>
    </row>
    <row r="300" spans="1:25" ht="15.75" customHeight="1">
      <c r="A300" s="22"/>
      <c r="B300" s="22"/>
      <c r="C300" s="22"/>
      <c r="D300" s="22"/>
      <c r="E300" s="22"/>
      <c r="F300" s="22"/>
      <c r="G300" s="22"/>
      <c r="H300" s="22"/>
      <c r="I300" s="22"/>
      <c r="J300" s="22"/>
      <c r="K300" s="22"/>
      <c r="L300" s="22"/>
      <c r="M300" s="22"/>
      <c r="N300" s="22"/>
      <c r="O300" s="22"/>
      <c r="P300" s="22"/>
      <c r="Q300" s="22"/>
      <c r="R300" s="22"/>
      <c r="S300" s="22"/>
      <c r="T300" s="22"/>
      <c r="U300" s="22"/>
      <c r="V300" s="22"/>
      <c r="W300" s="22"/>
      <c r="X300" s="22"/>
      <c r="Y300" s="22"/>
    </row>
    <row r="301" spans="1:25" ht="15.75" customHeight="1">
      <c r="A301" s="22"/>
      <c r="B301" s="22"/>
      <c r="C301" s="22"/>
      <c r="D301" s="22"/>
      <c r="E301" s="22"/>
      <c r="F301" s="22"/>
      <c r="G301" s="22"/>
      <c r="H301" s="22"/>
      <c r="I301" s="22"/>
      <c r="J301" s="22"/>
      <c r="K301" s="22"/>
      <c r="L301" s="22"/>
      <c r="M301" s="22"/>
      <c r="N301" s="22"/>
      <c r="O301" s="22"/>
      <c r="P301" s="22"/>
      <c r="Q301" s="22"/>
      <c r="R301" s="22"/>
      <c r="S301" s="22"/>
      <c r="T301" s="22"/>
      <c r="U301" s="22"/>
      <c r="V301" s="22"/>
      <c r="W301" s="22"/>
      <c r="X301" s="22"/>
      <c r="Y301" s="22"/>
    </row>
    <row r="302" spans="1:25" ht="15.75" customHeight="1">
      <c r="A302" s="22"/>
      <c r="B302" s="22"/>
      <c r="C302" s="22"/>
      <c r="D302" s="22"/>
      <c r="E302" s="22"/>
      <c r="F302" s="22"/>
      <c r="G302" s="22"/>
      <c r="H302" s="22"/>
      <c r="I302" s="22"/>
      <c r="J302" s="22"/>
      <c r="K302" s="22"/>
      <c r="L302" s="22"/>
      <c r="M302" s="22"/>
      <c r="N302" s="22"/>
      <c r="O302" s="22"/>
      <c r="P302" s="22"/>
      <c r="Q302" s="22"/>
      <c r="R302" s="22"/>
      <c r="S302" s="22"/>
      <c r="T302" s="22"/>
      <c r="U302" s="22"/>
      <c r="V302" s="22"/>
      <c r="W302" s="22"/>
      <c r="X302" s="22"/>
      <c r="Y302" s="22"/>
    </row>
    <row r="303" spans="1:25" ht="15.75" customHeight="1">
      <c r="A303" s="22"/>
      <c r="B303" s="22"/>
      <c r="C303" s="22"/>
      <c r="D303" s="22"/>
      <c r="E303" s="22"/>
      <c r="F303" s="22"/>
      <c r="G303" s="22"/>
      <c r="H303" s="22"/>
      <c r="I303" s="22"/>
      <c r="J303" s="22"/>
      <c r="K303" s="22"/>
      <c r="L303" s="22"/>
      <c r="M303" s="22"/>
      <c r="N303" s="22"/>
      <c r="O303" s="22"/>
      <c r="P303" s="22"/>
      <c r="Q303" s="22"/>
      <c r="R303" s="22"/>
      <c r="S303" s="22"/>
      <c r="T303" s="22"/>
      <c r="U303" s="22"/>
      <c r="V303" s="22"/>
      <c r="W303" s="22"/>
      <c r="X303" s="22"/>
      <c r="Y303" s="22"/>
    </row>
    <row r="304" spans="1:25" ht="15.75" customHeight="1">
      <c r="A304" s="22"/>
      <c r="B304" s="22"/>
      <c r="C304" s="22"/>
      <c r="D304" s="22"/>
      <c r="E304" s="22"/>
      <c r="F304" s="22"/>
      <c r="G304" s="22"/>
      <c r="H304" s="22"/>
      <c r="I304" s="22"/>
      <c r="J304" s="22"/>
      <c r="K304" s="22"/>
      <c r="L304" s="22"/>
      <c r="M304" s="22"/>
      <c r="N304" s="22"/>
      <c r="O304" s="22"/>
      <c r="P304" s="22"/>
      <c r="Q304" s="22"/>
      <c r="R304" s="22"/>
      <c r="S304" s="22"/>
      <c r="T304" s="22"/>
      <c r="U304" s="22"/>
      <c r="V304" s="22"/>
      <c r="W304" s="22"/>
      <c r="X304" s="22"/>
      <c r="Y304" s="22"/>
    </row>
    <row r="305" spans="1:25" ht="15.75" customHeight="1">
      <c r="A305" s="22"/>
      <c r="B305" s="22"/>
      <c r="C305" s="22"/>
      <c r="D305" s="22"/>
      <c r="E305" s="22"/>
      <c r="F305" s="22"/>
      <c r="G305" s="22"/>
      <c r="H305" s="22"/>
      <c r="I305" s="22"/>
      <c r="J305" s="22"/>
      <c r="K305" s="22"/>
      <c r="L305" s="22"/>
      <c r="M305" s="22"/>
      <c r="N305" s="22"/>
      <c r="O305" s="22"/>
      <c r="P305" s="22"/>
      <c r="Q305" s="22"/>
      <c r="R305" s="22"/>
      <c r="S305" s="22"/>
      <c r="T305" s="22"/>
      <c r="U305" s="22"/>
      <c r="V305" s="22"/>
      <c r="W305" s="22"/>
      <c r="X305" s="22"/>
      <c r="Y305" s="22"/>
    </row>
    <row r="306" spans="1:25" ht="15.75" customHeight="1">
      <c r="A306" s="22"/>
      <c r="B306" s="22"/>
      <c r="C306" s="22"/>
      <c r="D306" s="22"/>
      <c r="E306" s="22"/>
      <c r="F306" s="22"/>
      <c r="G306" s="22"/>
      <c r="H306" s="22"/>
      <c r="I306" s="22"/>
      <c r="J306" s="22"/>
      <c r="K306" s="22"/>
      <c r="L306" s="22"/>
      <c r="M306" s="22"/>
      <c r="N306" s="22"/>
      <c r="O306" s="22"/>
      <c r="P306" s="22"/>
      <c r="Q306" s="22"/>
      <c r="R306" s="22"/>
      <c r="S306" s="22"/>
      <c r="T306" s="22"/>
      <c r="U306" s="22"/>
      <c r="V306" s="22"/>
      <c r="W306" s="22"/>
      <c r="X306" s="22"/>
      <c r="Y306" s="22"/>
    </row>
    <row r="307" spans="1:25" ht="15.75" customHeight="1">
      <c r="A307" s="22"/>
      <c r="B307" s="22"/>
      <c r="C307" s="22"/>
      <c r="D307" s="22"/>
      <c r="E307" s="22"/>
      <c r="F307" s="22"/>
      <c r="G307" s="22"/>
      <c r="H307" s="22"/>
      <c r="I307" s="22"/>
      <c r="J307" s="22"/>
      <c r="K307" s="22"/>
      <c r="L307" s="22"/>
      <c r="M307" s="22"/>
      <c r="N307" s="22"/>
      <c r="O307" s="22"/>
      <c r="P307" s="22"/>
      <c r="Q307" s="22"/>
      <c r="R307" s="22"/>
      <c r="S307" s="22"/>
      <c r="T307" s="22"/>
      <c r="U307" s="22"/>
      <c r="V307" s="22"/>
      <c r="W307" s="22"/>
      <c r="X307" s="22"/>
      <c r="Y307" s="22"/>
    </row>
    <row r="308" spans="1:25" ht="15.75" customHeight="1">
      <c r="A308" s="22"/>
      <c r="B308" s="22"/>
      <c r="C308" s="22"/>
      <c r="D308" s="22"/>
      <c r="E308" s="22"/>
      <c r="F308" s="22"/>
      <c r="G308" s="22"/>
      <c r="H308" s="22"/>
      <c r="I308" s="22"/>
      <c r="J308" s="22"/>
      <c r="K308" s="22"/>
      <c r="L308" s="22"/>
      <c r="M308" s="22"/>
      <c r="N308" s="22"/>
      <c r="O308" s="22"/>
      <c r="P308" s="22"/>
      <c r="Q308" s="22"/>
      <c r="R308" s="22"/>
      <c r="S308" s="22"/>
      <c r="T308" s="22"/>
      <c r="U308" s="22"/>
      <c r="V308" s="22"/>
      <c r="W308" s="22"/>
      <c r="X308" s="22"/>
      <c r="Y308" s="22"/>
    </row>
    <row r="309" spans="1:25" ht="15.75" customHeight="1">
      <c r="A309" s="22"/>
      <c r="B309" s="22"/>
      <c r="C309" s="22"/>
      <c r="D309" s="22"/>
      <c r="E309" s="22"/>
      <c r="F309" s="22"/>
      <c r="G309" s="22"/>
      <c r="H309" s="22"/>
      <c r="I309" s="22"/>
      <c r="J309" s="22"/>
      <c r="K309" s="22"/>
      <c r="L309" s="22"/>
      <c r="M309" s="22"/>
      <c r="N309" s="22"/>
      <c r="O309" s="22"/>
      <c r="P309" s="22"/>
      <c r="Q309" s="22"/>
      <c r="R309" s="22"/>
      <c r="S309" s="22"/>
      <c r="T309" s="22"/>
      <c r="U309" s="22"/>
      <c r="V309" s="22"/>
      <c r="W309" s="22"/>
      <c r="X309" s="22"/>
      <c r="Y309" s="22"/>
    </row>
    <row r="310" spans="1:25" ht="15.75" customHeight="1">
      <c r="A310" s="22"/>
      <c r="B310" s="22"/>
      <c r="C310" s="22"/>
      <c r="D310" s="22"/>
      <c r="E310" s="22"/>
      <c r="F310" s="22"/>
      <c r="G310" s="22"/>
      <c r="H310" s="22"/>
      <c r="I310" s="22"/>
      <c r="J310" s="22"/>
      <c r="K310" s="22"/>
      <c r="L310" s="22"/>
      <c r="M310" s="22"/>
      <c r="N310" s="22"/>
      <c r="O310" s="22"/>
      <c r="P310" s="22"/>
      <c r="Q310" s="22"/>
      <c r="R310" s="22"/>
      <c r="S310" s="22"/>
      <c r="T310" s="22"/>
      <c r="U310" s="22"/>
      <c r="V310" s="22"/>
      <c r="W310" s="22"/>
      <c r="X310" s="22"/>
      <c r="Y310" s="22"/>
    </row>
    <row r="311" spans="1:25" ht="15.75" customHeight="1">
      <c r="A311" s="22"/>
      <c r="B311" s="22"/>
      <c r="C311" s="22"/>
      <c r="D311" s="22"/>
      <c r="E311" s="22"/>
      <c r="F311" s="22"/>
      <c r="G311" s="22"/>
      <c r="H311" s="22"/>
      <c r="I311" s="22"/>
      <c r="J311" s="22"/>
      <c r="K311" s="22"/>
      <c r="L311" s="22"/>
      <c r="M311" s="22"/>
      <c r="N311" s="22"/>
      <c r="O311" s="22"/>
      <c r="P311" s="22"/>
      <c r="Q311" s="22"/>
      <c r="R311" s="22"/>
      <c r="S311" s="22"/>
      <c r="T311" s="22"/>
      <c r="U311" s="22"/>
      <c r="V311" s="22"/>
      <c r="W311" s="22"/>
      <c r="X311" s="22"/>
      <c r="Y311" s="22"/>
    </row>
    <row r="312" spans="1:25" ht="15.75" customHeight="1">
      <c r="A312" s="22"/>
      <c r="B312" s="22"/>
      <c r="C312" s="22"/>
      <c r="D312" s="22"/>
      <c r="E312" s="22"/>
      <c r="F312" s="22"/>
      <c r="G312" s="22"/>
      <c r="H312" s="22"/>
      <c r="I312" s="22"/>
      <c r="J312" s="22"/>
      <c r="K312" s="22"/>
      <c r="L312" s="22"/>
      <c r="M312" s="22"/>
      <c r="N312" s="22"/>
      <c r="O312" s="22"/>
      <c r="P312" s="22"/>
      <c r="Q312" s="22"/>
      <c r="R312" s="22"/>
      <c r="S312" s="22"/>
      <c r="T312" s="22"/>
      <c r="U312" s="22"/>
      <c r="V312" s="22"/>
      <c r="W312" s="22"/>
      <c r="X312" s="22"/>
      <c r="Y312" s="22"/>
    </row>
    <row r="313" spans="1:25" ht="15.75" customHeight="1">
      <c r="A313" s="22"/>
      <c r="B313" s="22"/>
      <c r="C313" s="22"/>
      <c r="D313" s="22"/>
      <c r="E313" s="22"/>
      <c r="F313" s="22"/>
      <c r="G313" s="22"/>
      <c r="H313" s="22"/>
      <c r="I313" s="22"/>
      <c r="J313" s="22"/>
      <c r="K313" s="22"/>
      <c r="L313" s="22"/>
      <c r="M313" s="22"/>
      <c r="N313" s="22"/>
      <c r="O313" s="22"/>
      <c r="P313" s="22"/>
      <c r="Q313" s="22"/>
      <c r="R313" s="22"/>
      <c r="S313" s="22"/>
      <c r="T313" s="22"/>
      <c r="U313" s="22"/>
      <c r="V313" s="22"/>
      <c r="W313" s="22"/>
      <c r="X313" s="22"/>
      <c r="Y313" s="22"/>
    </row>
    <row r="314" spans="1:25" ht="15.75" customHeight="1">
      <c r="A314" s="22"/>
      <c r="B314" s="22"/>
      <c r="C314" s="22"/>
      <c r="D314" s="22"/>
      <c r="E314" s="22"/>
      <c r="F314" s="22"/>
      <c r="G314" s="22"/>
      <c r="H314" s="22"/>
      <c r="I314" s="22"/>
      <c r="J314" s="22"/>
      <c r="K314" s="22"/>
      <c r="L314" s="22"/>
      <c r="M314" s="22"/>
      <c r="N314" s="22"/>
      <c r="O314" s="22"/>
      <c r="P314" s="22"/>
      <c r="Q314" s="22"/>
      <c r="R314" s="22"/>
      <c r="S314" s="22"/>
      <c r="T314" s="22"/>
      <c r="U314" s="22"/>
      <c r="V314" s="22"/>
      <c r="W314" s="22"/>
      <c r="X314" s="22"/>
      <c r="Y314" s="22"/>
    </row>
    <row r="315" spans="1:25" ht="15.75" customHeight="1">
      <c r="A315" s="22"/>
      <c r="B315" s="22"/>
      <c r="C315" s="22"/>
      <c r="D315" s="22"/>
      <c r="E315" s="22"/>
      <c r="F315" s="22"/>
      <c r="G315" s="22"/>
      <c r="H315" s="22"/>
      <c r="I315" s="22"/>
      <c r="J315" s="22"/>
      <c r="K315" s="22"/>
      <c r="L315" s="22"/>
      <c r="M315" s="22"/>
      <c r="N315" s="22"/>
      <c r="O315" s="22"/>
      <c r="P315" s="22"/>
      <c r="Q315" s="22"/>
      <c r="R315" s="22"/>
      <c r="S315" s="22"/>
      <c r="T315" s="22"/>
      <c r="U315" s="22"/>
      <c r="V315" s="22"/>
      <c r="W315" s="22"/>
      <c r="X315" s="22"/>
      <c r="Y315" s="22"/>
    </row>
    <row r="316" spans="1:25" ht="15.75" customHeight="1">
      <c r="A316" s="22"/>
      <c r="B316" s="22"/>
      <c r="C316" s="22"/>
      <c r="D316" s="22"/>
      <c r="E316" s="22"/>
      <c r="F316" s="22"/>
      <c r="G316" s="22"/>
      <c r="H316" s="22"/>
      <c r="I316" s="22"/>
      <c r="J316" s="22"/>
      <c r="K316" s="22"/>
      <c r="L316" s="22"/>
      <c r="M316" s="22"/>
      <c r="N316" s="22"/>
      <c r="O316" s="22"/>
      <c r="P316" s="22"/>
      <c r="Q316" s="22"/>
      <c r="R316" s="22"/>
      <c r="S316" s="22"/>
      <c r="T316" s="22"/>
      <c r="U316" s="22"/>
      <c r="V316" s="22"/>
      <c r="W316" s="22"/>
      <c r="X316" s="22"/>
      <c r="Y316" s="22"/>
    </row>
    <row r="317" spans="1:25" ht="15.75" customHeight="1">
      <c r="A317" s="22"/>
      <c r="B317" s="22"/>
      <c r="C317" s="22"/>
      <c r="D317" s="22"/>
      <c r="E317" s="22"/>
      <c r="F317" s="22"/>
      <c r="G317" s="22"/>
      <c r="H317" s="22"/>
      <c r="I317" s="22"/>
      <c r="J317" s="22"/>
      <c r="K317" s="22"/>
      <c r="L317" s="22"/>
      <c r="M317" s="22"/>
      <c r="N317" s="22"/>
      <c r="O317" s="22"/>
      <c r="P317" s="22"/>
      <c r="Q317" s="22"/>
      <c r="R317" s="22"/>
      <c r="S317" s="22"/>
      <c r="T317" s="22"/>
      <c r="U317" s="22"/>
      <c r="V317" s="22"/>
      <c r="W317" s="22"/>
      <c r="X317" s="22"/>
      <c r="Y317" s="22"/>
    </row>
    <row r="318" spans="1:25" ht="15.75" customHeight="1">
      <c r="A318" s="22"/>
      <c r="B318" s="22"/>
      <c r="C318" s="22"/>
      <c r="D318" s="22"/>
      <c r="E318" s="22"/>
      <c r="F318" s="22"/>
      <c r="G318" s="22"/>
      <c r="H318" s="22"/>
      <c r="I318" s="22"/>
      <c r="J318" s="22"/>
      <c r="K318" s="22"/>
      <c r="L318" s="22"/>
      <c r="M318" s="22"/>
      <c r="N318" s="22"/>
      <c r="O318" s="22"/>
      <c r="P318" s="22"/>
      <c r="Q318" s="22"/>
      <c r="R318" s="22"/>
      <c r="S318" s="22"/>
      <c r="T318" s="22"/>
      <c r="U318" s="22"/>
      <c r="V318" s="22"/>
      <c r="W318" s="22"/>
      <c r="X318" s="22"/>
      <c r="Y318" s="22"/>
    </row>
    <row r="319" spans="1:25" ht="15.75" customHeight="1">
      <c r="A319" s="22"/>
      <c r="B319" s="22"/>
      <c r="C319" s="22"/>
      <c r="D319" s="22"/>
      <c r="E319" s="22"/>
      <c r="F319" s="22"/>
      <c r="G319" s="22"/>
      <c r="H319" s="22"/>
      <c r="I319" s="22"/>
      <c r="J319" s="22"/>
      <c r="K319" s="22"/>
      <c r="L319" s="22"/>
      <c r="M319" s="22"/>
      <c r="N319" s="22"/>
      <c r="O319" s="22"/>
      <c r="P319" s="22"/>
      <c r="Q319" s="22"/>
      <c r="R319" s="22"/>
      <c r="S319" s="22"/>
      <c r="T319" s="22"/>
      <c r="U319" s="22"/>
      <c r="V319" s="22"/>
      <c r="W319" s="22"/>
      <c r="X319" s="22"/>
      <c r="Y319" s="22"/>
    </row>
    <row r="320" spans="1:25" ht="15.75" customHeight="1">
      <c r="A320" s="22"/>
      <c r="B320" s="22"/>
      <c r="C320" s="22"/>
      <c r="D320" s="22"/>
      <c r="E320" s="22"/>
      <c r="F320" s="22"/>
      <c r="G320" s="22"/>
      <c r="H320" s="22"/>
      <c r="I320" s="22"/>
      <c r="J320" s="22"/>
      <c r="K320" s="22"/>
      <c r="L320" s="22"/>
      <c r="M320" s="22"/>
      <c r="N320" s="22"/>
      <c r="O320" s="22"/>
      <c r="P320" s="22"/>
      <c r="Q320" s="22"/>
      <c r="R320" s="22"/>
      <c r="S320" s="22"/>
      <c r="T320" s="22"/>
      <c r="U320" s="22"/>
      <c r="V320" s="22"/>
      <c r="W320" s="22"/>
      <c r="X320" s="22"/>
      <c r="Y320" s="22"/>
    </row>
    <row r="321" spans="1:25" ht="15.75" customHeight="1">
      <c r="A321" s="22"/>
      <c r="B321" s="22"/>
      <c r="C321" s="22"/>
      <c r="D321" s="22"/>
      <c r="E321" s="22"/>
      <c r="F321" s="22"/>
      <c r="G321" s="22"/>
      <c r="H321" s="22"/>
      <c r="I321" s="22"/>
      <c r="J321" s="22"/>
      <c r="K321" s="22"/>
      <c r="L321" s="22"/>
      <c r="M321" s="22"/>
      <c r="N321" s="22"/>
      <c r="O321" s="22"/>
      <c r="P321" s="22"/>
      <c r="Q321" s="22"/>
      <c r="R321" s="22"/>
      <c r="S321" s="22"/>
      <c r="T321" s="22"/>
      <c r="U321" s="22"/>
      <c r="V321" s="22"/>
      <c r="W321" s="22"/>
      <c r="X321" s="22"/>
      <c r="Y321" s="22"/>
    </row>
    <row r="322" spans="1:25" ht="15.75" customHeight="1">
      <c r="A322" s="22"/>
      <c r="B322" s="22"/>
      <c r="C322" s="22"/>
      <c r="D322" s="22"/>
      <c r="E322" s="22"/>
      <c r="F322" s="22"/>
      <c r="G322" s="22"/>
      <c r="H322" s="22"/>
      <c r="I322" s="22"/>
      <c r="J322" s="22"/>
      <c r="K322" s="22"/>
      <c r="L322" s="22"/>
      <c r="M322" s="22"/>
      <c r="N322" s="22"/>
      <c r="O322" s="22"/>
      <c r="P322" s="22"/>
      <c r="Q322" s="22"/>
      <c r="R322" s="22"/>
      <c r="S322" s="22"/>
      <c r="T322" s="22"/>
      <c r="U322" s="22"/>
      <c r="V322" s="22"/>
      <c r="W322" s="22"/>
      <c r="X322" s="22"/>
      <c r="Y322" s="22"/>
    </row>
    <row r="323" spans="1:25" ht="15.75" customHeight="1">
      <c r="A323" s="22"/>
      <c r="B323" s="22"/>
      <c r="C323" s="22"/>
      <c r="D323" s="22"/>
      <c r="E323" s="22"/>
      <c r="F323" s="22"/>
      <c r="G323" s="22"/>
      <c r="H323" s="22"/>
      <c r="I323" s="22"/>
      <c r="J323" s="22"/>
      <c r="K323" s="22"/>
      <c r="L323" s="22"/>
      <c r="M323" s="22"/>
      <c r="N323" s="22"/>
      <c r="O323" s="22"/>
      <c r="P323" s="22"/>
      <c r="Q323" s="22"/>
      <c r="R323" s="22"/>
      <c r="S323" s="22"/>
      <c r="T323" s="22"/>
      <c r="U323" s="22"/>
      <c r="V323" s="22"/>
      <c r="W323" s="22"/>
      <c r="X323" s="22"/>
      <c r="Y323" s="22"/>
    </row>
    <row r="324" spans="1:25" ht="15.75" customHeight="1">
      <c r="A324" s="22"/>
      <c r="B324" s="22"/>
      <c r="C324" s="22"/>
      <c r="D324" s="22"/>
      <c r="E324" s="22"/>
      <c r="F324" s="22"/>
      <c r="G324" s="22"/>
      <c r="H324" s="22"/>
      <c r="I324" s="22"/>
      <c r="J324" s="22"/>
      <c r="K324" s="22"/>
      <c r="L324" s="22"/>
      <c r="M324" s="22"/>
      <c r="N324" s="22"/>
      <c r="O324" s="22"/>
      <c r="P324" s="22"/>
      <c r="Q324" s="22"/>
      <c r="R324" s="22"/>
      <c r="S324" s="22"/>
      <c r="T324" s="22"/>
      <c r="U324" s="22"/>
      <c r="V324" s="22"/>
      <c r="W324" s="22"/>
      <c r="X324" s="22"/>
      <c r="Y324" s="22"/>
    </row>
    <row r="325" spans="1:25" ht="15.75" customHeight="1">
      <c r="A325" s="22"/>
      <c r="B325" s="22"/>
      <c r="C325" s="22"/>
      <c r="D325" s="22"/>
      <c r="E325" s="22"/>
      <c r="F325" s="22"/>
      <c r="G325" s="22"/>
      <c r="H325" s="22"/>
      <c r="I325" s="22"/>
      <c r="J325" s="22"/>
      <c r="K325" s="22"/>
      <c r="L325" s="22"/>
      <c r="M325" s="22"/>
      <c r="N325" s="22"/>
      <c r="O325" s="22"/>
      <c r="P325" s="22"/>
      <c r="Q325" s="22"/>
      <c r="R325" s="22"/>
      <c r="S325" s="22"/>
      <c r="T325" s="22"/>
      <c r="U325" s="22"/>
      <c r="V325" s="22"/>
      <c r="W325" s="22"/>
      <c r="X325" s="22"/>
      <c r="Y325" s="22"/>
    </row>
    <row r="326" spans="1:25" ht="15.75" customHeight="1">
      <c r="A326" s="22"/>
      <c r="B326" s="22"/>
      <c r="C326" s="22"/>
      <c r="D326" s="22"/>
      <c r="E326" s="22"/>
      <c r="F326" s="22"/>
      <c r="G326" s="22"/>
      <c r="H326" s="22"/>
      <c r="I326" s="22"/>
      <c r="J326" s="22"/>
      <c r="K326" s="22"/>
      <c r="L326" s="22"/>
      <c r="M326" s="22"/>
      <c r="N326" s="22"/>
      <c r="O326" s="22"/>
      <c r="P326" s="22"/>
      <c r="Q326" s="22"/>
      <c r="R326" s="22"/>
      <c r="S326" s="22"/>
      <c r="T326" s="22"/>
      <c r="U326" s="22"/>
      <c r="V326" s="22"/>
      <c r="W326" s="22"/>
      <c r="X326" s="22"/>
      <c r="Y326" s="22"/>
    </row>
    <row r="327" spans="1:25" ht="15.75" customHeight="1">
      <c r="A327" s="22"/>
      <c r="B327" s="22"/>
      <c r="C327" s="22"/>
      <c r="D327" s="22"/>
      <c r="E327" s="22"/>
      <c r="F327" s="22"/>
      <c r="G327" s="22"/>
      <c r="H327" s="22"/>
      <c r="I327" s="22"/>
      <c r="J327" s="22"/>
      <c r="K327" s="22"/>
      <c r="L327" s="22"/>
      <c r="M327" s="22"/>
      <c r="N327" s="22"/>
      <c r="O327" s="22"/>
      <c r="P327" s="22"/>
      <c r="Q327" s="22"/>
      <c r="R327" s="22"/>
      <c r="S327" s="22"/>
      <c r="T327" s="22"/>
      <c r="U327" s="22"/>
      <c r="V327" s="22"/>
      <c r="W327" s="22"/>
      <c r="X327" s="22"/>
      <c r="Y327" s="22"/>
    </row>
    <row r="328" spans="1:25" ht="15.75" customHeight="1">
      <c r="A328" s="22"/>
      <c r="B328" s="22"/>
      <c r="C328" s="22"/>
      <c r="D328" s="22"/>
      <c r="E328" s="22"/>
      <c r="F328" s="22"/>
      <c r="G328" s="22"/>
      <c r="H328" s="22"/>
      <c r="I328" s="22"/>
      <c r="J328" s="22"/>
      <c r="K328" s="22"/>
      <c r="L328" s="22"/>
      <c r="M328" s="22"/>
      <c r="N328" s="22"/>
      <c r="O328" s="22"/>
      <c r="P328" s="22"/>
      <c r="Q328" s="22"/>
      <c r="R328" s="22"/>
      <c r="S328" s="22"/>
      <c r="T328" s="22"/>
      <c r="U328" s="22"/>
      <c r="V328" s="22"/>
      <c r="W328" s="22"/>
      <c r="X328" s="22"/>
      <c r="Y328" s="22"/>
    </row>
    <row r="329" spans="1:25" ht="15.75" customHeight="1">
      <c r="A329" s="22"/>
      <c r="B329" s="22"/>
      <c r="C329" s="22"/>
      <c r="D329" s="22"/>
      <c r="E329" s="22"/>
      <c r="F329" s="22"/>
      <c r="G329" s="22"/>
      <c r="H329" s="22"/>
      <c r="I329" s="22"/>
      <c r="J329" s="22"/>
      <c r="K329" s="22"/>
      <c r="L329" s="22"/>
      <c r="M329" s="22"/>
      <c r="N329" s="22"/>
      <c r="O329" s="22"/>
      <c r="P329" s="22"/>
      <c r="Q329" s="22"/>
      <c r="R329" s="22"/>
      <c r="S329" s="22"/>
      <c r="T329" s="22"/>
      <c r="U329" s="22"/>
      <c r="V329" s="22"/>
      <c r="W329" s="22"/>
      <c r="X329" s="22"/>
      <c r="Y329" s="22"/>
    </row>
    <row r="330" spans="1:25" ht="15.75" customHeight="1">
      <c r="A330" s="22"/>
      <c r="B330" s="22"/>
      <c r="C330" s="22"/>
      <c r="D330" s="22"/>
      <c r="E330" s="22"/>
      <c r="F330" s="22"/>
      <c r="G330" s="22"/>
      <c r="H330" s="22"/>
      <c r="I330" s="22"/>
      <c r="J330" s="22"/>
      <c r="K330" s="22"/>
      <c r="L330" s="22"/>
      <c r="M330" s="22"/>
      <c r="N330" s="22"/>
      <c r="O330" s="22"/>
      <c r="P330" s="22"/>
      <c r="Q330" s="22"/>
      <c r="R330" s="22"/>
      <c r="S330" s="22"/>
      <c r="T330" s="22"/>
      <c r="U330" s="22"/>
      <c r="V330" s="22"/>
      <c r="W330" s="22"/>
      <c r="X330" s="22"/>
      <c r="Y330" s="22"/>
    </row>
    <row r="331" spans="1:25" ht="15.75" customHeight="1">
      <c r="A331" s="22"/>
      <c r="B331" s="22"/>
      <c r="C331" s="22"/>
      <c r="D331" s="22"/>
      <c r="E331" s="22"/>
      <c r="F331" s="22"/>
      <c r="G331" s="22"/>
      <c r="H331" s="22"/>
      <c r="I331" s="22"/>
      <c r="J331" s="22"/>
      <c r="K331" s="22"/>
      <c r="L331" s="22"/>
      <c r="M331" s="22"/>
      <c r="N331" s="22"/>
      <c r="O331" s="22"/>
      <c r="P331" s="22"/>
      <c r="Q331" s="22"/>
      <c r="R331" s="22"/>
      <c r="S331" s="22"/>
      <c r="T331" s="22"/>
      <c r="U331" s="22"/>
      <c r="V331" s="22"/>
      <c r="W331" s="22"/>
      <c r="X331" s="22"/>
      <c r="Y331" s="22"/>
    </row>
    <row r="332" spans="1:25" ht="15.75" customHeight="1">
      <c r="A332" s="22"/>
      <c r="B332" s="22"/>
      <c r="C332" s="22"/>
      <c r="D332" s="22"/>
      <c r="E332" s="22"/>
      <c r="F332" s="22"/>
      <c r="G332" s="22"/>
      <c r="H332" s="22"/>
      <c r="I332" s="22"/>
      <c r="J332" s="22"/>
      <c r="K332" s="22"/>
      <c r="L332" s="22"/>
      <c r="M332" s="22"/>
      <c r="N332" s="22"/>
      <c r="O332" s="22"/>
      <c r="P332" s="22"/>
      <c r="Q332" s="22"/>
      <c r="R332" s="22"/>
      <c r="S332" s="22"/>
      <c r="T332" s="22"/>
      <c r="U332" s="22"/>
      <c r="V332" s="22"/>
      <c r="W332" s="22"/>
      <c r="X332" s="22"/>
      <c r="Y332" s="22"/>
    </row>
    <row r="333" spans="1:25" ht="15.75" customHeight="1">
      <c r="A333" s="22"/>
      <c r="B333" s="22"/>
      <c r="C333" s="22"/>
      <c r="D333" s="22"/>
      <c r="E333" s="22"/>
      <c r="F333" s="22"/>
      <c r="G333" s="22"/>
      <c r="H333" s="22"/>
      <c r="I333" s="22"/>
      <c r="J333" s="22"/>
      <c r="K333" s="22"/>
      <c r="L333" s="22"/>
      <c r="M333" s="22"/>
      <c r="N333" s="22"/>
      <c r="O333" s="22"/>
      <c r="P333" s="22"/>
      <c r="Q333" s="22"/>
      <c r="R333" s="22"/>
      <c r="S333" s="22"/>
      <c r="T333" s="22"/>
      <c r="U333" s="22"/>
      <c r="V333" s="22"/>
      <c r="W333" s="22"/>
      <c r="X333" s="22"/>
      <c r="Y333" s="22"/>
    </row>
    <row r="334" spans="1:25" ht="15.75" customHeight="1">
      <c r="A334" s="22"/>
      <c r="B334" s="22"/>
      <c r="C334" s="22"/>
      <c r="D334" s="22"/>
      <c r="E334" s="22"/>
      <c r="F334" s="22"/>
      <c r="G334" s="22"/>
      <c r="H334" s="22"/>
      <c r="I334" s="22"/>
      <c r="J334" s="22"/>
      <c r="K334" s="22"/>
      <c r="L334" s="22"/>
      <c r="M334" s="22"/>
      <c r="N334" s="22"/>
      <c r="O334" s="22"/>
      <c r="P334" s="22"/>
      <c r="Q334" s="22"/>
      <c r="R334" s="22"/>
      <c r="S334" s="22"/>
      <c r="T334" s="22"/>
      <c r="U334" s="22"/>
      <c r="V334" s="22"/>
      <c r="W334" s="22"/>
      <c r="X334" s="22"/>
      <c r="Y334" s="22"/>
    </row>
    <row r="335" spans="1:25" ht="15.75" customHeight="1">
      <c r="A335" s="22"/>
      <c r="B335" s="22"/>
      <c r="C335" s="22"/>
      <c r="D335" s="22"/>
      <c r="E335" s="22"/>
      <c r="F335" s="22"/>
      <c r="G335" s="22"/>
      <c r="H335" s="22"/>
      <c r="I335" s="22"/>
      <c r="J335" s="22"/>
      <c r="K335" s="22"/>
      <c r="L335" s="22"/>
      <c r="M335" s="22"/>
      <c r="N335" s="22"/>
      <c r="O335" s="22"/>
      <c r="P335" s="22"/>
      <c r="Q335" s="22"/>
      <c r="R335" s="22"/>
      <c r="S335" s="22"/>
      <c r="T335" s="22"/>
      <c r="U335" s="22"/>
      <c r="V335" s="22"/>
      <c r="W335" s="22"/>
      <c r="X335" s="22"/>
      <c r="Y335" s="22"/>
    </row>
    <row r="336" spans="1:25" ht="15.75" customHeight="1">
      <c r="A336" s="22"/>
      <c r="B336" s="22"/>
      <c r="C336" s="22"/>
      <c r="D336" s="22"/>
      <c r="E336" s="22"/>
      <c r="F336" s="22"/>
      <c r="G336" s="22"/>
      <c r="H336" s="22"/>
      <c r="I336" s="22"/>
      <c r="J336" s="22"/>
      <c r="K336" s="22"/>
      <c r="L336" s="22"/>
      <c r="M336" s="22"/>
      <c r="N336" s="22"/>
      <c r="O336" s="22"/>
      <c r="P336" s="22"/>
      <c r="Q336" s="22"/>
      <c r="R336" s="22"/>
      <c r="S336" s="22"/>
      <c r="T336" s="22"/>
      <c r="U336" s="22"/>
      <c r="V336" s="22"/>
      <c r="W336" s="22"/>
      <c r="X336" s="22"/>
      <c r="Y336" s="22"/>
    </row>
    <row r="337" spans="1:25" ht="15.75" customHeight="1">
      <c r="A337" s="22"/>
      <c r="B337" s="22"/>
      <c r="C337" s="22"/>
      <c r="D337" s="22"/>
      <c r="E337" s="22"/>
      <c r="F337" s="22"/>
      <c r="G337" s="22"/>
      <c r="H337" s="22"/>
      <c r="I337" s="22"/>
      <c r="J337" s="22"/>
      <c r="K337" s="22"/>
      <c r="L337" s="22"/>
      <c r="M337" s="22"/>
      <c r="N337" s="22"/>
      <c r="O337" s="22"/>
      <c r="P337" s="22"/>
      <c r="Q337" s="22"/>
      <c r="R337" s="22"/>
      <c r="S337" s="22"/>
      <c r="T337" s="22"/>
      <c r="U337" s="22"/>
      <c r="V337" s="22"/>
      <c r="W337" s="22"/>
      <c r="X337" s="22"/>
      <c r="Y337" s="22"/>
    </row>
    <row r="338" spans="1:25" ht="15.75" customHeight="1">
      <c r="A338" s="22"/>
      <c r="B338" s="22"/>
      <c r="C338" s="22"/>
      <c r="D338" s="22"/>
      <c r="E338" s="22"/>
      <c r="F338" s="22"/>
      <c r="G338" s="22"/>
      <c r="H338" s="22"/>
      <c r="I338" s="22"/>
      <c r="J338" s="22"/>
      <c r="K338" s="22"/>
      <c r="L338" s="22"/>
      <c r="M338" s="22"/>
      <c r="N338" s="22"/>
      <c r="O338" s="22"/>
      <c r="P338" s="22"/>
      <c r="Q338" s="22"/>
      <c r="R338" s="22"/>
      <c r="S338" s="22"/>
      <c r="T338" s="22"/>
      <c r="U338" s="22"/>
      <c r="V338" s="22"/>
      <c r="W338" s="22"/>
      <c r="X338" s="22"/>
      <c r="Y338" s="22"/>
    </row>
    <row r="339" spans="1:25" ht="15.75" customHeight="1">
      <c r="A339" s="22"/>
      <c r="B339" s="22"/>
      <c r="C339" s="22"/>
      <c r="D339" s="22"/>
      <c r="E339" s="22"/>
      <c r="F339" s="22"/>
      <c r="G339" s="22"/>
      <c r="H339" s="22"/>
      <c r="I339" s="22"/>
      <c r="J339" s="22"/>
      <c r="K339" s="22"/>
      <c r="L339" s="22"/>
      <c r="M339" s="22"/>
      <c r="N339" s="22"/>
      <c r="O339" s="22"/>
      <c r="P339" s="22"/>
      <c r="Q339" s="22"/>
      <c r="R339" s="22"/>
      <c r="S339" s="22"/>
      <c r="T339" s="22"/>
      <c r="U339" s="22"/>
      <c r="V339" s="22"/>
      <c r="W339" s="22"/>
      <c r="X339" s="22"/>
      <c r="Y339" s="22"/>
    </row>
    <row r="340" spans="1:25" ht="15.75" customHeight="1">
      <c r="A340" s="22"/>
      <c r="B340" s="22"/>
      <c r="C340" s="22"/>
      <c r="D340" s="22"/>
      <c r="E340" s="22"/>
      <c r="F340" s="22"/>
      <c r="G340" s="22"/>
      <c r="H340" s="22"/>
      <c r="I340" s="22"/>
      <c r="J340" s="22"/>
      <c r="K340" s="22"/>
      <c r="L340" s="22"/>
      <c r="M340" s="22"/>
      <c r="N340" s="22"/>
      <c r="O340" s="22"/>
      <c r="P340" s="22"/>
      <c r="Q340" s="22"/>
      <c r="R340" s="22"/>
      <c r="S340" s="22"/>
      <c r="T340" s="22"/>
      <c r="U340" s="22"/>
      <c r="V340" s="22"/>
      <c r="W340" s="22"/>
      <c r="X340" s="22"/>
      <c r="Y340" s="22"/>
    </row>
    <row r="341" spans="1:25" ht="15.75" customHeight="1">
      <c r="A341" s="22"/>
      <c r="B341" s="22"/>
      <c r="C341" s="22"/>
      <c r="D341" s="22"/>
      <c r="E341" s="22"/>
      <c r="F341" s="22"/>
      <c r="G341" s="22"/>
      <c r="H341" s="22"/>
      <c r="I341" s="22"/>
      <c r="J341" s="22"/>
      <c r="K341" s="22"/>
      <c r="L341" s="22"/>
      <c r="M341" s="22"/>
      <c r="N341" s="22"/>
      <c r="O341" s="22"/>
      <c r="P341" s="22"/>
      <c r="Q341" s="22"/>
      <c r="R341" s="22"/>
      <c r="S341" s="22"/>
      <c r="T341" s="22"/>
      <c r="U341" s="22"/>
      <c r="V341" s="22"/>
      <c r="W341" s="22"/>
      <c r="X341" s="22"/>
      <c r="Y341" s="22"/>
    </row>
    <row r="342" spans="1:25" ht="15.75" customHeight="1">
      <c r="A342" s="22"/>
      <c r="B342" s="22"/>
      <c r="C342" s="22"/>
      <c r="D342" s="22"/>
      <c r="E342" s="22"/>
      <c r="F342" s="22"/>
      <c r="G342" s="22"/>
      <c r="H342" s="22"/>
      <c r="I342" s="22"/>
      <c r="J342" s="22"/>
      <c r="K342" s="22"/>
      <c r="L342" s="22"/>
      <c r="M342" s="22"/>
      <c r="N342" s="22"/>
      <c r="O342" s="22"/>
      <c r="P342" s="22"/>
      <c r="Q342" s="22"/>
      <c r="R342" s="22"/>
      <c r="S342" s="22"/>
      <c r="T342" s="22"/>
      <c r="U342" s="22"/>
      <c r="V342" s="22"/>
      <c r="W342" s="22"/>
      <c r="X342" s="22"/>
      <c r="Y342" s="22"/>
    </row>
    <row r="343" spans="1:25" ht="15.75" customHeight="1">
      <c r="A343" s="22"/>
      <c r="B343" s="22"/>
      <c r="C343" s="22"/>
      <c r="D343" s="22"/>
      <c r="E343" s="22"/>
      <c r="F343" s="22"/>
      <c r="G343" s="22"/>
      <c r="H343" s="22"/>
      <c r="I343" s="22"/>
      <c r="J343" s="22"/>
      <c r="K343" s="22"/>
      <c r="L343" s="22"/>
      <c r="M343" s="22"/>
      <c r="N343" s="22"/>
      <c r="O343" s="22"/>
      <c r="P343" s="22"/>
      <c r="Q343" s="22"/>
      <c r="R343" s="22"/>
      <c r="S343" s="22"/>
      <c r="T343" s="22"/>
      <c r="U343" s="22"/>
      <c r="V343" s="22"/>
      <c r="W343" s="22"/>
      <c r="X343" s="22"/>
      <c r="Y343" s="22"/>
    </row>
    <row r="344" spans="1:25" ht="15.75" customHeight="1">
      <c r="A344" s="22"/>
      <c r="B344" s="22"/>
      <c r="C344" s="22"/>
      <c r="D344" s="22"/>
      <c r="E344" s="22"/>
      <c r="F344" s="22"/>
      <c r="G344" s="22"/>
      <c r="H344" s="22"/>
      <c r="I344" s="22"/>
      <c r="J344" s="22"/>
      <c r="K344" s="22"/>
      <c r="L344" s="22"/>
      <c r="M344" s="22"/>
      <c r="N344" s="22"/>
      <c r="O344" s="22"/>
      <c r="P344" s="22"/>
      <c r="Q344" s="22"/>
      <c r="R344" s="22"/>
      <c r="S344" s="22"/>
      <c r="T344" s="22"/>
      <c r="U344" s="22"/>
      <c r="V344" s="22"/>
      <c r="W344" s="22"/>
      <c r="X344" s="22"/>
      <c r="Y344" s="22"/>
    </row>
    <row r="345" spans="1:25" ht="15.75" customHeight="1">
      <c r="A345" s="22"/>
      <c r="B345" s="22"/>
      <c r="C345" s="22"/>
      <c r="D345" s="22"/>
      <c r="E345" s="22"/>
      <c r="F345" s="22"/>
      <c r="G345" s="22"/>
      <c r="H345" s="22"/>
      <c r="I345" s="22"/>
      <c r="J345" s="22"/>
      <c r="K345" s="22"/>
      <c r="L345" s="22"/>
      <c r="M345" s="22"/>
      <c r="N345" s="22"/>
      <c r="O345" s="22"/>
      <c r="P345" s="22"/>
      <c r="Q345" s="22"/>
      <c r="R345" s="22"/>
      <c r="S345" s="22"/>
      <c r="T345" s="22"/>
      <c r="U345" s="22"/>
      <c r="V345" s="22"/>
      <c r="W345" s="22"/>
      <c r="X345" s="22"/>
      <c r="Y345" s="22"/>
    </row>
    <row r="346" spans="1:25" ht="15.75" customHeight="1">
      <c r="A346" s="22"/>
      <c r="B346" s="22"/>
      <c r="C346" s="22"/>
      <c r="D346" s="22"/>
      <c r="E346" s="22"/>
      <c r="F346" s="22"/>
      <c r="G346" s="22"/>
      <c r="H346" s="22"/>
      <c r="I346" s="22"/>
      <c r="J346" s="22"/>
      <c r="K346" s="22"/>
      <c r="L346" s="22"/>
      <c r="M346" s="22"/>
      <c r="N346" s="22"/>
      <c r="O346" s="22"/>
      <c r="P346" s="22"/>
      <c r="Q346" s="22"/>
      <c r="R346" s="22"/>
      <c r="S346" s="22"/>
      <c r="T346" s="22"/>
      <c r="U346" s="22"/>
      <c r="V346" s="22"/>
      <c r="W346" s="22"/>
      <c r="X346" s="22"/>
      <c r="Y346" s="22"/>
    </row>
    <row r="347" spans="1:25" ht="15.75" customHeight="1">
      <c r="A347" s="22"/>
      <c r="B347" s="22"/>
      <c r="C347" s="22"/>
      <c r="D347" s="22"/>
      <c r="E347" s="22"/>
      <c r="F347" s="22"/>
      <c r="G347" s="22"/>
      <c r="H347" s="22"/>
      <c r="I347" s="22"/>
      <c r="J347" s="22"/>
      <c r="K347" s="22"/>
      <c r="L347" s="22"/>
      <c r="M347" s="22"/>
      <c r="N347" s="22"/>
      <c r="O347" s="22"/>
      <c r="P347" s="22"/>
      <c r="Q347" s="22"/>
      <c r="R347" s="22"/>
      <c r="S347" s="22"/>
      <c r="T347" s="22"/>
      <c r="U347" s="22"/>
      <c r="V347" s="22"/>
      <c r="W347" s="22"/>
      <c r="X347" s="22"/>
      <c r="Y347" s="22"/>
    </row>
    <row r="348" spans="1:25" ht="15.75" customHeight="1">
      <c r="A348" s="22"/>
      <c r="B348" s="22"/>
      <c r="C348" s="22"/>
      <c r="D348" s="22"/>
      <c r="E348" s="22"/>
      <c r="F348" s="22"/>
      <c r="G348" s="22"/>
      <c r="H348" s="22"/>
      <c r="I348" s="22"/>
      <c r="J348" s="22"/>
      <c r="K348" s="22"/>
      <c r="L348" s="22"/>
      <c r="M348" s="22"/>
      <c r="N348" s="22"/>
      <c r="O348" s="22"/>
      <c r="P348" s="22"/>
      <c r="Q348" s="22"/>
      <c r="R348" s="22"/>
      <c r="S348" s="22"/>
      <c r="T348" s="22"/>
      <c r="U348" s="22"/>
      <c r="V348" s="22"/>
      <c r="W348" s="22"/>
      <c r="X348" s="22"/>
      <c r="Y348" s="22"/>
    </row>
    <row r="349" spans="1:25" ht="15.75" customHeight="1">
      <c r="A349" s="22"/>
      <c r="B349" s="22"/>
      <c r="C349" s="22"/>
      <c r="D349" s="22"/>
      <c r="E349" s="22"/>
      <c r="F349" s="22"/>
      <c r="G349" s="22"/>
      <c r="H349" s="22"/>
      <c r="I349" s="22"/>
      <c r="J349" s="22"/>
      <c r="K349" s="22"/>
      <c r="L349" s="22"/>
      <c r="M349" s="22"/>
      <c r="N349" s="22"/>
      <c r="O349" s="22"/>
      <c r="P349" s="22"/>
      <c r="Q349" s="22"/>
      <c r="R349" s="22"/>
      <c r="S349" s="22"/>
      <c r="T349" s="22"/>
      <c r="U349" s="22"/>
      <c r="V349" s="22"/>
      <c r="W349" s="22"/>
      <c r="X349" s="22"/>
      <c r="Y349" s="22"/>
    </row>
    <row r="350" spans="1:25" ht="15.75" customHeight="1">
      <c r="A350" s="22"/>
      <c r="B350" s="22"/>
      <c r="C350" s="22"/>
      <c r="D350" s="22"/>
      <c r="E350" s="22"/>
      <c r="F350" s="22"/>
      <c r="G350" s="22"/>
      <c r="H350" s="22"/>
      <c r="I350" s="22"/>
      <c r="J350" s="22"/>
      <c r="K350" s="22"/>
      <c r="L350" s="22"/>
      <c r="M350" s="22"/>
      <c r="N350" s="22"/>
      <c r="O350" s="22"/>
      <c r="P350" s="22"/>
      <c r="Q350" s="22"/>
      <c r="R350" s="22"/>
      <c r="S350" s="22"/>
      <c r="T350" s="22"/>
      <c r="U350" s="22"/>
      <c r="V350" s="22"/>
      <c r="W350" s="22"/>
      <c r="X350" s="22"/>
      <c r="Y350" s="22"/>
    </row>
    <row r="351" spans="1:25" ht="15.75" customHeight="1">
      <c r="A351" s="22"/>
      <c r="B351" s="22"/>
      <c r="C351" s="22"/>
      <c r="D351" s="22"/>
      <c r="E351" s="22"/>
      <c r="F351" s="22"/>
      <c r="G351" s="22"/>
      <c r="H351" s="22"/>
      <c r="I351" s="22"/>
      <c r="J351" s="22"/>
      <c r="K351" s="22"/>
      <c r="L351" s="22"/>
      <c r="M351" s="22"/>
      <c r="N351" s="22"/>
      <c r="O351" s="22"/>
      <c r="P351" s="22"/>
      <c r="Q351" s="22"/>
      <c r="R351" s="22"/>
      <c r="S351" s="22"/>
      <c r="T351" s="22"/>
      <c r="U351" s="22"/>
      <c r="V351" s="22"/>
      <c r="W351" s="22"/>
      <c r="X351" s="22"/>
      <c r="Y351" s="22"/>
    </row>
    <row r="352" spans="1:25" ht="15.75" customHeight="1">
      <c r="A352" s="22"/>
      <c r="B352" s="22"/>
      <c r="C352" s="22"/>
      <c r="D352" s="22"/>
      <c r="E352" s="22"/>
      <c r="F352" s="22"/>
      <c r="G352" s="22"/>
      <c r="H352" s="22"/>
      <c r="I352" s="22"/>
      <c r="J352" s="22"/>
      <c r="K352" s="22"/>
      <c r="L352" s="22"/>
      <c r="M352" s="22"/>
      <c r="N352" s="22"/>
      <c r="O352" s="22"/>
      <c r="P352" s="22"/>
      <c r="Q352" s="22"/>
      <c r="R352" s="22"/>
      <c r="S352" s="22"/>
      <c r="T352" s="22"/>
      <c r="U352" s="22"/>
      <c r="V352" s="22"/>
      <c r="W352" s="22"/>
      <c r="X352" s="22"/>
      <c r="Y352" s="22"/>
    </row>
    <row r="353" spans="1:25" ht="15.75" customHeight="1">
      <c r="A353" s="22"/>
      <c r="B353" s="22"/>
      <c r="C353" s="22"/>
      <c r="D353" s="22"/>
      <c r="E353" s="22"/>
      <c r="F353" s="22"/>
      <c r="G353" s="22"/>
      <c r="H353" s="22"/>
      <c r="I353" s="22"/>
      <c r="J353" s="22"/>
      <c r="K353" s="22"/>
      <c r="L353" s="22"/>
      <c r="M353" s="22"/>
      <c r="N353" s="22"/>
      <c r="O353" s="22"/>
      <c r="P353" s="22"/>
      <c r="Q353" s="22"/>
      <c r="R353" s="22"/>
      <c r="S353" s="22"/>
      <c r="T353" s="22"/>
      <c r="U353" s="22"/>
      <c r="V353" s="22"/>
      <c r="W353" s="22"/>
      <c r="X353" s="22"/>
      <c r="Y353" s="22"/>
    </row>
    <row r="354" spans="1:25" ht="15.75" customHeight="1">
      <c r="A354" s="22"/>
      <c r="B354" s="22"/>
      <c r="C354" s="22"/>
      <c r="D354" s="22"/>
      <c r="E354" s="22"/>
      <c r="F354" s="22"/>
      <c r="G354" s="22"/>
      <c r="H354" s="22"/>
      <c r="I354" s="22"/>
      <c r="J354" s="22"/>
      <c r="K354" s="22"/>
      <c r="L354" s="22"/>
      <c r="M354" s="22"/>
      <c r="N354" s="22"/>
      <c r="O354" s="22"/>
      <c r="P354" s="22"/>
      <c r="Q354" s="22"/>
      <c r="R354" s="22"/>
      <c r="S354" s="22"/>
      <c r="T354" s="22"/>
      <c r="U354" s="22"/>
      <c r="V354" s="22"/>
      <c r="W354" s="22"/>
      <c r="X354" s="22"/>
      <c r="Y354" s="22"/>
    </row>
    <row r="355" spans="1:25" ht="15.75" customHeight="1">
      <c r="A355" s="22"/>
      <c r="B355" s="22"/>
      <c r="C355" s="22"/>
      <c r="D355" s="22"/>
      <c r="E355" s="22"/>
      <c r="F355" s="22"/>
      <c r="G355" s="22"/>
      <c r="H355" s="22"/>
      <c r="I355" s="22"/>
      <c r="J355" s="22"/>
      <c r="K355" s="22"/>
      <c r="L355" s="22"/>
      <c r="M355" s="22"/>
      <c r="N355" s="22"/>
      <c r="O355" s="22"/>
      <c r="P355" s="22"/>
      <c r="Q355" s="22"/>
      <c r="R355" s="22"/>
      <c r="S355" s="22"/>
      <c r="T355" s="22"/>
      <c r="U355" s="22"/>
      <c r="V355" s="22"/>
      <c r="W355" s="22"/>
      <c r="X355" s="22"/>
      <c r="Y355" s="22"/>
    </row>
    <row r="356" spans="1:25" ht="15.75" customHeight="1">
      <c r="A356" s="22"/>
      <c r="B356" s="22"/>
      <c r="C356" s="22"/>
      <c r="D356" s="22"/>
      <c r="E356" s="22"/>
      <c r="F356" s="22"/>
      <c r="G356" s="22"/>
      <c r="H356" s="22"/>
      <c r="I356" s="22"/>
      <c r="J356" s="22"/>
      <c r="K356" s="22"/>
      <c r="L356" s="22"/>
      <c r="M356" s="22"/>
      <c r="N356" s="22"/>
      <c r="O356" s="22"/>
      <c r="P356" s="22"/>
      <c r="Q356" s="22"/>
      <c r="R356" s="22"/>
      <c r="S356" s="22"/>
      <c r="T356" s="22"/>
      <c r="U356" s="22"/>
      <c r="V356" s="22"/>
      <c r="W356" s="22"/>
      <c r="X356" s="22"/>
      <c r="Y356" s="22"/>
    </row>
    <row r="357" spans="1:25" ht="15.75" customHeight="1">
      <c r="A357" s="22"/>
      <c r="B357" s="22"/>
      <c r="C357" s="22"/>
      <c r="D357" s="22"/>
      <c r="E357" s="22"/>
      <c r="F357" s="22"/>
      <c r="G357" s="22"/>
      <c r="H357" s="22"/>
      <c r="I357" s="22"/>
      <c r="J357" s="22"/>
      <c r="K357" s="22"/>
      <c r="L357" s="22"/>
      <c r="M357" s="22"/>
      <c r="N357" s="22"/>
      <c r="O357" s="22"/>
      <c r="P357" s="22"/>
      <c r="Q357" s="22"/>
      <c r="R357" s="22"/>
      <c r="S357" s="22"/>
      <c r="T357" s="22"/>
      <c r="U357" s="22"/>
      <c r="V357" s="22"/>
      <c r="W357" s="22"/>
      <c r="X357" s="22"/>
      <c r="Y357" s="22"/>
    </row>
    <row r="358" spans="1:25" ht="15.75" customHeight="1">
      <c r="A358" s="22"/>
      <c r="B358" s="22"/>
      <c r="C358" s="22"/>
      <c r="D358" s="22"/>
      <c r="E358" s="22"/>
      <c r="F358" s="22"/>
      <c r="G358" s="22"/>
      <c r="H358" s="22"/>
      <c r="I358" s="22"/>
      <c r="J358" s="22"/>
      <c r="K358" s="22"/>
      <c r="L358" s="22"/>
      <c r="M358" s="22"/>
      <c r="N358" s="22"/>
      <c r="O358" s="22"/>
      <c r="P358" s="22"/>
      <c r="Q358" s="22"/>
      <c r="R358" s="22"/>
      <c r="S358" s="22"/>
      <c r="T358" s="22"/>
      <c r="U358" s="22"/>
      <c r="V358" s="22"/>
      <c r="W358" s="22"/>
      <c r="X358" s="22"/>
      <c r="Y358" s="22"/>
    </row>
    <row r="359" spans="1:25" ht="15.75" customHeight="1">
      <c r="A359" s="22"/>
      <c r="B359" s="22"/>
      <c r="C359" s="22"/>
      <c r="D359" s="22"/>
      <c r="E359" s="22"/>
      <c r="F359" s="22"/>
      <c r="G359" s="22"/>
      <c r="H359" s="22"/>
      <c r="I359" s="22"/>
      <c r="J359" s="22"/>
      <c r="K359" s="22"/>
      <c r="L359" s="22"/>
      <c r="M359" s="22"/>
      <c r="N359" s="22"/>
      <c r="O359" s="22"/>
      <c r="P359" s="22"/>
      <c r="Q359" s="22"/>
      <c r="R359" s="22"/>
      <c r="S359" s="22"/>
      <c r="T359" s="22"/>
      <c r="U359" s="22"/>
      <c r="V359" s="22"/>
      <c r="W359" s="22"/>
      <c r="X359" s="22"/>
      <c r="Y359" s="22"/>
    </row>
    <row r="360" spans="1:25" ht="15.75" customHeight="1">
      <c r="A360" s="22"/>
      <c r="B360" s="22"/>
      <c r="C360" s="22"/>
      <c r="D360" s="22"/>
      <c r="E360" s="22"/>
      <c r="F360" s="22"/>
      <c r="G360" s="22"/>
      <c r="H360" s="22"/>
      <c r="I360" s="22"/>
      <c r="J360" s="22"/>
      <c r="K360" s="22"/>
      <c r="L360" s="22"/>
      <c r="M360" s="22"/>
      <c r="N360" s="22"/>
      <c r="O360" s="22"/>
      <c r="P360" s="22"/>
      <c r="Q360" s="22"/>
      <c r="R360" s="22"/>
      <c r="S360" s="22"/>
      <c r="T360" s="22"/>
      <c r="U360" s="22"/>
      <c r="V360" s="22"/>
      <c r="W360" s="22"/>
      <c r="X360" s="22"/>
      <c r="Y360" s="22"/>
    </row>
    <row r="361" spans="1:25" ht="15.75" customHeight="1">
      <c r="A361" s="22"/>
      <c r="B361" s="22"/>
      <c r="C361" s="22"/>
      <c r="D361" s="22"/>
      <c r="E361" s="22"/>
      <c r="F361" s="22"/>
      <c r="G361" s="22"/>
      <c r="H361" s="22"/>
      <c r="I361" s="22"/>
      <c r="J361" s="22"/>
      <c r="K361" s="22"/>
      <c r="L361" s="22"/>
      <c r="M361" s="22"/>
      <c r="N361" s="22"/>
      <c r="O361" s="22"/>
      <c r="P361" s="22"/>
      <c r="Q361" s="22"/>
      <c r="R361" s="22"/>
      <c r="S361" s="22"/>
      <c r="T361" s="22"/>
      <c r="U361" s="22"/>
      <c r="V361" s="22"/>
      <c r="W361" s="22"/>
      <c r="X361" s="22"/>
      <c r="Y361" s="22"/>
    </row>
    <row r="362" spans="1:25" ht="15.75" customHeight="1">
      <c r="A362" s="22"/>
      <c r="B362" s="22"/>
      <c r="C362" s="22"/>
      <c r="D362" s="22"/>
      <c r="E362" s="22"/>
      <c r="F362" s="22"/>
      <c r="G362" s="22"/>
      <c r="H362" s="22"/>
      <c r="I362" s="22"/>
      <c r="J362" s="22"/>
      <c r="K362" s="22"/>
      <c r="L362" s="22"/>
      <c r="M362" s="22"/>
      <c r="N362" s="22"/>
      <c r="O362" s="22"/>
      <c r="P362" s="22"/>
      <c r="Q362" s="22"/>
      <c r="R362" s="22"/>
      <c r="S362" s="22"/>
      <c r="T362" s="22"/>
      <c r="U362" s="22"/>
      <c r="V362" s="22"/>
      <c r="W362" s="22"/>
      <c r="X362" s="22"/>
      <c r="Y362" s="22"/>
    </row>
    <row r="363" spans="1:25" ht="15.75" customHeight="1">
      <c r="A363" s="22"/>
      <c r="B363" s="22"/>
      <c r="C363" s="22"/>
      <c r="D363" s="22"/>
      <c r="E363" s="22"/>
      <c r="F363" s="22"/>
      <c r="G363" s="22"/>
      <c r="H363" s="22"/>
      <c r="I363" s="22"/>
      <c r="J363" s="22"/>
      <c r="K363" s="22"/>
      <c r="L363" s="22"/>
      <c r="M363" s="22"/>
      <c r="N363" s="22"/>
      <c r="O363" s="22"/>
      <c r="P363" s="22"/>
      <c r="Q363" s="22"/>
      <c r="R363" s="22"/>
      <c r="S363" s="22"/>
      <c r="T363" s="22"/>
      <c r="U363" s="22"/>
      <c r="V363" s="22"/>
      <c r="W363" s="22"/>
      <c r="X363" s="22"/>
      <c r="Y363" s="22"/>
    </row>
    <row r="364" spans="1:25" ht="15.75" customHeight="1">
      <c r="A364" s="22"/>
      <c r="B364" s="22"/>
      <c r="C364" s="22"/>
      <c r="D364" s="22"/>
      <c r="E364" s="22"/>
      <c r="F364" s="22"/>
      <c r="G364" s="22"/>
      <c r="H364" s="22"/>
      <c r="I364" s="22"/>
      <c r="J364" s="22"/>
      <c r="K364" s="22"/>
      <c r="L364" s="22"/>
      <c r="M364" s="22"/>
      <c r="N364" s="22"/>
      <c r="O364" s="22"/>
      <c r="P364" s="22"/>
      <c r="Q364" s="22"/>
      <c r="R364" s="22"/>
      <c r="S364" s="22"/>
      <c r="T364" s="22"/>
      <c r="U364" s="22"/>
      <c r="V364" s="22"/>
      <c r="W364" s="22"/>
      <c r="X364" s="22"/>
      <c r="Y364" s="22"/>
    </row>
    <row r="365" spans="1:25" ht="15.75" customHeight="1">
      <c r="A365" s="22"/>
      <c r="B365" s="22"/>
      <c r="C365" s="22"/>
      <c r="D365" s="22"/>
      <c r="E365" s="22"/>
      <c r="F365" s="22"/>
      <c r="G365" s="22"/>
      <c r="H365" s="22"/>
      <c r="I365" s="22"/>
      <c r="J365" s="22"/>
      <c r="K365" s="22"/>
      <c r="L365" s="22"/>
      <c r="M365" s="22"/>
      <c r="N365" s="22"/>
      <c r="O365" s="22"/>
      <c r="P365" s="22"/>
      <c r="Q365" s="22"/>
      <c r="R365" s="22"/>
      <c r="S365" s="22"/>
      <c r="T365" s="22"/>
      <c r="U365" s="22"/>
      <c r="V365" s="22"/>
      <c r="W365" s="22"/>
      <c r="X365" s="22"/>
      <c r="Y365" s="22"/>
    </row>
    <row r="366" spans="1:25" ht="15.75" customHeight="1">
      <c r="A366" s="22"/>
      <c r="B366" s="22"/>
      <c r="C366" s="22"/>
      <c r="D366" s="22"/>
      <c r="E366" s="22"/>
      <c r="F366" s="22"/>
      <c r="G366" s="22"/>
      <c r="H366" s="22"/>
      <c r="I366" s="22"/>
      <c r="J366" s="22"/>
      <c r="K366" s="22"/>
      <c r="L366" s="22"/>
      <c r="M366" s="22"/>
      <c r="N366" s="22"/>
      <c r="O366" s="22"/>
      <c r="P366" s="22"/>
      <c r="Q366" s="22"/>
      <c r="R366" s="22"/>
      <c r="S366" s="22"/>
      <c r="T366" s="22"/>
      <c r="U366" s="22"/>
      <c r="V366" s="22"/>
      <c r="W366" s="22"/>
      <c r="X366" s="22"/>
      <c r="Y366" s="22"/>
    </row>
    <row r="367" spans="1:25" ht="15.75" customHeight="1">
      <c r="A367" s="22"/>
      <c r="B367" s="22"/>
      <c r="C367" s="22"/>
      <c r="D367" s="22"/>
      <c r="E367" s="22"/>
      <c r="F367" s="22"/>
      <c r="G367" s="22"/>
      <c r="H367" s="22"/>
      <c r="I367" s="22"/>
      <c r="J367" s="22"/>
      <c r="K367" s="22"/>
      <c r="L367" s="22"/>
      <c r="M367" s="22"/>
      <c r="N367" s="22"/>
      <c r="O367" s="22"/>
      <c r="P367" s="22"/>
      <c r="Q367" s="22"/>
      <c r="R367" s="22"/>
      <c r="S367" s="22"/>
      <c r="T367" s="22"/>
      <c r="U367" s="22"/>
      <c r="V367" s="22"/>
      <c r="W367" s="22"/>
      <c r="X367" s="22"/>
      <c r="Y367" s="22"/>
    </row>
    <row r="368" spans="1:25" ht="15.75" customHeight="1">
      <c r="A368" s="22"/>
      <c r="B368" s="22"/>
      <c r="C368" s="22"/>
      <c r="D368" s="22"/>
      <c r="E368" s="22"/>
      <c r="F368" s="22"/>
      <c r="G368" s="22"/>
      <c r="H368" s="22"/>
      <c r="I368" s="22"/>
      <c r="J368" s="22"/>
      <c r="K368" s="22"/>
      <c r="L368" s="22"/>
      <c r="M368" s="22"/>
      <c r="N368" s="22"/>
      <c r="O368" s="22"/>
      <c r="P368" s="22"/>
      <c r="Q368" s="22"/>
      <c r="R368" s="22"/>
      <c r="S368" s="22"/>
      <c r="T368" s="22"/>
      <c r="U368" s="22"/>
      <c r="V368" s="22"/>
      <c r="W368" s="22"/>
      <c r="X368" s="22"/>
      <c r="Y368" s="22"/>
    </row>
    <row r="369" spans="1:25" ht="15.75" customHeight="1">
      <c r="A369" s="22"/>
      <c r="B369" s="22"/>
      <c r="C369" s="22"/>
      <c r="D369" s="22"/>
      <c r="E369" s="22"/>
      <c r="F369" s="22"/>
      <c r="G369" s="22"/>
      <c r="H369" s="22"/>
      <c r="I369" s="22"/>
      <c r="J369" s="22"/>
      <c r="K369" s="22"/>
      <c r="L369" s="22"/>
      <c r="M369" s="22"/>
      <c r="N369" s="22"/>
      <c r="O369" s="22"/>
      <c r="P369" s="22"/>
      <c r="Q369" s="22"/>
      <c r="R369" s="22"/>
      <c r="S369" s="22"/>
      <c r="T369" s="22"/>
      <c r="U369" s="22"/>
      <c r="V369" s="22"/>
      <c r="W369" s="22"/>
      <c r="X369" s="22"/>
      <c r="Y369" s="22"/>
    </row>
    <row r="370" spans="1:25" ht="15.75" customHeight="1">
      <c r="A370" s="22"/>
      <c r="B370" s="22"/>
      <c r="C370" s="22"/>
      <c r="D370" s="22"/>
      <c r="E370" s="22"/>
      <c r="F370" s="22"/>
      <c r="G370" s="22"/>
      <c r="H370" s="22"/>
      <c r="I370" s="22"/>
      <c r="J370" s="22"/>
      <c r="K370" s="22"/>
      <c r="L370" s="22"/>
      <c r="M370" s="22"/>
      <c r="N370" s="22"/>
      <c r="O370" s="22"/>
      <c r="P370" s="22"/>
      <c r="Q370" s="22"/>
      <c r="R370" s="22"/>
      <c r="S370" s="22"/>
      <c r="T370" s="22"/>
      <c r="U370" s="22"/>
      <c r="V370" s="22"/>
      <c r="W370" s="22"/>
      <c r="X370" s="22"/>
      <c r="Y370" s="22"/>
    </row>
    <row r="371" spans="1:25" ht="15.75" customHeight="1">
      <c r="A371" s="22"/>
      <c r="B371" s="22"/>
      <c r="C371" s="22"/>
      <c r="D371" s="22"/>
      <c r="E371" s="22"/>
      <c r="F371" s="22"/>
      <c r="G371" s="22"/>
      <c r="H371" s="22"/>
      <c r="I371" s="22"/>
      <c r="J371" s="22"/>
      <c r="K371" s="22"/>
      <c r="L371" s="22"/>
      <c r="M371" s="22"/>
      <c r="N371" s="22"/>
      <c r="O371" s="22"/>
      <c r="P371" s="22"/>
      <c r="Q371" s="22"/>
      <c r="R371" s="22"/>
      <c r="S371" s="22"/>
      <c r="T371" s="22"/>
      <c r="U371" s="22"/>
      <c r="V371" s="22"/>
      <c r="W371" s="22"/>
      <c r="X371" s="22"/>
      <c r="Y371" s="22"/>
    </row>
    <row r="372" spans="1:25" ht="15.75" customHeight="1">
      <c r="A372" s="22"/>
      <c r="B372" s="22"/>
      <c r="C372" s="22"/>
      <c r="D372" s="22"/>
      <c r="E372" s="22"/>
      <c r="F372" s="22"/>
      <c r="G372" s="22"/>
      <c r="H372" s="22"/>
      <c r="I372" s="22"/>
      <c r="J372" s="22"/>
      <c r="K372" s="22"/>
      <c r="L372" s="22"/>
      <c r="M372" s="22"/>
      <c r="N372" s="22"/>
      <c r="O372" s="22"/>
      <c r="P372" s="22"/>
      <c r="Q372" s="22"/>
      <c r="R372" s="22"/>
      <c r="S372" s="22"/>
      <c r="T372" s="22"/>
      <c r="U372" s="22"/>
      <c r="V372" s="22"/>
      <c r="W372" s="22"/>
      <c r="X372" s="22"/>
      <c r="Y372" s="22"/>
    </row>
    <row r="373" spans="1:25" ht="15.75" customHeight="1">
      <c r="A373" s="22"/>
      <c r="B373" s="22"/>
      <c r="C373" s="22"/>
      <c r="D373" s="22"/>
      <c r="E373" s="22"/>
      <c r="F373" s="22"/>
      <c r="G373" s="22"/>
      <c r="H373" s="22"/>
      <c r="I373" s="22"/>
      <c r="J373" s="22"/>
      <c r="K373" s="22"/>
      <c r="L373" s="22"/>
      <c r="M373" s="22"/>
      <c r="N373" s="22"/>
      <c r="O373" s="22"/>
      <c r="P373" s="22"/>
      <c r="Q373" s="22"/>
      <c r="R373" s="22"/>
      <c r="S373" s="22"/>
      <c r="T373" s="22"/>
      <c r="U373" s="22"/>
      <c r="V373" s="22"/>
      <c r="W373" s="22"/>
      <c r="X373" s="22"/>
      <c r="Y373" s="22"/>
    </row>
    <row r="374" spans="1:25" ht="15.75" customHeight="1">
      <c r="A374" s="22"/>
      <c r="B374" s="22"/>
      <c r="C374" s="22"/>
      <c r="D374" s="22"/>
      <c r="E374" s="22"/>
      <c r="F374" s="22"/>
      <c r="G374" s="22"/>
      <c r="H374" s="22"/>
      <c r="I374" s="22"/>
      <c r="J374" s="22"/>
      <c r="K374" s="22"/>
      <c r="L374" s="22"/>
      <c r="M374" s="22"/>
      <c r="N374" s="22"/>
      <c r="O374" s="22"/>
      <c r="P374" s="22"/>
      <c r="Q374" s="22"/>
      <c r="R374" s="22"/>
      <c r="S374" s="22"/>
      <c r="T374" s="22"/>
      <c r="U374" s="22"/>
      <c r="V374" s="22"/>
      <c r="W374" s="22"/>
      <c r="X374" s="22"/>
      <c r="Y374" s="22"/>
    </row>
    <row r="375" spans="1:25" ht="15.75" customHeight="1">
      <c r="A375" s="22"/>
      <c r="B375" s="22"/>
      <c r="C375" s="22"/>
      <c r="D375" s="22"/>
      <c r="E375" s="22"/>
      <c r="F375" s="22"/>
      <c r="G375" s="22"/>
      <c r="H375" s="22"/>
      <c r="I375" s="22"/>
      <c r="J375" s="22"/>
      <c r="K375" s="22"/>
      <c r="L375" s="22"/>
      <c r="M375" s="22"/>
      <c r="N375" s="22"/>
      <c r="O375" s="22"/>
      <c r="P375" s="22"/>
      <c r="Q375" s="22"/>
      <c r="R375" s="22"/>
      <c r="S375" s="22"/>
      <c r="T375" s="22"/>
      <c r="U375" s="22"/>
      <c r="V375" s="22"/>
      <c r="W375" s="22"/>
      <c r="X375" s="22"/>
      <c r="Y375" s="22"/>
    </row>
    <row r="376" spans="1:25" ht="15.75" customHeight="1">
      <c r="A376" s="22"/>
      <c r="B376" s="22"/>
      <c r="C376" s="22"/>
      <c r="D376" s="22"/>
      <c r="E376" s="22"/>
      <c r="F376" s="22"/>
      <c r="G376" s="22"/>
      <c r="H376" s="22"/>
      <c r="I376" s="22"/>
      <c r="J376" s="22"/>
      <c r="K376" s="22"/>
      <c r="L376" s="22"/>
      <c r="M376" s="22"/>
      <c r="N376" s="22"/>
      <c r="O376" s="22"/>
      <c r="P376" s="22"/>
      <c r="Q376" s="22"/>
      <c r="R376" s="22"/>
      <c r="S376" s="22"/>
      <c r="T376" s="22"/>
      <c r="U376" s="22"/>
      <c r="V376" s="22"/>
      <c r="W376" s="22"/>
      <c r="X376" s="22"/>
      <c r="Y376" s="22"/>
    </row>
    <row r="377" spans="1:25" ht="15.75" customHeight="1">
      <c r="A377" s="22"/>
      <c r="B377" s="22"/>
      <c r="C377" s="22"/>
      <c r="D377" s="22"/>
      <c r="E377" s="22"/>
      <c r="F377" s="22"/>
      <c r="G377" s="22"/>
      <c r="H377" s="22"/>
      <c r="I377" s="22"/>
      <c r="J377" s="22"/>
      <c r="K377" s="22"/>
      <c r="L377" s="22"/>
      <c r="M377" s="22"/>
      <c r="N377" s="22"/>
      <c r="O377" s="22"/>
      <c r="P377" s="22"/>
      <c r="Q377" s="22"/>
      <c r="R377" s="22"/>
      <c r="S377" s="22"/>
      <c r="T377" s="22"/>
      <c r="U377" s="22"/>
      <c r="V377" s="22"/>
      <c r="W377" s="22"/>
      <c r="X377" s="22"/>
      <c r="Y377" s="22"/>
    </row>
    <row r="378" spans="1:25" ht="15.75" customHeight="1">
      <c r="A378" s="22"/>
      <c r="B378" s="22"/>
      <c r="C378" s="22"/>
      <c r="D378" s="22"/>
      <c r="E378" s="22"/>
      <c r="F378" s="22"/>
      <c r="G378" s="22"/>
      <c r="H378" s="22"/>
      <c r="I378" s="22"/>
      <c r="J378" s="22"/>
      <c r="K378" s="22"/>
      <c r="L378" s="22"/>
      <c r="M378" s="22"/>
      <c r="N378" s="22"/>
      <c r="O378" s="22"/>
      <c r="P378" s="22"/>
      <c r="Q378" s="22"/>
      <c r="R378" s="22"/>
      <c r="S378" s="22"/>
      <c r="T378" s="22"/>
      <c r="U378" s="22"/>
      <c r="V378" s="22"/>
      <c r="W378" s="22"/>
      <c r="X378" s="22"/>
      <c r="Y378" s="22"/>
    </row>
    <row r="379" spans="1:25" ht="15.75" customHeight="1">
      <c r="A379" s="22"/>
      <c r="B379" s="22"/>
      <c r="C379" s="22"/>
      <c r="D379" s="22"/>
      <c r="E379" s="22"/>
      <c r="F379" s="22"/>
      <c r="G379" s="22"/>
      <c r="H379" s="22"/>
      <c r="I379" s="22"/>
      <c r="J379" s="22"/>
      <c r="K379" s="22"/>
      <c r="L379" s="22"/>
      <c r="M379" s="22"/>
      <c r="N379" s="22"/>
      <c r="O379" s="22"/>
      <c r="P379" s="22"/>
      <c r="Q379" s="22"/>
      <c r="R379" s="22"/>
      <c r="S379" s="22"/>
      <c r="T379" s="22"/>
      <c r="U379" s="22"/>
      <c r="V379" s="22"/>
      <c r="W379" s="22"/>
      <c r="X379" s="22"/>
      <c r="Y379" s="22"/>
    </row>
    <row r="380" spans="1:25" ht="15.75" customHeight="1">
      <c r="A380" s="22"/>
      <c r="B380" s="22"/>
      <c r="C380" s="22"/>
      <c r="D380" s="22"/>
      <c r="E380" s="22"/>
      <c r="F380" s="22"/>
      <c r="G380" s="22"/>
      <c r="H380" s="22"/>
      <c r="I380" s="22"/>
      <c r="J380" s="22"/>
      <c r="K380" s="22"/>
      <c r="L380" s="22"/>
      <c r="M380" s="22"/>
      <c r="N380" s="22"/>
      <c r="O380" s="22"/>
      <c r="P380" s="22"/>
      <c r="Q380" s="22"/>
      <c r="R380" s="22"/>
      <c r="S380" s="22"/>
      <c r="T380" s="22"/>
      <c r="U380" s="22"/>
      <c r="V380" s="22"/>
      <c r="W380" s="22"/>
      <c r="X380" s="22"/>
      <c r="Y380" s="22"/>
    </row>
    <row r="381" spans="1:25" ht="15.75" customHeight="1">
      <c r="A381" s="22"/>
      <c r="B381" s="22"/>
      <c r="C381" s="22"/>
      <c r="D381" s="22"/>
      <c r="E381" s="22"/>
      <c r="F381" s="22"/>
      <c r="G381" s="22"/>
      <c r="H381" s="22"/>
      <c r="I381" s="22"/>
      <c r="J381" s="22"/>
      <c r="K381" s="22"/>
      <c r="L381" s="22"/>
      <c r="M381" s="22"/>
      <c r="N381" s="22"/>
      <c r="O381" s="22"/>
      <c r="P381" s="22"/>
      <c r="Q381" s="22"/>
      <c r="R381" s="22"/>
      <c r="S381" s="22"/>
      <c r="T381" s="22"/>
      <c r="U381" s="22"/>
      <c r="V381" s="22"/>
      <c r="W381" s="22"/>
      <c r="X381" s="22"/>
      <c r="Y381" s="22"/>
    </row>
    <row r="382" spans="1:25" ht="15.75" customHeight="1">
      <c r="A382" s="22"/>
      <c r="B382" s="22"/>
      <c r="C382" s="22"/>
      <c r="D382" s="22"/>
      <c r="E382" s="22"/>
      <c r="F382" s="22"/>
      <c r="G382" s="22"/>
      <c r="H382" s="22"/>
      <c r="I382" s="22"/>
      <c r="J382" s="22"/>
      <c r="K382" s="22"/>
      <c r="L382" s="22"/>
      <c r="M382" s="22"/>
      <c r="N382" s="22"/>
      <c r="O382" s="22"/>
      <c r="P382" s="22"/>
      <c r="Q382" s="22"/>
      <c r="R382" s="22"/>
      <c r="S382" s="22"/>
      <c r="T382" s="22"/>
      <c r="U382" s="22"/>
      <c r="V382" s="22"/>
      <c r="W382" s="22"/>
      <c r="X382" s="22"/>
      <c r="Y382" s="22"/>
    </row>
    <row r="383" spans="1:25" ht="15.75" customHeight="1">
      <c r="A383" s="22"/>
      <c r="B383" s="22"/>
      <c r="C383" s="22"/>
      <c r="D383" s="22"/>
      <c r="E383" s="22"/>
      <c r="F383" s="22"/>
      <c r="G383" s="22"/>
      <c r="H383" s="22"/>
      <c r="I383" s="22"/>
      <c r="J383" s="22"/>
      <c r="K383" s="22"/>
      <c r="L383" s="22"/>
      <c r="M383" s="22"/>
      <c r="N383" s="22"/>
      <c r="O383" s="22"/>
      <c r="P383" s="22"/>
      <c r="Q383" s="22"/>
      <c r="R383" s="22"/>
      <c r="S383" s="22"/>
      <c r="T383" s="22"/>
      <c r="U383" s="22"/>
      <c r="V383" s="22"/>
      <c r="W383" s="22"/>
      <c r="X383" s="22"/>
      <c r="Y383" s="22"/>
    </row>
    <row r="384" spans="1:25" ht="15.75" customHeight="1">
      <c r="A384" s="22"/>
      <c r="B384" s="22"/>
      <c r="C384" s="22"/>
      <c r="D384" s="22"/>
      <c r="E384" s="22"/>
      <c r="F384" s="22"/>
      <c r="G384" s="22"/>
      <c r="H384" s="22"/>
      <c r="I384" s="22"/>
      <c r="J384" s="22"/>
      <c r="K384" s="22"/>
      <c r="L384" s="22"/>
      <c r="M384" s="22"/>
      <c r="N384" s="22"/>
      <c r="O384" s="22"/>
      <c r="P384" s="22"/>
      <c r="Q384" s="22"/>
      <c r="R384" s="22"/>
      <c r="S384" s="22"/>
      <c r="T384" s="22"/>
      <c r="U384" s="22"/>
      <c r="V384" s="22"/>
      <c r="W384" s="22"/>
      <c r="X384" s="22"/>
      <c r="Y384" s="22"/>
    </row>
    <row r="385" spans="1:25" ht="15.75" customHeight="1">
      <c r="A385" s="22"/>
      <c r="B385" s="22"/>
      <c r="C385" s="22"/>
      <c r="D385" s="22"/>
      <c r="E385" s="22"/>
      <c r="F385" s="22"/>
      <c r="G385" s="22"/>
      <c r="H385" s="22"/>
      <c r="I385" s="22"/>
      <c r="J385" s="22"/>
      <c r="K385" s="22"/>
      <c r="L385" s="22"/>
      <c r="M385" s="22"/>
      <c r="N385" s="22"/>
      <c r="O385" s="22"/>
      <c r="P385" s="22"/>
      <c r="Q385" s="22"/>
      <c r="R385" s="22"/>
      <c r="S385" s="22"/>
      <c r="T385" s="22"/>
      <c r="U385" s="22"/>
      <c r="V385" s="22"/>
      <c r="W385" s="22"/>
      <c r="X385" s="22"/>
      <c r="Y385" s="22"/>
    </row>
    <row r="386" spans="1:25" ht="15.75" customHeight="1">
      <c r="A386" s="22"/>
      <c r="B386" s="22"/>
      <c r="C386" s="22"/>
      <c r="D386" s="22"/>
      <c r="E386" s="22"/>
      <c r="F386" s="22"/>
      <c r="G386" s="22"/>
      <c r="H386" s="22"/>
      <c r="I386" s="22"/>
      <c r="J386" s="22"/>
      <c r="K386" s="22"/>
      <c r="L386" s="22"/>
      <c r="M386" s="22"/>
      <c r="N386" s="22"/>
      <c r="O386" s="22"/>
      <c r="P386" s="22"/>
      <c r="Q386" s="22"/>
      <c r="R386" s="22"/>
      <c r="S386" s="22"/>
      <c r="T386" s="22"/>
      <c r="U386" s="22"/>
      <c r="V386" s="22"/>
      <c r="W386" s="22"/>
      <c r="X386" s="22"/>
      <c r="Y386" s="22"/>
    </row>
    <row r="387" spans="1:25" ht="15.75" customHeight="1">
      <c r="A387" s="22"/>
      <c r="B387" s="22"/>
      <c r="C387" s="22"/>
      <c r="D387" s="22"/>
      <c r="E387" s="22"/>
      <c r="F387" s="22"/>
      <c r="G387" s="22"/>
      <c r="H387" s="22"/>
      <c r="I387" s="22"/>
      <c r="J387" s="22"/>
      <c r="K387" s="22"/>
      <c r="L387" s="22"/>
      <c r="M387" s="22"/>
      <c r="N387" s="22"/>
      <c r="O387" s="22"/>
      <c r="P387" s="22"/>
      <c r="Q387" s="22"/>
      <c r="R387" s="22"/>
      <c r="S387" s="22"/>
      <c r="T387" s="22"/>
      <c r="U387" s="22"/>
      <c r="V387" s="22"/>
      <c r="W387" s="22"/>
      <c r="X387" s="22"/>
      <c r="Y387" s="22"/>
    </row>
    <row r="388" spans="1:25" ht="15.75" customHeight="1">
      <c r="A388" s="22"/>
      <c r="B388" s="22"/>
      <c r="C388" s="22"/>
      <c r="D388" s="22"/>
      <c r="E388" s="22"/>
      <c r="F388" s="22"/>
      <c r="G388" s="22"/>
      <c r="H388" s="22"/>
      <c r="I388" s="22"/>
      <c r="J388" s="22"/>
      <c r="K388" s="22"/>
      <c r="L388" s="22"/>
      <c r="M388" s="22"/>
      <c r="N388" s="22"/>
      <c r="O388" s="22"/>
      <c r="P388" s="22"/>
      <c r="Q388" s="22"/>
      <c r="R388" s="22"/>
      <c r="S388" s="22"/>
      <c r="T388" s="22"/>
      <c r="U388" s="22"/>
      <c r="V388" s="22"/>
      <c r="W388" s="22"/>
      <c r="X388" s="22"/>
      <c r="Y388" s="22"/>
    </row>
    <row r="389" spans="1:25" ht="15.75" customHeight="1">
      <c r="A389" s="22"/>
      <c r="B389" s="22"/>
      <c r="C389" s="22"/>
      <c r="D389" s="22"/>
      <c r="E389" s="22"/>
      <c r="F389" s="22"/>
      <c r="G389" s="22"/>
      <c r="H389" s="22"/>
      <c r="I389" s="22"/>
      <c r="J389" s="22"/>
      <c r="K389" s="22"/>
      <c r="L389" s="22"/>
      <c r="M389" s="22"/>
      <c r="N389" s="22"/>
      <c r="O389" s="22"/>
      <c r="P389" s="22"/>
      <c r="Q389" s="22"/>
      <c r="R389" s="22"/>
      <c r="S389" s="22"/>
      <c r="T389" s="22"/>
      <c r="U389" s="22"/>
      <c r="V389" s="22"/>
      <c r="W389" s="22"/>
      <c r="X389" s="22"/>
      <c r="Y389" s="22"/>
    </row>
    <row r="390" spans="1:25" ht="15.75" customHeight="1">
      <c r="A390" s="22"/>
      <c r="B390" s="22"/>
      <c r="C390" s="22"/>
      <c r="D390" s="22"/>
      <c r="E390" s="22"/>
      <c r="F390" s="22"/>
      <c r="G390" s="22"/>
      <c r="H390" s="22"/>
      <c r="I390" s="22"/>
      <c r="J390" s="22"/>
      <c r="K390" s="22"/>
      <c r="L390" s="22"/>
      <c r="M390" s="22"/>
      <c r="N390" s="22"/>
      <c r="O390" s="22"/>
      <c r="P390" s="22"/>
      <c r="Q390" s="22"/>
      <c r="R390" s="22"/>
      <c r="S390" s="22"/>
      <c r="T390" s="22"/>
      <c r="U390" s="22"/>
      <c r="V390" s="22"/>
      <c r="W390" s="22"/>
      <c r="X390" s="22"/>
      <c r="Y390" s="22"/>
    </row>
    <row r="391" spans="1:25" ht="15.75" customHeight="1">
      <c r="A391" s="22"/>
      <c r="B391" s="22"/>
      <c r="C391" s="22"/>
      <c r="D391" s="22"/>
      <c r="E391" s="22"/>
      <c r="F391" s="22"/>
      <c r="G391" s="22"/>
      <c r="H391" s="22"/>
      <c r="I391" s="22"/>
      <c r="J391" s="22"/>
      <c r="K391" s="22"/>
      <c r="L391" s="22"/>
      <c r="M391" s="22"/>
      <c r="N391" s="22"/>
      <c r="O391" s="22"/>
      <c r="P391" s="22"/>
      <c r="Q391" s="22"/>
      <c r="R391" s="22"/>
      <c r="S391" s="22"/>
      <c r="T391" s="22"/>
      <c r="U391" s="22"/>
      <c r="V391" s="22"/>
      <c r="W391" s="22"/>
      <c r="X391" s="22"/>
      <c r="Y391" s="22"/>
    </row>
    <row r="392" spans="1:25" ht="15.75" customHeight="1">
      <c r="A392" s="22"/>
      <c r="B392" s="22"/>
      <c r="C392" s="22"/>
      <c r="D392" s="22"/>
      <c r="E392" s="22"/>
      <c r="F392" s="22"/>
      <c r="G392" s="22"/>
      <c r="H392" s="22"/>
      <c r="I392" s="22"/>
      <c r="J392" s="22"/>
      <c r="K392" s="22"/>
      <c r="L392" s="22"/>
      <c r="M392" s="22"/>
      <c r="N392" s="22"/>
      <c r="O392" s="22"/>
      <c r="P392" s="22"/>
      <c r="Q392" s="22"/>
      <c r="R392" s="22"/>
      <c r="S392" s="22"/>
      <c r="T392" s="22"/>
      <c r="U392" s="22"/>
      <c r="V392" s="22"/>
      <c r="W392" s="22"/>
      <c r="X392" s="22"/>
      <c r="Y392" s="22"/>
    </row>
    <row r="393" spans="1:25" ht="15.75" customHeight="1">
      <c r="A393" s="22"/>
      <c r="B393" s="22"/>
      <c r="C393" s="22"/>
      <c r="D393" s="22"/>
      <c r="E393" s="22"/>
      <c r="F393" s="22"/>
      <c r="G393" s="22"/>
      <c r="H393" s="22"/>
      <c r="I393" s="22"/>
      <c r="J393" s="22"/>
      <c r="K393" s="22"/>
      <c r="L393" s="22"/>
      <c r="M393" s="22"/>
      <c r="N393" s="22"/>
      <c r="O393" s="22"/>
      <c r="P393" s="22"/>
      <c r="Q393" s="22"/>
      <c r="R393" s="22"/>
      <c r="S393" s="22"/>
      <c r="T393" s="22"/>
      <c r="U393" s="22"/>
      <c r="V393" s="22"/>
      <c r="W393" s="22"/>
      <c r="X393" s="22"/>
      <c r="Y393" s="22"/>
    </row>
    <row r="394" spans="1:25" ht="15.75" customHeight="1">
      <c r="A394" s="22"/>
      <c r="B394" s="22"/>
      <c r="C394" s="22"/>
      <c r="D394" s="22"/>
      <c r="E394" s="22"/>
      <c r="F394" s="22"/>
      <c r="G394" s="22"/>
      <c r="H394" s="22"/>
      <c r="I394" s="22"/>
      <c r="J394" s="22"/>
      <c r="K394" s="22"/>
      <c r="L394" s="22"/>
      <c r="M394" s="22"/>
      <c r="N394" s="22"/>
      <c r="O394" s="22"/>
      <c r="P394" s="22"/>
      <c r="Q394" s="22"/>
      <c r="R394" s="22"/>
      <c r="S394" s="22"/>
      <c r="T394" s="22"/>
      <c r="U394" s="22"/>
      <c r="V394" s="22"/>
      <c r="W394" s="22"/>
      <c r="X394" s="22"/>
      <c r="Y394" s="22"/>
    </row>
    <row r="395" spans="1:25" ht="15.75" customHeight="1">
      <c r="A395" s="22"/>
      <c r="B395" s="22"/>
      <c r="C395" s="22"/>
      <c r="D395" s="22"/>
      <c r="E395" s="22"/>
      <c r="F395" s="22"/>
      <c r="G395" s="22"/>
      <c r="H395" s="22"/>
      <c r="I395" s="22"/>
      <c r="J395" s="22"/>
      <c r="K395" s="22"/>
      <c r="L395" s="22"/>
      <c r="M395" s="22"/>
      <c r="N395" s="22"/>
      <c r="O395" s="22"/>
      <c r="P395" s="22"/>
      <c r="Q395" s="22"/>
      <c r="R395" s="22"/>
      <c r="S395" s="22"/>
      <c r="T395" s="22"/>
      <c r="U395" s="22"/>
      <c r="V395" s="22"/>
      <c r="W395" s="22"/>
      <c r="X395" s="22"/>
      <c r="Y395" s="22"/>
    </row>
    <row r="396" spans="1:25" ht="15.75" customHeight="1">
      <c r="A396" s="22"/>
      <c r="B396" s="22"/>
      <c r="C396" s="22"/>
      <c r="D396" s="22"/>
      <c r="E396" s="22"/>
      <c r="F396" s="22"/>
      <c r="G396" s="22"/>
      <c r="H396" s="22"/>
      <c r="I396" s="22"/>
      <c r="J396" s="22"/>
      <c r="K396" s="22"/>
      <c r="L396" s="22"/>
      <c r="M396" s="22"/>
      <c r="N396" s="22"/>
      <c r="O396" s="22"/>
      <c r="P396" s="22"/>
      <c r="Q396" s="22"/>
      <c r="R396" s="22"/>
      <c r="S396" s="22"/>
      <c r="T396" s="22"/>
      <c r="U396" s="22"/>
      <c r="V396" s="22"/>
      <c r="W396" s="22"/>
      <c r="X396" s="22"/>
      <c r="Y396" s="22"/>
    </row>
    <row r="397" spans="1:25" ht="15.75" customHeight="1">
      <c r="A397" s="22"/>
      <c r="B397" s="22"/>
      <c r="C397" s="22"/>
      <c r="D397" s="22"/>
      <c r="E397" s="22"/>
      <c r="F397" s="22"/>
      <c r="G397" s="22"/>
      <c r="H397" s="22"/>
      <c r="I397" s="22"/>
      <c r="J397" s="22"/>
      <c r="K397" s="22"/>
      <c r="L397" s="22"/>
      <c r="M397" s="22"/>
      <c r="N397" s="22"/>
      <c r="O397" s="22"/>
      <c r="P397" s="22"/>
      <c r="Q397" s="22"/>
      <c r="R397" s="22"/>
      <c r="S397" s="22"/>
      <c r="T397" s="22"/>
      <c r="U397" s="22"/>
      <c r="V397" s="22"/>
      <c r="W397" s="22"/>
      <c r="X397" s="22"/>
      <c r="Y397" s="22"/>
    </row>
    <row r="398" spans="1:25" ht="15.75" customHeight="1">
      <c r="A398" s="22"/>
      <c r="B398" s="22"/>
      <c r="C398" s="22"/>
      <c r="D398" s="22"/>
      <c r="E398" s="22"/>
      <c r="F398" s="22"/>
      <c r="G398" s="22"/>
      <c r="H398" s="22"/>
      <c r="I398" s="22"/>
      <c r="J398" s="22"/>
      <c r="K398" s="22"/>
      <c r="L398" s="22"/>
      <c r="M398" s="22"/>
      <c r="N398" s="22"/>
      <c r="O398" s="22"/>
      <c r="P398" s="22"/>
      <c r="Q398" s="22"/>
      <c r="R398" s="22"/>
      <c r="S398" s="22"/>
      <c r="T398" s="22"/>
      <c r="U398" s="22"/>
      <c r="V398" s="22"/>
      <c r="W398" s="22"/>
      <c r="X398" s="22"/>
      <c r="Y398" s="22"/>
    </row>
    <row r="399" spans="1:25" ht="15.75" customHeight="1">
      <c r="A399" s="22"/>
      <c r="B399" s="22"/>
      <c r="C399" s="22"/>
      <c r="D399" s="22"/>
      <c r="E399" s="22"/>
      <c r="F399" s="22"/>
      <c r="G399" s="22"/>
      <c r="H399" s="22"/>
      <c r="I399" s="22"/>
      <c r="J399" s="22"/>
      <c r="K399" s="22"/>
      <c r="L399" s="22"/>
      <c r="M399" s="22"/>
      <c r="N399" s="22"/>
      <c r="O399" s="22"/>
      <c r="P399" s="22"/>
      <c r="Q399" s="22"/>
      <c r="R399" s="22"/>
      <c r="S399" s="22"/>
      <c r="T399" s="22"/>
      <c r="U399" s="22"/>
      <c r="V399" s="22"/>
      <c r="W399" s="22"/>
      <c r="X399" s="22"/>
      <c r="Y399" s="22"/>
    </row>
    <row r="400" spans="1:25" ht="15.75" customHeight="1">
      <c r="A400" s="22"/>
      <c r="B400" s="22"/>
      <c r="C400" s="22"/>
      <c r="D400" s="22"/>
      <c r="E400" s="22"/>
      <c r="F400" s="22"/>
      <c r="G400" s="22"/>
      <c r="H400" s="22"/>
      <c r="I400" s="22"/>
      <c r="J400" s="22"/>
      <c r="K400" s="22"/>
      <c r="L400" s="22"/>
      <c r="M400" s="22"/>
      <c r="N400" s="22"/>
      <c r="O400" s="22"/>
      <c r="P400" s="22"/>
      <c r="Q400" s="22"/>
      <c r="R400" s="22"/>
      <c r="S400" s="22"/>
      <c r="T400" s="22"/>
      <c r="U400" s="22"/>
      <c r="V400" s="22"/>
      <c r="W400" s="22"/>
      <c r="X400" s="22"/>
      <c r="Y400" s="22"/>
    </row>
    <row r="401" spans="1:25" ht="15.75" customHeight="1">
      <c r="A401" s="22"/>
      <c r="B401" s="22"/>
      <c r="C401" s="22"/>
      <c r="D401" s="22"/>
      <c r="E401" s="22"/>
      <c r="F401" s="22"/>
      <c r="G401" s="22"/>
      <c r="H401" s="22"/>
      <c r="I401" s="22"/>
      <c r="J401" s="22"/>
      <c r="K401" s="22"/>
      <c r="L401" s="22"/>
      <c r="M401" s="22"/>
      <c r="N401" s="22"/>
      <c r="O401" s="22"/>
      <c r="P401" s="22"/>
      <c r="Q401" s="22"/>
      <c r="R401" s="22"/>
      <c r="S401" s="22"/>
      <c r="T401" s="22"/>
      <c r="U401" s="22"/>
      <c r="V401" s="22"/>
      <c r="W401" s="22"/>
      <c r="X401" s="22"/>
      <c r="Y401" s="22"/>
    </row>
    <row r="402" spans="1:25" ht="15.75" customHeight="1">
      <c r="A402" s="22"/>
      <c r="B402" s="22"/>
      <c r="C402" s="22"/>
      <c r="D402" s="22"/>
      <c r="E402" s="22"/>
      <c r="F402" s="22"/>
      <c r="G402" s="22"/>
      <c r="H402" s="22"/>
      <c r="I402" s="22"/>
      <c r="J402" s="22"/>
      <c r="K402" s="22"/>
      <c r="L402" s="22"/>
      <c r="M402" s="22"/>
      <c r="N402" s="22"/>
      <c r="O402" s="22"/>
      <c r="P402" s="22"/>
      <c r="Q402" s="22"/>
      <c r="R402" s="22"/>
      <c r="S402" s="22"/>
      <c r="T402" s="22"/>
      <c r="U402" s="22"/>
      <c r="V402" s="22"/>
      <c r="W402" s="22"/>
      <c r="X402" s="22"/>
      <c r="Y402" s="22"/>
    </row>
    <row r="403" spans="1:25" ht="15.75" customHeight="1">
      <c r="A403" s="22"/>
      <c r="B403" s="22"/>
      <c r="C403" s="22"/>
      <c r="D403" s="22"/>
      <c r="E403" s="22"/>
      <c r="F403" s="22"/>
      <c r="G403" s="22"/>
      <c r="H403" s="22"/>
      <c r="I403" s="22"/>
      <c r="J403" s="22"/>
      <c r="K403" s="22"/>
      <c r="L403" s="22"/>
      <c r="M403" s="22"/>
      <c r="N403" s="22"/>
      <c r="O403" s="22"/>
      <c r="P403" s="22"/>
      <c r="Q403" s="22"/>
      <c r="R403" s="22"/>
      <c r="S403" s="22"/>
      <c r="T403" s="22"/>
      <c r="U403" s="22"/>
      <c r="V403" s="22"/>
      <c r="W403" s="22"/>
      <c r="X403" s="22"/>
      <c r="Y403" s="22"/>
    </row>
    <row r="404" spans="1:25" ht="15.75" customHeight="1">
      <c r="A404" s="22"/>
      <c r="B404" s="22"/>
      <c r="C404" s="22"/>
      <c r="D404" s="22"/>
      <c r="E404" s="22"/>
      <c r="F404" s="22"/>
      <c r="G404" s="22"/>
      <c r="H404" s="22"/>
      <c r="I404" s="22"/>
      <c r="J404" s="22"/>
      <c r="K404" s="22"/>
      <c r="L404" s="22"/>
      <c r="M404" s="22"/>
      <c r="N404" s="22"/>
      <c r="O404" s="22"/>
      <c r="P404" s="22"/>
      <c r="Q404" s="22"/>
      <c r="R404" s="22"/>
      <c r="S404" s="22"/>
      <c r="T404" s="22"/>
      <c r="U404" s="22"/>
      <c r="V404" s="22"/>
      <c r="W404" s="22"/>
      <c r="X404" s="22"/>
      <c r="Y404" s="22"/>
    </row>
    <row r="405" spans="1:25" ht="15.75" customHeight="1">
      <c r="A405" s="22"/>
      <c r="B405" s="22"/>
      <c r="C405" s="22"/>
      <c r="D405" s="22"/>
      <c r="E405" s="22"/>
      <c r="F405" s="22"/>
      <c r="G405" s="22"/>
      <c r="H405" s="22"/>
      <c r="I405" s="22"/>
      <c r="J405" s="22"/>
      <c r="K405" s="22"/>
      <c r="L405" s="22"/>
      <c r="M405" s="22"/>
      <c r="N405" s="22"/>
      <c r="O405" s="22"/>
      <c r="P405" s="22"/>
      <c r="Q405" s="22"/>
      <c r="R405" s="22"/>
      <c r="S405" s="22"/>
      <c r="T405" s="22"/>
      <c r="U405" s="22"/>
      <c r="V405" s="22"/>
      <c r="W405" s="22"/>
      <c r="X405" s="22"/>
      <c r="Y405" s="22"/>
    </row>
    <row r="406" spans="1:25" ht="15.75" customHeight="1">
      <c r="A406" s="22"/>
      <c r="B406" s="22"/>
      <c r="C406" s="22"/>
      <c r="D406" s="22"/>
      <c r="E406" s="22"/>
      <c r="F406" s="22"/>
      <c r="G406" s="22"/>
      <c r="H406" s="22"/>
      <c r="I406" s="22"/>
      <c r="J406" s="22"/>
      <c r="K406" s="22"/>
      <c r="L406" s="22"/>
      <c r="M406" s="22"/>
      <c r="N406" s="22"/>
      <c r="O406" s="22"/>
      <c r="P406" s="22"/>
      <c r="Q406" s="22"/>
      <c r="R406" s="22"/>
      <c r="S406" s="22"/>
      <c r="T406" s="22"/>
      <c r="U406" s="22"/>
      <c r="V406" s="22"/>
      <c r="W406" s="22"/>
      <c r="X406" s="22"/>
      <c r="Y406" s="22"/>
    </row>
    <row r="407" spans="1:25" ht="15.75" customHeight="1">
      <c r="A407" s="22"/>
      <c r="B407" s="22"/>
      <c r="C407" s="22"/>
      <c r="D407" s="22"/>
      <c r="E407" s="22"/>
      <c r="F407" s="22"/>
      <c r="G407" s="22"/>
      <c r="H407" s="22"/>
      <c r="I407" s="22"/>
      <c r="J407" s="22"/>
      <c r="K407" s="22"/>
      <c r="L407" s="22"/>
      <c r="M407" s="22"/>
      <c r="N407" s="22"/>
      <c r="O407" s="22"/>
      <c r="P407" s="22"/>
      <c r="Q407" s="22"/>
      <c r="R407" s="22"/>
      <c r="S407" s="22"/>
      <c r="T407" s="22"/>
      <c r="U407" s="22"/>
      <c r="V407" s="22"/>
      <c r="W407" s="22"/>
      <c r="X407" s="22"/>
      <c r="Y407" s="22"/>
    </row>
    <row r="408" spans="1:25" ht="15.75" customHeight="1">
      <c r="A408" s="22"/>
      <c r="B408" s="22"/>
      <c r="C408" s="22"/>
      <c r="D408" s="22"/>
      <c r="E408" s="22"/>
      <c r="F408" s="22"/>
      <c r="G408" s="22"/>
      <c r="H408" s="22"/>
      <c r="I408" s="22"/>
      <c r="J408" s="22"/>
      <c r="K408" s="22"/>
      <c r="L408" s="22"/>
      <c r="M408" s="22"/>
      <c r="N408" s="22"/>
      <c r="O408" s="22"/>
      <c r="P408" s="22"/>
      <c r="Q408" s="22"/>
      <c r="R408" s="22"/>
      <c r="S408" s="22"/>
      <c r="T408" s="22"/>
      <c r="U408" s="22"/>
      <c r="V408" s="22"/>
      <c r="W408" s="22"/>
      <c r="X408" s="22"/>
      <c r="Y408" s="22"/>
    </row>
    <row r="409" spans="1:25" ht="15.75" customHeight="1">
      <c r="A409" s="22"/>
      <c r="B409" s="22"/>
      <c r="C409" s="22"/>
      <c r="D409" s="22"/>
      <c r="E409" s="22"/>
      <c r="F409" s="22"/>
      <c r="G409" s="22"/>
      <c r="H409" s="22"/>
      <c r="I409" s="22"/>
      <c r="J409" s="22"/>
      <c r="K409" s="22"/>
      <c r="L409" s="22"/>
      <c r="M409" s="22"/>
      <c r="N409" s="22"/>
      <c r="O409" s="22"/>
      <c r="P409" s="22"/>
      <c r="Q409" s="22"/>
      <c r="R409" s="22"/>
      <c r="S409" s="22"/>
      <c r="T409" s="22"/>
      <c r="U409" s="22"/>
      <c r="V409" s="22"/>
      <c r="W409" s="22"/>
      <c r="X409" s="22"/>
      <c r="Y409" s="22"/>
    </row>
    <row r="410" spans="1:25" ht="15.75" customHeight="1">
      <c r="A410" s="22"/>
      <c r="B410" s="22"/>
      <c r="C410" s="22"/>
      <c r="D410" s="22"/>
      <c r="E410" s="22"/>
      <c r="F410" s="22"/>
      <c r="G410" s="22"/>
      <c r="H410" s="22"/>
      <c r="I410" s="22"/>
      <c r="J410" s="22"/>
      <c r="K410" s="22"/>
      <c r="L410" s="22"/>
      <c r="M410" s="22"/>
      <c r="N410" s="22"/>
      <c r="O410" s="22"/>
      <c r="P410" s="22"/>
      <c r="Q410" s="22"/>
      <c r="R410" s="22"/>
      <c r="S410" s="22"/>
      <c r="T410" s="22"/>
      <c r="U410" s="22"/>
      <c r="V410" s="22"/>
      <c r="W410" s="22"/>
      <c r="X410" s="22"/>
      <c r="Y410" s="22"/>
    </row>
    <row r="411" spans="1:25" ht="15.75" customHeight="1">
      <c r="A411" s="22"/>
      <c r="B411" s="22"/>
      <c r="C411" s="22"/>
      <c r="D411" s="22"/>
      <c r="E411" s="22"/>
      <c r="F411" s="22"/>
      <c r="G411" s="22"/>
      <c r="H411" s="22"/>
      <c r="I411" s="22"/>
      <c r="J411" s="22"/>
      <c r="K411" s="22"/>
      <c r="L411" s="22"/>
      <c r="M411" s="22"/>
      <c r="N411" s="22"/>
      <c r="O411" s="22"/>
      <c r="P411" s="22"/>
      <c r="Q411" s="22"/>
      <c r="R411" s="22"/>
      <c r="S411" s="22"/>
      <c r="T411" s="22"/>
      <c r="U411" s="22"/>
      <c r="V411" s="22"/>
      <c r="W411" s="22"/>
      <c r="X411" s="22"/>
      <c r="Y411" s="22"/>
    </row>
    <row r="412" spans="1:25" ht="15.75" customHeight="1">
      <c r="A412" s="22"/>
      <c r="B412" s="22"/>
      <c r="C412" s="22"/>
      <c r="D412" s="22"/>
      <c r="E412" s="22"/>
      <c r="F412" s="22"/>
      <c r="G412" s="22"/>
      <c r="H412" s="22"/>
      <c r="I412" s="22"/>
      <c r="J412" s="22"/>
      <c r="K412" s="22"/>
      <c r="L412" s="22"/>
      <c r="M412" s="22"/>
      <c r="N412" s="22"/>
      <c r="O412" s="22"/>
      <c r="P412" s="22"/>
      <c r="Q412" s="22"/>
      <c r="R412" s="22"/>
      <c r="S412" s="22"/>
      <c r="T412" s="22"/>
      <c r="U412" s="22"/>
      <c r="V412" s="22"/>
      <c r="W412" s="22"/>
      <c r="X412" s="22"/>
      <c r="Y412" s="22"/>
    </row>
    <row r="413" spans="1:25" ht="15.75" customHeight="1">
      <c r="A413" s="22"/>
      <c r="B413" s="22"/>
      <c r="C413" s="22"/>
      <c r="D413" s="22"/>
      <c r="E413" s="22"/>
      <c r="F413" s="22"/>
      <c r="G413" s="22"/>
      <c r="H413" s="22"/>
      <c r="I413" s="22"/>
      <c r="J413" s="22"/>
      <c r="K413" s="22"/>
      <c r="L413" s="22"/>
      <c r="M413" s="22"/>
      <c r="N413" s="22"/>
      <c r="O413" s="22"/>
      <c r="P413" s="22"/>
      <c r="Q413" s="22"/>
      <c r="R413" s="22"/>
      <c r="S413" s="22"/>
      <c r="T413" s="22"/>
      <c r="U413" s="22"/>
      <c r="V413" s="22"/>
      <c r="W413" s="22"/>
      <c r="X413" s="22"/>
      <c r="Y413" s="22"/>
    </row>
    <row r="414" spans="1:25" ht="15.75" customHeight="1">
      <c r="A414" s="22"/>
      <c r="B414" s="22"/>
      <c r="C414" s="22"/>
      <c r="D414" s="22"/>
      <c r="E414" s="22"/>
      <c r="F414" s="22"/>
      <c r="G414" s="22"/>
      <c r="H414" s="22"/>
      <c r="I414" s="22"/>
      <c r="J414" s="22"/>
      <c r="K414" s="22"/>
      <c r="L414" s="22"/>
      <c r="M414" s="22"/>
      <c r="N414" s="22"/>
      <c r="O414" s="22"/>
      <c r="P414" s="22"/>
      <c r="Q414" s="22"/>
      <c r="R414" s="22"/>
      <c r="S414" s="22"/>
      <c r="T414" s="22"/>
      <c r="U414" s="22"/>
      <c r="V414" s="22"/>
      <c r="W414" s="22"/>
      <c r="X414" s="22"/>
      <c r="Y414" s="22"/>
    </row>
    <row r="415" spans="1:25" ht="15.75" customHeight="1">
      <c r="A415" s="22"/>
      <c r="B415" s="22"/>
      <c r="C415" s="22"/>
      <c r="D415" s="22"/>
      <c r="E415" s="22"/>
      <c r="F415" s="22"/>
      <c r="G415" s="22"/>
      <c r="H415" s="22"/>
      <c r="I415" s="22"/>
      <c r="J415" s="22"/>
      <c r="K415" s="22"/>
      <c r="L415" s="22"/>
      <c r="M415" s="22"/>
      <c r="N415" s="22"/>
      <c r="O415" s="22"/>
      <c r="P415" s="22"/>
      <c r="Q415" s="22"/>
      <c r="R415" s="22"/>
      <c r="S415" s="22"/>
      <c r="T415" s="22"/>
      <c r="U415" s="22"/>
      <c r="V415" s="22"/>
      <c r="W415" s="22"/>
      <c r="X415" s="22"/>
      <c r="Y415" s="22"/>
    </row>
    <row r="416" spans="1:25" ht="15.75" customHeight="1">
      <c r="A416" s="22"/>
      <c r="B416" s="22"/>
      <c r="C416" s="22"/>
      <c r="D416" s="22"/>
      <c r="E416" s="22"/>
      <c r="F416" s="22"/>
      <c r="G416" s="22"/>
      <c r="H416" s="22"/>
      <c r="I416" s="22"/>
      <c r="J416" s="22"/>
      <c r="K416" s="22"/>
      <c r="L416" s="22"/>
      <c r="M416" s="22"/>
      <c r="N416" s="22"/>
      <c r="O416" s="22"/>
      <c r="P416" s="22"/>
      <c r="Q416" s="22"/>
      <c r="R416" s="22"/>
      <c r="S416" s="22"/>
      <c r="T416" s="22"/>
      <c r="U416" s="22"/>
      <c r="V416" s="22"/>
      <c r="W416" s="22"/>
      <c r="X416" s="22"/>
      <c r="Y416" s="22"/>
    </row>
    <row r="417" spans="1:25" ht="15.75" customHeight="1">
      <c r="A417" s="22"/>
      <c r="B417" s="22"/>
      <c r="C417" s="22"/>
      <c r="D417" s="22"/>
      <c r="E417" s="22"/>
      <c r="F417" s="22"/>
      <c r="G417" s="22"/>
      <c r="H417" s="22"/>
      <c r="I417" s="22"/>
      <c r="J417" s="22"/>
      <c r="K417" s="22"/>
      <c r="L417" s="22"/>
      <c r="M417" s="22"/>
      <c r="N417" s="22"/>
      <c r="O417" s="22"/>
      <c r="P417" s="22"/>
      <c r="Q417" s="22"/>
      <c r="R417" s="22"/>
      <c r="S417" s="22"/>
      <c r="T417" s="22"/>
      <c r="U417" s="22"/>
      <c r="V417" s="22"/>
      <c r="W417" s="22"/>
      <c r="X417" s="22"/>
      <c r="Y417" s="22"/>
    </row>
    <row r="418" spans="1:25" ht="15.75" customHeight="1">
      <c r="A418" s="22"/>
      <c r="B418" s="22"/>
      <c r="C418" s="22"/>
      <c r="D418" s="22"/>
      <c r="E418" s="22"/>
      <c r="F418" s="22"/>
      <c r="G418" s="22"/>
      <c r="H418" s="22"/>
      <c r="I418" s="22"/>
      <c r="J418" s="22"/>
      <c r="K418" s="22"/>
      <c r="L418" s="22"/>
      <c r="M418" s="22"/>
      <c r="N418" s="22"/>
      <c r="O418" s="22"/>
      <c r="P418" s="22"/>
      <c r="Q418" s="22"/>
      <c r="R418" s="22"/>
      <c r="S418" s="22"/>
      <c r="T418" s="22"/>
      <c r="U418" s="22"/>
      <c r="V418" s="22"/>
      <c r="W418" s="22"/>
      <c r="X418" s="22"/>
      <c r="Y418" s="22"/>
    </row>
    <row r="419" spans="1:25" ht="15.75" customHeight="1">
      <c r="A419" s="22"/>
      <c r="B419" s="22"/>
      <c r="C419" s="22"/>
      <c r="D419" s="22"/>
      <c r="E419" s="22"/>
      <c r="F419" s="22"/>
      <c r="G419" s="22"/>
      <c r="H419" s="22"/>
      <c r="I419" s="22"/>
      <c r="J419" s="22"/>
      <c r="K419" s="22"/>
      <c r="L419" s="22"/>
      <c r="M419" s="22"/>
      <c r="N419" s="22"/>
      <c r="O419" s="22"/>
      <c r="P419" s="22"/>
      <c r="Q419" s="22"/>
      <c r="R419" s="22"/>
      <c r="S419" s="22"/>
      <c r="T419" s="22"/>
      <c r="U419" s="22"/>
      <c r="V419" s="22"/>
      <c r="W419" s="22"/>
      <c r="X419" s="22"/>
      <c r="Y419" s="22"/>
    </row>
    <row r="420" spans="1:25" ht="15.75" customHeight="1">
      <c r="A420" s="22"/>
      <c r="B420" s="22"/>
      <c r="C420" s="22"/>
      <c r="D420" s="22"/>
      <c r="E420" s="22"/>
      <c r="F420" s="22"/>
      <c r="G420" s="22"/>
      <c r="H420" s="22"/>
      <c r="I420" s="22"/>
      <c r="J420" s="22"/>
      <c r="K420" s="22"/>
      <c r="L420" s="22"/>
      <c r="M420" s="22"/>
      <c r="N420" s="22"/>
      <c r="O420" s="22"/>
      <c r="P420" s="22"/>
      <c r="Q420" s="22"/>
      <c r="R420" s="22"/>
      <c r="S420" s="22"/>
      <c r="T420" s="22"/>
      <c r="U420" s="22"/>
      <c r="V420" s="22"/>
      <c r="W420" s="22"/>
      <c r="X420" s="22"/>
      <c r="Y420" s="22"/>
    </row>
    <row r="421" spans="1:25" ht="15.75" customHeight="1">
      <c r="A421" s="22"/>
      <c r="B421" s="22"/>
      <c r="C421" s="22"/>
      <c r="D421" s="22"/>
      <c r="E421" s="22"/>
      <c r="F421" s="22"/>
      <c r="G421" s="22"/>
      <c r="H421" s="22"/>
      <c r="I421" s="22"/>
      <c r="J421" s="22"/>
      <c r="K421" s="22"/>
      <c r="L421" s="22"/>
      <c r="M421" s="22"/>
      <c r="N421" s="22"/>
      <c r="O421" s="22"/>
      <c r="P421" s="22"/>
      <c r="Q421" s="22"/>
      <c r="R421" s="22"/>
      <c r="S421" s="22"/>
      <c r="T421" s="22"/>
      <c r="U421" s="22"/>
      <c r="V421" s="22"/>
      <c r="W421" s="22"/>
      <c r="X421" s="22"/>
      <c r="Y421" s="22"/>
    </row>
    <row r="422" spans="1:25" ht="15.75" customHeight="1">
      <c r="A422" s="22"/>
      <c r="B422" s="22"/>
      <c r="C422" s="22"/>
      <c r="D422" s="22"/>
      <c r="E422" s="22"/>
      <c r="F422" s="22"/>
      <c r="G422" s="22"/>
      <c r="H422" s="22"/>
      <c r="I422" s="22"/>
      <c r="J422" s="22"/>
      <c r="K422" s="22"/>
      <c r="L422" s="22"/>
      <c r="M422" s="22"/>
      <c r="N422" s="22"/>
      <c r="O422" s="22"/>
      <c r="P422" s="22"/>
      <c r="Q422" s="22"/>
      <c r="R422" s="22"/>
      <c r="S422" s="22"/>
      <c r="T422" s="22"/>
      <c r="U422" s="22"/>
      <c r="V422" s="22"/>
      <c r="W422" s="22"/>
      <c r="X422" s="22"/>
      <c r="Y422" s="22"/>
    </row>
    <row r="423" spans="1:25" ht="15.75" customHeight="1">
      <c r="A423" s="22"/>
      <c r="B423" s="22"/>
      <c r="C423" s="22"/>
      <c r="D423" s="22"/>
      <c r="E423" s="22"/>
      <c r="F423" s="22"/>
      <c r="G423" s="22"/>
      <c r="H423" s="22"/>
      <c r="I423" s="22"/>
      <c r="J423" s="22"/>
      <c r="K423" s="22"/>
      <c r="L423" s="22"/>
      <c r="M423" s="22"/>
      <c r="N423" s="22"/>
      <c r="O423" s="22"/>
      <c r="P423" s="22"/>
      <c r="Q423" s="22"/>
      <c r="R423" s="22"/>
      <c r="S423" s="22"/>
      <c r="T423" s="22"/>
      <c r="U423" s="22"/>
      <c r="V423" s="22"/>
      <c r="W423" s="22"/>
      <c r="X423" s="22"/>
      <c r="Y423" s="22"/>
    </row>
    <row r="424" spans="1:25" ht="15.75" customHeight="1">
      <c r="A424" s="22"/>
      <c r="B424" s="22"/>
      <c r="C424" s="22"/>
      <c r="D424" s="22"/>
      <c r="E424" s="22"/>
      <c r="F424" s="22"/>
      <c r="G424" s="22"/>
      <c r="H424" s="22"/>
      <c r="I424" s="22"/>
      <c r="J424" s="22"/>
      <c r="K424" s="22"/>
      <c r="L424" s="22"/>
      <c r="M424" s="22"/>
      <c r="N424" s="22"/>
      <c r="O424" s="22"/>
      <c r="P424" s="22"/>
      <c r="Q424" s="22"/>
      <c r="R424" s="22"/>
      <c r="S424" s="22"/>
      <c r="T424" s="22"/>
      <c r="U424" s="22"/>
      <c r="V424" s="22"/>
      <c r="W424" s="22"/>
      <c r="X424" s="22"/>
      <c r="Y424" s="22"/>
    </row>
    <row r="425" spans="1:25" ht="15.75" customHeight="1">
      <c r="A425" s="22"/>
      <c r="B425" s="22"/>
      <c r="C425" s="22"/>
      <c r="D425" s="22"/>
      <c r="E425" s="22"/>
      <c r="F425" s="22"/>
      <c r="G425" s="22"/>
      <c r="H425" s="22"/>
      <c r="I425" s="22"/>
      <c r="J425" s="22"/>
      <c r="K425" s="22"/>
      <c r="L425" s="22"/>
      <c r="M425" s="22"/>
      <c r="N425" s="22"/>
      <c r="O425" s="22"/>
      <c r="P425" s="22"/>
      <c r="Q425" s="22"/>
      <c r="R425" s="22"/>
      <c r="S425" s="22"/>
      <c r="T425" s="22"/>
      <c r="U425" s="22"/>
      <c r="V425" s="22"/>
      <c r="W425" s="22"/>
      <c r="X425" s="22"/>
      <c r="Y425" s="22"/>
    </row>
    <row r="426" spans="1:25" ht="15.75" customHeight="1">
      <c r="A426" s="22"/>
      <c r="B426" s="22"/>
      <c r="C426" s="22"/>
      <c r="D426" s="22"/>
      <c r="E426" s="22"/>
      <c r="F426" s="22"/>
      <c r="G426" s="22"/>
      <c r="H426" s="22"/>
      <c r="I426" s="22"/>
      <c r="J426" s="22"/>
      <c r="K426" s="22"/>
      <c r="L426" s="22"/>
      <c r="M426" s="22"/>
      <c r="N426" s="22"/>
      <c r="O426" s="22"/>
      <c r="P426" s="22"/>
      <c r="Q426" s="22"/>
      <c r="R426" s="22"/>
      <c r="S426" s="22"/>
      <c r="T426" s="22"/>
      <c r="U426" s="22"/>
      <c r="V426" s="22"/>
      <c r="W426" s="22"/>
      <c r="X426" s="22"/>
      <c r="Y426" s="22"/>
    </row>
    <row r="427" spans="1:25" ht="15.75" customHeight="1">
      <c r="A427" s="22"/>
      <c r="B427" s="22"/>
      <c r="C427" s="22"/>
      <c r="D427" s="22"/>
      <c r="E427" s="22"/>
      <c r="F427" s="22"/>
      <c r="G427" s="22"/>
      <c r="H427" s="22"/>
      <c r="I427" s="22"/>
      <c r="J427" s="22"/>
      <c r="K427" s="22"/>
      <c r="L427" s="22"/>
      <c r="M427" s="22"/>
      <c r="N427" s="22"/>
      <c r="O427" s="22"/>
      <c r="P427" s="22"/>
      <c r="Q427" s="22"/>
      <c r="R427" s="22"/>
      <c r="S427" s="22"/>
      <c r="T427" s="22"/>
      <c r="U427" s="22"/>
      <c r="V427" s="22"/>
      <c r="W427" s="22"/>
      <c r="X427" s="22"/>
      <c r="Y427" s="22"/>
    </row>
    <row r="428" spans="1:25" ht="15.75" customHeight="1">
      <c r="A428" s="22"/>
      <c r="B428" s="22"/>
      <c r="C428" s="22"/>
      <c r="D428" s="22"/>
      <c r="E428" s="22"/>
      <c r="F428" s="22"/>
      <c r="G428" s="22"/>
      <c r="H428" s="22"/>
      <c r="I428" s="22"/>
      <c r="J428" s="22"/>
      <c r="K428" s="22"/>
      <c r="L428" s="22"/>
      <c r="M428" s="22"/>
      <c r="N428" s="22"/>
      <c r="O428" s="22"/>
      <c r="P428" s="22"/>
      <c r="Q428" s="22"/>
      <c r="R428" s="22"/>
      <c r="S428" s="22"/>
      <c r="T428" s="22"/>
      <c r="U428" s="22"/>
      <c r="V428" s="22"/>
      <c r="W428" s="22"/>
      <c r="X428" s="22"/>
      <c r="Y428" s="22"/>
    </row>
    <row r="429" spans="1:25" ht="15.75" customHeight="1">
      <c r="A429" s="22"/>
      <c r="B429" s="22"/>
      <c r="C429" s="22"/>
      <c r="D429" s="22"/>
      <c r="E429" s="22"/>
      <c r="F429" s="22"/>
      <c r="G429" s="22"/>
      <c r="H429" s="22"/>
      <c r="I429" s="22"/>
      <c r="J429" s="22"/>
      <c r="K429" s="22"/>
      <c r="L429" s="22"/>
      <c r="M429" s="22"/>
      <c r="N429" s="22"/>
      <c r="O429" s="22"/>
      <c r="P429" s="22"/>
      <c r="Q429" s="22"/>
      <c r="R429" s="22"/>
      <c r="S429" s="22"/>
      <c r="T429" s="22"/>
      <c r="U429" s="22"/>
      <c r="V429" s="22"/>
      <c r="W429" s="22"/>
      <c r="X429" s="22"/>
      <c r="Y429" s="22"/>
    </row>
    <row r="430" spans="1:25" ht="15.75" customHeight="1">
      <c r="A430" s="22"/>
      <c r="B430" s="22"/>
      <c r="C430" s="22"/>
      <c r="D430" s="22"/>
      <c r="E430" s="22"/>
      <c r="F430" s="22"/>
      <c r="G430" s="22"/>
      <c r="H430" s="22"/>
      <c r="I430" s="22"/>
      <c r="J430" s="22"/>
      <c r="K430" s="22"/>
      <c r="L430" s="22"/>
      <c r="M430" s="22"/>
      <c r="N430" s="22"/>
      <c r="O430" s="22"/>
      <c r="P430" s="22"/>
      <c r="Q430" s="22"/>
      <c r="R430" s="22"/>
      <c r="S430" s="22"/>
      <c r="T430" s="22"/>
      <c r="U430" s="22"/>
      <c r="V430" s="22"/>
      <c r="W430" s="22"/>
      <c r="X430" s="22"/>
      <c r="Y430" s="22"/>
    </row>
    <row r="431" spans="1:25" ht="15.75" customHeight="1">
      <c r="A431" s="22"/>
      <c r="B431" s="22"/>
      <c r="C431" s="22"/>
      <c r="D431" s="22"/>
      <c r="E431" s="22"/>
      <c r="F431" s="22"/>
      <c r="G431" s="22"/>
      <c r="H431" s="22"/>
      <c r="I431" s="22"/>
      <c r="J431" s="22"/>
      <c r="K431" s="22"/>
      <c r="L431" s="22"/>
      <c r="M431" s="22"/>
      <c r="N431" s="22"/>
      <c r="O431" s="22"/>
      <c r="P431" s="22"/>
      <c r="Q431" s="22"/>
      <c r="R431" s="22"/>
      <c r="S431" s="22"/>
      <c r="T431" s="22"/>
      <c r="U431" s="22"/>
      <c r="V431" s="22"/>
      <c r="W431" s="22"/>
      <c r="X431" s="22"/>
      <c r="Y431" s="22"/>
    </row>
    <row r="432" spans="1:25" ht="15.75" customHeight="1">
      <c r="A432" s="22"/>
      <c r="B432" s="22"/>
      <c r="C432" s="22"/>
      <c r="D432" s="22"/>
      <c r="E432" s="22"/>
      <c r="F432" s="22"/>
      <c r="G432" s="22"/>
      <c r="H432" s="22"/>
      <c r="I432" s="22"/>
      <c r="J432" s="22"/>
      <c r="K432" s="22"/>
      <c r="L432" s="22"/>
      <c r="M432" s="22"/>
      <c r="N432" s="22"/>
      <c r="O432" s="22"/>
      <c r="P432" s="22"/>
      <c r="Q432" s="22"/>
      <c r="R432" s="22"/>
      <c r="S432" s="22"/>
      <c r="T432" s="22"/>
      <c r="U432" s="22"/>
      <c r="V432" s="22"/>
      <c r="W432" s="22"/>
      <c r="X432" s="22"/>
      <c r="Y432" s="22"/>
    </row>
    <row r="433" spans="1:25" ht="15.75" customHeight="1">
      <c r="A433" s="22"/>
      <c r="B433" s="22"/>
      <c r="C433" s="22"/>
      <c r="D433" s="22"/>
      <c r="E433" s="22"/>
      <c r="F433" s="22"/>
      <c r="G433" s="22"/>
      <c r="H433" s="22"/>
      <c r="I433" s="22"/>
      <c r="J433" s="22"/>
      <c r="K433" s="22"/>
      <c r="L433" s="22"/>
      <c r="M433" s="22"/>
      <c r="N433" s="22"/>
      <c r="O433" s="22"/>
      <c r="P433" s="22"/>
      <c r="Q433" s="22"/>
      <c r="R433" s="22"/>
      <c r="S433" s="22"/>
      <c r="T433" s="22"/>
      <c r="U433" s="22"/>
      <c r="V433" s="22"/>
      <c r="W433" s="22"/>
      <c r="X433" s="22"/>
      <c r="Y433" s="22"/>
    </row>
    <row r="434" spans="1:25" ht="15.75" customHeight="1">
      <c r="A434" s="22"/>
      <c r="B434" s="22"/>
      <c r="C434" s="22"/>
      <c r="D434" s="22"/>
      <c r="E434" s="22"/>
      <c r="F434" s="22"/>
      <c r="G434" s="22"/>
      <c r="H434" s="22"/>
      <c r="I434" s="22"/>
      <c r="J434" s="22"/>
      <c r="K434" s="22"/>
      <c r="L434" s="22"/>
      <c r="M434" s="22"/>
      <c r="N434" s="22"/>
      <c r="O434" s="22"/>
      <c r="P434" s="22"/>
      <c r="Q434" s="22"/>
      <c r="R434" s="22"/>
      <c r="S434" s="22"/>
      <c r="T434" s="22"/>
      <c r="U434" s="22"/>
      <c r="V434" s="22"/>
      <c r="W434" s="22"/>
      <c r="X434" s="22"/>
      <c r="Y434" s="22"/>
    </row>
    <row r="435" spans="1:25" ht="15.75" customHeight="1">
      <c r="A435" s="22"/>
      <c r="B435" s="22"/>
      <c r="C435" s="22"/>
      <c r="D435" s="22"/>
      <c r="E435" s="22"/>
      <c r="F435" s="22"/>
      <c r="G435" s="22"/>
      <c r="H435" s="22"/>
      <c r="I435" s="22"/>
      <c r="J435" s="22"/>
      <c r="K435" s="22"/>
      <c r="L435" s="22"/>
      <c r="M435" s="22"/>
      <c r="N435" s="22"/>
      <c r="O435" s="22"/>
      <c r="P435" s="22"/>
      <c r="Q435" s="22"/>
      <c r="R435" s="22"/>
      <c r="S435" s="22"/>
      <c r="T435" s="22"/>
      <c r="U435" s="22"/>
      <c r="V435" s="22"/>
      <c r="W435" s="22"/>
      <c r="X435" s="22"/>
      <c r="Y435" s="22"/>
    </row>
    <row r="436" spans="1:25" ht="15.75" customHeight="1">
      <c r="A436" s="22"/>
      <c r="B436" s="22"/>
      <c r="C436" s="22"/>
      <c r="D436" s="22"/>
      <c r="E436" s="22"/>
      <c r="F436" s="22"/>
      <c r="G436" s="22"/>
      <c r="H436" s="22"/>
      <c r="I436" s="22"/>
      <c r="J436" s="22"/>
      <c r="K436" s="22"/>
      <c r="L436" s="22"/>
      <c r="M436" s="22"/>
      <c r="N436" s="22"/>
      <c r="O436" s="22"/>
      <c r="P436" s="22"/>
      <c r="Q436" s="22"/>
      <c r="R436" s="22"/>
      <c r="S436" s="22"/>
      <c r="T436" s="22"/>
      <c r="U436" s="22"/>
      <c r="V436" s="22"/>
      <c r="W436" s="22"/>
      <c r="X436" s="22"/>
      <c r="Y436" s="22"/>
    </row>
    <row r="437" spans="1:25" ht="15.75" customHeight="1">
      <c r="A437" s="22"/>
      <c r="B437" s="22"/>
      <c r="C437" s="22"/>
      <c r="D437" s="22"/>
      <c r="E437" s="22"/>
      <c r="F437" s="22"/>
      <c r="G437" s="22"/>
      <c r="H437" s="22"/>
      <c r="I437" s="22"/>
      <c r="J437" s="22"/>
      <c r="K437" s="22"/>
      <c r="L437" s="22"/>
      <c r="M437" s="22"/>
      <c r="N437" s="22"/>
      <c r="O437" s="22"/>
      <c r="P437" s="22"/>
      <c r="Q437" s="22"/>
      <c r="R437" s="22"/>
      <c r="S437" s="22"/>
      <c r="T437" s="22"/>
      <c r="U437" s="22"/>
      <c r="V437" s="22"/>
      <c r="W437" s="22"/>
      <c r="X437" s="22"/>
      <c r="Y437" s="22"/>
    </row>
    <row r="438" spans="1:25" ht="15.75" customHeight="1">
      <c r="A438" s="22"/>
      <c r="B438" s="22"/>
      <c r="C438" s="22"/>
      <c r="D438" s="22"/>
      <c r="E438" s="22"/>
      <c r="F438" s="22"/>
      <c r="G438" s="22"/>
      <c r="H438" s="22"/>
      <c r="I438" s="22"/>
      <c r="J438" s="22"/>
      <c r="K438" s="22"/>
      <c r="L438" s="22"/>
      <c r="M438" s="22"/>
      <c r="N438" s="22"/>
      <c r="O438" s="22"/>
      <c r="P438" s="22"/>
      <c r="Q438" s="22"/>
      <c r="R438" s="22"/>
      <c r="S438" s="22"/>
      <c r="T438" s="22"/>
      <c r="U438" s="22"/>
      <c r="V438" s="22"/>
      <c r="W438" s="22"/>
      <c r="X438" s="22"/>
      <c r="Y438" s="22"/>
    </row>
    <row r="439" spans="1:25" ht="15.75" customHeight="1">
      <c r="A439" s="22"/>
      <c r="B439" s="22"/>
      <c r="C439" s="22"/>
      <c r="D439" s="22"/>
      <c r="E439" s="22"/>
      <c r="F439" s="22"/>
      <c r="G439" s="22"/>
      <c r="H439" s="22"/>
      <c r="I439" s="22"/>
      <c r="J439" s="22"/>
      <c r="K439" s="22"/>
      <c r="L439" s="22"/>
      <c r="M439" s="22"/>
      <c r="N439" s="22"/>
      <c r="O439" s="22"/>
      <c r="P439" s="22"/>
      <c r="Q439" s="22"/>
      <c r="R439" s="22"/>
      <c r="S439" s="22"/>
      <c r="T439" s="22"/>
      <c r="U439" s="22"/>
      <c r="V439" s="22"/>
      <c r="W439" s="22"/>
      <c r="X439" s="22"/>
      <c r="Y439" s="22"/>
    </row>
    <row r="440" spans="1:25" ht="15.75" customHeight="1">
      <c r="A440" s="22"/>
      <c r="B440" s="22"/>
      <c r="C440" s="22"/>
      <c r="D440" s="22"/>
      <c r="E440" s="22"/>
      <c r="F440" s="22"/>
      <c r="G440" s="22"/>
      <c r="H440" s="22"/>
      <c r="I440" s="22"/>
      <c r="J440" s="22"/>
      <c r="K440" s="22"/>
      <c r="L440" s="22"/>
      <c r="M440" s="22"/>
      <c r="N440" s="22"/>
      <c r="O440" s="22"/>
      <c r="P440" s="22"/>
      <c r="Q440" s="22"/>
      <c r="R440" s="22"/>
      <c r="S440" s="22"/>
      <c r="T440" s="22"/>
      <c r="U440" s="22"/>
      <c r="V440" s="22"/>
      <c r="W440" s="22"/>
      <c r="X440" s="22"/>
      <c r="Y440" s="22"/>
    </row>
    <row r="441" spans="1:25" ht="15.75" customHeight="1">
      <c r="A441" s="22"/>
      <c r="B441" s="22"/>
      <c r="C441" s="22"/>
      <c r="D441" s="22"/>
      <c r="E441" s="22"/>
      <c r="F441" s="22"/>
      <c r="G441" s="22"/>
      <c r="H441" s="22"/>
      <c r="I441" s="22"/>
      <c r="J441" s="22"/>
      <c r="K441" s="22"/>
      <c r="L441" s="22"/>
      <c r="M441" s="22"/>
      <c r="N441" s="22"/>
      <c r="O441" s="22"/>
      <c r="P441" s="22"/>
      <c r="Q441" s="22"/>
      <c r="R441" s="22"/>
      <c r="S441" s="22"/>
      <c r="T441" s="22"/>
      <c r="U441" s="22"/>
      <c r="V441" s="22"/>
      <c r="W441" s="22"/>
      <c r="X441" s="22"/>
      <c r="Y441" s="22"/>
    </row>
    <row r="442" spans="1:25" ht="15.75" customHeight="1">
      <c r="A442" s="22"/>
      <c r="B442" s="22"/>
      <c r="C442" s="22"/>
      <c r="D442" s="22"/>
      <c r="E442" s="22"/>
      <c r="F442" s="22"/>
      <c r="G442" s="22"/>
      <c r="H442" s="22"/>
      <c r="I442" s="22"/>
      <c r="J442" s="22"/>
      <c r="K442" s="22"/>
      <c r="L442" s="22"/>
      <c r="M442" s="22"/>
      <c r="N442" s="22"/>
      <c r="O442" s="22"/>
      <c r="P442" s="22"/>
      <c r="Q442" s="22"/>
      <c r="R442" s="22"/>
      <c r="S442" s="22"/>
      <c r="T442" s="22"/>
      <c r="U442" s="22"/>
      <c r="V442" s="22"/>
      <c r="W442" s="22"/>
      <c r="X442" s="22"/>
      <c r="Y442" s="22"/>
    </row>
    <row r="443" spans="1:25" ht="15.75" customHeight="1">
      <c r="A443" s="22"/>
      <c r="B443" s="22"/>
      <c r="C443" s="22"/>
      <c r="D443" s="22"/>
      <c r="E443" s="22"/>
      <c r="F443" s="22"/>
      <c r="G443" s="22"/>
      <c r="H443" s="22"/>
      <c r="I443" s="22"/>
      <c r="J443" s="22"/>
      <c r="K443" s="22"/>
      <c r="L443" s="22"/>
      <c r="M443" s="22"/>
      <c r="N443" s="22"/>
      <c r="O443" s="22"/>
      <c r="P443" s="22"/>
      <c r="Q443" s="22"/>
      <c r="R443" s="22"/>
      <c r="S443" s="22"/>
      <c r="T443" s="22"/>
      <c r="U443" s="22"/>
      <c r="V443" s="22"/>
      <c r="W443" s="22"/>
      <c r="X443" s="22"/>
      <c r="Y443" s="22"/>
    </row>
    <row r="444" spans="1:25" ht="15.75" customHeight="1">
      <c r="A444" s="22"/>
      <c r="B444" s="22"/>
      <c r="C444" s="22"/>
      <c r="D444" s="22"/>
      <c r="E444" s="22"/>
      <c r="F444" s="22"/>
      <c r="G444" s="22"/>
      <c r="H444" s="22"/>
      <c r="I444" s="22"/>
      <c r="J444" s="22"/>
      <c r="K444" s="22"/>
      <c r="L444" s="22"/>
      <c r="M444" s="22"/>
      <c r="N444" s="22"/>
      <c r="O444" s="22"/>
      <c r="P444" s="22"/>
      <c r="Q444" s="22"/>
      <c r="R444" s="22"/>
      <c r="S444" s="22"/>
      <c r="T444" s="22"/>
      <c r="U444" s="22"/>
      <c r="V444" s="22"/>
      <c r="W444" s="22"/>
      <c r="X444" s="22"/>
      <c r="Y444" s="22"/>
    </row>
    <row r="445" spans="1:25" ht="15.75" customHeight="1">
      <c r="A445" s="22"/>
      <c r="B445" s="22"/>
      <c r="C445" s="22"/>
      <c r="D445" s="22"/>
      <c r="E445" s="22"/>
      <c r="F445" s="22"/>
      <c r="G445" s="22"/>
      <c r="H445" s="22"/>
      <c r="I445" s="22"/>
      <c r="J445" s="22"/>
      <c r="K445" s="22"/>
      <c r="L445" s="22"/>
      <c r="M445" s="22"/>
      <c r="N445" s="22"/>
      <c r="O445" s="22"/>
      <c r="P445" s="22"/>
      <c r="Q445" s="22"/>
      <c r="R445" s="22"/>
      <c r="S445" s="22"/>
      <c r="T445" s="22"/>
      <c r="U445" s="22"/>
      <c r="V445" s="22"/>
      <c r="W445" s="22"/>
      <c r="X445" s="22"/>
      <c r="Y445" s="22"/>
    </row>
    <row r="446" spans="1:25" ht="15.75" customHeight="1">
      <c r="A446" s="22"/>
      <c r="B446" s="22"/>
      <c r="C446" s="22"/>
      <c r="D446" s="22"/>
      <c r="E446" s="22"/>
      <c r="F446" s="22"/>
      <c r="G446" s="22"/>
      <c r="H446" s="22"/>
      <c r="I446" s="22"/>
      <c r="J446" s="22"/>
      <c r="K446" s="22"/>
      <c r="L446" s="22"/>
      <c r="M446" s="22"/>
      <c r="N446" s="22"/>
      <c r="O446" s="22"/>
      <c r="P446" s="22"/>
      <c r="Q446" s="22"/>
      <c r="R446" s="22"/>
      <c r="S446" s="22"/>
      <c r="T446" s="22"/>
      <c r="U446" s="22"/>
      <c r="V446" s="22"/>
      <c r="W446" s="22"/>
      <c r="X446" s="22"/>
      <c r="Y446" s="22"/>
    </row>
    <row r="447" spans="1:25" ht="15.75" customHeight="1">
      <c r="A447" s="22"/>
      <c r="B447" s="22"/>
      <c r="C447" s="22"/>
      <c r="D447" s="22"/>
      <c r="E447" s="22"/>
      <c r="F447" s="22"/>
      <c r="G447" s="22"/>
      <c r="H447" s="22"/>
      <c r="I447" s="22"/>
      <c r="J447" s="22"/>
      <c r="K447" s="22"/>
      <c r="L447" s="22"/>
      <c r="M447" s="22"/>
      <c r="N447" s="22"/>
      <c r="O447" s="22"/>
      <c r="P447" s="22"/>
      <c r="Q447" s="22"/>
      <c r="R447" s="22"/>
      <c r="S447" s="22"/>
      <c r="T447" s="22"/>
      <c r="U447" s="22"/>
      <c r="V447" s="22"/>
      <c r="W447" s="22"/>
      <c r="X447" s="22"/>
      <c r="Y447" s="22"/>
    </row>
    <row r="448" spans="1:25" ht="15.75" customHeight="1">
      <c r="A448" s="22"/>
      <c r="B448" s="22"/>
      <c r="C448" s="22"/>
      <c r="D448" s="22"/>
      <c r="E448" s="22"/>
      <c r="F448" s="22"/>
      <c r="G448" s="22"/>
      <c r="H448" s="22"/>
      <c r="I448" s="22"/>
      <c r="J448" s="22"/>
      <c r="K448" s="22"/>
      <c r="L448" s="22"/>
      <c r="M448" s="22"/>
      <c r="N448" s="22"/>
      <c r="O448" s="22"/>
      <c r="P448" s="22"/>
      <c r="Q448" s="22"/>
      <c r="R448" s="22"/>
      <c r="S448" s="22"/>
      <c r="T448" s="22"/>
      <c r="U448" s="22"/>
      <c r="V448" s="22"/>
      <c r="W448" s="22"/>
      <c r="X448" s="22"/>
      <c r="Y448" s="22"/>
    </row>
    <row r="449" spans="1:25" ht="15.75" customHeight="1">
      <c r="A449" s="22"/>
      <c r="B449" s="22"/>
      <c r="C449" s="22"/>
      <c r="D449" s="22"/>
      <c r="E449" s="22"/>
      <c r="F449" s="22"/>
      <c r="G449" s="22"/>
      <c r="H449" s="22"/>
      <c r="I449" s="22"/>
      <c r="J449" s="22"/>
      <c r="K449" s="22"/>
      <c r="L449" s="22"/>
      <c r="M449" s="22"/>
      <c r="N449" s="22"/>
      <c r="O449" s="22"/>
      <c r="P449" s="22"/>
      <c r="Q449" s="22"/>
      <c r="R449" s="22"/>
      <c r="S449" s="22"/>
      <c r="T449" s="22"/>
      <c r="U449" s="22"/>
      <c r="V449" s="22"/>
      <c r="W449" s="22"/>
      <c r="X449" s="22"/>
      <c r="Y449" s="22"/>
    </row>
    <row r="450" spans="1:25" ht="15.75" customHeight="1">
      <c r="A450" s="22"/>
      <c r="B450" s="22"/>
      <c r="C450" s="22"/>
      <c r="D450" s="22"/>
      <c r="E450" s="22"/>
      <c r="F450" s="22"/>
      <c r="G450" s="22"/>
      <c r="H450" s="22"/>
      <c r="I450" s="22"/>
      <c r="J450" s="22"/>
      <c r="K450" s="22"/>
      <c r="L450" s="22"/>
      <c r="M450" s="22"/>
      <c r="N450" s="22"/>
      <c r="O450" s="22"/>
      <c r="P450" s="22"/>
      <c r="Q450" s="22"/>
      <c r="R450" s="22"/>
      <c r="S450" s="22"/>
      <c r="T450" s="22"/>
      <c r="U450" s="22"/>
      <c r="V450" s="22"/>
      <c r="W450" s="22"/>
      <c r="X450" s="22"/>
      <c r="Y450" s="22"/>
    </row>
    <row r="451" spans="1:25" ht="15.75" customHeight="1">
      <c r="A451" s="22"/>
      <c r="B451" s="22"/>
      <c r="C451" s="22"/>
      <c r="D451" s="22"/>
      <c r="E451" s="22"/>
      <c r="F451" s="22"/>
      <c r="G451" s="22"/>
      <c r="H451" s="22"/>
      <c r="I451" s="22"/>
      <c r="J451" s="22"/>
      <c r="K451" s="22"/>
      <c r="L451" s="22"/>
      <c r="M451" s="22"/>
      <c r="N451" s="22"/>
      <c r="O451" s="22"/>
      <c r="P451" s="22"/>
      <c r="Q451" s="22"/>
      <c r="R451" s="22"/>
      <c r="S451" s="22"/>
      <c r="T451" s="22"/>
      <c r="U451" s="22"/>
      <c r="V451" s="22"/>
      <c r="W451" s="22"/>
      <c r="X451" s="22"/>
      <c r="Y451" s="22"/>
    </row>
    <row r="452" spans="1:25" ht="15.75" customHeight="1">
      <c r="A452" s="22"/>
      <c r="B452" s="22"/>
      <c r="C452" s="22"/>
      <c r="D452" s="22"/>
      <c r="E452" s="22"/>
      <c r="F452" s="22"/>
      <c r="G452" s="22"/>
      <c r="H452" s="22"/>
      <c r="I452" s="22"/>
      <c r="J452" s="22"/>
      <c r="K452" s="22"/>
      <c r="L452" s="22"/>
      <c r="M452" s="22"/>
      <c r="N452" s="22"/>
      <c r="O452" s="22"/>
      <c r="P452" s="22"/>
      <c r="Q452" s="22"/>
      <c r="R452" s="22"/>
      <c r="S452" s="22"/>
      <c r="T452" s="22"/>
      <c r="U452" s="22"/>
      <c r="V452" s="22"/>
      <c r="W452" s="22"/>
      <c r="X452" s="22"/>
      <c r="Y452" s="22"/>
    </row>
    <row r="453" spans="1:25" ht="15.75" customHeight="1">
      <c r="A453" s="22"/>
      <c r="B453" s="22"/>
      <c r="C453" s="22"/>
      <c r="D453" s="22"/>
      <c r="E453" s="22"/>
      <c r="F453" s="22"/>
      <c r="G453" s="22"/>
      <c r="H453" s="22"/>
      <c r="I453" s="22"/>
      <c r="J453" s="22"/>
      <c r="K453" s="22"/>
      <c r="L453" s="22"/>
      <c r="M453" s="22"/>
      <c r="N453" s="22"/>
      <c r="O453" s="22"/>
      <c r="P453" s="22"/>
      <c r="Q453" s="22"/>
      <c r="R453" s="22"/>
      <c r="S453" s="22"/>
      <c r="T453" s="22"/>
      <c r="U453" s="22"/>
      <c r="V453" s="22"/>
      <c r="W453" s="22"/>
      <c r="X453" s="22"/>
      <c r="Y453" s="22"/>
    </row>
    <row r="454" spans="1:25" ht="15.75" customHeight="1">
      <c r="A454" s="22"/>
      <c r="B454" s="22"/>
      <c r="C454" s="22"/>
      <c r="D454" s="22"/>
      <c r="E454" s="22"/>
      <c r="F454" s="22"/>
      <c r="G454" s="22"/>
      <c r="H454" s="22"/>
      <c r="I454" s="22"/>
      <c r="J454" s="22"/>
      <c r="K454" s="22"/>
      <c r="L454" s="22"/>
      <c r="M454" s="22"/>
      <c r="N454" s="22"/>
      <c r="O454" s="22"/>
      <c r="P454" s="22"/>
      <c r="Q454" s="22"/>
      <c r="R454" s="22"/>
      <c r="S454" s="22"/>
      <c r="T454" s="22"/>
      <c r="U454" s="22"/>
      <c r="V454" s="22"/>
      <c r="W454" s="22"/>
      <c r="X454" s="22"/>
      <c r="Y454" s="22"/>
    </row>
    <row r="455" spans="1:25" ht="15.75" customHeight="1">
      <c r="A455" s="22"/>
      <c r="B455" s="22"/>
      <c r="C455" s="22"/>
      <c r="D455" s="22"/>
      <c r="E455" s="22"/>
      <c r="F455" s="22"/>
      <c r="G455" s="22"/>
      <c r="H455" s="22"/>
      <c r="I455" s="22"/>
      <c r="J455" s="22"/>
      <c r="K455" s="22"/>
      <c r="L455" s="22"/>
      <c r="M455" s="22"/>
      <c r="N455" s="22"/>
      <c r="O455" s="22"/>
      <c r="P455" s="22"/>
      <c r="Q455" s="22"/>
      <c r="R455" s="22"/>
      <c r="S455" s="22"/>
      <c r="T455" s="22"/>
      <c r="U455" s="22"/>
      <c r="V455" s="22"/>
      <c r="W455" s="22"/>
      <c r="X455" s="22"/>
      <c r="Y455" s="22"/>
    </row>
    <row r="456" spans="1:25" ht="15.75" customHeight="1">
      <c r="A456" s="22"/>
      <c r="B456" s="22"/>
      <c r="C456" s="22"/>
      <c r="D456" s="22"/>
      <c r="E456" s="22"/>
      <c r="F456" s="22"/>
      <c r="G456" s="22"/>
      <c r="H456" s="22"/>
      <c r="I456" s="22"/>
      <c r="J456" s="22"/>
      <c r="K456" s="22"/>
      <c r="L456" s="22"/>
      <c r="M456" s="22"/>
      <c r="N456" s="22"/>
      <c r="O456" s="22"/>
      <c r="P456" s="22"/>
      <c r="Q456" s="22"/>
      <c r="R456" s="22"/>
      <c r="S456" s="22"/>
      <c r="T456" s="22"/>
      <c r="U456" s="22"/>
      <c r="V456" s="22"/>
      <c r="W456" s="22"/>
      <c r="X456" s="22"/>
      <c r="Y456" s="22"/>
    </row>
    <row r="457" spans="1:25" ht="15.75" customHeight="1">
      <c r="A457" s="22"/>
      <c r="B457" s="22"/>
      <c r="C457" s="22"/>
      <c r="D457" s="22"/>
      <c r="E457" s="22"/>
      <c r="F457" s="22"/>
      <c r="G457" s="22"/>
      <c r="H457" s="22"/>
      <c r="I457" s="22"/>
      <c r="J457" s="22"/>
      <c r="K457" s="22"/>
      <c r="L457" s="22"/>
      <c r="M457" s="22"/>
      <c r="N457" s="22"/>
      <c r="O457" s="22"/>
      <c r="P457" s="22"/>
      <c r="Q457" s="22"/>
      <c r="R457" s="22"/>
      <c r="S457" s="22"/>
      <c r="T457" s="22"/>
      <c r="U457" s="22"/>
      <c r="V457" s="22"/>
      <c r="W457" s="22"/>
      <c r="X457" s="22"/>
      <c r="Y457" s="22"/>
    </row>
    <row r="458" spans="1:25" ht="15.75" customHeight="1">
      <c r="A458" s="22"/>
      <c r="B458" s="22"/>
      <c r="C458" s="22"/>
      <c r="D458" s="22"/>
      <c r="E458" s="22"/>
      <c r="F458" s="22"/>
      <c r="G458" s="22"/>
      <c r="H458" s="22"/>
      <c r="I458" s="22"/>
      <c r="J458" s="22"/>
      <c r="K458" s="22"/>
      <c r="L458" s="22"/>
      <c r="M458" s="22"/>
      <c r="N458" s="22"/>
      <c r="O458" s="22"/>
      <c r="P458" s="22"/>
      <c r="Q458" s="22"/>
      <c r="R458" s="22"/>
      <c r="S458" s="22"/>
      <c r="T458" s="22"/>
      <c r="U458" s="22"/>
      <c r="V458" s="22"/>
      <c r="W458" s="22"/>
      <c r="X458" s="22"/>
      <c r="Y458" s="22"/>
    </row>
    <row r="459" spans="1:25" ht="15.75" customHeight="1">
      <c r="A459" s="22"/>
      <c r="B459" s="22"/>
      <c r="C459" s="22"/>
      <c r="D459" s="22"/>
      <c r="E459" s="22"/>
      <c r="F459" s="22"/>
      <c r="G459" s="22"/>
      <c r="H459" s="22"/>
      <c r="I459" s="22"/>
      <c r="J459" s="22"/>
      <c r="K459" s="22"/>
      <c r="L459" s="22"/>
      <c r="M459" s="22"/>
      <c r="N459" s="22"/>
      <c r="O459" s="22"/>
      <c r="P459" s="22"/>
      <c r="Q459" s="22"/>
      <c r="R459" s="22"/>
      <c r="S459" s="22"/>
      <c r="T459" s="22"/>
      <c r="U459" s="22"/>
      <c r="V459" s="22"/>
      <c r="W459" s="22"/>
      <c r="X459" s="22"/>
      <c r="Y459" s="22"/>
    </row>
    <row r="460" spans="1:25" ht="15.75" customHeight="1">
      <c r="A460" s="22"/>
      <c r="B460" s="22"/>
      <c r="C460" s="22"/>
      <c r="D460" s="22"/>
      <c r="E460" s="22"/>
      <c r="F460" s="22"/>
      <c r="G460" s="22"/>
      <c r="H460" s="22"/>
      <c r="I460" s="22"/>
      <c r="J460" s="22"/>
      <c r="K460" s="22"/>
      <c r="L460" s="22"/>
      <c r="M460" s="22"/>
      <c r="N460" s="22"/>
      <c r="O460" s="22"/>
      <c r="P460" s="22"/>
      <c r="Q460" s="22"/>
      <c r="R460" s="22"/>
      <c r="S460" s="22"/>
      <c r="T460" s="22"/>
      <c r="U460" s="22"/>
      <c r="V460" s="22"/>
      <c r="W460" s="22"/>
      <c r="X460" s="22"/>
      <c r="Y460" s="22"/>
    </row>
    <row r="461" spans="1:25" ht="15.75" customHeight="1">
      <c r="A461" s="22"/>
      <c r="B461" s="22"/>
      <c r="C461" s="22"/>
      <c r="D461" s="22"/>
      <c r="E461" s="22"/>
      <c r="F461" s="22"/>
      <c r="G461" s="22"/>
      <c r="H461" s="22"/>
      <c r="I461" s="22"/>
      <c r="J461" s="22"/>
      <c r="K461" s="22"/>
      <c r="L461" s="22"/>
      <c r="M461" s="22"/>
      <c r="N461" s="22"/>
      <c r="O461" s="22"/>
      <c r="P461" s="22"/>
      <c r="Q461" s="22"/>
      <c r="R461" s="22"/>
      <c r="S461" s="22"/>
      <c r="T461" s="22"/>
      <c r="U461" s="22"/>
      <c r="V461" s="22"/>
      <c r="W461" s="22"/>
      <c r="X461" s="22"/>
      <c r="Y461" s="22"/>
    </row>
    <row r="462" spans="1:25" ht="15.75" customHeight="1">
      <c r="A462" s="22"/>
      <c r="B462" s="22"/>
      <c r="C462" s="22"/>
      <c r="D462" s="22"/>
      <c r="E462" s="22"/>
      <c r="F462" s="22"/>
      <c r="G462" s="22"/>
      <c r="H462" s="22"/>
      <c r="I462" s="22"/>
      <c r="J462" s="22"/>
      <c r="K462" s="22"/>
      <c r="L462" s="22"/>
      <c r="M462" s="22"/>
      <c r="N462" s="22"/>
      <c r="O462" s="22"/>
      <c r="P462" s="22"/>
      <c r="Q462" s="22"/>
      <c r="R462" s="22"/>
      <c r="S462" s="22"/>
      <c r="T462" s="22"/>
      <c r="U462" s="22"/>
      <c r="V462" s="22"/>
      <c r="W462" s="22"/>
      <c r="X462" s="22"/>
      <c r="Y462" s="22"/>
    </row>
    <row r="463" spans="1:25" ht="15.75" customHeight="1">
      <c r="A463" s="22"/>
      <c r="B463" s="22"/>
      <c r="C463" s="22"/>
      <c r="D463" s="22"/>
      <c r="E463" s="22"/>
      <c r="F463" s="22"/>
      <c r="G463" s="22"/>
      <c r="H463" s="22"/>
      <c r="I463" s="22"/>
      <c r="J463" s="22"/>
      <c r="K463" s="22"/>
      <c r="L463" s="22"/>
      <c r="M463" s="22"/>
      <c r="N463" s="22"/>
      <c r="O463" s="22"/>
      <c r="P463" s="22"/>
      <c r="Q463" s="22"/>
      <c r="R463" s="22"/>
      <c r="S463" s="22"/>
      <c r="T463" s="22"/>
      <c r="U463" s="22"/>
      <c r="V463" s="22"/>
      <c r="W463" s="22"/>
      <c r="X463" s="22"/>
      <c r="Y463" s="22"/>
    </row>
    <row r="464" spans="1:25" ht="15.75" customHeight="1">
      <c r="A464" s="22"/>
      <c r="B464" s="22"/>
      <c r="C464" s="22"/>
      <c r="D464" s="22"/>
      <c r="E464" s="22"/>
      <c r="F464" s="22"/>
      <c r="G464" s="22"/>
      <c r="H464" s="22"/>
      <c r="I464" s="22"/>
      <c r="J464" s="22"/>
      <c r="K464" s="22"/>
      <c r="L464" s="22"/>
      <c r="M464" s="22"/>
      <c r="N464" s="22"/>
      <c r="O464" s="22"/>
      <c r="P464" s="22"/>
      <c r="Q464" s="22"/>
      <c r="R464" s="22"/>
      <c r="S464" s="22"/>
      <c r="T464" s="22"/>
      <c r="U464" s="22"/>
      <c r="V464" s="22"/>
      <c r="W464" s="22"/>
      <c r="X464" s="22"/>
      <c r="Y464" s="22"/>
    </row>
    <row r="465" spans="1:25" ht="15.75" customHeight="1">
      <c r="A465" s="22"/>
      <c r="B465" s="22"/>
      <c r="C465" s="22"/>
      <c r="D465" s="22"/>
      <c r="E465" s="22"/>
      <c r="F465" s="22"/>
      <c r="G465" s="22"/>
      <c r="H465" s="22"/>
      <c r="I465" s="22"/>
      <c r="J465" s="22"/>
      <c r="K465" s="22"/>
      <c r="L465" s="22"/>
      <c r="M465" s="22"/>
      <c r="N465" s="22"/>
      <c r="O465" s="22"/>
      <c r="P465" s="22"/>
      <c r="Q465" s="22"/>
      <c r="R465" s="22"/>
      <c r="S465" s="22"/>
      <c r="T465" s="22"/>
      <c r="U465" s="22"/>
      <c r="V465" s="22"/>
      <c r="W465" s="22"/>
      <c r="X465" s="22"/>
      <c r="Y465" s="22"/>
    </row>
    <row r="466" spans="1:25" ht="15.75" customHeight="1">
      <c r="A466" s="22"/>
      <c r="B466" s="22"/>
      <c r="C466" s="22"/>
      <c r="D466" s="22"/>
      <c r="E466" s="22"/>
      <c r="F466" s="22"/>
      <c r="G466" s="22"/>
      <c r="H466" s="22"/>
      <c r="I466" s="22"/>
      <c r="J466" s="22"/>
      <c r="K466" s="22"/>
      <c r="L466" s="22"/>
      <c r="M466" s="22"/>
      <c r="N466" s="22"/>
      <c r="O466" s="22"/>
      <c r="P466" s="22"/>
      <c r="Q466" s="22"/>
      <c r="R466" s="22"/>
      <c r="S466" s="22"/>
      <c r="T466" s="22"/>
      <c r="U466" s="22"/>
      <c r="V466" s="22"/>
      <c r="W466" s="22"/>
      <c r="X466" s="22"/>
      <c r="Y466" s="22"/>
    </row>
    <row r="467" spans="1:25" ht="15.75" customHeight="1">
      <c r="A467" s="22"/>
      <c r="B467" s="22"/>
      <c r="C467" s="22"/>
      <c r="D467" s="22"/>
      <c r="E467" s="22"/>
      <c r="F467" s="22"/>
      <c r="G467" s="22"/>
      <c r="H467" s="22"/>
      <c r="I467" s="22"/>
      <c r="J467" s="22"/>
      <c r="K467" s="22"/>
      <c r="L467" s="22"/>
      <c r="M467" s="22"/>
      <c r="N467" s="22"/>
      <c r="O467" s="22"/>
      <c r="P467" s="22"/>
      <c r="Q467" s="22"/>
      <c r="R467" s="22"/>
      <c r="S467" s="22"/>
      <c r="T467" s="22"/>
      <c r="U467" s="22"/>
      <c r="V467" s="22"/>
      <c r="W467" s="22"/>
      <c r="X467" s="22"/>
      <c r="Y467" s="22"/>
    </row>
    <row r="468" spans="1:25" ht="15.75" customHeight="1">
      <c r="A468" s="22"/>
      <c r="B468" s="22"/>
      <c r="C468" s="22"/>
      <c r="D468" s="22"/>
      <c r="E468" s="22"/>
      <c r="F468" s="22"/>
      <c r="G468" s="22"/>
      <c r="H468" s="22"/>
      <c r="I468" s="22"/>
      <c r="J468" s="22"/>
      <c r="K468" s="22"/>
      <c r="L468" s="22"/>
      <c r="M468" s="22"/>
      <c r="N468" s="22"/>
      <c r="O468" s="22"/>
      <c r="P468" s="22"/>
      <c r="Q468" s="22"/>
      <c r="R468" s="22"/>
      <c r="S468" s="22"/>
      <c r="T468" s="22"/>
      <c r="U468" s="22"/>
      <c r="V468" s="22"/>
      <c r="W468" s="22"/>
      <c r="X468" s="22"/>
      <c r="Y468" s="22"/>
    </row>
    <row r="469" spans="1:25" ht="15.75" customHeight="1">
      <c r="A469" s="22"/>
      <c r="B469" s="22"/>
      <c r="C469" s="22"/>
      <c r="D469" s="22"/>
      <c r="E469" s="22"/>
      <c r="F469" s="22"/>
      <c r="G469" s="22"/>
      <c r="H469" s="22"/>
      <c r="I469" s="22"/>
      <c r="J469" s="22"/>
      <c r="K469" s="22"/>
      <c r="L469" s="22"/>
      <c r="M469" s="22"/>
      <c r="N469" s="22"/>
      <c r="O469" s="22"/>
      <c r="P469" s="22"/>
      <c r="Q469" s="22"/>
      <c r="R469" s="22"/>
      <c r="S469" s="22"/>
      <c r="T469" s="22"/>
      <c r="U469" s="22"/>
      <c r="V469" s="22"/>
      <c r="W469" s="22"/>
      <c r="X469" s="22"/>
      <c r="Y469" s="22"/>
    </row>
    <row r="470" spans="1:25" ht="15.75" customHeight="1">
      <c r="A470" s="22"/>
      <c r="B470" s="22"/>
      <c r="C470" s="22"/>
      <c r="D470" s="22"/>
      <c r="E470" s="22"/>
      <c r="F470" s="22"/>
      <c r="G470" s="22"/>
      <c r="H470" s="22"/>
      <c r="I470" s="22"/>
      <c r="J470" s="22"/>
      <c r="K470" s="22"/>
      <c r="L470" s="22"/>
      <c r="M470" s="22"/>
      <c r="N470" s="22"/>
      <c r="O470" s="22"/>
      <c r="P470" s="22"/>
      <c r="Q470" s="22"/>
      <c r="R470" s="22"/>
      <c r="S470" s="22"/>
      <c r="T470" s="22"/>
      <c r="U470" s="22"/>
      <c r="V470" s="22"/>
      <c r="W470" s="22"/>
      <c r="X470" s="22"/>
      <c r="Y470" s="22"/>
    </row>
    <row r="471" spans="1:25" ht="15.75" customHeight="1">
      <c r="A471" s="22"/>
      <c r="B471" s="22"/>
      <c r="C471" s="22"/>
      <c r="D471" s="22"/>
      <c r="E471" s="22"/>
      <c r="F471" s="22"/>
      <c r="G471" s="22"/>
      <c r="H471" s="22"/>
      <c r="I471" s="22"/>
      <c r="J471" s="22"/>
      <c r="K471" s="22"/>
      <c r="L471" s="22"/>
      <c r="M471" s="22"/>
      <c r="N471" s="22"/>
      <c r="O471" s="22"/>
      <c r="P471" s="22"/>
      <c r="Q471" s="22"/>
      <c r="R471" s="22"/>
      <c r="S471" s="22"/>
      <c r="T471" s="22"/>
      <c r="U471" s="22"/>
      <c r="V471" s="22"/>
      <c r="W471" s="22"/>
      <c r="X471" s="22"/>
      <c r="Y471" s="22"/>
    </row>
    <row r="472" spans="1:25" ht="15.75" customHeight="1">
      <c r="A472" s="22"/>
      <c r="B472" s="22"/>
      <c r="C472" s="22"/>
      <c r="D472" s="22"/>
      <c r="E472" s="22"/>
      <c r="F472" s="22"/>
      <c r="G472" s="22"/>
      <c r="H472" s="22"/>
      <c r="I472" s="22"/>
      <c r="J472" s="22"/>
      <c r="K472" s="22"/>
      <c r="L472" s="22"/>
      <c r="M472" s="22"/>
      <c r="N472" s="22"/>
      <c r="O472" s="22"/>
      <c r="P472" s="22"/>
      <c r="Q472" s="22"/>
      <c r="R472" s="22"/>
      <c r="S472" s="22"/>
      <c r="T472" s="22"/>
      <c r="U472" s="22"/>
      <c r="V472" s="22"/>
      <c r="W472" s="22"/>
      <c r="X472" s="22"/>
      <c r="Y472" s="22"/>
    </row>
    <row r="473" spans="1:25" ht="15.75" customHeight="1">
      <c r="A473" s="22"/>
      <c r="B473" s="22"/>
      <c r="C473" s="22"/>
      <c r="D473" s="22"/>
      <c r="E473" s="22"/>
      <c r="F473" s="22"/>
      <c r="G473" s="22"/>
      <c r="H473" s="22"/>
      <c r="I473" s="22"/>
      <c r="J473" s="22"/>
      <c r="K473" s="22"/>
      <c r="L473" s="22"/>
      <c r="M473" s="22"/>
      <c r="N473" s="22"/>
      <c r="O473" s="22"/>
      <c r="P473" s="22"/>
      <c r="Q473" s="22"/>
      <c r="R473" s="22"/>
      <c r="S473" s="22"/>
      <c r="T473" s="22"/>
      <c r="U473" s="22"/>
      <c r="V473" s="22"/>
      <c r="W473" s="22"/>
      <c r="X473" s="22"/>
      <c r="Y473" s="22"/>
    </row>
    <row r="474" spans="1:25" ht="15.75" customHeight="1">
      <c r="A474" s="22"/>
      <c r="B474" s="22"/>
      <c r="C474" s="22"/>
      <c r="D474" s="22"/>
      <c r="E474" s="22"/>
      <c r="F474" s="22"/>
      <c r="G474" s="22"/>
      <c r="H474" s="22"/>
      <c r="I474" s="22"/>
      <c r="J474" s="22"/>
      <c r="K474" s="22"/>
      <c r="L474" s="22"/>
      <c r="M474" s="22"/>
      <c r="N474" s="22"/>
      <c r="O474" s="22"/>
      <c r="P474" s="22"/>
      <c r="Q474" s="22"/>
      <c r="R474" s="22"/>
      <c r="S474" s="22"/>
      <c r="T474" s="22"/>
      <c r="U474" s="22"/>
      <c r="V474" s="22"/>
      <c r="W474" s="22"/>
      <c r="X474" s="22"/>
      <c r="Y474" s="22"/>
    </row>
    <row r="475" spans="1:25" ht="15.75" customHeight="1">
      <c r="A475" s="22"/>
      <c r="B475" s="22"/>
      <c r="C475" s="22"/>
      <c r="D475" s="22"/>
      <c r="E475" s="22"/>
      <c r="F475" s="22"/>
      <c r="G475" s="22"/>
      <c r="H475" s="22"/>
      <c r="I475" s="22"/>
      <c r="J475" s="22"/>
      <c r="K475" s="22"/>
      <c r="L475" s="22"/>
      <c r="M475" s="22"/>
      <c r="N475" s="22"/>
      <c r="O475" s="22"/>
      <c r="P475" s="22"/>
      <c r="Q475" s="22"/>
      <c r="R475" s="22"/>
      <c r="S475" s="22"/>
      <c r="T475" s="22"/>
      <c r="U475" s="22"/>
      <c r="V475" s="22"/>
      <c r="W475" s="22"/>
      <c r="X475" s="22"/>
      <c r="Y475" s="22"/>
    </row>
    <row r="476" spans="1:25" ht="15.75" customHeight="1">
      <c r="A476" s="22"/>
      <c r="B476" s="22"/>
      <c r="C476" s="22"/>
      <c r="D476" s="22"/>
      <c r="E476" s="22"/>
      <c r="F476" s="22"/>
      <c r="G476" s="22"/>
      <c r="H476" s="22"/>
      <c r="I476" s="22"/>
      <c r="J476" s="22"/>
      <c r="K476" s="22"/>
      <c r="L476" s="22"/>
      <c r="M476" s="22"/>
      <c r="N476" s="22"/>
      <c r="O476" s="22"/>
      <c r="P476" s="22"/>
      <c r="Q476" s="22"/>
      <c r="R476" s="22"/>
      <c r="S476" s="22"/>
      <c r="T476" s="22"/>
      <c r="U476" s="22"/>
      <c r="V476" s="22"/>
      <c r="W476" s="22"/>
      <c r="X476" s="22"/>
      <c r="Y476" s="22"/>
    </row>
    <row r="477" spans="1:25" ht="15.75" customHeight="1">
      <c r="A477" s="22"/>
      <c r="B477" s="22"/>
      <c r="C477" s="22"/>
      <c r="D477" s="22"/>
      <c r="E477" s="22"/>
      <c r="F477" s="22"/>
      <c r="G477" s="22"/>
      <c r="H477" s="22"/>
      <c r="I477" s="22"/>
      <c r="J477" s="22"/>
      <c r="K477" s="22"/>
      <c r="L477" s="22"/>
      <c r="M477" s="22"/>
      <c r="N477" s="22"/>
      <c r="O477" s="22"/>
      <c r="P477" s="22"/>
      <c r="Q477" s="22"/>
      <c r="R477" s="22"/>
      <c r="S477" s="22"/>
      <c r="T477" s="22"/>
      <c r="U477" s="22"/>
      <c r="V477" s="22"/>
      <c r="W477" s="22"/>
      <c r="X477" s="22"/>
      <c r="Y477" s="22"/>
    </row>
    <row r="478" spans="1:25" ht="15.75" customHeight="1">
      <c r="A478" s="22"/>
      <c r="B478" s="22"/>
      <c r="C478" s="22"/>
      <c r="D478" s="22"/>
      <c r="E478" s="22"/>
      <c r="F478" s="22"/>
      <c r="G478" s="22"/>
      <c r="H478" s="22"/>
      <c r="I478" s="22"/>
      <c r="J478" s="22"/>
      <c r="K478" s="22"/>
      <c r="L478" s="22"/>
      <c r="M478" s="22"/>
      <c r="N478" s="22"/>
      <c r="O478" s="22"/>
      <c r="P478" s="22"/>
      <c r="Q478" s="22"/>
      <c r="R478" s="22"/>
      <c r="S478" s="22"/>
      <c r="T478" s="22"/>
      <c r="U478" s="22"/>
      <c r="V478" s="22"/>
      <c r="W478" s="22"/>
      <c r="X478" s="22"/>
      <c r="Y478" s="22"/>
    </row>
    <row r="479" spans="1:25" ht="15.75" customHeight="1">
      <c r="A479" s="22"/>
      <c r="B479" s="22"/>
      <c r="C479" s="22"/>
      <c r="D479" s="22"/>
      <c r="E479" s="22"/>
      <c r="F479" s="22"/>
      <c r="G479" s="22"/>
      <c r="H479" s="22"/>
      <c r="I479" s="22"/>
      <c r="J479" s="22"/>
      <c r="K479" s="22"/>
      <c r="L479" s="22"/>
      <c r="M479" s="22"/>
      <c r="N479" s="22"/>
      <c r="O479" s="22"/>
      <c r="P479" s="22"/>
      <c r="Q479" s="22"/>
      <c r="R479" s="22"/>
      <c r="S479" s="22"/>
      <c r="T479" s="22"/>
      <c r="U479" s="22"/>
      <c r="V479" s="22"/>
      <c r="W479" s="22"/>
      <c r="X479" s="22"/>
      <c r="Y479" s="22"/>
    </row>
    <row r="480" spans="1:25" ht="15.75" customHeight="1">
      <c r="A480" s="22"/>
      <c r="B480" s="22"/>
      <c r="C480" s="22"/>
      <c r="D480" s="22"/>
      <c r="E480" s="22"/>
      <c r="F480" s="22"/>
      <c r="G480" s="22"/>
      <c r="H480" s="22"/>
      <c r="I480" s="22"/>
      <c r="J480" s="22"/>
      <c r="K480" s="22"/>
      <c r="L480" s="22"/>
      <c r="M480" s="22"/>
      <c r="N480" s="22"/>
      <c r="O480" s="22"/>
      <c r="P480" s="22"/>
      <c r="Q480" s="22"/>
      <c r="R480" s="22"/>
      <c r="S480" s="22"/>
      <c r="T480" s="22"/>
      <c r="U480" s="22"/>
      <c r="V480" s="22"/>
      <c r="W480" s="22"/>
      <c r="X480" s="22"/>
      <c r="Y480" s="22"/>
    </row>
    <row r="481" spans="1:25" ht="15.75" customHeight="1">
      <c r="A481" s="22"/>
      <c r="B481" s="22"/>
      <c r="C481" s="22"/>
      <c r="D481" s="22"/>
      <c r="E481" s="22"/>
      <c r="F481" s="22"/>
      <c r="G481" s="22"/>
      <c r="H481" s="22"/>
      <c r="I481" s="22"/>
      <c r="J481" s="22"/>
      <c r="K481" s="22"/>
      <c r="L481" s="22"/>
      <c r="M481" s="22"/>
      <c r="N481" s="22"/>
      <c r="O481" s="22"/>
      <c r="P481" s="22"/>
      <c r="Q481" s="22"/>
      <c r="R481" s="22"/>
      <c r="S481" s="22"/>
      <c r="T481" s="22"/>
      <c r="U481" s="22"/>
      <c r="V481" s="22"/>
      <c r="W481" s="22"/>
      <c r="X481" s="22"/>
      <c r="Y481" s="22"/>
    </row>
    <row r="482" spans="1:25" ht="15.75" customHeight="1">
      <c r="A482" s="22"/>
      <c r="B482" s="22"/>
      <c r="C482" s="22"/>
      <c r="D482" s="22"/>
      <c r="E482" s="22"/>
      <c r="F482" s="22"/>
      <c r="G482" s="22"/>
      <c r="H482" s="22"/>
      <c r="I482" s="22"/>
      <c r="J482" s="22"/>
      <c r="K482" s="22"/>
      <c r="L482" s="22"/>
      <c r="M482" s="22"/>
      <c r="N482" s="22"/>
      <c r="O482" s="22"/>
      <c r="P482" s="22"/>
      <c r="Q482" s="22"/>
      <c r="R482" s="22"/>
      <c r="S482" s="22"/>
      <c r="T482" s="22"/>
      <c r="U482" s="22"/>
      <c r="V482" s="22"/>
      <c r="W482" s="22"/>
      <c r="X482" s="22"/>
      <c r="Y482" s="22"/>
    </row>
    <row r="483" spans="1:25" ht="15.75" customHeight="1">
      <c r="A483" s="22"/>
      <c r="B483" s="22"/>
      <c r="C483" s="22"/>
      <c r="D483" s="22"/>
      <c r="E483" s="22"/>
      <c r="F483" s="22"/>
      <c r="G483" s="22"/>
      <c r="H483" s="22"/>
      <c r="I483" s="22"/>
      <c r="J483" s="22"/>
      <c r="K483" s="22"/>
      <c r="L483" s="22"/>
      <c r="M483" s="22"/>
      <c r="N483" s="22"/>
      <c r="O483" s="22"/>
      <c r="P483" s="22"/>
      <c r="Q483" s="22"/>
      <c r="R483" s="22"/>
      <c r="S483" s="22"/>
      <c r="T483" s="22"/>
      <c r="U483" s="22"/>
      <c r="V483" s="22"/>
      <c r="W483" s="22"/>
      <c r="X483" s="22"/>
      <c r="Y483" s="22"/>
    </row>
    <row r="484" spans="1:25" ht="15.75" customHeight="1">
      <c r="A484" s="22"/>
      <c r="B484" s="22"/>
      <c r="C484" s="22"/>
      <c r="D484" s="22"/>
      <c r="E484" s="22"/>
      <c r="F484" s="22"/>
      <c r="G484" s="22"/>
      <c r="H484" s="22"/>
      <c r="I484" s="22"/>
      <c r="J484" s="22"/>
      <c r="K484" s="22"/>
      <c r="L484" s="22"/>
      <c r="M484" s="22"/>
      <c r="N484" s="22"/>
      <c r="O484" s="22"/>
      <c r="P484" s="22"/>
      <c r="Q484" s="22"/>
      <c r="R484" s="22"/>
      <c r="S484" s="22"/>
      <c r="T484" s="22"/>
      <c r="U484" s="22"/>
      <c r="V484" s="22"/>
      <c r="W484" s="22"/>
      <c r="X484" s="22"/>
      <c r="Y484" s="22"/>
    </row>
    <row r="485" spans="1:25" ht="15.75" customHeight="1">
      <c r="A485" s="22"/>
      <c r="B485" s="22"/>
      <c r="C485" s="22"/>
      <c r="D485" s="22"/>
      <c r="E485" s="22"/>
      <c r="F485" s="22"/>
      <c r="G485" s="22"/>
      <c r="H485" s="22"/>
      <c r="I485" s="22"/>
      <c r="J485" s="22"/>
      <c r="K485" s="22"/>
      <c r="L485" s="22"/>
      <c r="M485" s="22"/>
      <c r="N485" s="22"/>
      <c r="O485" s="22"/>
      <c r="P485" s="22"/>
      <c r="Q485" s="22"/>
      <c r="R485" s="22"/>
      <c r="S485" s="22"/>
      <c r="T485" s="22"/>
      <c r="U485" s="22"/>
      <c r="V485" s="22"/>
      <c r="W485" s="22"/>
      <c r="X485" s="22"/>
      <c r="Y485" s="22"/>
    </row>
    <row r="486" spans="1:25" ht="15.75" customHeight="1">
      <c r="A486" s="22"/>
      <c r="B486" s="22"/>
      <c r="C486" s="22"/>
      <c r="D486" s="22"/>
      <c r="E486" s="22"/>
      <c r="F486" s="22"/>
      <c r="G486" s="22"/>
      <c r="H486" s="22"/>
      <c r="I486" s="22"/>
      <c r="J486" s="22"/>
      <c r="K486" s="22"/>
      <c r="L486" s="22"/>
      <c r="M486" s="22"/>
      <c r="N486" s="22"/>
      <c r="O486" s="22"/>
      <c r="P486" s="22"/>
      <c r="Q486" s="22"/>
      <c r="R486" s="22"/>
      <c r="S486" s="22"/>
      <c r="T486" s="22"/>
      <c r="U486" s="22"/>
      <c r="V486" s="22"/>
      <c r="W486" s="22"/>
      <c r="X486" s="22"/>
      <c r="Y486" s="22"/>
    </row>
    <row r="487" spans="1:25" ht="15.75" customHeight="1">
      <c r="A487" s="22"/>
      <c r="B487" s="22"/>
      <c r="C487" s="22"/>
      <c r="D487" s="22"/>
      <c r="E487" s="22"/>
      <c r="F487" s="22"/>
      <c r="G487" s="22"/>
      <c r="H487" s="22"/>
      <c r="I487" s="22"/>
      <c r="J487" s="22"/>
      <c r="K487" s="22"/>
      <c r="L487" s="22"/>
      <c r="M487" s="22"/>
      <c r="N487" s="22"/>
      <c r="O487" s="22"/>
      <c r="P487" s="22"/>
      <c r="Q487" s="22"/>
      <c r="R487" s="22"/>
      <c r="S487" s="22"/>
      <c r="T487" s="22"/>
      <c r="U487" s="22"/>
      <c r="V487" s="22"/>
      <c r="W487" s="22"/>
      <c r="X487" s="22"/>
      <c r="Y487" s="22"/>
    </row>
    <row r="488" spans="1:25" ht="15.75" customHeight="1">
      <c r="A488" s="22"/>
      <c r="B488" s="22"/>
      <c r="C488" s="22"/>
      <c r="D488" s="22"/>
      <c r="E488" s="22"/>
      <c r="F488" s="22"/>
      <c r="G488" s="22"/>
      <c r="H488" s="22"/>
      <c r="I488" s="22"/>
      <c r="J488" s="22"/>
      <c r="K488" s="22"/>
      <c r="L488" s="22"/>
      <c r="M488" s="22"/>
      <c r="N488" s="22"/>
      <c r="O488" s="22"/>
      <c r="P488" s="22"/>
      <c r="Q488" s="22"/>
      <c r="R488" s="22"/>
      <c r="S488" s="22"/>
      <c r="T488" s="22"/>
      <c r="U488" s="22"/>
      <c r="V488" s="22"/>
      <c r="W488" s="22"/>
      <c r="X488" s="22"/>
      <c r="Y488" s="22"/>
    </row>
    <row r="489" spans="1:25" ht="15.75" customHeight="1">
      <c r="A489" s="22"/>
      <c r="B489" s="22"/>
      <c r="C489" s="22"/>
      <c r="D489" s="22"/>
      <c r="E489" s="22"/>
      <c r="F489" s="22"/>
      <c r="G489" s="22"/>
      <c r="H489" s="22"/>
      <c r="I489" s="22"/>
      <c r="J489" s="22"/>
      <c r="K489" s="22"/>
      <c r="L489" s="22"/>
      <c r="M489" s="22"/>
      <c r="N489" s="22"/>
      <c r="O489" s="22"/>
      <c r="P489" s="22"/>
      <c r="Q489" s="22"/>
      <c r="R489" s="22"/>
      <c r="S489" s="22"/>
      <c r="T489" s="22"/>
      <c r="U489" s="22"/>
      <c r="V489" s="22"/>
      <c r="W489" s="22"/>
      <c r="X489" s="22"/>
      <c r="Y489" s="22"/>
    </row>
    <row r="490" spans="1:25" ht="15.75" customHeight="1">
      <c r="A490" s="22"/>
      <c r="B490" s="22"/>
      <c r="C490" s="22"/>
      <c r="D490" s="22"/>
      <c r="E490" s="22"/>
      <c r="F490" s="22"/>
      <c r="G490" s="22"/>
      <c r="H490" s="22"/>
      <c r="I490" s="22"/>
      <c r="J490" s="22"/>
      <c r="K490" s="22"/>
      <c r="L490" s="22"/>
      <c r="M490" s="22"/>
      <c r="N490" s="22"/>
      <c r="O490" s="22"/>
      <c r="P490" s="22"/>
      <c r="Q490" s="22"/>
      <c r="R490" s="22"/>
      <c r="S490" s="22"/>
      <c r="T490" s="22"/>
      <c r="U490" s="22"/>
      <c r="V490" s="22"/>
      <c r="W490" s="22"/>
      <c r="X490" s="22"/>
      <c r="Y490" s="22"/>
    </row>
    <row r="491" spans="1:25" ht="15.75" customHeight="1">
      <c r="A491" s="22"/>
      <c r="B491" s="22"/>
      <c r="C491" s="22"/>
      <c r="D491" s="22"/>
      <c r="E491" s="22"/>
      <c r="F491" s="22"/>
      <c r="G491" s="22"/>
      <c r="H491" s="22"/>
      <c r="I491" s="22"/>
      <c r="J491" s="22"/>
      <c r="K491" s="22"/>
      <c r="L491" s="22"/>
      <c r="M491" s="22"/>
      <c r="N491" s="22"/>
      <c r="O491" s="22"/>
      <c r="P491" s="22"/>
      <c r="Q491" s="22"/>
      <c r="R491" s="22"/>
      <c r="S491" s="22"/>
      <c r="T491" s="22"/>
      <c r="U491" s="22"/>
      <c r="V491" s="22"/>
      <c r="W491" s="22"/>
      <c r="X491" s="22"/>
      <c r="Y491" s="22"/>
    </row>
    <row r="492" spans="1:25" ht="15.75" customHeight="1">
      <c r="A492" s="22"/>
      <c r="B492" s="22"/>
      <c r="C492" s="22"/>
      <c r="D492" s="22"/>
      <c r="E492" s="22"/>
      <c r="F492" s="22"/>
      <c r="G492" s="22"/>
      <c r="H492" s="22"/>
      <c r="I492" s="22"/>
      <c r="J492" s="22"/>
      <c r="K492" s="22"/>
      <c r="L492" s="22"/>
      <c r="M492" s="22"/>
      <c r="N492" s="22"/>
      <c r="O492" s="22"/>
      <c r="P492" s="22"/>
      <c r="Q492" s="22"/>
      <c r="R492" s="22"/>
      <c r="S492" s="22"/>
      <c r="T492" s="22"/>
      <c r="U492" s="22"/>
      <c r="V492" s="22"/>
      <c r="W492" s="22"/>
      <c r="X492" s="22"/>
      <c r="Y492" s="22"/>
    </row>
    <row r="493" spans="1:25" ht="15.75" customHeight="1">
      <c r="A493" s="22"/>
      <c r="B493" s="22"/>
      <c r="C493" s="22"/>
      <c r="D493" s="22"/>
      <c r="E493" s="22"/>
      <c r="F493" s="22"/>
      <c r="G493" s="22"/>
      <c r="H493" s="22"/>
      <c r="I493" s="22"/>
      <c r="J493" s="22"/>
      <c r="K493" s="22"/>
      <c r="L493" s="22"/>
      <c r="M493" s="22"/>
      <c r="N493" s="22"/>
      <c r="O493" s="22"/>
      <c r="P493" s="22"/>
      <c r="Q493" s="22"/>
      <c r="R493" s="22"/>
      <c r="S493" s="22"/>
      <c r="T493" s="22"/>
      <c r="U493" s="22"/>
      <c r="V493" s="22"/>
      <c r="W493" s="22"/>
      <c r="X493" s="22"/>
      <c r="Y493" s="22"/>
    </row>
    <row r="494" spans="1:25" ht="15.75" customHeight="1">
      <c r="A494" s="22"/>
      <c r="B494" s="22"/>
      <c r="C494" s="22"/>
      <c r="D494" s="22"/>
      <c r="E494" s="22"/>
      <c r="F494" s="22"/>
      <c r="G494" s="22"/>
      <c r="H494" s="22"/>
      <c r="I494" s="22"/>
      <c r="J494" s="22"/>
      <c r="K494" s="22"/>
      <c r="L494" s="22"/>
      <c r="M494" s="22"/>
      <c r="N494" s="22"/>
      <c r="O494" s="22"/>
      <c r="P494" s="22"/>
      <c r="Q494" s="22"/>
      <c r="R494" s="22"/>
      <c r="S494" s="22"/>
      <c r="T494" s="22"/>
      <c r="U494" s="22"/>
      <c r="V494" s="22"/>
      <c r="W494" s="22"/>
      <c r="X494" s="22"/>
      <c r="Y494" s="22"/>
    </row>
    <row r="495" spans="1:25" ht="15.75" customHeight="1">
      <c r="A495" s="22"/>
      <c r="B495" s="22"/>
      <c r="C495" s="22"/>
      <c r="D495" s="22"/>
      <c r="E495" s="22"/>
      <c r="F495" s="22"/>
      <c r="G495" s="22"/>
      <c r="H495" s="22"/>
      <c r="I495" s="22"/>
      <c r="J495" s="22"/>
      <c r="K495" s="22"/>
      <c r="L495" s="22"/>
      <c r="M495" s="22"/>
      <c r="N495" s="22"/>
      <c r="O495" s="22"/>
      <c r="P495" s="22"/>
      <c r="Q495" s="22"/>
      <c r="R495" s="22"/>
      <c r="S495" s="22"/>
      <c r="T495" s="22"/>
      <c r="U495" s="22"/>
      <c r="V495" s="22"/>
      <c r="W495" s="22"/>
      <c r="X495" s="22"/>
      <c r="Y495" s="22"/>
    </row>
    <row r="496" spans="1:25" ht="15.75" customHeight="1">
      <c r="A496" s="22"/>
      <c r="B496" s="22"/>
      <c r="C496" s="22"/>
      <c r="D496" s="22"/>
      <c r="E496" s="22"/>
      <c r="F496" s="22"/>
      <c r="G496" s="22"/>
      <c r="H496" s="22"/>
      <c r="I496" s="22"/>
      <c r="J496" s="22"/>
      <c r="K496" s="22"/>
      <c r="L496" s="22"/>
      <c r="M496" s="22"/>
      <c r="N496" s="22"/>
      <c r="O496" s="22"/>
      <c r="P496" s="22"/>
      <c r="Q496" s="22"/>
      <c r="R496" s="22"/>
      <c r="S496" s="22"/>
      <c r="T496" s="22"/>
      <c r="U496" s="22"/>
      <c r="V496" s="22"/>
      <c r="W496" s="22"/>
      <c r="X496" s="22"/>
      <c r="Y496" s="22"/>
    </row>
    <row r="497" spans="1:25" ht="15.75" customHeight="1">
      <c r="A497" s="22"/>
      <c r="B497" s="22"/>
      <c r="C497" s="22"/>
      <c r="D497" s="22"/>
      <c r="E497" s="22"/>
      <c r="F497" s="22"/>
      <c r="G497" s="22"/>
      <c r="H497" s="22"/>
      <c r="I497" s="22"/>
      <c r="J497" s="22"/>
      <c r="K497" s="22"/>
      <c r="L497" s="22"/>
      <c r="M497" s="22"/>
      <c r="N497" s="22"/>
      <c r="O497" s="22"/>
      <c r="P497" s="22"/>
      <c r="Q497" s="22"/>
      <c r="R497" s="22"/>
      <c r="S497" s="22"/>
      <c r="T497" s="22"/>
      <c r="U497" s="22"/>
      <c r="V497" s="22"/>
      <c r="W497" s="22"/>
      <c r="X497" s="22"/>
      <c r="Y497" s="22"/>
    </row>
    <row r="498" spans="1:25" ht="15.75" customHeight="1">
      <c r="A498" s="22"/>
      <c r="B498" s="22"/>
      <c r="C498" s="22"/>
      <c r="D498" s="22"/>
      <c r="E498" s="22"/>
      <c r="F498" s="22"/>
      <c r="G498" s="22"/>
      <c r="H498" s="22"/>
      <c r="I498" s="22"/>
      <c r="J498" s="22"/>
      <c r="K498" s="22"/>
      <c r="L498" s="22"/>
      <c r="M498" s="22"/>
      <c r="N498" s="22"/>
      <c r="O498" s="22"/>
      <c r="P498" s="22"/>
      <c r="Q498" s="22"/>
      <c r="R498" s="22"/>
      <c r="S498" s="22"/>
      <c r="T498" s="22"/>
      <c r="U498" s="22"/>
      <c r="V498" s="22"/>
      <c r="W498" s="22"/>
      <c r="X498" s="22"/>
      <c r="Y498" s="22"/>
    </row>
    <row r="499" spans="1:25" ht="15.75" customHeight="1">
      <c r="A499" s="22"/>
      <c r="B499" s="22"/>
      <c r="C499" s="22"/>
      <c r="D499" s="22"/>
      <c r="E499" s="22"/>
      <c r="F499" s="22"/>
      <c r="G499" s="22"/>
      <c r="H499" s="22"/>
      <c r="I499" s="22"/>
      <c r="J499" s="22"/>
      <c r="K499" s="22"/>
      <c r="L499" s="22"/>
      <c r="M499" s="22"/>
      <c r="N499" s="22"/>
      <c r="O499" s="22"/>
      <c r="P499" s="22"/>
      <c r="Q499" s="22"/>
      <c r="R499" s="22"/>
      <c r="S499" s="22"/>
      <c r="T499" s="22"/>
      <c r="U499" s="22"/>
      <c r="V499" s="22"/>
      <c r="W499" s="22"/>
      <c r="X499" s="22"/>
      <c r="Y499" s="22"/>
    </row>
    <row r="500" spans="1:25" ht="15.75" customHeight="1">
      <c r="A500" s="22"/>
      <c r="B500" s="22"/>
      <c r="C500" s="22"/>
      <c r="D500" s="22"/>
      <c r="E500" s="22"/>
      <c r="F500" s="22"/>
      <c r="G500" s="22"/>
      <c r="H500" s="22"/>
      <c r="I500" s="22"/>
      <c r="J500" s="22"/>
      <c r="K500" s="22"/>
      <c r="L500" s="22"/>
      <c r="M500" s="22"/>
      <c r="N500" s="22"/>
      <c r="O500" s="22"/>
      <c r="P500" s="22"/>
      <c r="Q500" s="22"/>
      <c r="R500" s="22"/>
      <c r="S500" s="22"/>
      <c r="T500" s="22"/>
      <c r="U500" s="22"/>
      <c r="V500" s="22"/>
      <c r="W500" s="22"/>
      <c r="X500" s="22"/>
      <c r="Y500" s="22"/>
    </row>
    <row r="501" spans="1:25" ht="15.75" customHeight="1">
      <c r="A501" s="22"/>
      <c r="B501" s="22"/>
      <c r="C501" s="22"/>
      <c r="D501" s="22"/>
      <c r="E501" s="22"/>
      <c r="F501" s="22"/>
      <c r="G501" s="22"/>
      <c r="H501" s="22"/>
      <c r="I501" s="22"/>
      <c r="J501" s="22"/>
      <c r="K501" s="22"/>
      <c r="L501" s="22"/>
      <c r="M501" s="22"/>
      <c r="N501" s="22"/>
      <c r="O501" s="22"/>
      <c r="P501" s="22"/>
      <c r="Q501" s="22"/>
      <c r="R501" s="22"/>
      <c r="S501" s="22"/>
      <c r="T501" s="22"/>
      <c r="U501" s="22"/>
      <c r="V501" s="22"/>
      <c r="W501" s="22"/>
      <c r="X501" s="22"/>
      <c r="Y501" s="22"/>
    </row>
    <row r="502" spans="1:25" ht="15.75" customHeight="1">
      <c r="A502" s="22"/>
      <c r="B502" s="22"/>
      <c r="C502" s="22"/>
      <c r="D502" s="22"/>
      <c r="E502" s="22"/>
      <c r="F502" s="22"/>
      <c r="G502" s="22"/>
      <c r="H502" s="22"/>
      <c r="I502" s="22"/>
      <c r="J502" s="22"/>
      <c r="K502" s="22"/>
      <c r="L502" s="22"/>
      <c r="M502" s="22"/>
      <c r="N502" s="22"/>
      <c r="O502" s="22"/>
      <c r="P502" s="22"/>
      <c r="Q502" s="22"/>
      <c r="R502" s="22"/>
      <c r="S502" s="22"/>
      <c r="T502" s="22"/>
      <c r="U502" s="22"/>
      <c r="V502" s="22"/>
      <c r="W502" s="22"/>
      <c r="X502" s="22"/>
      <c r="Y502" s="22"/>
    </row>
    <row r="503" spans="1:25" ht="15.75" customHeight="1">
      <c r="A503" s="22"/>
      <c r="B503" s="22"/>
      <c r="C503" s="22"/>
      <c r="D503" s="22"/>
      <c r="E503" s="22"/>
      <c r="F503" s="22"/>
      <c r="G503" s="22"/>
      <c r="H503" s="22"/>
      <c r="I503" s="22"/>
      <c r="J503" s="22"/>
      <c r="K503" s="22"/>
      <c r="L503" s="22"/>
      <c r="M503" s="22"/>
      <c r="N503" s="22"/>
      <c r="O503" s="22"/>
      <c r="P503" s="22"/>
      <c r="Q503" s="22"/>
      <c r="R503" s="22"/>
      <c r="S503" s="22"/>
      <c r="T503" s="22"/>
      <c r="U503" s="22"/>
      <c r="V503" s="22"/>
      <c r="W503" s="22"/>
      <c r="X503" s="22"/>
      <c r="Y503" s="22"/>
    </row>
    <row r="504" spans="1:25" ht="15.75" customHeight="1">
      <c r="A504" s="22"/>
      <c r="B504" s="22"/>
      <c r="C504" s="22"/>
      <c r="D504" s="22"/>
      <c r="E504" s="22"/>
      <c r="F504" s="22"/>
      <c r="G504" s="22"/>
      <c r="H504" s="22"/>
      <c r="I504" s="22"/>
      <c r="J504" s="22"/>
      <c r="K504" s="22"/>
      <c r="L504" s="22"/>
      <c r="M504" s="22"/>
      <c r="N504" s="22"/>
      <c r="O504" s="22"/>
      <c r="P504" s="22"/>
      <c r="Q504" s="22"/>
      <c r="R504" s="22"/>
      <c r="S504" s="22"/>
      <c r="T504" s="22"/>
      <c r="U504" s="22"/>
      <c r="V504" s="22"/>
      <c r="W504" s="22"/>
      <c r="X504" s="22"/>
      <c r="Y504" s="22"/>
    </row>
    <row r="505" spans="1:25" ht="15.75" customHeight="1">
      <c r="A505" s="22"/>
      <c r="B505" s="22"/>
      <c r="C505" s="22"/>
      <c r="D505" s="22"/>
      <c r="E505" s="22"/>
      <c r="F505" s="22"/>
      <c r="G505" s="22"/>
      <c r="H505" s="22"/>
      <c r="I505" s="22"/>
      <c r="J505" s="22"/>
      <c r="K505" s="22"/>
      <c r="L505" s="22"/>
      <c r="M505" s="22"/>
      <c r="N505" s="22"/>
      <c r="O505" s="22"/>
      <c r="P505" s="22"/>
      <c r="Q505" s="22"/>
      <c r="R505" s="22"/>
      <c r="S505" s="22"/>
      <c r="T505" s="22"/>
      <c r="U505" s="22"/>
      <c r="V505" s="22"/>
      <c r="W505" s="22"/>
      <c r="X505" s="22"/>
      <c r="Y505" s="22"/>
    </row>
    <row r="506" spans="1:25" ht="15.75" customHeight="1">
      <c r="A506" s="22"/>
      <c r="B506" s="22"/>
      <c r="C506" s="22"/>
      <c r="D506" s="22"/>
      <c r="E506" s="22"/>
      <c r="F506" s="22"/>
      <c r="G506" s="22"/>
      <c r="H506" s="22"/>
      <c r="I506" s="22"/>
      <c r="J506" s="22"/>
      <c r="K506" s="22"/>
      <c r="L506" s="22"/>
      <c r="M506" s="22"/>
      <c r="N506" s="22"/>
      <c r="O506" s="22"/>
      <c r="P506" s="22"/>
      <c r="Q506" s="22"/>
      <c r="R506" s="22"/>
      <c r="S506" s="22"/>
      <c r="T506" s="22"/>
      <c r="U506" s="22"/>
      <c r="V506" s="22"/>
      <c r="W506" s="22"/>
      <c r="X506" s="22"/>
      <c r="Y506" s="22"/>
    </row>
    <row r="507" spans="1:25" ht="15.75" customHeight="1">
      <c r="A507" s="22"/>
      <c r="B507" s="22"/>
      <c r="C507" s="22"/>
      <c r="D507" s="22"/>
      <c r="E507" s="22"/>
      <c r="F507" s="22"/>
      <c r="G507" s="22"/>
      <c r="H507" s="22"/>
      <c r="I507" s="22"/>
      <c r="J507" s="22"/>
      <c r="K507" s="22"/>
      <c r="L507" s="22"/>
      <c r="M507" s="22"/>
      <c r="N507" s="22"/>
      <c r="O507" s="22"/>
      <c r="P507" s="22"/>
      <c r="Q507" s="22"/>
      <c r="R507" s="22"/>
      <c r="S507" s="22"/>
      <c r="T507" s="22"/>
      <c r="U507" s="22"/>
      <c r="V507" s="22"/>
      <c r="W507" s="22"/>
      <c r="X507" s="22"/>
      <c r="Y507" s="22"/>
    </row>
    <row r="508" spans="1:25" ht="15.75" customHeight="1">
      <c r="A508" s="22"/>
      <c r="B508" s="22"/>
      <c r="C508" s="22"/>
      <c r="D508" s="22"/>
      <c r="E508" s="22"/>
      <c r="F508" s="22"/>
      <c r="G508" s="22"/>
      <c r="H508" s="22"/>
      <c r="I508" s="22"/>
      <c r="J508" s="22"/>
      <c r="K508" s="22"/>
      <c r="L508" s="22"/>
      <c r="M508" s="22"/>
      <c r="N508" s="22"/>
      <c r="O508" s="22"/>
      <c r="P508" s="22"/>
      <c r="Q508" s="22"/>
      <c r="R508" s="22"/>
      <c r="S508" s="22"/>
      <c r="T508" s="22"/>
      <c r="U508" s="22"/>
      <c r="V508" s="22"/>
      <c r="W508" s="22"/>
      <c r="X508" s="22"/>
      <c r="Y508" s="22"/>
    </row>
    <row r="509" spans="1:25" ht="15.75" customHeight="1">
      <c r="A509" s="22"/>
      <c r="B509" s="22"/>
      <c r="C509" s="22"/>
      <c r="D509" s="22"/>
      <c r="E509" s="22"/>
      <c r="F509" s="22"/>
      <c r="G509" s="22"/>
      <c r="H509" s="22"/>
      <c r="I509" s="22"/>
      <c r="J509" s="22"/>
      <c r="K509" s="22"/>
      <c r="L509" s="22"/>
      <c r="M509" s="22"/>
      <c r="N509" s="22"/>
      <c r="O509" s="22"/>
      <c r="P509" s="22"/>
      <c r="Q509" s="22"/>
      <c r="R509" s="22"/>
      <c r="S509" s="22"/>
      <c r="T509" s="22"/>
      <c r="U509" s="22"/>
      <c r="V509" s="22"/>
      <c r="W509" s="22"/>
      <c r="X509" s="22"/>
      <c r="Y509" s="22"/>
    </row>
    <row r="510" spans="1:25" ht="15.75" customHeight="1">
      <c r="A510" s="22"/>
      <c r="B510" s="22"/>
      <c r="C510" s="22"/>
      <c r="D510" s="22"/>
      <c r="E510" s="22"/>
      <c r="F510" s="22"/>
      <c r="G510" s="22"/>
      <c r="H510" s="22"/>
      <c r="I510" s="22"/>
      <c r="J510" s="22"/>
      <c r="K510" s="22"/>
      <c r="L510" s="22"/>
      <c r="M510" s="22"/>
      <c r="N510" s="22"/>
      <c r="O510" s="22"/>
      <c r="P510" s="22"/>
      <c r="Q510" s="22"/>
      <c r="R510" s="22"/>
      <c r="S510" s="22"/>
      <c r="T510" s="22"/>
      <c r="U510" s="22"/>
      <c r="V510" s="22"/>
      <c r="W510" s="22"/>
      <c r="X510" s="22"/>
      <c r="Y510" s="22"/>
    </row>
    <row r="511" spans="1:25" ht="15.75" customHeight="1">
      <c r="A511" s="22"/>
      <c r="B511" s="22"/>
      <c r="C511" s="22"/>
      <c r="D511" s="22"/>
      <c r="E511" s="22"/>
      <c r="F511" s="22"/>
      <c r="G511" s="22"/>
      <c r="H511" s="22"/>
      <c r="I511" s="22"/>
      <c r="J511" s="22"/>
      <c r="K511" s="22"/>
      <c r="L511" s="22"/>
      <c r="M511" s="22"/>
      <c r="N511" s="22"/>
      <c r="O511" s="22"/>
      <c r="P511" s="22"/>
      <c r="Q511" s="22"/>
      <c r="R511" s="22"/>
      <c r="S511" s="22"/>
      <c r="T511" s="22"/>
      <c r="U511" s="22"/>
      <c r="V511" s="22"/>
      <c r="W511" s="22"/>
      <c r="X511" s="22"/>
      <c r="Y511" s="22"/>
    </row>
    <row r="512" spans="1:25" ht="15.75" customHeight="1">
      <c r="A512" s="22"/>
      <c r="B512" s="22"/>
      <c r="C512" s="22"/>
      <c r="D512" s="22"/>
      <c r="E512" s="22"/>
      <c r="F512" s="22"/>
      <c r="G512" s="22"/>
      <c r="H512" s="22"/>
      <c r="I512" s="22"/>
      <c r="J512" s="22"/>
      <c r="K512" s="22"/>
      <c r="L512" s="22"/>
      <c r="M512" s="22"/>
      <c r="N512" s="22"/>
      <c r="O512" s="22"/>
      <c r="P512" s="22"/>
      <c r="Q512" s="22"/>
      <c r="R512" s="22"/>
      <c r="S512" s="22"/>
      <c r="T512" s="22"/>
      <c r="U512" s="22"/>
      <c r="V512" s="22"/>
      <c r="W512" s="22"/>
      <c r="X512" s="22"/>
      <c r="Y512" s="22"/>
    </row>
    <row r="513" spans="1:25" ht="15.75" customHeight="1">
      <c r="A513" s="22"/>
      <c r="B513" s="22"/>
      <c r="C513" s="22"/>
      <c r="D513" s="22"/>
      <c r="E513" s="22"/>
      <c r="F513" s="22"/>
      <c r="G513" s="22"/>
      <c r="H513" s="22"/>
      <c r="I513" s="22"/>
      <c r="J513" s="22"/>
      <c r="K513" s="22"/>
      <c r="L513" s="22"/>
      <c r="M513" s="22"/>
      <c r="N513" s="22"/>
      <c r="O513" s="22"/>
      <c r="P513" s="22"/>
      <c r="Q513" s="22"/>
      <c r="R513" s="22"/>
      <c r="S513" s="22"/>
      <c r="T513" s="22"/>
      <c r="U513" s="22"/>
      <c r="V513" s="22"/>
      <c r="W513" s="22"/>
      <c r="X513" s="22"/>
      <c r="Y513" s="22"/>
    </row>
    <row r="514" spans="1:25" ht="15.75" customHeight="1">
      <c r="A514" s="22"/>
      <c r="B514" s="22"/>
      <c r="C514" s="22"/>
      <c r="D514" s="22"/>
      <c r="E514" s="22"/>
      <c r="F514" s="22"/>
      <c r="G514" s="22"/>
      <c r="H514" s="22"/>
      <c r="I514" s="22"/>
      <c r="J514" s="22"/>
      <c r="K514" s="22"/>
      <c r="L514" s="22"/>
      <c r="M514" s="22"/>
      <c r="N514" s="22"/>
      <c r="O514" s="22"/>
      <c r="P514" s="22"/>
      <c r="Q514" s="22"/>
      <c r="R514" s="22"/>
      <c r="S514" s="22"/>
      <c r="T514" s="22"/>
      <c r="U514" s="22"/>
      <c r="V514" s="22"/>
      <c r="W514" s="22"/>
      <c r="X514" s="22"/>
      <c r="Y514" s="22"/>
    </row>
    <row r="515" spans="1:25" ht="15.75" customHeight="1">
      <c r="A515" s="22"/>
      <c r="B515" s="22"/>
      <c r="C515" s="22"/>
      <c r="D515" s="22"/>
      <c r="E515" s="22"/>
      <c r="F515" s="22"/>
      <c r="G515" s="22"/>
      <c r="H515" s="22"/>
      <c r="I515" s="22"/>
      <c r="J515" s="22"/>
      <c r="K515" s="22"/>
      <c r="L515" s="22"/>
      <c r="M515" s="22"/>
      <c r="N515" s="22"/>
      <c r="O515" s="22"/>
      <c r="P515" s="22"/>
      <c r="Q515" s="22"/>
      <c r="R515" s="22"/>
      <c r="S515" s="22"/>
      <c r="T515" s="22"/>
      <c r="U515" s="22"/>
      <c r="V515" s="22"/>
      <c r="W515" s="22"/>
      <c r="X515" s="22"/>
      <c r="Y515" s="22"/>
    </row>
    <row r="516" spans="1:25" ht="15.75" customHeight="1">
      <c r="A516" s="22"/>
      <c r="B516" s="22"/>
      <c r="C516" s="22"/>
      <c r="D516" s="22"/>
      <c r="E516" s="22"/>
      <c r="F516" s="22"/>
      <c r="G516" s="22"/>
      <c r="H516" s="22"/>
      <c r="I516" s="22"/>
      <c r="J516" s="22"/>
      <c r="K516" s="22"/>
      <c r="L516" s="22"/>
      <c r="M516" s="22"/>
      <c r="N516" s="22"/>
      <c r="O516" s="22"/>
      <c r="P516" s="22"/>
      <c r="Q516" s="22"/>
      <c r="R516" s="22"/>
      <c r="S516" s="22"/>
      <c r="T516" s="22"/>
      <c r="U516" s="22"/>
      <c r="V516" s="22"/>
      <c r="W516" s="22"/>
      <c r="X516" s="22"/>
      <c r="Y516" s="22"/>
    </row>
    <row r="517" spans="1:25" ht="15.75" customHeight="1">
      <c r="A517" s="22"/>
      <c r="B517" s="22"/>
      <c r="C517" s="22"/>
      <c r="D517" s="22"/>
      <c r="E517" s="22"/>
      <c r="F517" s="22"/>
      <c r="G517" s="22"/>
      <c r="H517" s="22"/>
      <c r="I517" s="22"/>
      <c r="J517" s="22"/>
      <c r="K517" s="22"/>
      <c r="L517" s="22"/>
      <c r="M517" s="22"/>
      <c r="N517" s="22"/>
      <c r="O517" s="22"/>
      <c r="P517" s="22"/>
      <c r="Q517" s="22"/>
      <c r="R517" s="22"/>
      <c r="S517" s="22"/>
      <c r="T517" s="22"/>
      <c r="U517" s="22"/>
      <c r="V517" s="22"/>
      <c r="W517" s="22"/>
      <c r="X517" s="22"/>
      <c r="Y517" s="22"/>
    </row>
    <row r="518" spans="1:25" ht="15.75" customHeight="1">
      <c r="A518" s="22"/>
      <c r="B518" s="22"/>
      <c r="C518" s="22"/>
      <c r="D518" s="22"/>
      <c r="E518" s="22"/>
      <c r="F518" s="22"/>
      <c r="G518" s="22"/>
      <c r="H518" s="22"/>
      <c r="I518" s="22"/>
      <c r="J518" s="22"/>
      <c r="K518" s="22"/>
      <c r="L518" s="22"/>
      <c r="M518" s="22"/>
      <c r="N518" s="22"/>
      <c r="O518" s="22"/>
      <c r="P518" s="22"/>
      <c r="Q518" s="22"/>
      <c r="R518" s="22"/>
      <c r="S518" s="22"/>
      <c r="T518" s="22"/>
      <c r="U518" s="22"/>
      <c r="V518" s="22"/>
      <c r="W518" s="22"/>
      <c r="X518" s="22"/>
      <c r="Y518" s="22"/>
    </row>
    <row r="519" spans="1:25" ht="15.75" customHeight="1">
      <c r="A519" s="22"/>
      <c r="B519" s="22"/>
      <c r="C519" s="22"/>
      <c r="D519" s="22"/>
      <c r="E519" s="22"/>
      <c r="F519" s="22"/>
      <c r="G519" s="22"/>
      <c r="H519" s="22"/>
      <c r="I519" s="22"/>
      <c r="J519" s="22"/>
      <c r="K519" s="22"/>
      <c r="L519" s="22"/>
      <c r="M519" s="22"/>
      <c r="N519" s="22"/>
      <c r="O519" s="22"/>
      <c r="P519" s="22"/>
      <c r="Q519" s="22"/>
      <c r="R519" s="22"/>
      <c r="S519" s="22"/>
      <c r="T519" s="22"/>
      <c r="U519" s="22"/>
      <c r="V519" s="22"/>
      <c r="W519" s="22"/>
      <c r="X519" s="22"/>
      <c r="Y519" s="22"/>
    </row>
    <row r="520" spans="1:25" ht="15.75" customHeight="1">
      <c r="A520" s="22"/>
      <c r="B520" s="22"/>
      <c r="C520" s="22"/>
      <c r="D520" s="22"/>
      <c r="E520" s="22"/>
      <c r="F520" s="22"/>
      <c r="G520" s="22"/>
      <c r="H520" s="22"/>
      <c r="I520" s="22"/>
      <c r="J520" s="22"/>
      <c r="K520" s="22"/>
      <c r="L520" s="22"/>
      <c r="M520" s="22"/>
      <c r="N520" s="22"/>
      <c r="O520" s="22"/>
      <c r="P520" s="22"/>
      <c r="Q520" s="22"/>
      <c r="R520" s="22"/>
      <c r="S520" s="22"/>
      <c r="T520" s="22"/>
      <c r="U520" s="22"/>
      <c r="V520" s="22"/>
      <c r="W520" s="22"/>
      <c r="X520" s="22"/>
      <c r="Y520" s="22"/>
    </row>
    <row r="521" spans="1:25" ht="15.75" customHeight="1">
      <c r="A521" s="22"/>
      <c r="B521" s="22"/>
      <c r="C521" s="22"/>
      <c r="D521" s="22"/>
      <c r="E521" s="22"/>
      <c r="F521" s="22"/>
      <c r="G521" s="22"/>
      <c r="H521" s="22"/>
      <c r="I521" s="22"/>
      <c r="J521" s="22"/>
      <c r="K521" s="22"/>
      <c r="L521" s="22"/>
      <c r="M521" s="22"/>
      <c r="N521" s="22"/>
      <c r="O521" s="22"/>
      <c r="P521" s="22"/>
      <c r="Q521" s="22"/>
      <c r="R521" s="22"/>
      <c r="S521" s="22"/>
      <c r="T521" s="22"/>
      <c r="U521" s="22"/>
      <c r="V521" s="22"/>
      <c r="W521" s="22"/>
      <c r="X521" s="22"/>
      <c r="Y521" s="22"/>
    </row>
    <row r="522" spans="1:25" ht="15.75" customHeight="1">
      <c r="A522" s="22"/>
      <c r="B522" s="22"/>
      <c r="C522" s="22"/>
      <c r="D522" s="22"/>
      <c r="E522" s="22"/>
      <c r="F522" s="22"/>
      <c r="G522" s="22"/>
      <c r="H522" s="22"/>
      <c r="I522" s="22"/>
      <c r="J522" s="22"/>
      <c r="K522" s="22"/>
      <c r="L522" s="22"/>
      <c r="M522" s="22"/>
      <c r="N522" s="22"/>
      <c r="O522" s="22"/>
      <c r="P522" s="22"/>
      <c r="Q522" s="22"/>
      <c r="R522" s="22"/>
      <c r="S522" s="22"/>
      <c r="T522" s="22"/>
      <c r="U522" s="22"/>
      <c r="V522" s="22"/>
      <c r="W522" s="22"/>
      <c r="X522" s="22"/>
      <c r="Y522" s="22"/>
    </row>
    <row r="523" spans="1:25" ht="15.75" customHeight="1">
      <c r="A523" s="22"/>
      <c r="B523" s="22"/>
      <c r="C523" s="22"/>
      <c r="D523" s="22"/>
      <c r="E523" s="22"/>
      <c r="F523" s="22"/>
      <c r="G523" s="22"/>
      <c r="H523" s="22"/>
      <c r="I523" s="22"/>
      <c r="J523" s="22"/>
      <c r="K523" s="22"/>
      <c r="L523" s="22"/>
      <c r="M523" s="22"/>
      <c r="N523" s="22"/>
      <c r="O523" s="22"/>
      <c r="P523" s="22"/>
      <c r="Q523" s="22"/>
      <c r="R523" s="22"/>
      <c r="S523" s="22"/>
      <c r="T523" s="22"/>
      <c r="U523" s="22"/>
      <c r="V523" s="22"/>
      <c r="W523" s="22"/>
      <c r="X523" s="22"/>
      <c r="Y523" s="22"/>
    </row>
    <row r="524" spans="1:25" ht="15.75" customHeight="1">
      <c r="A524" s="22"/>
      <c r="B524" s="22"/>
      <c r="C524" s="22"/>
      <c r="D524" s="22"/>
      <c r="E524" s="22"/>
      <c r="F524" s="22"/>
      <c r="G524" s="22"/>
      <c r="H524" s="22"/>
      <c r="I524" s="22"/>
      <c r="J524" s="22"/>
      <c r="K524" s="22"/>
      <c r="L524" s="22"/>
      <c r="M524" s="22"/>
      <c r="N524" s="22"/>
      <c r="O524" s="22"/>
      <c r="P524" s="22"/>
      <c r="Q524" s="22"/>
      <c r="R524" s="22"/>
      <c r="S524" s="22"/>
      <c r="T524" s="22"/>
      <c r="U524" s="22"/>
      <c r="V524" s="22"/>
      <c r="W524" s="22"/>
      <c r="X524" s="22"/>
      <c r="Y524" s="22"/>
    </row>
    <row r="525" spans="1:25" ht="15.75" customHeight="1">
      <c r="A525" s="22"/>
      <c r="B525" s="22"/>
      <c r="C525" s="22"/>
      <c r="D525" s="22"/>
      <c r="E525" s="22"/>
      <c r="F525" s="22"/>
      <c r="G525" s="22"/>
      <c r="H525" s="22"/>
      <c r="I525" s="22"/>
      <c r="J525" s="22"/>
      <c r="K525" s="22"/>
      <c r="L525" s="22"/>
      <c r="M525" s="22"/>
      <c r="N525" s="22"/>
      <c r="O525" s="22"/>
      <c r="P525" s="22"/>
      <c r="Q525" s="22"/>
      <c r="R525" s="22"/>
      <c r="S525" s="22"/>
      <c r="T525" s="22"/>
      <c r="U525" s="22"/>
      <c r="V525" s="22"/>
      <c r="W525" s="22"/>
      <c r="X525" s="22"/>
      <c r="Y525" s="22"/>
    </row>
    <row r="526" spans="1:25" ht="15.75" customHeight="1">
      <c r="A526" s="22"/>
      <c r="B526" s="22"/>
      <c r="C526" s="22"/>
      <c r="D526" s="22"/>
      <c r="E526" s="22"/>
      <c r="F526" s="22"/>
      <c r="G526" s="22"/>
      <c r="H526" s="22"/>
      <c r="I526" s="22"/>
      <c r="J526" s="22"/>
      <c r="K526" s="22"/>
      <c r="L526" s="22"/>
      <c r="M526" s="22"/>
      <c r="N526" s="22"/>
      <c r="O526" s="22"/>
      <c r="P526" s="22"/>
      <c r="Q526" s="22"/>
      <c r="R526" s="22"/>
      <c r="S526" s="22"/>
      <c r="T526" s="22"/>
      <c r="U526" s="22"/>
      <c r="V526" s="22"/>
      <c r="W526" s="22"/>
      <c r="X526" s="22"/>
      <c r="Y526" s="22"/>
    </row>
    <row r="527" spans="1:25" ht="15.75" customHeight="1">
      <c r="A527" s="22"/>
      <c r="B527" s="22"/>
      <c r="C527" s="22"/>
      <c r="D527" s="22"/>
      <c r="E527" s="22"/>
      <c r="F527" s="22"/>
      <c r="G527" s="22"/>
      <c r="H527" s="22"/>
      <c r="I527" s="22"/>
      <c r="J527" s="22"/>
      <c r="K527" s="22"/>
      <c r="L527" s="22"/>
      <c r="M527" s="22"/>
      <c r="N527" s="22"/>
      <c r="O527" s="22"/>
      <c r="P527" s="22"/>
      <c r="Q527" s="22"/>
      <c r="R527" s="22"/>
      <c r="S527" s="22"/>
      <c r="T527" s="22"/>
      <c r="U527" s="22"/>
      <c r="V527" s="22"/>
      <c r="W527" s="22"/>
      <c r="X527" s="22"/>
      <c r="Y527" s="22"/>
    </row>
    <row r="528" spans="1:25" ht="15.75" customHeight="1">
      <c r="A528" s="22"/>
      <c r="B528" s="22"/>
      <c r="C528" s="22"/>
      <c r="D528" s="22"/>
      <c r="E528" s="22"/>
      <c r="F528" s="22"/>
      <c r="G528" s="22"/>
      <c r="H528" s="22"/>
      <c r="I528" s="22"/>
      <c r="J528" s="22"/>
      <c r="K528" s="22"/>
      <c r="L528" s="22"/>
      <c r="M528" s="22"/>
      <c r="N528" s="22"/>
      <c r="O528" s="22"/>
      <c r="P528" s="22"/>
      <c r="Q528" s="22"/>
      <c r="R528" s="22"/>
      <c r="S528" s="22"/>
      <c r="T528" s="22"/>
      <c r="U528" s="22"/>
      <c r="V528" s="22"/>
      <c r="W528" s="22"/>
      <c r="X528" s="22"/>
      <c r="Y528" s="22"/>
    </row>
    <row r="529" spans="1:25" ht="15.75" customHeight="1">
      <c r="A529" s="22"/>
      <c r="B529" s="22"/>
      <c r="C529" s="22"/>
      <c r="D529" s="22"/>
      <c r="E529" s="22"/>
      <c r="F529" s="22"/>
      <c r="G529" s="22"/>
      <c r="H529" s="22"/>
      <c r="I529" s="22"/>
      <c r="J529" s="22"/>
      <c r="K529" s="22"/>
      <c r="L529" s="22"/>
      <c r="M529" s="22"/>
      <c r="N529" s="22"/>
      <c r="O529" s="22"/>
      <c r="P529" s="22"/>
      <c r="Q529" s="22"/>
      <c r="R529" s="22"/>
      <c r="S529" s="22"/>
      <c r="T529" s="22"/>
      <c r="U529" s="22"/>
      <c r="V529" s="22"/>
      <c r="W529" s="22"/>
      <c r="X529" s="22"/>
      <c r="Y529" s="22"/>
    </row>
    <row r="530" spans="1:25" ht="15.75" customHeight="1">
      <c r="A530" s="22"/>
      <c r="B530" s="22"/>
      <c r="C530" s="22"/>
      <c r="D530" s="22"/>
      <c r="E530" s="22"/>
      <c r="F530" s="22"/>
      <c r="G530" s="22"/>
      <c r="H530" s="22"/>
      <c r="I530" s="22"/>
      <c r="J530" s="22"/>
      <c r="K530" s="22"/>
      <c r="L530" s="22"/>
      <c r="M530" s="22"/>
      <c r="N530" s="22"/>
      <c r="O530" s="22"/>
      <c r="P530" s="22"/>
      <c r="Q530" s="22"/>
      <c r="R530" s="22"/>
      <c r="S530" s="22"/>
      <c r="T530" s="22"/>
      <c r="U530" s="22"/>
      <c r="V530" s="22"/>
      <c r="W530" s="22"/>
      <c r="X530" s="22"/>
      <c r="Y530" s="22"/>
    </row>
    <row r="531" spans="1:25" ht="15.75" customHeight="1">
      <c r="A531" s="22"/>
      <c r="B531" s="22"/>
      <c r="C531" s="22"/>
      <c r="D531" s="22"/>
      <c r="E531" s="22"/>
      <c r="F531" s="22"/>
      <c r="G531" s="22"/>
      <c r="H531" s="22"/>
      <c r="I531" s="22"/>
      <c r="J531" s="22"/>
      <c r="K531" s="22"/>
      <c r="L531" s="22"/>
      <c r="M531" s="22"/>
      <c r="N531" s="22"/>
      <c r="O531" s="22"/>
      <c r="P531" s="22"/>
      <c r="Q531" s="22"/>
      <c r="R531" s="22"/>
      <c r="S531" s="22"/>
      <c r="T531" s="22"/>
      <c r="U531" s="22"/>
      <c r="V531" s="22"/>
      <c r="W531" s="22"/>
      <c r="X531" s="22"/>
      <c r="Y531" s="22"/>
    </row>
    <row r="532" spans="1:25" ht="15.75" customHeight="1">
      <c r="A532" s="22"/>
      <c r="B532" s="22"/>
      <c r="C532" s="22"/>
      <c r="D532" s="22"/>
      <c r="E532" s="22"/>
      <c r="F532" s="22"/>
      <c r="G532" s="22"/>
      <c r="H532" s="22"/>
      <c r="I532" s="22"/>
      <c r="J532" s="22"/>
      <c r="K532" s="22"/>
      <c r="L532" s="22"/>
      <c r="M532" s="22"/>
      <c r="N532" s="22"/>
      <c r="O532" s="22"/>
      <c r="P532" s="22"/>
      <c r="Q532" s="22"/>
      <c r="R532" s="22"/>
      <c r="S532" s="22"/>
      <c r="T532" s="22"/>
      <c r="U532" s="22"/>
      <c r="V532" s="22"/>
      <c r="W532" s="22"/>
      <c r="X532" s="22"/>
      <c r="Y532" s="22"/>
    </row>
    <row r="533" spans="1:25" ht="15.75" customHeight="1">
      <c r="A533" s="22"/>
      <c r="B533" s="22"/>
      <c r="C533" s="22"/>
      <c r="D533" s="22"/>
      <c r="E533" s="22"/>
      <c r="F533" s="22"/>
      <c r="G533" s="22"/>
      <c r="H533" s="22"/>
      <c r="I533" s="22"/>
      <c r="J533" s="22"/>
      <c r="K533" s="22"/>
      <c r="L533" s="22"/>
      <c r="M533" s="22"/>
      <c r="N533" s="22"/>
      <c r="O533" s="22"/>
      <c r="P533" s="22"/>
      <c r="Q533" s="22"/>
      <c r="R533" s="22"/>
      <c r="S533" s="22"/>
      <c r="T533" s="22"/>
      <c r="U533" s="22"/>
      <c r="V533" s="22"/>
      <c r="W533" s="22"/>
      <c r="X533" s="22"/>
      <c r="Y533" s="22"/>
    </row>
    <row r="534" spans="1:25" ht="15.75" customHeight="1">
      <c r="A534" s="22"/>
      <c r="B534" s="22"/>
      <c r="C534" s="22"/>
      <c r="D534" s="22"/>
      <c r="E534" s="22"/>
      <c r="F534" s="22"/>
      <c r="G534" s="22"/>
      <c r="H534" s="22"/>
      <c r="I534" s="22"/>
      <c r="J534" s="22"/>
      <c r="K534" s="22"/>
      <c r="L534" s="22"/>
      <c r="M534" s="22"/>
      <c r="N534" s="22"/>
      <c r="O534" s="22"/>
      <c r="P534" s="22"/>
      <c r="Q534" s="22"/>
      <c r="R534" s="22"/>
      <c r="S534" s="22"/>
      <c r="T534" s="22"/>
      <c r="U534" s="22"/>
      <c r="V534" s="22"/>
      <c r="W534" s="22"/>
      <c r="X534" s="22"/>
      <c r="Y534" s="22"/>
    </row>
    <row r="535" spans="1:25" ht="15.75" customHeight="1">
      <c r="A535" s="22"/>
      <c r="B535" s="22"/>
      <c r="C535" s="22"/>
      <c r="D535" s="22"/>
      <c r="E535" s="22"/>
      <c r="F535" s="22"/>
      <c r="G535" s="22"/>
      <c r="H535" s="22"/>
      <c r="I535" s="22"/>
      <c r="J535" s="22"/>
      <c r="K535" s="22"/>
      <c r="L535" s="22"/>
      <c r="M535" s="22"/>
      <c r="N535" s="22"/>
      <c r="O535" s="22"/>
      <c r="P535" s="22"/>
      <c r="Q535" s="22"/>
      <c r="R535" s="22"/>
      <c r="S535" s="22"/>
      <c r="T535" s="22"/>
      <c r="U535" s="22"/>
      <c r="V535" s="22"/>
      <c r="W535" s="22"/>
      <c r="X535" s="22"/>
      <c r="Y535" s="22"/>
    </row>
    <row r="536" spans="1:25" ht="15.75" customHeight="1">
      <c r="A536" s="22"/>
      <c r="B536" s="22"/>
      <c r="C536" s="22"/>
      <c r="D536" s="22"/>
      <c r="E536" s="22"/>
      <c r="F536" s="22"/>
      <c r="G536" s="22"/>
      <c r="H536" s="22"/>
      <c r="I536" s="22"/>
      <c r="J536" s="22"/>
      <c r="K536" s="22"/>
      <c r="L536" s="22"/>
      <c r="M536" s="22"/>
      <c r="N536" s="22"/>
      <c r="O536" s="22"/>
      <c r="P536" s="22"/>
      <c r="Q536" s="22"/>
      <c r="R536" s="22"/>
      <c r="S536" s="22"/>
      <c r="T536" s="22"/>
      <c r="U536" s="22"/>
      <c r="V536" s="22"/>
      <c r="W536" s="22"/>
      <c r="X536" s="22"/>
      <c r="Y536" s="22"/>
    </row>
    <row r="537" spans="1:25" ht="15.75" customHeight="1">
      <c r="A537" s="22"/>
      <c r="B537" s="22"/>
      <c r="C537" s="22"/>
      <c r="D537" s="22"/>
      <c r="E537" s="22"/>
      <c r="F537" s="22"/>
      <c r="G537" s="22"/>
      <c r="H537" s="22"/>
      <c r="I537" s="22"/>
      <c r="J537" s="22"/>
      <c r="K537" s="22"/>
      <c r="L537" s="22"/>
      <c r="M537" s="22"/>
      <c r="N537" s="22"/>
      <c r="O537" s="22"/>
      <c r="P537" s="22"/>
      <c r="Q537" s="22"/>
      <c r="R537" s="22"/>
      <c r="S537" s="22"/>
      <c r="T537" s="22"/>
      <c r="U537" s="22"/>
      <c r="V537" s="22"/>
      <c r="W537" s="22"/>
      <c r="X537" s="22"/>
      <c r="Y537" s="22"/>
    </row>
    <row r="538" spans="1:25" ht="15.75" customHeight="1">
      <c r="A538" s="22"/>
      <c r="B538" s="22"/>
      <c r="C538" s="22"/>
      <c r="D538" s="22"/>
      <c r="E538" s="22"/>
      <c r="F538" s="22"/>
      <c r="G538" s="22"/>
      <c r="H538" s="22"/>
      <c r="I538" s="22"/>
      <c r="J538" s="22"/>
      <c r="K538" s="22"/>
      <c r="L538" s="22"/>
      <c r="M538" s="22"/>
      <c r="N538" s="22"/>
      <c r="O538" s="22"/>
      <c r="P538" s="22"/>
      <c r="Q538" s="22"/>
      <c r="R538" s="22"/>
      <c r="S538" s="22"/>
      <c r="T538" s="22"/>
      <c r="U538" s="22"/>
      <c r="V538" s="22"/>
      <c r="W538" s="22"/>
      <c r="X538" s="22"/>
      <c r="Y538" s="22"/>
    </row>
    <row r="539" spans="1:25" ht="15.75" customHeight="1">
      <c r="A539" s="22"/>
      <c r="B539" s="22"/>
      <c r="C539" s="22"/>
      <c r="D539" s="22"/>
      <c r="E539" s="22"/>
      <c r="F539" s="22"/>
      <c r="G539" s="22"/>
      <c r="H539" s="22"/>
      <c r="I539" s="22"/>
      <c r="J539" s="22"/>
      <c r="K539" s="22"/>
      <c r="L539" s="22"/>
      <c r="M539" s="22"/>
      <c r="N539" s="22"/>
      <c r="O539" s="22"/>
      <c r="P539" s="22"/>
      <c r="Q539" s="22"/>
      <c r="R539" s="22"/>
      <c r="S539" s="22"/>
      <c r="T539" s="22"/>
      <c r="U539" s="22"/>
      <c r="V539" s="22"/>
      <c r="W539" s="22"/>
      <c r="X539" s="22"/>
      <c r="Y539" s="22"/>
    </row>
    <row r="540" spans="1:25" ht="15.75" customHeight="1">
      <c r="A540" s="22"/>
      <c r="B540" s="22"/>
      <c r="C540" s="22"/>
      <c r="D540" s="22"/>
      <c r="E540" s="22"/>
      <c r="F540" s="22"/>
      <c r="G540" s="22"/>
      <c r="H540" s="22"/>
      <c r="I540" s="22"/>
      <c r="J540" s="22"/>
      <c r="K540" s="22"/>
      <c r="L540" s="22"/>
      <c r="M540" s="22"/>
      <c r="N540" s="22"/>
      <c r="O540" s="22"/>
      <c r="P540" s="22"/>
      <c r="Q540" s="22"/>
      <c r="R540" s="22"/>
      <c r="S540" s="22"/>
      <c r="T540" s="22"/>
      <c r="U540" s="22"/>
      <c r="V540" s="22"/>
      <c r="W540" s="22"/>
      <c r="X540" s="22"/>
      <c r="Y540" s="22"/>
    </row>
    <row r="541" spans="1:25" ht="15.75" customHeight="1">
      <c r="A541" s="22"/>
      <c r="B541" s="22"/>
      <c r="C541" s="22"/>
      <c r="D541" s="22"/>
      <c r="E541" s="22"/>
      <c r="F541" s="22"/>
      <c r="G541" s="22"/>
      <c r="H541" s="22"/>
      <c r="I541" s="22"/>
      <c r="J541" s="22"/>
      <c r="K541" s="22"/>
      <c r="L541" s="22"/>
      <c r="M541" s="22"/>
      <c r="N541" s="22"/>
      <c r="O541" s="22"/>
      <c r="P541" s="22"/>
      <c r="Q541" s="22"/>
      <c r="R541" s="22"/>
      <c r="S541" s="22"/>
      <c r="T541" s="22"/>
      <c r="U541" s="22"/>
      <c r="V541" s="22"/>
      <c r="W541" s="22"/>
      <c r="X541" s="22"/>
      <c r="Y541" s="22"/>
    </row>
    <row r="542" spans="1:25" ht="15.75" customHeight="1">
      <c r="A542" s="22"/>
      <c r="B542" s="22"/>
      <c r="C542" s="22"/>
      <c r="D542" s="22"/>
      <c r="E542" s="22"/>
      <c r="F542" s="22"/>
      <c r="G542" s="22"/>
      <c r="H542" s="22"/>
      <c r="I542" s="22"/>
      <c r="J542" s="22"/>
      <c r="K542" s="22"/>
      <c r="L542" s="22"/>
      <c r="M542" s="22"/>
      <c r="N542" s="22"/>
      <c r="O542" s="22"/>
      <c r="P542" s="22"/>
      <c r="Q542" s="22"/>
      <c r="R542" s="22"/>
      <c r="S542" s="22"/>
      <c r="T542" s="22"/>
      <c r="U542" s="22"/>
      <c r="V542" s="22"/>
      <c r="W542" s="22"/>
      <c r="X542" s="22"/>
      <c r="Y542" s="22"/>
    </row>
    <row r="543" spans="1:25" ht="15.75" customHeight="1">
      <c r="A543" s="22"/>
      <c r="B543" s="22"/>
      <c r="C543" s="22"/>
      <c r="D543" s="22"/>
      <c r="E543" s="22"/>
      <c r="F543" s="22"/>
      <c r="G543" s="22"/>
      <c r="H543" s="22"/>
      <c r="I543" s="22"/>
      <c r="J543" s="22"/>
      <c r="K543" s="22"/>
      <c r="L543" s="22"/>
      <c r="M543" s="22"/>
      <c r="N543" s="22"/>
      <c r="O543" s="22"/>
      <c r="P543" s="22"/>
      <c r="Q543" s="22"/>
      <c r="R543" s="22"/>
      <c r="S543" s="22"/>
      <c r="T543" s="22"/>
      <c r="U543" s="22"/>
      <c r="V543" s="22"/>
      <c r="W543" s="22"/>
      <c r="X543" s="22"/>
      <c r="Y543" s="22"/>
    </row>
    <row r="544" spans="1:25" ht="15.75" customHeight="1">
      <c r="A544" s="22"/>
      <c r="B544" s="22"/>
      <c r="C544" s="22"/>
      <c r="D544" s="22"/>
      <c r="E544" s="22"/>
      <c r="F544" s="22"/>
      <c r="G544" s="22"/>
      <c r="H544" s="22"/>
      <c r="I544" s="22"/>
      <c r="J544" s="22"/>
      <c r="K544" s="22"/>
      <c r="L544" s="22"/>
      <c r="M544" s="22"/>
      <c r="N544" s="22"/>
      <c r="O544" s="22"/>
      <c r="P544" s="22"/>
      <c r="Q544" s="22"/>
      <c r="R544" s="22"/>
      <c r="S544" s="22"/>
      <c r="T544" s="22"/>
      <c r="U544" s="22"/>
      <c r="V544" s="22"/>
      <c r="W544" s="22"/>
      <c r="X544" s="22"/>
      <c r="Y544" s="22"/>
    </row>
    <row r="545" spans="1:25" ht="15.75" customHeight="1">
      <c r="A545" s="22"/>
      <c r="B545" s="22"/>
      <c r="C545" s="22"/>
      <c r="D545" s="22"/>
      <c r="E545" s="22"/>
      <c r="F545" s="22"/>
      <c r="G545" s="22"/>
      <c r="H545" s="22"/>
      <c r="I545" s="22"/>
      <c r="J545" s="22"/>
      <c r="K545" s="22"/>
      <c r="L545" s="22"/>
      <c r="M545" s="22"/>
      <c r="N545" s="22"/>
      <c r="O545" s="22"/>
      <c r="P545" s="22"/>
      <c r="Q545" s="22"/>
      <c r="R545" s="22"/>
      <c r="S545" s="22"/>
      <c r="T545" s="22"/>
      <c r="U545" s="22"/>
      <c r="V545" s="22"/>
      <c r="W545" s="22"/>
      <c r="X545" s="22"/>
      <c r="Y545" s="22"/>
    </row>
    <row r="546" spans="1:25" ht="15.75" customHeight="1">
      <c r="A546" s="22"/>
      <c r="B546" s="22"/>
      <c r="C546" s="22"/>
      <c r="D546" s="22"/>
      <c r="E546" s="22"/>
      <c r="F546" s="22"/>
      <c r="G546" s="22"/>
      <c r="H546" s="22"/>
      <c r="I546" s="22"/>
      <c r="J546" s="22"/>
      <c r="K546" s="22"/>
      <c r="L546" s="22"/>
      <c r="M546" s="22"/>
      <c r="N546" s="22"/>
      <c r="O546" s="22"/>
      <c r="P546" s="22"/>
      <c r="Q546" s="22"/>
      <c r="R546" s="22"/>
      <c r="S546" s="22"/>
      <c r="T546" s="22"/>
      <c r="U546" s="22"/>
      <c r="V546" s="22"/>
      <c r="W546" s="22"/>
      <c r="X546" s="22"/>
      <c r="Y546" s="22"/>
    </row>
    <row r="547" spans="1:25" ht="15.75" customHeight="1">
      <c r="A547" s="22"/>
      <c r="B547" s="22"/>
      <c r="C547" s="22"/>
      <c r="D547" s="22"/>
      <c r="E547" s="22"/>
      <c r="F547" s="22"/>
      <c r="G547" s="22"/>
      <c r="H547" s="22"/>
      <c r="I547" s="22"/>
      <c r="J547" s="22"/>
      <c r="K547" s="22"/>
      <c r="L547" s="22"/>
      <c r="M547" s="22"/>
      <c r="N547" s="22"/>
      <c r="O547" s="22"/>
      <c r="P547" s="22"/>
      <c r="Q547" s="22"/>
      <c r="R547" s="22"/>
      <c r="S547" s="22"/>
      <c r="T547" s="22"/>
      <c r="U547" s="22"/>
      <c r="V547" s="22"/>
      <c r="W547" s="22"/>
      <c r="X547" s="22"/>
      <c r="Y547" s="22"/>
    </row>
    <row r="548" spans="1:25" ht="15.75" customHeight="1">
      <c r="A548" s="22"/>
      <c r="B548" s="22"/>
      <c r="C548" s="22"/>
      <c r="D548" s="22"/>
      <c r="E548" s="22"/>
      <c r="F548" s="22"/>
      <c r="G548" s="22"/>
      <c r="H548" s="22"/>
      <c r="I548" s="22"/>
      <c r="J548" s="22"/>
      <c r="K548" s="22"/>
      <c r="L548" s="22"/>
      <c r="M548" s="22"/>
      <c r="N548" s="22"/>
      <c r="O548" s="22"/>
      <c r="P548" s="22"/>
      <c r="Q548" s="22"/>
      <c r="R548" s="22"/>
      <c r="S548" s="22"/>
      <c r="T548" s="22"/>
      <c r="U548" s="22"/>
      <c r="V548" s="22"/>
      <c r="W548" s="22"/>
      <c r="X548" s="22"/>
      <c r="Y548" s="22"/>
    </row>
    <row r="549" spans="1:25" ht="15.75" customHeight="1">
      <c r="A549" s="22"/>
      <c r="B549" s="22"/>
      <c r="C549" s="22"/>
      <c r="D549" s="22"/>
      <c r="E549" s="22"/>
      <c r="F549" s="22"/>
      <c r="G549" s="22"/>
      <c r="H549" s="22"/>
      <c r="I549" s="22"/>
      <c r="J549" s="22"/>
      <c r="K549" s="22"/>
      <c r="L549" s="22"/>
      <c r="M549" s="22"/>
      <c r="N549" s="22"/>
      <c r="O549" s="22"/>
      <c r="P549" s="22"/>
      <c r="Q549" s="22"/>
      <c r="R549" s="22"/>
      <c r="S549" s="22"/>
      <c r="T549" s="22"/>
      <c r="U549" s="22"/>
      <c r="V549" s="22"/>
      <c r="W549" s="22"/>
      <c r="X549" s="22"/>
      <c r="Y549" s="22"/>
    </row>
    <row r="550" spans="1:25" ht="15.75" customHeight="1">
      <c r="A550" s="22"/>
      <c r="B550" s="22"/>
      <c r="C550" s="22"/>
      <c r="D550" s="22"/>
      <c r="E550" s="22"/>
      <c r="F550" s="22"/>
      <c r="G550" s="22"/>
      <c r="H550" s="22"/>
      <c r="I550" s="22"/>
      <c r="J550" s="22"/>
      <c r="K550" s="22"/>
      <c r="L550" s="22"/>
      <c r="M550" s="22"/>
      <c r="N550" s="22"/>
      <c r="O550" s="22"/>
      <c r="P550" s="22"/>
      <c r="Q550" s="22"/>
      <c r="R550" s="22"/>
      <c r="S550" s="22"/>
      <c r="T550" s="22"/>
      <c r="U550" s="22"/>
      <c r="V550" s="22"/>
      <c r="W550" s="22"/>
      <c r="X550" s="22"/>
      <c r="Y550" s="22"/>
    </row>
    <row r="551" spans="1:25" ht="15.75" customHeight="1">
      <c r="A551" s="22"/>
      <c r="B551" s="22"/>
      <c r="C551" s="22"/>
      <c r="D551" s="22"/>
      <c r="E551" s="22"/>
      <c r="F551" s="22"/>
      <c r="G551" s="22"/>
      <c r="H551" s="22"/>
      <c r="I551" s="22"/>
      <c r="J551" s="22"/>
      <c r="K551" s="22"/>
      <c r="L551" s="22"/>
      <c r="M551" s="22"/>
      <c r="N551" s="22"/>
      <c r="O551" s="22"/>
      <c r="P551" s="22"/>
      <c r="Q551" s="22"/>
      <c r="R551" s="22"/>
      <c r="S551" s="22"/>
      <c r="T551" s="22"/>
      <c r="U551" s="22"/>
      <c r="V551" s="22"/>
      <c r="W551" s="22"/>
      <c r="X551" s="22"/>
      <c r="Y551" s="22"/>
    </row>
    <row r="552" spans="1:25" ht="15.75" customHeight="1">
      <c r="A552" s="22"/>
      <c r="B552" s="22"/>
      <c r="C552" s="22"/>
      <c r="D552" s="22"/>
      <c r="E552" s="22"/>
      <c r="F552" s="22"/>
      <c r="G552" s="22"/>
      <c r="H552" s="22"/>
      <c r="I552" s="22"/>
      <c r="J552" s="22"/>
      <c r="K552" s="22"/>
      <c r="L552" s="22"/>
      <c r="M552" s="22"/>
      <c r="N552" s="22"/>
      <c r="O552" s="22"/>
      <c r="P552" s="22"/>
      <c r="Q552" s="22"/>
      <c r="R552" s="22"/>
      <c r="S552" s="22"/>
      <c r="T552" s="22"/>
      <c r="U552" s="22"/>
      <c r="V552" s="22"/>
      <c r="W552" s="22"/>
      <c r="X552" s="22"/>
      <c r="Y552" s="22"/>
    </row>
    <row r="553" spans="1:25" ht="15.75" customHeight="1">
      <c r="A553" s="22"/>
      <c r="B553" s="22"/>
      <c r="C553" s="22"/>
      <c r="D553" s="22"/>
      <c r="E553" s="22"/>
      <c r="F553" s="22"/>
      <c r="G553" s="22"/>
      <c r="H553" s="22"/>
      <c r="I553" s="22"/>
      <c r="J553" s="22"/>
      <c r="K553" s="22"/>
      <c r="L553" s="22"/>
      <c r="M553" s="22"/>
      <c r="N553" s="22"/>
      <c r="O553" s="22"/>
      <c r="P553" s="22"/>
      <c r="Q553" s="22"/>
      <c r="R553" s="22"/>
      <c r="S553" s="22"/>
      <c r="T553" s="22"/>
      <c r="U553" s="22"/>
      <c r="V553" s="22"/>
      <c r="W553" s="22"/>
      <c r="X553" s="22"/>
      <c r="Y553" s="22"/>
    </row>
    <row r="554" spans="1:25" ht="15.75" customHeight="1">
      <c r="A554" s="22"/>
      <c r="B554" s="22"/>
      <c r="C554" s="22"/>
      <c r="D554" s="22"/>
      <c r="E554" s="22"/>
      <c r="F554" s="22"/>
      <c r="G554" s="22"/>
      <c r="H554" s="22"/>
      <c r="I554" s="22"/>
      <c r="J554" s="22"/>
      <c r="K554" s="22"/>
      <c r="L554" s="22"/>
      <c r="M554" s="22"/>
      <c r="N554" s="22"/>
      <c r="O554" s="22"/>
      <c r="P554" s="22"/>
      <c r="Q554" s="22"/>
      <c r="R554" s="22"/>
      <c r="S554" s="22"/>
      <c r="T554" s="22"/>
      <c r="U554" s="22"/>
      <c r="V554" s="22"/>
      <c r="W554" s="22"/>
      <c r="X554" s="22"/>
      <c r="Y554" s="22"/>
    </row>
    <row r="555" spans="1:25" ht="15.75" customHeight="1">
      <c r="A555" s="22"/>
      <c r="B555" s="22"/>
      <c r="C555" s="22"/>
      <c r="D555" s="22"/>
      <c r="E555" s="22"/>
      <c r="F555" s="22"/>
      <c r="G555" s="22"/>
      <c r="H555" s="22"/>
      <c r="I555" s="22"/>
      <c r="J555" s="22"/>
      <c r="K555" s="22"/>
      <c r="L555" s="22"/>
      <c r="M555" s="22"/>
      <c r="N555" s="22"/>
      <c r="O555" s="22"/>
      <c r="P555" s="22"/>
      <c r="Q555" s="22"/>
      <c r="R555" s="22"/>
      <c r="S555" s="22"/>
      <c r="T555" s="22"/>
      <c r="U555" s="22"/>
      <c r="V555" s="22"/>
      <c r="W555" s="22"/>
      <c r="X555" s="22"/>
      <c r="Y555" s="22"/>
    </row>
    <row r="556" spans="1:25" ht="15.75" customHeight="1">
      <c r="A556" s="22"/>
      <c r="B556" s="22"/>
      <c r="C556" s="22"/>
      <c r="D556" s="22"/>
      <c r="E556" s="22"/>
      <c r="F556" s="22"/>
      <c r="G556" s="22"/>
      <c r="H556" s="22"/>
      <c r="I556" s="22"/>
      <c r="J556" s="22"/>
      <c r="K556" s="22"/>
      <c r="L556" s="22"/>
      <c r="M556" s="22"/>
      <c r="N556" s="22"/>
      <c r="O556" s="22"/>
      <c r="P556" s="22"/>
      <c r="Q556" s="22"/>
      <c r="R556" s="22"/>
      <c r="S556" s="22"/>
      <c r="T556" s="22"/>
      <c r="U556" s="22"/>
      <c r="V556" s="22"/>
      <c r="W556" s="22"/>
      <c r="X556" s="22"/>
      <c r="Y556" s="22"/>
    </row>
    <row r="557" spans="1:25" ht="15.75" customHeight="1">
      <c r="A557" s="22"/>
      <c r="B557" s="22"/>
      <c r="C557" s="22"/>
      <c r="D557" s="22"/>
      <c r="E557" s="22"/>
      <c r="F557" s="22"/>
      <c r="G557" s="22"/>
      <c r="H557" s="22"/>
      <c r="I557" s="22"/>
      <c r="J557" s="22"/>
      <c r="K557" s="22"/>
      <c r="L557" s="22"/>
      <c r="M557" s="22"/>
      <c r="N557" s="22"/>
      <c r="O557" s="22"/>
      <c r="P557" s="22"/>
      <c r="Q557" s="22"/>
      <c r="R557" s="22"/>
      <c r="S557" s="22"/>
      <c r="T557" s="22"/>
      <c r="U557" s="22"/>
      <c r="V557" s="22"/>
      <c r="W557" s="22"/>
      <c r="X557" s="22"/>
      <c r="Y557" s="22"/>
    </row>
    <row r="558" spans="1:25" ht="15.75" customHeight="1">
      <c r="A558" s="22"/>
      <c r="B558" s="22"/>
      <c r="C558" s="22"/>
      <c r="D558" s="22"/>
      <c r="E558" s="22"/>
      <c r="F558" s="22"/>
      <c r="G558" s="22"/>
      <c r="H558" s="22"/>
      <c r="I558" s="22"/>
      <c r="J558" s="22"/>
      <c r="K558" s="22"/>
      <c r="L558" s="22"/>
      <c r="M558" s="22"/>
      <c r="N558" s="22"/>
      <c r="O558" s="22"/>
      <c r="P558" s="22"/>
      <c r="Q558" s="22"/>
      <c r="R558" s="22"/>
      <c r="S558" s="22"/>
      <c r="T558" s="22"/>
      <c r="U558" s="22"/>
      <c r="V558" s="22"/>
      <c r="W558" s="22"/>
      <c r="X558" s="22"/>
      <c r="Y558" s="22"/>
    </row>
    <row r="559" spans="1:25" ht="15.75" customHeight="1">
      <c r="A559" s="22"/>
      <c r="B559" s="22"/>
      <c r="C559" s="22"/>
      <c r="D559" s="22"/>
      <c r="E559" s="22"/>
      <c r="F559" s="22"/>
      <c r="G559" s="22"/>
      <c r="H559" s="22"/>
      <c r="I559" s="22"/>
      <c r="J559" s="22"/>
      <c r="K559" s="22"/>
      <c r="L559" s="22"/>
      <c r="M559" s="22"/>
      <c r="N559" s="22"/>
      <c r="O559" s="22"/>
      <c r="P559" s="22"/>
      <c r="Q559" s="22"/>
      <c r="R559" s="22"/>
      <c r="S559" s="22"/>
      <c r="T559" s="22"/>
      <c r="U559" s="22"/>
      <c r="V559" s="22"/>
      <c r="W559" s="22"/>
      <c r="X559" s="22"/>
      <c r="Y559" s="22"/>
    </row>
    <row r="560" spans="1:25" ht="15.75" customHeight="1">
      <c r="A560" s="22"/>
      <c r="B560" s="22"/>
      <c r="C560" s="22"/>
      <c r="D560" s="22"/>
      <c r="E560" s="22"/>
      <c r="F560" s="22"/>
      <c r="G560" s="22"/>
      <c r="H560" s="22"/>
      <c r="I560" s="22"/>
      <c r="J560" s="22"/>
      <c r="K560" s="22"/>
      <c r="L560" s="22"/>
      <c r="M560" s="22"/>
      <c r="N560" s="22"/>
      <c r="O560" s="22"/>
      <c r="P560" s="22"/>
      <c r="Q560" s="22"/>
      <c r="R560" s="22"/>
      <c r="S560" s="22"/>
      <c r="T560" s="22"/>
      <c r="U560" s="22"/>
      <c r="V560" s="22"/>
      <c r="W560" s="22"/>
      <c r="X560" s="22"/>
      <c r="Y560" s="22"/>
    </row>
    <row r="561" spans="1:25" ht="15.75" customHeight="1">
      <c r="A561" s="22"/>
      <c r="B561" s="22"/>
      <c r="C561" s="22"/>
      <c r="D561" s="22"/>
      <c r="E561" s="22"/>
      <c r="F561" s="22"/>
      <c r="G561" s="22"/>
      <c r="H561" s="22"/>
      <c r="I561" s="22"/>
      <c r="J561" s="22"/>
      <c r="K561" s="22"/>
      <c r="L561" s="22"/>
      <c r="M561" s="22"/>
      <c r="N561" s="22"/>
      <c r="O561" s="22"/>
      <c r="P561" s="22"/>
      <c r="Q561" s="22"/>
      <c r="R561" s="22"/>
      <c r="S561" s="22"/>
      <c r="T561" s="22"/>
      <c r="U561" s="22"/>
      <c r="V561" s="22"/>
      <c r="W561" s="22"/>
      <c r="X561" s="22"/>
      <c r="Y561" s="22"/>
    </row>
    <row r="562" spans="1:25" ht="15.75" customHeight="1">
      <c r="A562" s="22"/>
      <c r="B562" s="22"/>
      <c r="C562" s="22"/>
      <c r="D562" s="22"/>
      <c r="E562" s="22"/>
      <c r="F562" s="22"/>
      <c r="G562" s="22"/>
      <c r="H562" s="22"/>
      <c r="I562" s="22"/>
      <c r="J562" s="22"/>
      <c r="K562" s="22"/>
      <c r="L562" s="22"/>
      <c r="M562" s="22"/>
      <c r="N562" s="22"/>
      <c r="O562" s="22"/>
      <c r="P562" s="22"/>
      <c r="Q562" s="22"/>
      <c r="R562" s="22"/>
      <c r="S562" s="22"/>
      <c r="T562" s="22"/>
      <c r="U562" s="22"/>
      <c r="V562" s="22"/>
      <c r="W562" s="22"/>
      <c r="X562" s="22"/>
      <c r="Y562" s="22"/>
    </row>
    <row r="563" spans="1:25" ht="15.75" customHeight="1">
      <c r="A563" s="22"/>
      <c r="B563" s="22"/>
      <c r="C563" s="22"/>
      <c r="D563" s="22"/>
      <c r="E563" s="22"/>
      <c r="F563" s="22"/>
      <c r="G563" s="22"/>
      <c r="H563" s="22"/>
      <c r="I563" s="22"/>
      <c r="J563" s="22"/>
      <c r="K563" s="22"/>
      <c r="L563" s="22"/>
      <c r="M563" s="22"/>
      <c r="N563" s="22"/>
      <c r="O563" s="22"/>
      <c r="P563" s="22"/>
      <c r="Q563" s="22"/>
      <c r="R563" s="22"/>
      <c r="S563" s="22"/>
      <c r="T563" s="22"/>
      <c r="U563" s="22"/>
      <c r="V563" s="22"/>
      <c r="W563" s="22"/>
      <c r="X563" s="22"/>
      <c r="Y563" s="22"/>
    </row>
    <row r="564" spans="1:25" ht="15.75" customHeight="1">
      <c r="A564" s="22"/>
      <c r="B564" s="22"/>
      <c r="C564" s="22"/>
      <c r="D564" s="22"/>
      <c r="E564" s="22"/>
      <c r="F564" s="22"/>
      <c r="G564" s="22"/>
      <c r="H564" s="22"/>
      <c r="I564" s="22"/>
      <c r="J564" s="22"/>
      <c r="K564" s="22"/>
      <c r="L564" s="22"/>
      <c r="M564" s="22"/>
      <c r="N564" s="22"/>
      <c r="O564" s="22"/>
      <c r="P564" s="22"/>
      <c r="Q564" s="22"/>
      <c r="R564" s="22"/>
      <c r="S564" s="22"/>
      <c r="T564" s="22"/>
      <c r="U564" s="22"/>
      <c r="V564" s="22"/>
      <c r="W564" s="22"/>
      <c r="X564" s="22"/>
      <c r="Y564" s="22"/>
    </row>
    <row r="565" spans="1:25" ht="15.75" customHeight="1">
      <c r="A565" s="22"/>
      <c r="B565" s="22"/>
      <c r="C565" s="22"/>
      <c r="D565" s="22"/>
      <c r="E565" s="22"/>
      <c r="F565" s="22"/>
      <c r="G565" s="22"/>
      <c r="H565" s="22"/>
      <c r="I565" s="22"/>
      <c r="J565" s="22"/>
      <c r="K565" s="22"/>
      <c r="L565" s="22"/>
      <c r="M565" s="22"/>
      <c r="N565" s="22"/>
      <c r="O565" s="22"/>
      <c r="P565" s="22"/>
      <c r="Q565" s="22"/>
      <c r="R565" s="22"/>
      <c r="S565" s="22"/>
      <c r="T565" s="22"/>
      <c r="U565" s="22"/>
      <c r="V565" s="22"/>
      <c r="W565" s="22"/>
      <c r="X565" s="22"/>
      <c r="Y565" s="22"/>
    </row>
    <row r="566" spans="1:25" ht="15.75" customHeight="1">
      <c r="A566" s="22"/>
      <c r="B566" s="22"/>
      <c r="C566" s="22"/>
      <c r="D566" s="22"/>
      <c r="E566" s="22"/>
      <c r="F566" s="22"/>
      <c r="G566" s="22"/>
      <c r="H566" s="22"/>
      <c r="I566" s="22"/>
      <c r="J566" s="22"/>
      <c r="K566" s="22"/>
      <c r="L566" s="22"/>
      <c r="M566" s="22"/>
      <c r="N566" s="22"/>
      <c r="O566" s="22"/>
      <c r="P566" s="22"/>
      <c r="Q566" s="22"/>
      <c r="R566" s="22"/>
      <c r="S566" s="22"/>
      <c r="T566" s="22"/>
      <c r="U566" s="22"/>
      <c r="V566" s="22"/>
      <c r="W566" s="22"/>
      <c r="X566" s="22"/>
      <c r="Y566" s="22"/>
    </row>
    <row r="567" spans="1:25" ht="15.75" customHeight="1">
      <c r="A567" s="22"/>
      <c r="B567" s="22"/>
      <c r="C567" s="22"/>
      <c r="D567" s="22"/>
      <c r="E567" s="22"/>
      <c r="F567" s="22"/>
      <c r="G567" s="22"/>
      <c r="H567" s="22"/>
      <c r="I567" s="22"/>
      <c r="J567" s="22"/>
      <c r="K567" s="22"/>
      <c r="L567" s="22"/>
      <c r="M567" s="22"/>
      <c r="N567" s="22"/>
      <c r="O567" s="22"/>
      <c r="P567" s="22"/>
      <c r="Q567" s="22"/>
      <c r="R567" s="22"/>
      <c r="S567" s="22"/>
      <c r="T567" s="22"/>
      <c r="U567" s="22"/>
      <c r="V567" s="22"/>
      <c r="W567" s="22"/>
      <c r="X567" s="22"/>
      <c r="Y567" s="22"/>
    </row>
    <row r="568" spans="1:25" ht="15.75" customHeight="1">
      <c r="A568" s="22"/>
      <c r="B568" s="22"/>
      <c r="C568" s="22"/>
      <c r="D568" s="22"/>
      <c r="E568" s="22"/>
      <c r="F568" s="22"/>
      <c r="G568" s="22"/>
      <c r="H568" s="22"/>
      <c r="I568" s="22"/>
      <c r="J568" s="22"/>
      <c r="K568" s="22"/>
      <c r="L568" s="22"/>
      <c r="M568" s="22"/>
      <c r="N568" s="22"/>
      <c r="O568" s="22"/>
      <c r="P568" s="22"/>
      <c r="Q568" s="22"/>
      <c r="R568" s="22"/>
      <c r="S568" s="22"/>
      <c r="T568" s="22"/>
      <c r="U568" s="22"/>
      <c r="V568" s="22"/>
      <c r="W568" s="22"/>
      <c r="X568" s="22"/>
      <c r="Y568" s="22"/>
    </row>
    <row r="569" spans="1:25" ht="15.75" customHeight="1">
      <c r="A569" s="22"/>
      <c r="B569" s="22"/>
      <c r="C569" s="22"/>
      <c r="D569" s="22"/>
      <c r="E569" s="22"/>
      <c r="F569" s="22"/>
      <c r="G569" s="22"/>
      <c r="H569" s="22"/>
      <c r="I569" s="22"/>
      <c r="J569" s="22"/>
      <c r="K569" s="22"/>
      <c r="L569" s="22"/>
      <c r="M569" s="22"/>
      <c r="N569" s="22"/>
      <c r="O569" s="22"/>
      <c r="P569" s="22"/>
      <c r="Q569" s="22"/>
      <c r="R569" s="22"/>
      <c r="S569" s="22"/>
      <c r="T569" s="22"/>
      <c r="U569" s="22"/>
      <c r="V569" s="22"/>
      <c r="W569" s="22"/>
      <c r="X569" s="22"/>
      <c r="Y569" s="22"/>
    </row>
    <row r="570" spans="1:25" ht="15.75" customHeight="1">
      <c r="A570" s="22"/>
      <c r="B570" s="22"/>
      <c r="C570" s="22"/>
      <c r="D570" s="22"/>
      <c r="E570" s="22"/>
      <c r="F570" s="22"/>
      <c r="G570" s="22"/>
      <c r="H570" s="22"/>
      <c r="I570" s="22"/>
      <c r="J570" s="22"/>
      <c r="K570" s="22"/>
      <c r="L570" s="22"/>
      <c r="M570" s="22"/>
      <c r="N570" s="22"/>
      <c r="O570" s="22"/>
      <c r="P570" s="22"/>
      <c r="Q570" s="22"/>
      <c r="R570" s="22"/>
      <c r="S570" s="22"/>
      <c r="T570" s="22"/>
      <c r="U570" s="22"/>
      <c r="V570" s="22"/>
      <c r="W570" s="22"/>
      <c r="X570" s="22"/>
      <c r="Y570" s="22"/>
    </row>
    <row r="571" spans="1:25" ht="15.75" customHeight="1">
      <c r="A571" s="22"/>
      <c r="B571" s="22"/>
      <c r="C571" s="22"/>
      <c r="D571" s="22"/>
      <c r="E571" s="22"/>
      <c r="F571" s="22"/>
      <c r="G571" s="22"/>
      <c r="H571" s="22"/>
      <c r="I571" s="22"/>
      <c r="J571" s="22"/>
      <c r="K571" s="22"/>
      <c r="L571" s="22"/>
      <c r="M571" s="22"/>
      <c r="N571" s="22"/>
      <c r="O571" s="22"/>
      <c r="P571" s="22"/>
      <c r="Q571" s="22"/>
      <c r="R571" s="22"/>
      <c r="S571" s="22"/>
      <c r="T571" s="22"/>
      <c r="U571" s="22"/>
      <c r="V571" s="22"/>
      <c r="W571" s="22"/>
      <c r="X571" s="22"/>
      <c r="Y571" s="22"/>
    </row>
    <row r="572" spans="1:25" ht="15.75" customHeight="1">
      <c r="A572" s="22"/>
      <c r="B572" s="22"/>
      <c r="C572" s="22"/>
      <c r="D572" s="22"/>
      <c r="E572" s="22"/>
      <c r="F572" s="22"/>
      <c r="G572" s="22"/>
      <c r="H572" s="22"/>
      <c r="I572" s="22"/>
      <c r="J572" s="22"/>
      <c r="K572" s="22"/>
      <c r="L572" s="22"/>
      <c r="M572" s="22"/>
      <c r="N572" s="22"/>
      <c r="O572" s="22"/>
      <c r="P572" s="22"/>
      <c r="Q572" s="22"/>
      <c r="R572" s="22"/>
      <c r="S572" s="22"/>
      <c r="T572" s="22"/>
      <c r="U572" s="22"/>
      <c r="V572" s="22"/>
      <c r="W572" s="22"/>
      <c r="X572" s="22"/>
      <c r="Y572" s="22"/>
    </row>
    <row r="573" spans="1:25" ht="15.75" customHeight="1">
      <c r="A573" s="22"/>
      <c r="B573" s="22"/>
      <c r="C573" s="22"/>
      <c r="D573" s="22"/>
      <c r="E573" s="22"/>
      <c r="F573" s="22"/>
      <c r="G573" s="22"/>
      <c r="H573" s="22"/>
      <c r="I573" s="22"/>
      <c r="J573" s="22"/>
      <c r="K573" s="22"/>
      <c r="L573" s="22"/>
      <c r="M573" s="22"/>
      <c r="N573" s="22"/>
      <c r="O573" s="22"/>
      <c r="P573" s="22"/>
      <c r="Q573" s="22"/>
      <c r="R573" s="22"/>
      <c r="S573" s="22"/>
      <c r="T573" s="22"/>
      <c r="U573" s="22"/>
      <c r="V573" s="22"/>
      <c r="W573" s="22"/>
      <c r="X573" s="22"/>
      <c r="Y573" s="22"/>
    </row>
    <row r="574" spans="1:25" ht="15.75" customHeight="1">
      <c r="A574" s="22"/>
      <c r="B574" s="22"/>
      <c r="C574" s="22"/>
      <c r="D574" s="22"/>
      <c r="E574" s="22"/>
      <c r="F574" s="22"/>
      <c r="G574" s="22"/>
      <c r="H574" s="22"/>
      <c r="I574" s="22"/>
      <c r="J574" s="22"/>
      <c r="K574" s="22"/>
      <c r="L574" s="22"/>
      <c r="M574" s="22"/>
      <c r="N574" s="22"/>
      <c r="O574" s="22"/>
      <c r="P574" s="22"/>
      <c r="Q574" s="22"/>
      <c r="R574" s="22"/>
      <c r="S574" s="22"/>
      <c r="T574" s="22"/>
      <c r="U574" s="22"/>
      <c r="V574" s="22"/>
      <c r="W574" s="22"/>
      <c r="X574" s="22"/>
      <c r="Y574" s="22"/>
    </row>
    <row r="575" spans="1:25" ht="15.75" customHeight="1">
      <c r="A575" s="22"/>
      <c r="B575" s="22"/>
      <c r="C575" s="22"/>
      <c r="D575" s="22"/>
      <c r="E575" s="22"/>
      <c r="F575" s="22"/>
      <c r="G575" s="22"/>
      <c r="H575" s="22"/>
      <c r="I575" s="22"/>
      <c r="J575" s="22"/>
      <c r="K575" s="22"/>
      <c r="L575" s="22"/>
      <c r="M575" s="22"/>
      <c r="N575" s="22"/>
      <c r="O575" s="22"/>
      <c r="P575" s="22"/>
      <c r="Q575" s="22"/>
      <c r="R575" s="22"/>
      <c r="S575" s="22"/>
      <c r="T575" s="22"/>
      <c r="U575" s="22"/>
      <c r="V575" s="22"/>
      <c r="W575" s="22"/>
      <c r="X575" s="22"/>
      <c r="Y575" s="22"/>
    </row>
    <row r="576" spans="1:25" ht="15.75" customHeight="1">
      <c r="A576" s="22"/>
      <c r="B576" s="22"/>
      <c r="C576" s="22"/>
      <c r="D576" s="22"/>
      <c r="E576" s="22"/>
      <c r="F576" s="22"/>
      <c r="G576" s="22"/>
      <c r="H576" s="22"/>
      <c r="I576" s="22"/>
      <c r="J576" s="22"/>
      <c r="K576" s="22"/>
      <c r="L576" s="22"/>
      <c r="M576" s="22"/>
      <c r="N576" s="22"/>
      <c r="O576" s="22"/>
      <c r="P576" s="22"/>
      <c r="Q576" s="22"/>
      <c r="R576" s="22"/>
      <c r="S576" s="22"/>
      <c r="T576" s="22"/>
      <c r="U576" s="22"/>
      <c r="V576" s="22"/>
      <c r="W576" s="22"/>
      <c r="X576" s="22"/>
      <c r="Y576" s="22"/>
    </row>
    <row r="577" spans="1:25" ht="15.75" customHeight="1">
      <c r="A577" s="22"/>
      <c r="B577" s="22"/>
      <c r="C577" s="22"/>
      <c r="D577" s="22"/>
      <c r="E577" s="22"/>
      <c r="F577" s="22"/>
      <c r="G577" s="22"/>
      <c r="H577" s="22"/>
      <c r="I577" s="22"/>
      <c r="J577" s="22"/>
      <c r="K577" s="22"/>
      <c r="L577" s="22"/>
      <c r="M577" s="22"/>
      <c r="N577" s="22"/>
      <c r="O577" s="22"/>
      <c r="P577" s="22"/>
      <c r="Q577" s="22"/>
      <c r="R577" s="22"/>
      <c r="S577" s="22"/>
      <c r="T577" s="22"/>
      <c r="U577" s="22"/>
      <c r="V577" s="22"/>
      <c r="W577" s="22"/>
      <c r="X577" s="22"/>
      <c r="Y577" s="22"/>
    </row>
    <row r="578" spans="1:25" ht="15.75" customHeight="1">
      <c r="A578" s="22"/>
      <c r="B578" s="22"/>
      <c r="C578" s="22"/>
      <c r="D578" s="22"/>
      <c r="E578" s="22"/>
      <c r="F578" s="22"/>
      <c r="G578" s="22"/>
      <c r="H578" s="22"/>
      <c r="I578" s="22"/>
      <c r="J578" s="22"/>
      <c r="K578" s="22"/>
      <c r="L578" s="22"/>
      <c r="M578" s="22"/>
      <c r="N578" s="22"/>
      <c r="O578" s="22"/>
      <c r="P578" s="22"/>
      <c r="Q578" s="22"/>
      <c r="R578" s="22"/>
      <c r="S578" s="22"/>
      <c r="T578" s="22"/>
      <c r="U578" s="22"/>
      <c r="V578" s="22"/>
      <c r="W578" s="22"/>
      <c r="X578" s="22"/>
      <c r="Y578" s="22"/>
    </row>
    <row r="579" spans="1:25" ht="15.75" customHeight="1">
      <c r="A579" s="22"/>
      <c r="B579" s="22"/>
      <c r="C579" s="22"/>
      <c r="D579" s="22"/>
      <c r="E579" s="22"/>
      <c r="F579" s="22"/>
      <c r="G579" s="22"/>
      <c r="H579" s="22"/>
      <c r="I579" s="22"/>
      <c r="J579" s="22"/>
      <c r="K579" s="22"/>
      <c r="L579" s="22"/>
      <c r="M579" s="22"/>
      <c r="N579" s="22"/>
      <c r="O579" s="22"/>
      <c r="P579" s="22"/>
      <c r="Q579" s="22"/>
      <c r="R579" s="22"/>
      <c r="S579" s="22"/>
      <c r="T579" s="22"/>
      <c r="U579" s="22"/>
      <c r="V579" s="22"/>
      <c r="W579" s="22"/>
      <c r="X579" s="22"/>
      <c r="Y579" s="22"/>
    </row>
    <row r="580" spans="1:25" ht="15.75" customHeight="1">
      <c r="A580" s="22"/>
      <c r="B580" s="22"/>
      <c r="C580" s="22"/>
      <c r="D580" s="22"/>
      <c r="E580" s="22"/>
      <c r="F580" s="22"/>
      <c r="G580" s="22"/>
      <c r="H580" s="22"/>
      <c r="I580" s="22"/>
      <c r="J580" s="22"/>
      <c r="K580" s="22"/>
      <c r="L580" s="22"/>
      <c r="M580" s="22"/>
      <c r="N580" s="22"/>
      <c r="O580" s="22"/>
      <c r="P580" s="22"/>
      <c r="Q580" s="22"/>
      <c r="R580" s="22"/>
      <c r="S580" s="22"/>
      <c r="T580" s="22"/>
      <c r="U580" s="22"/>
      <c r="V580" s="22"/>
      <c r="W580" s="22"/>
      <c r="X580" s="22"/>
      <c r="Y580" s="22"/>
    </row>
    <row r="581" spans="1:25" ht="15.75" customHeight="1">
      <c r="A581" s="22"/>
      <c r="B581" s="22"/>
      <c r="C581" s="22"/>
      <c r="D581" s="22"/>
      <c r="E581" s="22"/>
      <c r="F581" s="22"/>
      <c r="G581" s="22"/>
      <c r="H581" s="22"/>
      <c r="I581" s="22"/>
      <c r="J581" s="22"/>
      <c r="K581" s="22"/>
      <c r="L581" s="22"/>
      <c r="M581" s="22"/>
      <c r="N581" s="22"/>
      <c r="O581" s="22"/>
      <c r="P581" s="22"/>
      <c r="Q581" s="22"/>
      <c r="R581" s="22"/>
      <c r="S581" s="22"/>
      <c r="T581" s="22"/>
      <c r="U581" s="22"/>
      <c r="V581" s="22"/>
      <c r="W581" s="22"/>
      <c r="X581" s="22"/>
      <c r="Y581" s="22"/>
    </row>
    <row r="582" spans="1:25" ht="15.75" customHeight="1">
      <c r="A582" s="22"/>
      <c r="B582" s="22"/>
      <c r="C582" s="22"/>
      <c r="D582" s="22"/>
      <c r="E582" s="22"/>
      <c r="F582" s="22"/>
      <c r="G582" s="22"/>
      <c r="H582" s="22"/>
      <c r="I582" s="22"/>
      <c r="J582" s="22"/>
      <c r="K582" s="22"/>
      <c r="L582" s="22"/>
      <c r="M582" s="22"/>
      <c r="N582" s="22"/>
      <c r="O582" s="22"/>
      <c r="P582" s="22"/>
      <c r="Q582" s="22"/>
      <c r="R582" s="22"/>
      <c r="S582" s="22"/>
      <c r="T582" s="22"/>
      <c r="U582" s="22"/>
      <c r="V582" s="22"/>
      <c r="W582" s="22"/>
      <c r="X582" s="22"/>
      <c r="Y582" s="22"/>
    </row>
    <row r="583" spans="1:25" ht="15.75" customHeight="1">
      <c r="A583" s="22"/>
      <c r="B583" s="22"/>
      <c r="C583" s="22"/>
      <c r="D583" s="22"/>
      <c r="E583" s="22"/>
      <c r="F583" s="22"/>
      <c r="G583" s="22"/>
      <c r="H583" s="22"/>
      <c r="I583" s="22"/>
      <c r="J583" s="22"/>
      <c r="K583" s="22"/>
      <c r="L583" s="22"/>
      <c r="M583" s="22"/>
      <c r="N583" s="22"/>
      <c r="O583" s="22"/>
      <c r="P583" s="22"/>
      <c r="Q583" s="22"/>
      <c r="R583" s="22"/>
      <c r="S583" s="22"/>
      <c r="T583" s="22"/>
      <c r="U583" s="22"/>
      <c r="V583" s="22"/>
      <c r="W583" s="22"/>
      <c r="X583" s="22"/>
      <c r="Y583" s="22"/>
    </row>
    <row r="584" spans="1:25" ht="15.75" customHeight="1">
      <c r="A584" s="22"/>
      <c r="B584" s="22"/>
      <c r="C584" s="22"/>
      <c r="D584" s="22"/>
      <c r="E584" s="22"/>
      <c r="F584" s="22"/>
      <c r="G584" s="22"/>
      <c r="H584" s="22"/>
      <c r="I584" s="22"/>
      <c r="J584" s="22"/>
      <c r="K584" s="22"/>
      <c r="L584" s="22"/>
      <c r="M584" s="22"/>
      <c r="N584" s="22"/>
      <c r="O584" s="22"/>
      <c r="P584" s="22"/>
      <c r="Q584" s="22"/>
      <c r="R584" s="22"/>
      <c r="S584" s="22"/>
      <c r="T584" s="22"/>
      <c r="U584" s="22"/>
      <c r="V584" s="22"/>
      <c r="W584" s="22"/>
      <c r="X584" s="22"/>
      <c r="Y584" s="22"/>
    </row>
    <row r="585" spans="1:25" ht="15.75" customHeight="1">
      <c r="A585" s="22"/>
      <c r="B585" s="22"/>
      <c r="C585" s="22"/>
      <c r="D585" s="22"/>
      <c r="E585" s="22"/>
      <c r="F585" s="22"/>
      <c r="G585" s="22"/>
      <c r="H585" s="22"/>
      <c r="I585" s="22"/>
      <c r="J585" s="22"/>
      <c r="K585" s="22"/>
      <c r="L585" s="22"/>
      <c r="M585" s="22"/>
      <c r="N585" s="22"/>
      <c r="O585" s="22"/>
      <c r="P585" s="22"/>
      <c r="Q585" s="22"/>
      <c r="R585" s="22"/>
      <c r="S585" s="22"/>
      <c r="T585" s="22"/>
      <c r="U585" s="22"/>
      <c r="V585" s="22"/>
      <c r="W585" s="22"/>
      <c r="X585" s="22"/>
      <c r="Y585" s="22"/>
    </row>
    <row r="586" spans="1:25" ht="15.75" customHeight="1">
      <c r="A586" s="22"/>
      <c r="B586" s="22"/>
      <c r="C586" s="22"/>
      <c r="D586" s="22"/>
      <c r="E586" s="22"/>
      <c r="F586" s="22"/>
      <c r="G586" s="22"/>
      <c r="H586" s="22"/>
      <c r="I586" s="22"/>
      <c r="J586" s="22"/>
      <c r="K586" s="22"/>
      <c r="L586" s="22"/>
      <c r="M586" s="22"/>
      <c r="N586" s="22"/>
      <c r="O586" s="22"/>
      <c r="P586" s="22"/>
      <c r="Q586" s="22"/>
      <c r="R586" s="22"/>
      <c r="S586" s="22"/>
      <c r="T586" s="22"/>
      <c r="U586" s="22"/>
      <c r="V586" s="22"/>
      <c r="W586" s="22"/>
      <c r="X586" s="22"/>
      <c r="Y586" s="22"/>
    </row>
    <row r="587" spans="1:25" ht="15.75" customHeight="1">
      <c r="A587" s="22"/>
      <c r="B587" s="22"/>
      <c r="C587" s="22"/>
      <c r="D587" s="22"/>
      <c r="E587" s="22"/>
      <c r="F587" s="22"/>
      <c r="G587" s="22"/>
      <c r="H587" s="22"/>
      <c r="I587" s="22"/>
      <c r="J587" s="22"/>
      <c r="K587" s="22"/>
      <c r="L587" s="22"/>
      <c r="M587" s="22"/>
      <c r="N587" s="22"/>
      <c r="O587" s="22"/>
      <c r="P587" s="22"/>
      <c r="Q587" s="22"/>
      <c r="R587" s="22"/>
      <c r="S587" s="22"/>
      <c r="T587" s="22"/>
      <c r="U587" s="22"/>
      <c r="V587" s="22"/>
      <c r="W587" s="22"/>
      <c r="X587" s="22"/>
      <c r="Y587" s="22"/>
    </row>
    <row r="588" spans="1:25" ht="15.75" customHeight="1">
      <c r="A588" s="22"/>
      <c r="B588" s="22"/>
      <c r="C588" s="22"/>
      <c r="D588" s="22"/>
      <c r="E588" s="22"/>
      <c r="F588" s="22"/>
      <c r="G588" s="22"/>
      <c r="H588" s="22"/>
      <c r="I588" s="22"/>
      <c r="J588" s="22"/>
      <c r="K588" s="22"/>
      <c r="L588" s="22"/>
      <c r="M588" s="22"/>
      <c r="N588" s="22"/>
      <c r="O588" s="22"/>
      <c r="P588" s="22"/>
      <c r="Q588" s="22"/>
      <c r="R588" s="22"/>
      <c r="S588" s="22"/>
      <c r="T588" s="22"/>
      <c r="U588" s="22"/>
      <c r="V588" s="22"/>
      <c r="W588" s="22"/>
      <c r="X588" s="22"/>
      <c r="Y588" s="22"/>
    </row>
    <row r="589" spans="1:25" ht="15.75" customHeight="1">
      <c r="A589" s="22"/>
      <c r="B589" s="22"/>
      <c r="C589" s="22"/>
      <c r="D589" s="22"/>
      <c r="E589" s="22"/>
      <c r="F589" s="22"/>
      <c r="G589" s="22"/>
      <c r="H589" s="22"/>
      <c r="I589" s="22"/>
      <c r="J589" s="22"/>
      <c r="K589" s="22"/>
      <c r="L589" s="22"/>
      <c r="M589" s="22"/>
      <c r="N589" s="22"/>
      <c r="O589" s="22"/>
      <c r="P589" s="22"/>
      <c r="Q589" s="22"/>
      <c r="R589" s="22"/>
      <c r="S589" s="22"/>
      <c r="T589" s="22"/>
      <c r="U589" s="22"/>
      <c r="V589" s="22"/>
      <c r="W589" s="22"/>
      <c r="X589" s="22"/>
      <c r="Y589" s="22"/>
    </row>
    <row r="590" spans="1:25" ht="15.75" customHeight="1">
      <c r="A590" s="22"/>
      <c r="B590" s="22"/>
      <c r="C590" s="22"/>
      <c r="D590" s="22"/>
      <c r="E590" s="22"/>
      <c r="F590" s="22"/>
      <c r="G590" s="22"/>
      <c r="H590" s="22"/>
      <c r="I590" s="22"/>
      <c r="J590" s="22"/>
      <c r="K590" s="22"/>
      <c r="L590" s="22"/>
      <c r="M590" s="22"/>
      <c r="N590" s="22"/>
      <c r="O590" s="22"/>
      <c r="P590" s="22"/>
      <c r="Q590" s="22"/>
      <c r="R590" s="22"/>
      <c r="S590" s="22"/>
      <c r="T590" s="22"/>
      <c r="U590" s="22"/>
      <c r="V590" s="22"/>
      <c r="W590" s="22"/>
      <c r="X590" s="22"/>
      <c r="Y590" s="22"/>
    </row>
    <row r="591" spans="1:25" ht="15.75" customHeight="1">
      <c r="A591" s="22"/>
      <c r="B591" s="22"/>
      <c r="C591" s="22"/>
      <c r="D591" s="22"/>
      <c r="E591" s="22"/>
      <c r="F591" s="22"/>
      <c r="G591" s="22"/>
      <c r="H591" s="22"/>
      <c r="I591" s="22"/>
      <c r="J591" s="22"/>
      <c r="K591" s="22"/>
      <c r="L591" s="22"/>
      <c r="M591" s="22"/>
      <c r="N591" s="22"/>
      <c r="O591" s="22"/>
      <c r="P591" s="22"/>
      <c r="Q591" s="22"/>
      <c r="R591" s="22"/>
      <c r="S591" s="22"/>
      <c r="T591" s="22"/>
      <c r="U591" s="22"/>
      <c r="V591" s="22"/>
      <c r="W591" s="22"/>
      <c r="X591" s="22"/>
      <c r="Y591" s="22"/>
    </row>
    <row r="592" spans="1:25" ht="15.75" customHeight="1">
      <c r="A592" s="22"/>
      <c r="B592" s="22"/>
      <c r="C592" s="22"/>
      <c r="D592" s="22"/>
      <c r="E592" s="22"/>
      <c r="F592" s="22"/>
      <c r="G592" s="22"/>
      <c r="H592" s="22"/>
      <c r="I592" s="22"/>
      <c r="J592" s="22"/>
      <c r="K592" s="22"/>
      <c r="L592" s="22"/>
      <c r="M592" s="22"/>
      <c r="N592" s="22"/>
      <c r="O592" s="22"/>
      <c r="P592" s="22"/>
      <c r="Q592" s="22"/>
      <c r="R592" s="22"/>
      <c r="S592" s="22"/>
      <c r="T592" s="22"/>
      <c r="U592" s="22"/>
      <c r="V592" s="22"/>
      <c r="W592" s="22"/>
      <c r="X592" s="22"/>
      <c r="Y592" s="22"/>
    </row>
    <row r="593" spans="1:25" ht="15.75" customHeight="1">
      <c r="A593" s="22"/>
      <c r="B593" s="22"/>
      <c r="C593" s="22"/>
      <c r="D593" s="22"/>
      <c r="E593" s="22"/>
      <c r="F593" s="22"/>
      <c r="G593" s="22"/>
      <c r="H593" s="22"/>
      <c r="I593" s="22"/>
      <c r="J593" s="22"/>
      <c r="K593" s="22"/>
      <c r="L593" s="22"/>
      <c r="M593" s="22"/>
      <c r="N593" s="22"/>
      <c r="O593" s="22"/>
      <c r="P593" s="22"/>
      <c r="Q593" s="22"/>
      <c r="R593" s="22"/>
      <c r="S593" s="22"/>
      <c r="T593" s="22"/>
      <c r="U593" s="22"/>
      <c r="V593" s="22"/>
      <c r="W593" s="22"/>
      <c r="X593" s="22"/>
      <c r="Y593" s="22"/>
    </row>
    <row r="594" spans="1:25" ht="15.75" customHeight="1">
      <c r="A594" s="22"/>
      <c r="B594" s="22"/>
      <c r="C594" s="22"/>
      <c r="D594" s="22"/>
      <c r="E594" s="22"/>
      <c r="F594" s="22"/>
      <c r="G594" s="22"/>
      <c r="H594" s="22"/>
      <c r="I594" s="22"/>
      <c r="J594" s="22"/>
      <c r="K594" s="22"/>
      <c r="L594" s="22"/>
      <c r="M594" s="22"/>
      <c r="N594" s="22"/>
      <c r="O594" s="22"/>
      <c r="P594" s="22"/>
      <c r="Q594" s="22"/>
      <c r="R594" s="22"/>
      <c r="S594" s="22"/>
      <c r="T594" s="22"/>
      <c r="U594" s="22"/>
      <c r="V594" s="22"/>
      <c r="W594" s="22"/>
      <c r="X594" s="22"/>
      <c r="Y594" s="22"/>
    </row>
    <row r="595" spans="1:25" ht="15.75" customHeight="1">
      <c r="A595" s="22"/>
      <c r="B595" s="22"/>
      <c r="C595" s="22"/>
      <c r="D595" s="22"/>
      <c r="E595" s="22"/>
      <c r="F595" s="22"/>
      <c r="G595" s="22"/>
      <c r="H595" s="22"/>
      <c r="I595" s="22"/>
      <c r="J595" s="22"/>
      <c r="K595" s="22"/>
      <c r="L595" s="22"/>
      <c r="M595" s="22"/>
      <c r="N595" s="22"/>
      <c r="O595" s="22"/>
      <c r="P595" s="22"/>
      <c r="Q595" s="22"/>
      <c r="R595" s="22"/>
      <c r="S595" s="22"/>
      <c r="T595" s="22"/>
      <c r="U595" s="22"/>
      <c r="V595" s="22"/>
      <c r="W595" s="22"/>
      <c r="X595" s="22"/>
      <c r="Y595" s="22"/>
    </row>
    <row r="596" spans="1:25" ht="15.75" customHeight="1">
      <c r="A596" s="22"/>
      <c r="B596" s="22"/>
      <c r="C596" s="22"/>
      <c r="D596" s="22"/>
      <c r="E596" s="22"/>
      <c r="F596" s="22"/>
      <c r="G596" s="22"/>
      <c r="H596" s="22"/>
      <c r="I596" s="22"/>
      <c r="J596" s="22"/>
      <c r="K596" s="22"/>
      <c r="L596" s="22"/>
      <c r="M596" s="22"/>
      <c r="N596" s="22"/>
      <c r="O596" s="22"/>
      <c r="P596" s="22"/>
      <c r="Q596" s="22"/>
      <c r="R596" s="22"/>
      <c r="S596" s="22"/>
      <c r="T596" s="22"/>
      <c r="U596" s="22"/>
      <c r="V596" s="22"/>
      <c r="W596" s="22"/>
      <c r="X596" s="22"/>
      <c r="Y596" s="22"/>
    </row>
    <row r="597" spans="1:25" ht="15.75" customHeight="1">
      <c r="A597" s="22"/>
      <c r="B597" s="22"/>
      <c r="C597" s="22"/>
      <c r="D597" s="22"/>
      <c r="E597" s="22"/>
      <c r="F597" s="22"/>
      <c r="G597" s="22"/>
      <c r="H597" s="22"/>
      <c r="I597" s="22"/>
      <c r="J597" s="22"/>
      <c r="K597" s="22"/>
      <c r="L597" s="22"/>
      <c r="M597" s="22"/>
      <c r="N597" s="22"/>
      <c r="O597" s="22"/>
      <c r="P597" s="22"/>
      <c r="Q597" s="22"/>
      <c r="R597" s="22"/>
      <c r="S597" s="22"/>
      <c r="T597" s="22"/>
      <c r="U597" s="22"/>
      <c r="V597" s="22"/>
      <c r="W597" s="22"/>
      <c r="X597" s="22"/>
      <c r="Y597" s="22"/>
    </row>
    <row r="598" spans="1:25" ht="15.75" customHeight="1">
      <c r="A598" s="22"/>
      <c r="B598" s="22"/>
      <c r="C598" s="22"/>
      <c r="D598" s="22"/>
      <c r="E598" s="22"/>
      <c r="F598" s="22"/>
      <c r="G598" s="22"/>
      <c r="H598" s="22"/>
      <c r="I598" s="22"/>
      <c r="J598" s="22"/>
      <c r="K598" s="22"/>
      <c r="L598" s="22"/>
      <c r="M598" s="22"/>
      <c r="N598" s="22"/>
      <c r="O598" s="22"/>
      <c r="P598" s="22"/>
      <c r="Q598" s="22"/>
      <c r="R598" s="22"/>
      <c r="S598" s="22"/>
      <c r="T598" s="22"/>
      <c r="U598" s="22"/>
      <c r="V598" s="22"/>
      <c r="W598" s="22"/>
      <c r="X598" s="22"/>
      <c r="Y598" s="22"/>
    </row>
    <row r="599" spans="1:25" ht="15.75" customHeight="1">
      <c r="A599" s="22"/>
      <c r="B599" s="22"/>
      <c r="C599" s="22"/>
      <c r="D599" s="22"/>
      <c r="E599" s="22"/>
      <c r="F599" s="22"/>
      <c r="G599" s="22"/>
      <c r="H599" s="22"/>
      <c r="I599" s="22"/>
      <c r="J599" s="22"/>
      <c r="K599" s="22"/>
      <c r="L599" s="22"/>
      <c r="M599" s="22"/>
      <c r="N599" s="22"/>
      <c r="O599" s="22"/>
      <c r="P599" s="22"/>
      <c r="Q599" s="22"/>
      <c r="R599" s="22"/>
      <c r="S599" s="22"/>
      <c r="T599" s="22"/>
      <c r="U599" s="22"/>
      <c r="V599" s="22"/>
      <c r="W599" s="22"/>
      <c r="X599" s="22"/>
      <c r="Y599" s="22"/>
    </row>
    <row r="600" spans="1:25" ht="15.75" customHeight="1">
      <c r="A600" s="22"/>
      <c r="B600" s="22"/>
      <c r="C600" s="22"/>
      <c r="D600" s="22"/>
      <c r="E600" s="22"/>
      <c r="F600" s="22"/>
      <c r="G600" s="22"/>
      <c r="H600" s="22"/>
      <c r="I600" s="22"/>
      <c r="J600" s="22"/>
      <c r="K600" s="22"/>
      <c r="L600" s="22"/>
      <c r="M600" s="22"/>
      <c r="N600" s="22"/>
      <c r="O600" s="22"/>
      <c r="P600" s="22"/>
      <c r="Q600" s="22"/>
      <c r="R600" s="22"/>
      <c r="S600" s="22"/>
      <c r="T600" s="22"/>
      <c r="U600" s="22"/>
      <c r="V600" s="22"/>
      <c r="W600" s="22"/>
      <c r="X600" s="22"/>
      <c r="Y600" s="22"/>
    </row>
    <row r="601" spans="1:25" ht="15.75" customHeight="1">
      <c r="A601" s="22"/>
      <c r="B601" s="22"/>
      <c r="C601" s="22"/>
      <c r="D601" s="22"/>
      <c r="E601" s="22"/>
      <c r="F601" s="22"/>
      <c r="G601" s="22"/>
      <c r="H601" s="22"/>
      <c r="I601" s="22"/>
      <c r="J601" s="22"/>
      <c r="K601" s="22"/>
      <c r="L601" s="22"/>
      <c r="M601" s="22"/>
      <c r="N601" s="22"/>
      <c r="O601" s="22"/>
      <c r="P601" s="22"/>
      <c r="Q601" s="22"/>
      <c r="R601" s="22"/>
      <c r="S601" s="22"/>
      <c r="T601" s="22"/>
      <c r="U601" s="22"/>
      <c r="V601" s="22"/>
      <c r="W601" s="22"/>
      <c r="X601" s="22"/>
      <c r="Y601" s="22"/>
    </row>
    <row r="602" spans="1:25" ht="15.75" customHeight="1">
      <c r="A602" s="22"/>
      <c r="B602" s="22"/>
      <c r="C602" s="22"/>
      <c r="D602" s="22"/>
      <c r="E602" s="22"/>
      <c r="F602" s="22"/>
      <c r="G602" s="22"/>
      <c r="H602" s="22"/>
      <c r="I602" s="22"/>
      <c r="J602" s="22"/>
      <c r="K602" s="22"/>
      <c r="L602" s="22"/>
      <c r="M602" s="22"/>
      <c r="N602" s="22"/>
      <c r="O602" s="22"/>
      <c r="P602" s="22"/>
      <c r="Q602" s="22"/>
      <c r="R602" s="22"/>
      <c r="S602" s="22"/>
      <c r="T602" s="22"/>
      <c r="U602" s="22"/>
      <c r="V602" s="22"/>
      <c r="W602" s="22"/>
      <c r="X602" s="22"/>
      <c r="Y602" s="22"/>
    </row>
    <row r="603" spans="1:25" ht="15.75" customHeight="1">
      <c r="A603" s="22"/>
      <c r="B603" s="22"/>
      <c r="C603" s="22"/>
      <c r="D603" s="22"/>
      <c r="E603" s="22"/>
      <c r="F603" s="22"/>
      <c r="G603" s="22"/>
      <c r="H603" s="22"/>
      <c r="I603" s="22"/>
      <c r="J603" s="22"/>
      <c r="K603" s="22"/>
      <c r="L603" s="22"/>
      <c r="M603" s="22"/>
      <c r="N603" s="22"/>
      <c r="O603" s="22"/>
      <c r="P603" s="22"/>
      <c r="Q603" s="22"/>
      <c r="R603" s="22"/>
      <c r="S603" s="22"/>
      <c r="T603" s="22"/>
      <c r="U603" s="22"/>
      <c r="V603" s="22"/>
      <c r="W603" s="22"/>
      <c r="X603" s="22"/>
      <c r="Y603" s="22"/>
    </row>
    <row r="604" spans="1:25" ht="15.75" customHeight="1">
      <c r="A604" s="22"/>
      <c r="B604" s="22"/>
      <c r="C604" s="22"/>
      <c r="D604" s="22"/>
      <c r="E604" s="22"/>
      <c r="F604" s="22"/>
      <c r="G604" s="22"/>
      <c r="H604" s="22"/>
      <c r="I604" s="22"/>
      <c r="J604" s="22"/>
      <c r="K604" s="22"/>
      <c r="L604" s="22"/>
      <c r="M604" s="22"/>
      <c r="N604" s="22"/>
      <c r="O604" s="22"/>
      <c r="P604" s="22"/>
      <c r="Q604" s="22"/>
      <c r="R604" s="22"/>
      <c r="S604" s="22"/>
      <c r="T604" s="22"/>
      <c r="U604" s="22"/>
      <c r="V604" s="22"/>
      <c r="W604" s="22"/>
      <c r="X604" s="22"/>
      <c r="Y604" s="22"/>
    </row>
    <row r="605" spans="1:25" ht="15.75" customHeight="1">
      <c r="A605" s="22"/>
      <c r="B605" s="22"/>
      <c r="C605" s="22"/>
      <c r="D605" s="22"/>
      <c r="E605" s="22"/>
      <c r="F605" s="22"/>
      <c r="G605" s="22"/>
      <c r="H605" s="22"/>
      <c r="I605" s="22"/>
      <c r="J605" s="22"/>
      <c r="K605" s="22"/>
      <c r="L605" s="22"/>
      <c r="M605" s="22"/>
      <c r="N605" s="22"/>
      <c r="O605" s="22"/>
      <c r="P605" s="22"/>
      <c r="Q605" s="22"/>
      <c r="R605" s="22"/>
      <c r="S605" s="22"/>
      <c r="T605" s="22"/>
      <c r="U605" s="22"/>
      <c r="V605" s="22"/>
      <c r="W605" s="22"/>
      <c r="X605" s="22"/>
      <c r="Y605" s="22"/>
    </row>
    <row r="606" spans="1:25" ht="15.75" customHeight="1">
      <c r="A606" s="22"/>
      <c r="B606" s="22"/>
      <c r="C606" s="22"/>
      <c r="D606" s="22"/>
      <c r="E606" s="22"/>
      <c r="F606" s="22"/>
      <c r="G606" s="22"/>
      <c r="H606" s="22"/>
      <c r="I606" s="22"/>
      <c r="J606" s="22"/>
      <c r="K606" s="22"/>
      <c r="L606" s="22"/>
      <c r="M606" s="22"/>
      <c r="N606" s="22"/>
      <c r="O606" s="22"/>
      <c r="P606" s="22"/>
      <c r="Q606" s="22"/>
      <c r="R606" s="22"/>
      <c r="S606" s="22"/>
      <c r="T606" s="22"/>
      <c r="U606" s="22"/>
      <c r="V606" s="22"/>
      <c r="W606" s="22"/>
      <c r="X606" s="22"/>
      <c r="Y606" s="22"/>
    </row>
    <row r="607" spans="1:25" ht="15.75" customHeight="1">
      <c r="A607" s="22"/>
      <c r="B607" s="22"/>
      <c r="C607" s="22"/>
      <c r="D607" s="22"/>
      <c r="E607" s="22"/>
      <c r="F607" s="22"/>
      <c r="G607" s="22"/>
      <c r="H607" s="22"/>
      <c r="I607" s="22"/>
      <c r="J607" s="22"/>
      <c r="K607" s="22"/>
      <c r="L607" s="22"/>
      <c r="M607" s="22"/>
      <c r="N607" s="22"/>
      <c r="O607" s="22"/>
      <c r="P607" s="22"/>
      <c r="Q607" s="22"/>
      <c r="R607" s="22"/>
      <c r="S607" s="22"/>
      <c r="T607" s="22"/>
      <c r="U607" s="22"/>
      <c r="V607" s="22"/>
      <c r="W607" s="22"/>
      <c r="X607" s="22"/>
      <c r="Y607" s="22"/>
    </row>
    <row r="608" spans="1:25" ht="15.75" customHeight="1">
      <c r="A608" s="22"/>
      <c r="B608" s="22"/>
      <c r="C608" s="22"/>
      <c r="D608" s="22"/>
      <c r="E608" s="22"/>
      <c r="F608" s="22"/>
      <c r="G608" s="22"/>
      <c r="H608" s="22"/>
      <c r="I608" s="22"/>
      <c r="J608" s="22"/>
      <c r="K608" s="22"/>
      <c r="L608" s="22"/>
      <c r="M608" s="22"/>
      <c r="N608" s="22"/>
      <c r="O608" s="22"/>
      <c r="P608" s="22"/>
      <c r="Q608" s="22"/>
      <c r="R608" s="22"/>
      <c r="S608" s="22"/>
      <c r="T608" s="22"/>
      <c r="U608" s="22"/>
      <c r="V608" s="22"/>
      <c r="W608" s="22"/>
      <c r="X608" s="22"/>
      <c r="Y608" s="22"/>
    </row>
    <row r="609" spans="1:25" ht="15.75" customHeight="1">
      <c r="A609" s="22"/>
      <c r="B609" s="22"/>
      <c r="C609" s="22"/>
      <c r="D609" s="22"/>
      <c r="E609" s="22"/>
      <c r="F609" s="22"/>
      <c r="G609" s="22"/>
      <c r="H609" s="22"/>
      <c r="I609" s="22"/>
      <c r="J609" s="22"/>
      <c r="K609" s="22"/>
      <c r="L609" s="22"/>
      <c r="M609" s="22"/>
      <c r="N609" s="22"/>
      <c r="O609" s="22"/>
      <c r="P609" s="22"/>
      <c r="Q609" s="22"/>
      <c r="R609" s="22"/>
      <c r="S609" s="22"/>
      <c r="T609" s="22"/>
      <c r="U609" s="22"/>
      <c r="V609" s="22"/>
      <c r="W609" s="22"/>
      <c r="X609" s="22"/>
      <c r="Y609" s="22"/>
    </row>
    <row r="610" spans="1:25" ht="15.75" customHeight="1">
      <c r="A610" s="22"/>
      <c r="B610" s="22"/>
      <c r="C610" s="22"/>
      <c r="D610" s="22"/>
      <c r="E610" s="22"/>
      <c r="F610" s="22"/>
      <c r="G610" s="22"/>
      <c r="H610" s="22"/>
      <c r="I610" s="22"/>
      <c r="J610" s="22"/>
      <c r="K610" s="22"/>
      <c r="L610" s="22"/>
      <c r="M610" s="22"/>
      <c r="N610" s="22"/>
      <c r="O610" s="22"/>
      <c r="P610" s="22"/>
      <c r="Q610" s="22"/>
      <c r="R610" s="22"/>
      <c r="S610" s="22"/>
      <c r="T610" s="22"/>
      <c r="U610" s="22"/>
      <c r="V610" s="22"/>
      <c r="W610" s="22"/>
      <c r="X610" s="22"/>
      <c r="Y610" s="22"/>
    </row>
    <row r="611" spans="1:25" ht="15.75" customHeight="1">
      <c r="A611" s="22"/>
      <c r="B611" s="22"/>
      <c r="C611" s="22"/>
      <c r="D611" s="22"/>
      <c r="E611" s="22"/>
      <c r="F611" s="22"/>
      <c r="G611" s="22"/>
      <c r="H611" s="22"/>
      <c r="I611" s="22"/>
      <c r="J611" s="22"/>
      <c r="K611" s="22"/>
      <c r="L611" s="22"/>
      <c r="M611" s="22"/>
      <c r="N611" s="22"/>
      <c r="O611" s="22"/>
      <c r="P611" s="22"/>
      <c r="Q611" s="22"/>
      <c r="R611" s="22"/>
      <c r="S611" s="22"/>
      <c r="T611" s="22"/>
      <c r="U611" s="22"/>
      <c r="V611" s="22"/>
      <c r="W611" s="22"/>
      <c r="X611" s="22"/>
      <c r="Y611" s="22"/>
    </row>
    <row r="612" spans="1:25" ht="15.75" customHeight="1">
      <c r="A612" s="22"/>
      <c r="B612" s="22"/>
      <c r="C612" s="22"/>
      <c r="D612" s="22"/>
      <c r="E612" s="22"/>
      <c r="F612" s="22"/>
      <c r="G612" s="22"/>
      <c r="H612" s="22"/>
      <c r="I612" s="22"/>
      <c r="J612" s="22"/>
      <c r="K612" s="22"/>
      <c r="L612" s="22"/>
      <c r="M612" s="22"/>
      <c r="N612" s="22"/>
      <c r="O612" s="22"/>
      <c r="P612" s="22"/>
      <c r="Q612" s="22"/>
      <c r="R612" s="22"/>
      <c r="S612" s="22"/>
      <c r="T612" s="22"/>
      <c r="U612" s="22"/>
      <c r="V612" s="22"/>
      <c r="W612" s="22"/>
      <c r="X612" s="22"/>
      <c r="Y612" s="22"/>
    </row>
    <row r="613" spans="1:25" ht="15.75" customHeight="1">
      <c r="A613" s="22"/>
      <c r="B613" s="22"/>
      <c r="C613" s="22"/>
      <c r="D613" s="22"/>
      <c r="E613" s="22"/>
      <c r="F613" s="22"/>
      <c r="G613" s="22"/>
      <c r="H613" s="22"/>
      <c r="I613" s="22"/>
      <c r="J613" s="22"/>
      <c r="K613" s="22"/>
      <c r="L613" s="22"/>
      <c r="M613" s="22"/>
      <c r="N613" s="22"/>
      <c r="O613" s="22"/>
      <c r="P613" s="22"/>
      <c r="Q613" s="22"/>
      <c r="R613" s="22"/>
      <c r="S613" s="22"/>
      <c r="T613" s="22"/>
      <c r="U613" s="22"/>
      <c r="V613" s="22"/>
      <c r="W613" s="22"/>
      <c r="X613" s="22"/>
      <c r="Y613" s="22"/>
    </row>
    <row r="614" spans="1:25" ht="15.75" customHeight="1">
      <c r="A614" s="22"/>
      <c r="B614" s="22"/>
      <c r="C614" s="22"/>
      <c r="D614" s="22"/>
      <c r="E614" s="22"/>
      <c r="F614" s="22"/>
      <c r="G614" s="22"/>
      <c r="H614" s="22"/>
      <c r="I614" s="22"/>
      <c r="J614" s="22"/>
      <c r="K614" s="22"/>
      <c r="L614" s="22"/>
      <c r="M614" s="22"/>
      <c r="N614" s="22"/>
      <c r="O614" s="22"/>
      <c r="P614" s="22"/>
      <c r="Q614" s="22"/>
      <c r="R614" s="22"/>
      <c r="S614" s="22"/>
      <c r="T614" s="22"/>
      <c r="U614" s="22"/>
      <c r="V614" s="22"/>
      <c r="W614" s="22"/>
      <c r="X614" s="22"/>
      <c r="Y614" s="22"/>
    </row>
    <row r="615" spans="1:25" ht="15.75" customHeight="1">
      <c r="A615" s="22"/>
      <c r="B615" s="22"/>
      <c r="C615" s="22"/>
      <c r="D615" s="22"/>
      <c r="E615" s="22"/>
      <c r="F615" s="22"/>
      <c r="G615" s="22"/>
      <c r="H615" s="22"/>
      <c r="I615" s="22"/>
      <c r="J615" s="22"/>
      <c r="K615" s="22"/>
      <c r="L615" s="22"/>
      <c r="M615" s="22"/>
      <c r="N615" s="22"/>
      <c r="O615" s="22"/>
      <c r="P615" s="22"/>
      <c r="Q615" s="22"/>
      <c r="R615" s="22"/>
      <c r="S615" s="22"/>
      <c r="T615" s="22"/>
      <c r="U615" s="22"/>
      <c r="V615" s="22"/>
      <c r="W615" s="22"/>
      <c r="X615" s="22"/>
      <c r="Y615" s="22"/>
    </row>
    <row r="616" spans="1:25" ht="15.75" customHeight="1">
      <c r="A616" s="22"/>
      <c r="B616" s="22"/>
      <c r="C616" s="22"/>
      <c r="D616" s="22"/>
      <c r="E616" s="22"/>
      <c r="F616" s="22"/>
      <c r="G616" s="22"/>
      <c r="H616" s="22"/>
      <c r="I616" s="22"/>
      <c r="J616" s="22"/>
      <c r="K616" s="22"/>
      <c r="L616" s="22"/>
      <c r="M616" s="22"/>
      <c r="N616" s="22"/>
      <c r="O616" s="22"/>
      <c r="P616" s="22"/>
      <c r="Q616" s="22"/>
      <c r="R616" s="22"/>
      <c r="S616" s="22"/>
      <c r="T616" s="22"/>
      <c r="U616" s="22"/>
      <c r="V616" s="22"/>
      <c r="W616" s="22"/>
      <c r="X616" s="22"/>
      <c r="Y616" s="22"/>
    </row>
    <row r="617" spans="1:25" ht="15.75" customHeight="1">
      <c r="A617" s="22"/>
      <c r="B617" s="22"/>
      <c r="C617" s="22"/>
      <c r="D617" s="22"/>
      <c r="E617" s="22"/>
      <c r="F617" s="22"/>
      <c r="G617" s="22"/>
      <c r="H617" s="22"/>
      <c r="I617" s="22"/>
      <c r="J617" s="22"/>
      <c r="K617" s="22"/>
      <c r="L617" s="22"/>
      <c r="M617" s="22"/>
      <c r="N617" s="22"/>
      <c r="O617" s="22"/>
      <c r="P617" s="22"/>
      <c r="Q617" s="22"/>
      <c r="R617" s="22"/>
      <c r="S617" s="22"/>
      <c r="T617" s="22"/>
      <c r="U617" s="22"/>
      <c r="V617" s="22"/>
      <c r="W617" s="22"/>
      <c r="X617" s="22"/>
      <c r="Y617" s="22"/>
    </row>
    <row r="618" spans="1:25" ht="15.75" customHeight="1">
      <c r="A618" s="22"/>
      <c r="B618" s="22"/>
      <c r="C618" s="22"/>
      <c r="D618" s="22"/>
      <c r="E618" s="22"/>
      <c r="F618" s="22"/>
      <c r="G618" s="22"/>
      <c r="H618" s="22"/>
      <c r="I618" s="22"/>
      <c r="J618" s="22"/>
      <c r="K618" s="22"/>
      <c r="L618" s="22"/>
      <c r="M618" s="22"/>
      <c r="N618" s="22"/>
      <c r="O618" s="22"/>
      <c r="P618" s="22"/>
      <c r="Q618" s="22"/>
      <c r="R618" s="22"/>
      <c r="S618" s="22"/>
      <c r="T618" s="22"/>
      <c r="U618" s="22"/>
      <c r="V618" s="22"/>
      <c r="W618" s="22"/>
      <c r="X618" s="22"/>
      <c r="Y618" s="22"/>
    </row>
    <row r="619" spans="1:25" ht="15.75" customHeight="1">
      <c r="A619" s="22"/>
      <c r="B619" s="22"/>
      <c r="C619" s="22"/>
      <c r="D619" s="22"/>
      <c r="E619" s="22"/>
      <c r="F619" s="22"/>
      <c r="G619" s="22"/>
      <c r="H619" s="22"/>
      <c r="I619" s="22"/>
      <c r="J619" s="22"/>
      <c r="K619" s="22"/>
      <c r="L619" s="22"/>
      <c r="M619" s="22"/>
      <c r="N619" s="22"/>
      <c r="O619" s="22"/>
      <c r="P619" s="22"/>
      <c r="Q619" s="22"/>
      <c r="R619" s="22"/>
      <c r="S619" s="22"/>
      <c r="T619" s="22"/>
      <c r="U619" s="22"/>
      <c r="V619" s="22"/>
      <c r="W619" s="22"/>
      <c r="X619" s="22"/>
      <c r="Y619" s="22"/>
    </row>
    <row r="620" spans="1:25" ht="15.75" customHeight="1">
      <c r="A620" s="22"/>
      <c r="B620" s="22"/>
      <c r="C620" s="22"/>
      <c r="D620" s="22"/>
      <c r="E620" s="22"/>
      <c r="F620" s="22"/>
      <c r="G620" s="22"/>
      <c r="H620" s="22"/>
      <c r="I620" s="22"/>
      <c r="J620" s="22"/>
      <c r="K620" s="22"/>
      <c r="L620" s="22"/>
      <c r="M620" s="22"/>
      <c r="N620" s="22"/>
      <c r="O620" s="22"/>
      <c r="P620" s="22"/>
      <c r="Q620" s="22"/>
      <c r="R620" s="22"/>
      <c r="S620" s="22"/>
      <c r="T620" s="22"/>
      <c r="U620" s="22"/>
      <c r="V620" s="22"/>
      <c r="W620" s="22"/>
      <c r="X620" s="22"/>
      <c r="Y620" s="22"/>
    </row>
    <row r="621" spans="1:25" ht="15.75" customHeight="1">
      <c r="A621" s="22"/>
      <c r="B621" s="22"/>
      <c r="C621" s="22"/>
      <c r="D621" s="22"/>
      <c r="E621" s="22"/>
      <c r="F621" s="22"/>
      <c r="G621" s="22"/>
      <c r="H621" s="22"/>
      <c r="I621" s="22"/>
      <c r="J621" s="22"/>
      <c r="K621" s="22"/>
      <c r="L621" s="22"/>
      <c r="M621" s="22"/>
      <c r="N621" s="22"/>
      <c r="O621" s="22"/>
      <c r="P621" s="22"/>
      <c r="Q621" s="22"/>
      <c r="R621" s="22"/>
      <c r="S621" s="22"/>
      <c r="T621" s="22"/>
      <c r="U621" s="22"/>
      <c r="V621" s="22"/>
      <c r="W621" s="22"/>
      <c r="X621" s="22"/>
      <c r="Y621" s="22"/>
    </row>
    <row r="622" spans="1:25" ht="15.75" customHeight="1">
      <c r="A622" s="22"/>
      <c r="B622" s="22"/>
      <c r="C622" s="22"/>
      <c r="D622" s="22"/>
      <c r="E622" s="22"/>
      <c r="F622" s="22"/>
      <c r="G622" s="22"/>
      <c r="H622" s="22"/>
      <c r="I622" s="22"/>
      <c r="J622" s="22"/>
      <c r="K622" s="22"/>
      <c r="L622" s="22"/>
      <c r="M622" s="22"/>
      <c r="N622" s="22"/>
      <c r="O622" s="22"/>
      <c r="P622" s="22"/>
      <c r="Q622" s="22"/>
      <c r="R622" s="22"/>
      <c r="S622" s="22"/>
      <c r="T622" s="22"/>
      <c r="U622" s="22"/>
      <c r="V622" s="22"/>
      <c r="W622" s="22"/>
      <c r="X622" s="22"/>
      <c r="Y622" s="22"/>
    </row>
    <row r="623" spans="1:25" ht="15.75" customHeight="1">
      <c r="A623" s="22"/>
      <c r="B623" s="22"/>
      <c r="C623" s="22"/>
      <c r="D623" s="22"/>
      <c r="E623" s="22"/>
      <c r="F623" s="22"/>
      <c r="G623" s="22"/>
      <c r="H623" s="22"/>
      <c r="I623" s="22"/>
      <c r="J623" s="22"/>
      <c r="K623" s="22"/>
      <c r="L623" s="22"/>
      <c r="M623" s="22"/>
      <c r="N623" s="22"/>
      <c r="O623" s="22"/>
      <c r="P623" s="22"/>
      <c r="Q623" s="22"/>
      <c r="R623" s="22"/>
      <c r="S623" s="22"/>
      <c r="T623" s="22"/>
      <c r="U623" s="22"/>
      <c r="V623" s="22"/>
      <c r="W623" s="22"/>
      <c r="X623" s="22"/>
      <c r="Y623" s="22"/>
    </row>
    <row r="624" spans="1:25" ht="15.75" customHeight="1">
      <c r="A624" s="22"/>
      <c r="B624" s="22"/>
      <c r="C624" s="22"/>
      <c r="D624" s="22"/>
      <c r="E624" s="22"/>
      <c r="F624" s="22"/>
      <c r="G624" s="22"/>
      <c r="H624" s="22"/>
      <c r="I624" s="22"/>
      <c r="J624" s="22"/>
      <c r="K624" s="22"/>
      <c r="L624" s="22"/>
      <c r="M624" s="22"/>
      <c r="N624" s="22"/>
      <c r="O624" s="22"/>
      <c r="P624" s="22"/>
      <c r="Q624" s="22"/>
      <c r="R624" s="22"/>
      <c r="S624" s="22"/>
      <c r="T624" s="22"/>
      <c r="U624" s="22"/>
      <c r="V624" s="22"/>
      <c r="W624" s="22"/>
      <c r="X624" s="22"/>
      <c r="Y624" s="22"/>
    </row>
    <row r="625" spans="1:25" ht="15.75" customHeight="1">
      <c r="A625" s="22"/>
      <c r="B625" s="22"/>
      <c r="C625" s="22"/>
      <c r="D625" s="22"/>
      <c r="E625" s="22"/>
      <c r="F625" s="22"/>
      <c r="G625" s="22"/>
      <c r="H625" s="22"/>
      <c r="I625" s="22"/>
      <c r="J625" s="22"/>
      <c r="K625" s="22"/>
      <c r="L625" s="22"/>
      <c r="M625" s="22"/>
      <c r="N625" s="22"/>
      <c r="O625" s="22"/>
      <c r="P625" s="22"/>
      <c r="Q625" s="22"/>
      <c r="R625" s="22"/>
      <c r="S625" s="22"/>
      <c r="T625" s="22"/>
      <c r="U625" s="22"/>
      <c r="V625" s="22"/>
      <c r="W625" s="22"/>
      <c r="X625" s="22"/>
      <c r="Y625" s="22"/>
    </row>
    <row r="626" spans="1:25" ht="15.75" customHeight="1">
      <c r="A626" s="22"/>
      <c r="B626" s="22"/>
      <c r="C626" s="22"/>
      <c r="D626" s="22"/>
      <c r="E626" s="22"/>
      <c r="F626" s="22"/>
      <c r="G626" s="22"/>
      <c r="H626" s="22"/>
      <c r="I626" s="22"/>
      <c r="J626" s="22"/>
      <c r="K626" s="22"/>
      <c r="L626" s="22"/>
      <c r="M626" s="22"/>
      <c r="N626" s="22"/>
      <c r="O626" s="22"/>
      <c r="P626" s="22"/>
      <c r="Q626" s="22"/>
      <c r="R626" s="22"/>
      <c r="S626" s="22"/>
      <c r="T626" s="22"/>
      <c r="U626" s="22"/>
      <c r="V626" s="22"/>
      <c r="W626" s="22"/>
      <c r="X626" s="22"/>
      <c r="Y626" s="22"/>
    </row>
    <row r="627" spans="1:25" ht="15.75" customHeight="1">
      <c r="A627" s="22"/>
      <c r="B627" s="22"/>
      <c r="C627" s="22"/>
      <c r="D627" s="22"/>
      <c r="E627" s="22"/>
      <c r="F627" s="22"/>
      <c r="G627" s="22"/>
      <c r="H627" s="22"/>
      <c r="I627" s="22"/>
      <c r="J627" s="22"/>
      <c r="K627" s="22"/>
      <c r="L627" s="22"/>
      <c r="M627" s="22"/>
      <c r="N627" s="22"/>
      <c r="O627" s="22"/>
      <c r="P627" s="22"/>
      <c r="Q627" s="22"/>
      <c r="R627" s="22"/>
      <c r="S627" s="22"/>
      <c r="T627" s="22"/>
      <c r="U627" s="22"/>
      <c r="V627" s="22"/>
      <c r="W627" s="22"/>
      <c r="X627" s="22"/>
      <c r="Y627" s="22"/>
    </row>
    <row r="628" spans="1:25" ht="15.75" customHeight="1">
      <c r="A628" s="22"/>
      <c r="B628" s="22"/>
      <c r="C628" s="22"/>
      <c r="D628" s="22"/>
      <c r="E628" s="22"/>
      <c r="F628" s="22"/>
      <c r="G628" s="22"/>
      <c r="H628" s="22"/>
      <c r="I628" s="22"/>
      <c r="J628" s="22"/>
      <c r="K628" s="22"/>
      <c r="L628" s="22"/>
      <c r="M628" s="22"/>
      <c r="N628" s="22"/>
      <c r="O628" s="22"/>
      <c r="P628" s="22"/>
      <c r="Q628" s="22"/>
      <c r="R628" s="22"/>
      <c r="S628" s="22"/>
      <c r="T628" s="22"/>
      <c r="U628" s="22"/>
      <c r="V628" s="22"/>
      <c r="W628" s="22"/>
      <c r="X628" s="22"/>
      <c r="Y628" s="22"/>
    </row>
    <row r="629" spans="1:25" ht="15.75" customHeight="1">
      <c r="A629" s="22"/>
      <c r="B629" s="22"/>
      <c r="C629" s="22"/>
      <c r="D629" s="22"/>
      <c r="E629" s="22"/>
      <c r="F629" s="22"/>
      <c r="G629" s="22"/>
      <c r="H629" s="22"/>
      <c r="I629" s="22"/>
      <c r="J629" s="22"/>
      <c r="K629" s="22"/>
      <c r="L629" s="22"/>
      <c r="M629" s="22"/>
      <c r="N629" s="22"/>
      <c r="O629" s="22"/>
      <c r="P629" s="22"/>
      <c r="Q629" s="22"/>
      <c r="R629" s="22"/>
      <c r="S629" s="22"/>
      <c r="T629" s="22"/>
      <c r="U629" s="22"/>
      <c r="V629" s="22"/>
      <c r="W629" s="22"/>
      <c r="X629" s="22"/>
      <c r="Y629" s="22"/>
    </row>
    <row r="630" spans="1:25" ht="15.75" customHeight="1">
      <c r="A630" s="22"/>
      <c r="B630" s="22"/>
      <c r="C630" s="22"/>
      <c r="D630" s="22"/>
      <c r="E630" s="22"/>
      <c r="F630" s="22"/>
      <c r="G630" s="22"/>
      <c r="H630" s="22"/>
      <c r="I630" s="22"/>
      <c r="J630" s="22"/>
      <c r="K630" s="22"/>
      <c r="L630" s="22"/>
      <c r="M630" s="22"/>
      <c r="N630" s="22"/>
      <c r="O630" s="22"/>
      <c r="P630" s="22"/>
      <c r="Q630" s="22"/>
      <c r="R630" s="22"/>
      <c r="S630" s="22"/>
      <c r="T630" s="22"/>
      <c r="U630" s="22"/>
      <c r="V630" s="22"/>
      <c r="W630" s="22"/>
      <c r="X630" s="22"/>
      <c r="Y630" s="22"/>
    </row>
    <row r="631" spans="1:25" ht="15.75" customHeight="1">
      <c r="A631" s="22"/>
      <c r="B631" s="22"/>
      <c r="C631" s="22"/>
      <c r="D631" s="22"/>
      <c r="E631" s="22"/>
      <c r="F631" s="22"/>
      <c r="G631" s="22"/>
      <c r="H631" s="22"/>
      <c r="I631" s="22"/>
      <c r="J631" s="22"/>
      <c r="K631" s="22"/>
      <c r="L631" s="22"/>
      <c r="M631" s="22"/>
      <c r="N631" s="22"/>
      <c r="O631" s="22"/>
      <c r="P631" s="22"/>
      <c r="Q631" s="22"/>
      <c r="R631" s="22"/>
      <c r="S631" s="22"/>
      <c r="T631" s="22"/>
      <c r="U631" s="22"/>
      <c r="V631" s="22"/>
      <c r="W631" s="22"/>
      <c r="X631" s="22"/>
      <c r="Y631" s="22"/>
    </row>
    <row r="632" spans="1:25" ht="15.75" customHeight="1">
      <c r="A632" s="22"/>
      <c r="B632" s="22"/>
      <c r="C632" s="22"/>
      <c r="D632" s="22"/>
      <c r="E632" s="22"/>
      <c r="F632" s="22"/>
      <c r="G632" s="22"/>
      <c r="H632" s="22"/>
      <c r="I632" s="22"/>
      <c r="J632" s="22"/>
      <c r="K632" s="22"/>
      <c r="L632" s="22"/>
      <c r="M632" s="22"/>
      <c r="N632" s="22"/>
      <c r="O632" s="22"/>
      <c r="P632" s="22"/>
      <c r="Q632" s="22"/>
      <c r="R632" s="22"/>
      <c r="S632" s="22"/>
      <c r="T632" s="22"/>
      <c r="U632" s="22"/>
      <c r="V632" s="22"/>
      <c r="W632" s="22"/>
      <c r="X632" s="22"/>
      <c r="Y632" s="22"/>
    </row>
    <row r="633" spans="1:25" ht="15.75" customHeight="1">
      <c r="A633" s="22"/>
      <c r="B633" s="22"/>
      <c r="C633" s="22"/>
      <c r="D633" s="22"/>
      <c r="E633" s="22"/>
      <c r="F633" s="22"/>
      <c r="G633" s="22"/>
      <c r="H633" s="22"/>
      <c r="I633" s="22"/>
      <c r="J633" s="22"/>
      <c r="K633" s="22"/>
      <c r="L633" s="22"/>
      <c r="M633" s="22"/>
      <c r="N633" s="22"/>
      <c r="O633" s="22"/>
      <c r="P633" s="22"/>
      <c r="Q633" s="22"/>
      <c r="R633" s="22"/>
      <c r="S633" s="22"/>
      <c r="T633" s="22"/>
      <c r="U633" s="22"/>
      <c r="V633" s="22"/>
      <c r="W633" s="22"/>
      <c r="X633" s="22"/>
      <c r="Y633" s="22"/>
    </row>
    <row r="634" spans="1:25" ht="15.75" customHeight="1">
      <c r="A634" s="22"/>
      <c r="B634" s="22"/>
      <c r="C634" s="22"/>
      <c r="D634" s="22"/>
      <c r="E634" s="22"/>
      <c r="F634" s="22"/>
      <c r="G634" s="22"/>
      <c r="H634" s="22"/>
      <c r="I634" s="22"/>
      <c r="J634" s="22"/>
      <c r="K634" s="22"/>
      <c r="L634" s="22"/>
      <c r="M634" s="22"/>
      <c r="N634" s="22"/>
      <c r="O634" s="22"/>
      <c r="P634" s="22"/>
      <c r="Q634" s="22"/>
      <c r="R634" s="22"/>
      <c r="S634" s="22"/>
      <c r="T634" s="22"/>
      <c r="U634" s="22"/>
      <c r="V634" s="22"/>
      <c r="W634" s="22"/>
      <c r="X634" s="22"/>
      <c r="Y634" s="22"/>
    </row>
    <row r="635" spans="1:25" ht="15.75" customHeight="1">
      <c r="A635" s="22"/>
      <c r="B635" s="22"/>
      <c r="C635" s="22"/>
      <c r="D635" s="22"/>
      <c r="E635" s="22"/>
      <c r="F635" s="22"/>
      <c r="G635" s="22"/>
      <c r="H635" s="22"/>
      <c r="I635" s="22"/>
      <c r="J635" s="22"/>
      <c r="K635" s="22"/>
      <c r="L635" s="22"/>
      <c r="M635" s="22"/>
      <c r="N635" s="22"/>
      <c r="O635" s="22"/>
      <c r="P635" s="22"/>
      <c r="Q635" s="22"/>
      <c r="R635" s="22"/>
      <c r="S635" s="22"/>
      <c r="T635" s="22"/>
      <c r="U635" s="22"/>
      <c r="V635" s="22"/>
      <c r="W635" s="22"/>
      <c r="X635" s="22"/>
      <c r="Y635" s="22"/>
    </row>
    <row r="636" spans="1:25" ht="15.75" customHeight="1">
      <c r="A636" s="22"/>
      <c r="B636" s="22"/>
      <c r="C636" s="22"/>
      <c r="D636" s="22"/>
      <c r="E636" s="22"/>
      <c r="F636" s="22"/>
      <c r="G636" s="22"/>
      <c r="H636" s="22"/>
      <c r="I636" s="22"/>
      <c r="J636" s="22"/>
      <c r="K636" s="22"/>
      <c r="L636" s="22"/>
      <c r="M636" s="22"/>
      <c r="N636" s="22"/>
      <c r="O636" s="22"/>
      <c r="P636" s="22"/>
      <c r="Q636" s="22"/>
      <c r="R636" s="22"/>
      <c r="S636" s="22"/>
      <c r="T636" s="22"/>
      <c r="U636" s="22"/>
      <c r="V636" s="22"/>
      <c r="W636" s="22"/>
      <c r="X636" s="22"/>
      <c r="Y636" s="22"/>
    </row>
    <row r="637" spans="1:25" ht="15.75" customHeight="1">
      <c r="A637" s="22"/>
      <c r="B637" s="22"/>
      <c r="C637" s="22"/>
      <c r="D637" s="22"/>
      <c r="E637" s="22"/>
      <c r="F637" s="22"/>
      <c r="G637" s="22"/>
      <c r="H637" s="22"/>
      <c r="I637" s="22"/>
      <c r="J637" s="22"/>
      <c r="K637" s="22"/>
      <c r="L637" s="22"/>
      <c r="M637" s="22"/>
      <c r="N637" s="22"/>
      <c r="O637" s="22"/>
      <c r="P637" s="22"/>
      <c r="Q637" s="22"/>
      <c r="R637" s="22"/>
      <c r="S637" s="22"/>
      <c r="T637" s="22"/>
      <c r="U637" s="22"/>
      <c r="V637" s="22"/>
      <c r="W637" s="22"/>
      <c r="X637" s="22"/>
      <c r="Y637" s="22"/>
    </row>
    <row r="638" spans="1:25" ht="15.75" customHeight="1">
      <c r="A638" s="22"/>
      <c r="B638" s="22"/>
      <c r="C638" s="22"/>
      <c r="D638" s="22"/>
      <c r="E638" s="22"/>
      <c r="F638" s="22"/>
      <c r="G638" s="22"/>
      <c r="H638" s="22"/>
      <c r="I638" s="22"/>
      <c r="J638" s="22"/>
      <c r="K638" s="22"/>
      <c r="L638" s="22"/>
      <c r="M638" s="22"/>
      <c r="N638" s="22"/>
      <c r="O638" s="22"/>
      <c r="P638" s="22"/>
      <c r="Q638" s="22"/>
      <c r="R638" s="22"/>
      <c r="S638" s="22"/>
      <c r="T638" s="22"/>
      <c r="U638" s="22"/>
      <c r="V638" s="22"/>
      <c r="W638" s="22"/>
      <c r="X638" s="22"/>
      <c r="Y638" s="22"/>
    </row>
    <row r="639" spans="1:25" ht="15.75" customHeight="1">
      <c r="A639" s="22"/>
      <c r="B639" s="22"/>
      <c r="C639" s="22"/>
      <c r="D639" s="22"/>
      <c r="E639" s="22"/>
      <c r="F639" s="22"/>
      <c r="G639" s="22"/>
      <c r="H639" s="22"/>
      <c r="I639" s="22"/>
      <c r="J639" s="22"/>
      <c r="K639" s="22"/>
      <c r="L639" s="22"/>
      <c r="M639" s="22"/>
      <c r="N639" s="22"/>
      <c r="O639" s="22"/>
      <c r="P639" s="22"/>
      <c r="Q639" s="22"/>
      <c r="R639" s="22"/>
      <c r="S639" s="22"/>
      <c r="T639" s="22"/>
      <c r="U639" s="22"/>
      <c r="V639" s="22"/>
      <c r="W639" s="22"/>
      <c r="X639" s="22"/>
      <c r="Y639" s="22"/>
    </row>
    <row r="640" spans="1:25" ht="15.75" customHeight="1">
      <c r="A640" s="22"/>
      <c r="B640" s="22"/>
      <c r="C640" s="22"/>
      <c r="D640" s="22"/>
      <c r="E640" s="22"/>
      <c r="F640" s="22"/>
      <c r="G640" s="22"/>
      <c r="H640" s="22"/>
      <c r="I640" s="22"/>
      <c r="J640" s="22"/>
      <c r="K640" s="22"/>
      <c r="L640" s="22"/>
      <c r="M640" s="22"/>
      <c r="N640" s="22"/>
      <c r="O640" s="22"/>
      <c r="P640" s="22"/>
      <c r="Q640" s="22"/>
      <c r="R640" s="22"/>
      <c r="S640" s="22"/>
      <c r="T640" s="22"/>
      <c r="U640" s="22"/>
      <c r="V640" s="22"/>
      <c r="W640" s="22"/>
      <c r="X640" s="22"/>
      <c r="Y640" s="22"/>
    </row>
    <row r="641" spans="1:25" ht="15.75" customHeight="1">
      <c r="A641" s="22"/>
      <c r="B641" s="22"/>
      <c r="C641" s="22"/>
      <c r="D641" s="22"/>
      <c r="E641" s="22"/>
      <c r="F641" s="22"/>
      <c r="G641" s="22"/>
      <c r="H641" s="22"/>
      <c r="I641" s="22"/>
      <c r="J641" s="22"/>
      <c r="K641" s="22"/>
      <c r="L641" s="22"/>
      <c r="M641" s="22"/>
      <c r="N641" s="22"/>
      <c r="O641" s="22"/>
      <c r="P641" s="22"/>
      <c r="Q641" s="22"/>
      <c r="R641" s="22"/>
      <c r="S641" s="22"/>
      <c r="T641" s="22"/>
      <c r="U641" s="22"/>
      <c r="V641" s="22"/>
      <c r="W641" s="22"/>
      <c r="X641" s="22"/>
      <c r="Y641" s="22"/>
    </row>
    <row r="642" spans="1:25" ht="15.75" customHeight="1">
      <c r="A642" s="22"/>
      <c r="B642" s="22"/>
      <c r="C642" s="22"/>
      <c r="D642" s="22"/>
      <c r="E642" s="22"/>
      <c r="F642" s="22"/>
      <c r="G642" s="22"/>
      <c r="H642" s="22"/>
      <c r="I642" s="22"/>
      <c r="J642" s="22"/>
      <c r="K642" s="22"/>
      <c r="L642" s="22"/>
      <c r="M642" s="22"/>
      <c r="N642" s="22"/>
      <c r="O642" s="22"/>
      <c r="P642" s="22"/>
      <c r="Q642" s="22"/>
      <c r="R642" s="22"/>
      <c r="S642" s="22"/>
      <c r="T642" s="22"/>
      <c r="U642" s="22"/>
      <c r="V642" s="22"/>
      <c r="W642" s="22"/>
      <c r="X642" s="22"/>
      <c r="Y642" s="22"/>
    </row>
    <row r="643" spans="1:25" ht="15.75" customHeight="1">
      <c r="A643" s="22"/>
      <c r="B643" s="22"/>
      <c r="C643" s="22"/>
      <c r="D643" s="22"/>
      <c r="E643" s="22"/>
      <c r="F643" s="22"/>
      <c r="G643" s="22"/>
      <c r="H643" s="22"/>
      <c r="I643" s="22"/>
      <c r="J643" s="22"/>
      <c r="K643" s="22"/>
      <c r="L643" s="22"/>
      <c r="M643" s="22"/>
      <c r="N643" s="22"/>
      <c r="O643" s="22"/>
      <c r="P643" s="22"/>
      <c r="Q643" s="22"/>
      <c r="R643" s="22"/>
      <c r="S643" s="22"/>
      <c r="T643" s="22"/>
      <c r="U643" s="22"/>
      <c r="V643" s="22"/>
      <c r="W643" s="22"/>
      <c r="X643" s="22"/>
      <c r="Y643" s="22"/>
    </row>
    <row r="644" spans="1:25" ht="15.75" customHeight="1">
      <c r="A644" s="22"/>
      <c r="B644" s="22"/>
      <c r="C644" s="22"/>
      <c r="D644" s="22"/>
      <c r="E644" s="22"/>
      <c r="F644" s="22"/>
      <c r="G644" s="22"/>
      <c r="H644" s="22"/>
      <c r="I644" s="22"/>
      <c r="J644" s="22"/>
      <c r="K644" s="22"/>
      <c r="L644" s="22"/>
      <c r="M644" s="22"/>
      <c r="N644" s="22"/>
      <c r="O644" s="22"/>
      <c r="P644" s="22"/>
      <c r="Q644" s="22"/>
      <c r="R644" s="22"/>
      <c r="S644" s="22"/>
      <c r="T644" s="22"/>
      <c r="U644" s="22"/>
      <c r="V644" s="22"/>
      <c r="W644" s="22"/>
      <c r="X644" s="22"/>
      <c r="Y644" s="22"/>
    </row>
    <row r="645" spans="1:25" ht="15.75" customHeight="1">
      <c r="A645" s="22"/>
      <c r="B645" s="22"/>
      <c r="C645" s="22"/>
      <c r="D645" s="22"/>
      <c r="E645" s="22"/>
      <c r="F645" s="22"/>
      <c r="G645" s="22"/>
      <c r="H645" s="22"/>
      <c r="I645" s="22"/>
      <c r="J645" s="22"/>
      <c r="K645" s="22"/>
      <c r="L645" s="22"/>
      <c r="M645" s="22"/>
      <c r="N645" s="22"/>
      <c r="O645" s="22"/>
      <c r="P645" s="22"/>
      <c r="Q645" s="22"/>
      <c r="R645" s="22"/>
      <c r="S645" s="22"/>
      <c r="T645" s="22"/>
      <c r="U645" s="22"/>
      <c r="V645" s="22"/>
      <c r="W645" s="22"/>
      <c r="X645" s="22"/>
      <c r="Y645" s="22"/>
    </row>
    <row r="646" spans="1:25" ht="15.75" customHeight="1">
      <c r="A646" s="22"/>
      <c r="B646" s="22"/>
      <c r="C646" s="22"/>
      <c r="D646" s="22"/>
      <c r="E646" s="22"/>
      <c r="F646" s="22"/>
      <c r="G646" s="22"/>
      <c r="H646" s="22"/>
      <c r="I646" s="22"/>
      <c r="J646" s="22"/>
      <c r="K646" s="22"/>
      <c r="L646" s="22"/>
      <c r="M646" s="22"/>
      <c r="N646" s="22"/>
      <c r="O646" s="22"/>
      <c r="P646" s="22"/>
      <c r="Q646" s="22"/>
      <c r="R646" s="22"/>
      <c r="S646" s="22"/>
      <c r="T646" s="22"/>
      <c r="U646" s="22"/>
      <c r="V646" s="22"/>
      <c r="W646" s="22"/>
      <c r="X646" s="22"/>
      <c r="Y646" s="22"/>
    </row>
    <row r="647" spans="1:25" ht="15.75" customHeight="1">
      <c r="A647" s="22"/>
      <c r="B647" s="22"/>
      <c r="C647" s="22"/>
      <c r="D647" s="22"/>
      <c r="E647" s="22"/>
      <c r="F647" s="22"/>
      <c r="G647" s="22"/>
      <c r="H647" s="22"/>
      <c r="I647" s="22"/>
      <c r="J647" s="22"/>
      <c r="K647" s="22"/>
      <c r="L647" s="22"/>
      <c r="M647" s="22"/>
      <c r="N647" s="22"/>
      <c r="O647" s="22"/>
      <c r="P647" s="22"/>
      <c r="Q647" s="22"/>
      <c r="R647" s="22"/>
      <c r="S647" s="22"/>
      <c r="T647" s="22"/>
      <c r="U647" s="22"/>
      <c r="V647" s="22"/>
      <c r="W647" s="22"/>
      <c r="X647" s="22"/>
      <c r="Y647" s="22"/>
    </row>
    <row r="648" spans="1:25" ht="15.75" customHeight="1">
      <c r="A648" s="22"/>
      <c r="B648" s="22"/>
      <c r="C648" s="22"/>
      <c r="D648" s="22"/>
      <c r="E648" s="22"/>
      <c r="F648" s="22"/>
      <c r="G648" s="22"/>
      <c r="H648" s="22"/>
      <c r="I648" s="22"/>
      <c r="J648" s="22"/>
      <c r="K648" s="22"/>
      <c r="L648" s="22"/>
      <c r="M648" s="22"/>
      <c r="N648" s="22"/>
      <c r="O648" s="22"/>
      <c r="P648" s="22"/>
      <c r="Q648" s="22"/>
      <c r="R648" s="22"/>
      <c r="S648" s="22"/>
      <c r="T648" s="22"/>
      <c r="U648" s="22"/>
      <c r="V648" s="22"/>
      <c r="W648" s="22"/>
      <c r="X648" s="22"/>
      <c r="Y648" s="22"/>
    </row>
    <row r="649" spans="1:25" ht="15.75" customHeight="1">
      <c r="A649" s="22"/>
      <c r="B649" s="22"/>
      <c r="C649" s="22"/>
      <c r="D649" s="22"/>
      <c r="E649" s="22"/>
      <c r="F649" s="22"/>
      <c r="G649" s="22"/>
      <c r="H649" s="22"/>
      <c r="I649" s="22"/>
      <c r="J649" s="22"/>
      <c r="K649" s="22"/>
      <c r="L649" s="22"/>
      <c r="M649" s="22"/>
      <c r="N649" s="22"/>
      <c r="O649" s="22"/>
      <c r="P649" s="22"/>
      <c r="Q649" s="22"/>
      <c r="R649" s="22"/>
      <c r="S649" s="22"/>
      <c r="T649" s="22"/>
      <c r="U649" s="22"/>
      <c r="V649" s="22"/>
      <c r="W649" s="22"/>
      <c r="X649" s="22"/>
      <c r="Y649" s="22"/>
    </row>
    <row r="650" spans="1:25" ht="15.75" customHeight="1">
      <c r="A650" s="22"/>
      <c r="B650" s="22"/>
      <c r="C650" s="22"/>
      <c r="D650" s="22"/>
      <c r="E650" s="22"/>
      <c r="F650" s="22"/>
      <c r="G650" s="22"/>
      <c r="H650" s="22"/>
      <c r="I650" s="22"/>
      <c r="J650" s="22"/>
      <c r="K650" s="22"/>
      <c r="L650" s="22"/>
      <c r="M650" s="22"/>
      <c r="N650" s="22"/>
      <c r="O650" s="22"/>
      <c r="P650" s="22"/>
      <c r="Q650" s="22"/>
      <c r="R650" s="22"/>
      <c r="S650" s="22"/>
      <c r="T650" s="22"/>
      <c r="U650" s="22"/>
      <c r="V650" s="22"/>
      <c r="W650" s="22"/>
      <c r="X650" s="22"/>
      <c r="Y650" s="22"/>
    </row>
    <row r="651" spans="1:25" ht="15.75" customHeight="1">
      <c r="A651" s="22"/>
      <c r="B651" s="22"/>
      <c r="C651" s="22"/>
      <c r="D651" s="22"/>
      <c r="E651" s="22"/>
      <c r="F651" s="22"/>
      <c r="G651" s="22"/>
      <c r="H651" s="22"/>
      <c r="I651" s="22"/>
      <c r="J651" s="22"/>
      <c r="K651" s="22"/>
      <c r="L651" s="22"/>
      <c r="M651" s="22"/>
      <c r="N651" s="22"/>
      <c r="O651" s="22"/>
      <c r="P651" s="22"/>
      <c r="Q651" s="22"/>
      <c r="R651" s="22"/>
      <c r="S651" s="22"/>
      <c r="T651" s="22"/>
      <c r="U651" s="22"/>
      <c r="V651" s="22"/>
      <c r="W651" s="22"/>
      <c r="X651" s="22"/>
      <c r="Y651" s="22"/>
    </row>
    <row r="652" spans="1:25" ht="15.75" customHeight="1">
      <c r="A652" s="22"/>
      <c r="B652" s="22"/>
      <c r="C652" s="22"/>
      <c r="D652" s="22"/>
      <c r="E652" s="22"/>
      <c r="F652" s="22"/>
      <c r="G652" s="22"/>
      <c r="H652" s="22"/>
      <c r="I652" s="22"/>
      <c r="J652" s="22"/>
      <c r="K652" s="22"/>
      <c r="L652" s="22"/>
      <c r="M652" s="22"/>
      <c r="N652" s="22"/>
      <c r="O652" s="22"/>
      <c r="P652" s="22"/>
      <c r="Q652" s="22"/>
      <c r="R652" s="22"/>
      <c r="S652" s="22"/>
      <c r="T652" s="22"/>
      <c r="U652" s="22"/>
      <c r="V652" s="22"/>
      <c r="W652" s="22"/>
      <c r="X652" s="22"/>
      <c r="Y652" s="22"/>
    </row>
    <row r="653" spans="1:25" ht="15.75" customHeight="1">
      <c r="A653" s="22"/>
      <c r="B653" s="22"/>
      <c r="C653" s="22"/>
      <c r="D653" s="22"/>
      <c r="E653" s="22"/>
      <c r="F653" s="22"/>
      <c r="G653" s="22"/>
      <c r="H653" s="22"/>
      <c r="I653" s="22"/>
      <c r="J653" s="22"/>
      <c r="K653" s="22"/>
      <c r="L653" s="22"/>
      <c r="M653" s="22"/>
      <c r="N653" s="22"/>
      <c r="O653" s="22"/>
      <c r="P653" s="22"/>
      <c r="Q653" s="22"/>
      <c r="R653" s="22"/>
      <c r="S653" s="22"/>
      <c r="T653" s="22"/>
      <c r="U653" s="22"/>
      <c r="V653" s="22"/>
      <c r="W653" s="22"/>
      <c r="X653" s="22"/>
      <c r="Y653" s="22"/>
    </row>
    <row r="654" spans="1:25" ht="15.75" customHeight="1">
      <c r="A654" s="22"/>
      <c r="B654" s="22"/>
      <c r="C654" s="22"/>
      <c r="D654" s="22"/>
      <c r="E654" s="22"/>
      <c r="F654" s="22"/>
      <c r="G654" s="22"/>
      <c r="H654" s="22"/>
      <c r="I654" s="22"/>
      <c r="J654" s="22"/>
      <c r="K654" s="22"/>
      <c r="L654" s="22"/>
      <c r="M654" s="22"/>
      <c r="N654" s="22"/>
      <c r="O654" s="22"/>
      <c r="P654" s="22"/>
      <c r="Q654" s="22"/>
      <c r="R654" s="22"/>
      <c r="S654" s="22"/>
      <c r="T654" s="22"/>
      <c r="U654" s="22"/>
      <c r="V654" s="22"/>
      <c r="W654" s="22"/>
      <c r="X654" s="22"/>
      <c r="Y654" s="22"/>
    </row>
    <row r="655" spans="1:25" ht="15.75" customHeight="1">
      <c r="A655" s="22"/>
      <c r="B655" s="22"/>
      <c r="C655" s="22"/>
      <c r="D655" s="22"/>
      <c r="E655" s="22"/>
      <c r="F655" s="22"/>
      <c r="G655" s="22"/>
      <c r="H655" s="22"/>
      <c r="I655" s="22"/>
      <c r="J655" s="22"/>
      <c r="K655" s="22"/>
      <c r="L655" s="22"/>
      <c r="M655" s="22"/>
      <c r="N655" s="22"/>
      <c r="O655" s="22"/>
      <c r="P655" s="22"/>
      <c r="Q655" s="22"/>
      <c r="R655" s="22"/>
      <c r="S655" s="22"/>
      <c r="T655" s="22"/>
      <c r="U655" s="22"/>
      <c r="V655" s="22"/>
      <c r="W655" s="22"/>
      <c r="X655" s="22"/>
      <c r="Y655" s="22"/>
    </row>
    <row r="656" spans="1:25" ht="15.75" customHeight="1">
      <c r="A656" s="22"/>
      <c r="B656" s="22"/>
      <c r="C656" s="22"/>
      <c r="D656" s="22"/>
      <c r="E656" s="22"/>
      <c r="F656" s="22"/>
      <c r="G656" s="22"/>
      <c r="H656" s="22"/>
      <c r="I656" s="22"/>
      <c r="J656" s="22"/>
      <c r="K656" s="22"/>
      <c r="L656" s="22"/>
      <c r="M656" s="22"/>
      <c r="N656" s="22"/>
      <c r="O656" s="22"/>
      <c r="P656" s="22"/>
      <c r="Q656" s="22"/>
      <c r="R656" s="22"/>
      <c r="S656" s="22"/>
      <c r="T656" s="22"/>
      <c r="U656" s="22"/>
      <c r="V656" s="22"/>
      <c r="W656" s="22"/>
      <c r="X656" s="22"/>
      <c r="Y656" s="22"/>
    </row>
    <row r="657" spans="1:25" ht="15.75" customHeight="1">
      <c r="A657" s="22"/>
      <c r="B657" s="22"/>
      <c r="C657" s="22"/>
      <c r="D657" s="22"/>
      <c r="E657" s="22"/>
      <c r="F657" s="22"/>
      <c r="G657" s="22"/>
      <c r="H657" s="22"/>
      <c r="I657" s="22"/>
      <c r="J657" s="22"/>
      <c r="K657" s="22"/>
      <c r="L657" s="22"/>
      <c r="M657" s="22"/>
      <c r="N657" s="22"/>
      <c r="O657" s="22"/>
      <c r="P657" s="22"/>
      <c r="Q657" s="22"/>
      <c r="R657" s="22"/>
      <c r="S657" s="22"/>
      <c r="T657" s="22"/>
      <c r="U657" s="22"/>
      <c r="V657" s="22"/>
      <c r="W657" s="22"/>
      <c r="X657" s="22"/>
      <c r="Y657" s="22"/>
    </row>
    <row r="658" spans="1:25" ht="15.75" customHeight="1">
      <c r="A658" s="22"/>
      <c r="B658" s="22"/>
      <c r="C658" s="22"/>
      <c r="D658" s="22"/>
      <c r="E658" s="22"/>
      <c r="F658" s="22"/>
      <c r="G658" s="22"/>
      <c r="H658" s="22"/>
      <c r="I658" s="22"/>
      <c r="J658" s="22"/>
      <c r="K658" s="22"/>
      <c r="L658" s="22"/>
      <c r="M658" s="22"/>
      <c r="N658" s="22"/>
      <c r="O658" s="22"/>
      <c r="P658" s="22"/>
      <c r="Q658" s="22"/>
      <c r="R658" s="22"/>
      <c r="S658" s="22"/>
      <c r="T658" s="22"/>
      <c r="U658" s="22"/>
      <c r="V658" s="22"/>
      <c r="W658" s="22"/>
      <c r="X658" s="22"/>
      <c r="Y658" s="22"/>
    </row>
    <row r="659" spans="1:25" ht="15.75" customHeight="1">
      <c r="A659" s="22"/>
      <c r="B659" s="22"/>
      <c r="C659" s="22"/>
      <c r="D659" s="22"/>
      <c r="E659" s="22"/>
      <c r="F659" s="22"/>
      <c r="G659" s="22"/>
      <c r="H659" s="22"/>
      <c r="I659" s="22"/>
      <c r="J659" s="22"/>
      <c r="K659" s="22"/>
      <c r="L659" s="22"/>
      <c r="M659" s="22"/>
      <c r="N659" s="22"/>
      <c r="O659" s="22"/>
      <c r="P659" s="22"/>
      <c r="Q659" s="22"/>
      <c r="R659" s="22"/>
      <c r="S659" s="22"/>
      <c r="T659" s="22"/>
      <c r="U659" s="22"/>
      <c r="V659" s="22"/>
      <c r="W659" s="22"/>
      <c r="X659" s="22"/>
      <c r="Y659" s="22"/>
    </row>
    <row r="660" spans="1:25" ht="15.75" customHeight="1">
      <c r="A660" s="22"/>
      <c r="B660" s="22"/>
      <c r="C660" s="22"/>
      <c r="D660" s="22"/>
      <c r="E660" s="22"/>
      <c r="F660" s="22"/>
      <c r="G660" s="22"/>
      <c r="H660" s="22"/>
      <c r="I660" s="22"/>
      <c r="J660" s="22"/>
      <c r="K660" s="22"/>
      <c r="L660" s="22"/>
      <c r="M660" s="22"/>
      <c r="N660" s="22"/>
      <c r="O660" s="22"/>
      <c r="P660" s="22"/>
      <c r="Q660" s="22"/>
      <c r="R660" s="22"/>
      <c r="S660" s="22"/>
      <c r="T660" s="22"/>
      <c r="U660" s="22"/>
      <c r="V660" s="22"/>
      <c r="W660" s="22"/>
      <c r="X660" s="22"/>
      <c r="Y660" s="22"/>
    </row>
    <row r="661" spans="1:25" ht="15.75" customHeight="1">
      <c r="A661" s="22"/>
      <c r="B661" s="22"/>
      <c r="C661" s="22"/>
      <c r="D661" s="22"/>
      <c r="E661" s="22"/>
      <c r="F661" s="22"/>
      <c r="G661" s="22"/>
      <c r="H661" s="22"/>
      <c r="I661" s="22"/>
      <c r="J661" s="22"/>
      <c r="K661" s="22"/>
      <c r="L661" s="22"/>
      <c r="M661" s="22"/>
      <c r="N661" s="22"/>
      <c r="O661" s="22"/>
      <c r="P661" s="22"/>
      <c r="Q661" s="22"/>
      <c r="R661" s="22"/>
      <c r="S661" s="22"/>
      <c r="T661" s="22"/>
      <c r="U661" s="22"/>
      <c r="V661" s="22"/>
      <c r="W661" s="22"/>
      <c r="X661" s="22"/>
      <c r="Y661" s="22"/>
    </row>
    <row r="662" spans="1:25" ht="15.75" customHeight="1">
      <c r="A662" s="22"/>
      <c r="B662" s="22"/>
      <c r="C662" s="22"/>
      <c r="D662" s="22"/>
      <c r="E662" s="22"/>
      <c r="F662" s="22"/>
      <c r="G662" s="22"/>
      <c r="H662" s="22"/>
      <c r="I662" s="22"/>
      <c r="J662" s="22"/>
      <c r="K662" s="22"/>
      <c r="L662" s="22"/>
      <c r="M662" s="22"/>
      <c r="N662" s="22"/>
      <c r="O662" s="22"/>
      <c r="P662" s="22"/>
      <c r="Q662" s="22"/>
      <c r="R662" s="22"/>
      <c r="S662" s="22"/>
      <c r="T662" s="22"/>
      <c r="U662" s="22"/>
      <c r="V662" s="22"/>
      <c r="W662" s="22"/>
      <c r="X662" s="22"/>
      <c r="Y662" s="22"/>
    </row>
    <row r="663" spans="1:25" ht="15.75" customHeight="1">
      <c r="A663" s="22"/>
      <c r="B663" s="22"/>
      <c r="C663" s="22"/>
      <c r="D663" s="22"/>
      <c r="E663" s="22"/>
      <c r="F663" s="22"/>
      <c r="G663" s="22"/>
      <c r="H663" s="22"/>
      <c r="I663" s="22"/>
      <c r="J663" s="22"/>
      <c r="K663" s="22"/>
      <c r="L663" s="22"/>
      <c r="M663" s="22"/>
      <c r="N663" s="22"/>
      <c r="O663" s="22"/>
      <c r="P663" s="22"/>
      <c r="Q663" s="22"/>
      <c r="R663" s="22"/>
      <c r="S663" s="22"/>
      <c r="T663" s="22"/>
      <c r="U663" s="22"/>
      <c r="V663" s="22"/>
      <c r="W663" s="22"/>
      <c r="X663" s="22"/>
      <c r="Y663" s="22"/>
    </row>
    <row r="664" spans="1:25" ht="15.75" customHeight="1">
      <c r="A664" s="22"/>
      <c r="B664" s="22"/>
      <c r="C664" s="22"/>
      <c r="D664" s="22"/>
      <c r="E664" s="22"/>
      <c r="F664" s="22"/>
      <c r="G664" s="22"/>
      <c r="H664" s="22"/>
      <c r="I664" s="22"/>
      <c r="J664" s="22"/>
      <c r="K664" s="22"/>
      <c r="L664" s="22"/>
      <c r="M664" s="22"/>
      <c r="N664" s="22"/>
      <c r="O664" s="22"/>
      <c r="P664" s="22"/>
      <c r="Q664" s="22"/>
      <c r="R664" s="22"/>
      <c r="S664" s="22"/>
      <c r="T664" s="22"/>
      <c r="U664" s="22"/>
      <c r="V664" s="22"/>
      <c r="W664" s="22"/>
      <c r="X664" s="22"/>
      <c r="Y664" s="22"/>
    </row>
    <row r="665" spans="1:25" ht="15.75" customHeight="1">
      <c r="A665" s="22"/>
      <c r="B665" s="22"/>
      <c r="C665" s="22"/>
      <c r="D665" s="22"/>
      <c r="E665" s="22"/>
      <c r="F665" s="22"/>
      <c r="G665" s="22"/>
      <c r="H665" s="22"/>
      <c r="I665" s="22"/>
      <c r="J665" s="22"/>
      <c r="K665" s="22"/>
      <c r="L665" s="22"/>
      <c r="M665" s="22"/>
      <c r="N665" s="22"/>
      <c r="O665" s="22"/>
      <c r="P665" s="22"/>
      <c r="Q665" s="22"/>
      <c r="R665" s="22"/>
      <c r="S665" s="22"/>
      <c r="T665" s="22"/>
      <c r="U665" s="22"/>
      <c r="V665" s="22"/>
      <c r="W665" s="22"/>
      <c r="X665" s="22"/>
      <c r="Y665" s="22"/>
    </row>
    <row r="666" spans="1:25" ht="15.75" customHeight="1">
      <c r="A666" s="22"/>
      <c r="B666" s="22"/>
      <c r="C666" s="22"/>
      <c r="D666" s="22"/>
      <c r="E666" s="22"/>
      <c r="F666" s="22"/>
      <c r="G666" s="22"/>
      <c r="H666" s="22"/>
      <c r="I666" s="22"/>
      <c r="J666" s="22"/>
      <c r="K666" s="22"/>
      <c r="L666" s="22"/>
      <c r="M666" s="22"/>
      <c r="N666" s="22"/>
      <c r="O666" s="22"/>
      <c r="P666" s="22"/>
      <c r="Q666" s="22"/>
      <c r="R666" s="22"/>
      <c r="S666" s="22"/>
      <c r="T666" s="22"/>
      <c r="U666" s="22"/>
      <c r="V666" s="22"/>
      <c r="W666" s="22"/>
      <c r="X666" s="22"/>
      <c r="Y666" s="22"/>
    </row>
    <row r="667" spans="1:25" ht="15.75" customHeight="1">
      <c r="A667" s="22"/>
      <c r="B667" s="22"/>
      <c r="C667" s="22"/>
      <c r="D667" s="22"/>
      <c r="E667" s="22"/>
      <c r="F667" s="22"/>
      <c r="G667" s="22"/>
      <c r="H667" s="22"/>
      <c r="I667" s="22"/>
      <c r="J667" s="22"/>
      <c r="K667" s="22"/>
      <c r="L667" s="22"/>
      <c r="M667" s="22"/>
      <c r="N667" s="22"/>
      <c r="O667" s="22"/>
      <c r="P667" s="22"/>
      <c r="Q667" s="22"/>
      <c r="R667" s="22"/>
      <c r="S667" s="22"/>
      <c r="T667" s="22"/>
      <c r="U667" s="22"/>
      <c r="V667" s="22"/>
      <c r="W667" s="22"/>
      <c r="X667" s="22"/>
      <c r="Y667" s="22"/>
    </row>
    <row r="668" spans="1:25" ht="15.75" customHeight="1">
      <c r="A668" s="22"/>
      <c r="B668" s="22"/>
      <c r="C668" s="22"/>
      <c r="D668" s="22"/>
      <c r="E668" s="22"/>
      <c r="F668" s="22"/>
      <c r="G668" s="22"/>
      <c r="H668" s="22"/>
      <c r="I668" s="22"/>
      <c r="J668" s="22"/>
      <c r="K668" s="22"/>
      <c r="L668" s="22"/>
      <c r="M668" s="22"/>
      <c r="N668" s="22"/>
      <c r="O668" s="22"/>
      <c r="P668" s="22"/>
      <c r="Q668" s="22"/>
      <c r="R668" s="22"/>
      <c r="S668" s="22"/>
      <c r="T668" s="22"/>
      <c r="U668" s="22"/>
      <c r="V668" s="22"/>
      <c r="W668" s="22"/>
      <c r="X668" s="22"/>
      <c r="Y668" s="22"/>
    </row>
    <row r="669" spans="1:25" ht="15.75" customHeight="1">
      <c r="A669" s="22"/>
      <c r="B669" s="22"/>
      <c r="C669" s="22"/>
      <c r="D669" s="22"/>
      <c r="E669" s="22"/>
      <c r="F669" s="22"/>
      <c r="G669" s="22"/>
      <c r="H669" s="22"/>
      <c r="I669" s="22"/>
      <c r="J669" s="22"/>
      <c r="K669" s="22"/>
      <c r="L669" s="22"/>
      <c r="M669" s="22"/>
      <c r="N669" s="22"/>
      <c r="O669" s="22"/>
      <c r="P669" s="22"/>
      <c r="Q669" s="22"/>
      <c r="R669" s="22"/>
      <c r="S669" s="22"/>
      <c r="T669" s="22"/>
      <c r="U669" s="22"/>
      <c r="V669" s="22"/>
      <c r="W669" s="22"/>
      <c r="X669" s="22"/>
      <c r="Y669" s="22"/>
    </row>
    <row r="670" spans="1:25" ht="15.75" customHeight="1">
      <c r="A670" s="22"/>
      <c r="B670" s="22"/>
      <c r="C670" s="22"/>
      <c r="D670" s="22"/>
      <c r="E670" s="22"/>
      <c r="F670" s="22"/>
      <c r="G670" s="22"/>
      <c r="H670" s="22"/>
      <c r="I670" s="22"/>
      <c r="J670" s="22"/>
      <c r="K670" s="22"/>
      <c r="L670" s="22"/>
      <c r="M670" s="22"/>
      <c r="N670" s="22"/>
      <c r="O670" s="22"/>
      <c r="P670" s="22"/>
      <c r="Q670" s="22"/>
      <c r="R670" s="22"/>
      <c r="S670" s="22"/>
      <c r="T670" s="22"/>
      <c r="U670" s="22"/>
      <c r="V670" s="22"/>
      <c r="W670" s="22"/>
      <c r="X670" s="22"/>
      <c r="Y670" s="22"/>
    </row>
    <row r="671" spans="1:25" ht="15.75" customHeight="1">
      <c r="A671" s="22"/>
      <c r="B671" s="22"/>
      <c r="C671" s="22"/>
      <c r="D671" s="22"/>
      <c r="E671" s="22"/>
      <c r="F671" s="22"/>
      <c r="G671" s="22"/>
      <c r="H671" s="22"/>
      <c r="I671" s="22"/>
      <c r="J671" s="22"/>
      <c r="K671" s="22"/>
      <c r="L671" s="22"/>
      <c r="M671" s="22"/>
      <c r="N671" s="22"/>
      <c r="O671" s="22"/>
      <c r="P671" s="22"/>
      <c r="Q671" s="22"/>
      <c r="R671" s="22"/>
      <c r="S671" s="22"/>
      <c r="T671" s="22"/>
      <c r="U671" s="22"/>
      <c r="V671" s="22"/>
      <c r="W671" s="22"/>
      <c r="X671" s="22"/>
      <c r="Y671" s="22"/>
    </row>
    <row r="672" spans="1:25" ht="15.75" customHeight="1">
      <c r="A672" s="22"/>
      <c r="B672" s="22"/>
      <c r="C672" s="22"/>
      <c r="D672" s="22"/>
      <c r="E672" s="22"/>
      <c r="F672" s="22"/>
      <c r="G672" s="22"/>
      <c r="H672" s="22"/>
      <c r="I672" s="22"/>
      <c r="J672" s="22"/>
      <c r="K672" s="22"/>
      <c r="L672" s="22"/>
      <c r="M672" s="22"/>
      <c r="N672" s="22"/>
      <c r="O672" s="22"/>
      <c r="P672" s="22"/>
      <c r="Q672" s="22"/>
      <c r="R672" s="22"/>
      <c r="S672" s="22"/>
      <c r="T672" s="22"/>
      <c r="U672" s="22"/>
      <c r="V672" s="22"/>
      <c r="W672" s="22"/>
      <c r="X672" s="22"/>
      <c r="Y672" s="22"/>
    </row>
    <row r="673" spans="1:25" ht="15.75" customHeight="1">
      <c r="A673" s="22"/>
      <c r="B673" s="22"/>
      <c r="C673" s="22"/>
      <c r="D673" s="22"/>
      <c r="E673" s="22"/>
      <c r="F673" s="22"/>
      <c r="G673" s="22"/>
      <c r="H673" s="22"/>
      <c r="I673" s="22"/>
      <c r="J673" s="22"/>
      <c r="K673" s="22"/>
      <c r="L673" s="22"/>
      <c r="M673" s="22"/>
      <c r="N673" s="22"/>
      <c r="O673" s="22"/>
      <c r="P673" s="22"/>
      <c r="Q673" s="22"/>
      <c r="R673" s="22"/>
      <c r="S673" s="22"/>
      <c r="T673" s="22"/>
      <c r="U673" s="22"/>
      <c r="V673" s="22"/>
      <c r="W673" s="22"/>
      <c r="X673" s="22"/>
      <c r="Y673" s="22"/>
    </row>
    <row r="674" spans="1:25" ht="15.75" customHeight="1">
      <c r="A674" s="22"/>
      <c r="B674" s="22"/>
      <c r="C674" s="22"/>
      <c r="D674" s="22"/>
      <c r="E674" s="22"/>
      <c r="F674" s="22"/>
      <c r="G674" s="22"/>
      <c r="H674" s="22"/>
      <c r="I674" s="22"/>
      <c r="J674" s="22"/>
      <c r="K674" s="22"/>
      <c r="L674" s="22"/>
      <c r="M674" s="22"/>
      <c r="N674" s="22"/>
      <c r="O674" s="22"/>
      <c r="P674" s="22"/>
      <c r="Q674" s="22"/>
      <c r="R674" s="22"/>
      <c r="S674" s="22"/>
      <c r="T674" s="22"/>
      <c r="U674" s="22"/>
      <c r="V674" s="22"/>
      <c r="W674" s="22"/>
      <c r="X674" s="22"/>
      <c r="Y674" s="22"/>
    </row>
    <row r="675" spans="1:25" ht="15.75" customHeight="1">
      <c r="A675" s="22"/>
      <c r="B675" s="22"/>
      <c r="C675" s="22"/>
      <c r="D675" s="22"/>
      <c r="E675" s="22"/>
      <c r="F675" s="22"/>
      <c r="G675" s="22"/>
      <c r="H675" s="22"/>
      <c r="I675" s="22"/>
      <c r="J675" s="22"/>
      <c r="K675" s="22"/>
      <c r="L675" s="22"/>
      <c r="M675" s="22"/>
      <c r="N675" s="22"/>
      <c r="O675" s="22"/>
      <c r="P675" s="22"/>
      <c r="Q675" s="22"/>
      <c r="R675" s="22"/>
      <c r="S675" s="22"/>
      <c r="T675" s="22"/>
      <c r="U675" s="22"/>
      <c r="V675" s="22"/>
      <c r="W675" s="22"/>
      <c r="X675" s="22"/>
      <c r="Y675" s="22"/>
    </row>
    <row r="676" spans="1:25" ht="15.75" customHeight="1">
      <c r="A676" s="22"/>
      <c r="B676" s="22"/>
      <c r="C676" s="22"/>
      <c r="D676" s="22"/>
      <c r="E676" s="22"/>
      <c r="F676" s="22"/>
      <c r="G676" s="22"/>
      <c r="H676" s="22"/>
      <c r="I676" s="22"/>
      <c r="J676" s="22"/>
      <c r="K676" s="22"/>
      <c r="L676" s="22"/>
      <c r="M676" s="22"/>
      <c r="N676" s="22"/>
      <c r="O676" s="22"/>
      <c r="P676" s="22"/>
      <c r="Q676" s="22"/>
      <c r="R676" s="22"/>
      <c r="S676" s="22"/>
      <c r="T676" s="22"/>
      <c r="U676" s="22"/>
      <c r="V676" s="22"/>
      <c r="W676" s="22"/>
      <c r="X676" s="22"/>
      <c r="Y676" s="22"/>
    </row>
    <row r="677" spans="1:25" ht="15.75" customHeight="1">
      <c r="A677" s="22"/>
      <c r="B677" s="22"/>
      <c r="C677" s="22"/>
      <c r="D677" s="22"/>
      <c r="E677" s="22"/>
      <c r="F677" s="22"/>
      <c r="G677" s="22"/>
      <c r="H677" s="22"/>
      <c r="I677" s="22"/>
      <c r="J677" s="22"/>
      <c r="K677" s="22"/>
      <c r="L677" s="22"/>
      <c r="M677" s="22"/>
      <c r="N677" s="22"/>
      <c r="O677" s="22"/>
      <c r="P677" s="22"/>
      <c r="Q677" s="22"/>
      <c r="R677" s="22"/>
      <c r="S677" s="22"/>
      <c r="T677" s="22"/>
      <c r="U677" s="22"/>
      <c r="V677" s="22"/>
      <c r="W677" s="22"/>
      <c r="X677" s="22"/>
      <c r="Y677" s="22"/>
    </row>
    <row r="678" spans="1:25" ht="15.75" customHeight="1">
      <c r="A678" s="22"/>
      <c r="B678" s="22"/>
      <c r="C678" s="22"/>
      <c r="D678" s="22"/>
      <c r="E678" s="22"/>
      <c r="F678" s="22"/>
      <c r="G678" s="22"/>
      <c r="H678" s="22"/>
      <c r="I678" s="22"/>
      <c r="J678" s="22"/>
      <c r="K678" s="22"/>
      <c r="L678" s="22"/>
      <c r="M678" s="22"/>
      <c r="N678" s="22"/>
      <c r="O678" s="22"/>
      <c r="P678" s="22"/>
      <c r="Q678" s="22"/>
      <c r="R678" s="22"/>
      <c r="S678" s="22"/>
      <c r="T678" s="22"/>
      <c r="U678" s="22"/>
      <c r="V678" s="22"/>
      <c r="W678" s="22"/>
      <c r="X678" s="22"/>
      <c r="Y678" s="22"/>
    </row>
    <row r="679" spans="1:25" ht="15.75" customHeight="1">
      <c r="A679" s="22"/>
      <c r="B679" s="22"/>
      <c r="C679" s="22"/>
      <c r="D679" s="22"/>
      <c r="E679" s="22"/>
      <c r="F679" s="22"/>
      <c r="G679" s="22"/>
      <c r="H679" s="22"/>
      <c r="I679" s="22"/>
      <c r="J679" s="22"/>
      <c r="K679" s="22"/>
      <c r="L679" s="22"/>
      <c r="M679" s="22"/>
      <c r="N679" s="22"/>
      <c r="O679" s="22"/>
      <c r="P679" s="22"/>
      <c r="Q679" s="22"/>
      <c r="R679" s="22"/>
      <c r="S679" s="22"/>
      <c r="T679" s="22"/>
      <c r="U679" s="22"/>
      <c r="V679" s="22"/>
      <c r="W679" s="22"/>
      <c r="X679" s="22"/>
      <c r="Y679" s="22"/>
    </row>
    <row r="680" spans="1:25" ht="15.75" customHeight="1">
      <c r="A680" s="22"/>
      <c r="B680" s="22"/>
      <c r="C680" s="22"/>
      <c r="D680" s="22"/>
      <c r="E680" s="22"/>
      <c r="F680" s="22"/>
      <c r="G680" s="22"/>
      <c r="H680" s="22"/>
      <c r="I680" s="22"/>
      <c r="J680" s="22"/>
      <c r="K680" s="22"/>
      <c r="L680" s="22"/>
      <c r="M680" s="22"/>
      <c r="N680" s="22"/>
      <c r="O680" s="22"/>
      <c r="P680" s="22"/>
      <c r="Q680" s="22"/>
      <c r="R680" s="22"/>
      <c r="S680" s="22"/>
      <c r="T680" s="22"/>
      <c r="U680" s="22"/>
      <c r="V680" s="22"/>
      <c r="W680" s="22"/>
      <c r="X680" s="22"/>
      <c r="Y680" s="22"/>
    </row>
    <row r="681" spans="1:25" ht="15.75" customHeight="1">
      <c r="A681" s="22"/>
      <c r="B681" s="22"/>
      <c r="C681" s="22"/>
      <c r="D681" s="22"/>
      <c r="E681" s="22"/>
      <c r="F681" s="22"/>
      <c r="G681" s="22"/>
      <c r="H681" s="22"/>
      <c r="I681" s="22"/>
      <c r="J681" s="22"/>
      <c r="K681" s="22"/>
      <c r="L681" s="22"/>
      <c r="M681" s="22"/>
      <c r="N681" s="22"/>
      <c r="O681" s="22"/>
      <c r="P681" s="22"/>
      <c r="Q681" s="22"/>
      <c r="R681" s="22"/>
      <c r="S681" s="22"/>
      <c r="T681" s="22"/>
      <c r="U681" s="22"/>
      <c r="V681" s="22"/>
      <c r="W681" s="22"/>
      <c r="X681" s="22"/>
      <c r="Y681" s="22"/>
    </row>
    <row r="682" spans="1:25" ht="15.75" customHeight="1">
      <c r="A682" s="22"/>
      <c r="B682" s="22"/>
      <c r="C682" s="22"/>
      <c r="D682" s="22"/>
      <c r="E682" s="22"/>
      <c r="F682" s="22"/>
      <c r="G682" s="22"/>
      <c r="H682" s="22"/>
      <c r="I682" s="22"/>
      <c r="J682" s="22"/>
      <c r="K682" s="22"/>
      <c r="L682" s="22"/>
      <c r="M682" s="22"/>
      <c r="N682" s="22"/>
      <c r="O682" s="22"/>
      <c r="P682" s="22"/>
      <c r="Q682" s="22"/>
      <c r="R682" s="22"/>
      <c r="S682" s="22"/>
      <c r="T682" s="22"/>
      <c r="U682" s="22"/>
      <c r="V682" s="22"/>
      <c r="W682" s="22"/>
      <c r="X682" s="22"/>
      <c r="Y682" s="22"/>
    </row>
    <row r="683" spans="1:25" ht="15.75" customHeight="1">
      <c r="A683" s="22"/>
      <c r="B683" s="22"/>
      <c r="C683" s="22"/>
      <c r="D683" s="22"/>
      <c r="E683" s="22"/>
      <c r="F683" s="22"/>
      <c r="G683" s="22"/>
      <c r="H683" s="22"/>
      <c r="I683" s="22"/>
      <c r="J683" s="22"/>
      <c r="K683" s="22"/>
      <c r="L683" s="22"/>
      <c r="M683" s="22"/>
      <c r="N683" s="22"/>
      <c r="O683" s="22"/>
      <c r="P683" s="22"/>
      <c r="Q683" s="22"/>
      <c r="R683" s="22"/>
      <c r="S683" s="22"/>
      <c r="T683" s="22"/>
      <c r="U683" s="22"/>
      <c r="V683" s="22"/>
      <c r="W683" s="22"/>
      <c r="X683" s="22"/>
      <c r="Y683" s="22"/>
    </row>
    <row r="684" spans="1:25" ht="15.75" customHeight="1">
      <c r="A684" s="22"/>
      <c r="B684" s="22"/>
      <c r="C684" s="22"/>
      <c r="D684" s="22"/>
      <c r="E684" s="22"/>
      <c r="F684" s="22"/>
      <c r="G684" s="22"/>
      <c r="H684" s="22"/>
      <c r="I684" s="22"/>
      <c r="J684" s="22"/>
      <c r="K684" s="22"/>
      <c r="L684" s="22"/>
      <c r="M684" s="22"/>
      <c r="N684" s="22"/>
      <c r="O684" s="22"/>
      <c r="P684" s="22"/>
      <c r="Q684" s="22"/>
      <c r="R684" s="22"/>
      <c r="S684" s="22"/>
      <c r="T684" s="22"/>
      <c r="U684" s="22"/>
      <c r="V684" s="22"/>
      <c r="W684" s="22"/>
      <c r="X684" s="22"/>
      <c r="Y684" s="22"/>
    </row>
    <row r="685" spans="1:25" ht="15.75" customHeight="1">
      <c r="A685" s="22"/>
      <c r="B685" s="22"/>
      <c r="C685" s="22"/>
      <c r="D685" s="22"/>
      <c r="E685" s="22"/>
      <c r="F685" s="22"/>
      <c r="G685" s="22"/>
      <c r="H685" s="22"/>
      <c r="I685" s="22"/>
      <c r="J685" s="22"/>
      <c r="K685" s="22"/>
      <c r="L685" s="22"/>
      <c r="M685" s="22"/>
      <c r="N685" s="22"/>
      <c r="O685" s="22"/>
      <c r="P685" s="22"/>
      <c r="Q685" s="22"/>
      <c r="R685" s="22"/>
      <c r="S685" s="22"/>
      <c r="T685" s="22"/>
      <c r="U685" s="22"/>
      <c r="V685" s="22"/>
      <c r="W685" s="22"/>
      <c r="X685" s="22"/>
      <c r="Y685" s="22"/>
    </row>
    <row r="686" spans="1:25" ht="15.75" customHeight="1">
      <c r="A686" s="22"/>
      <c r="B686" s="22"/>
      <c r="C686" s="22"/>
      <c r="D686" s="22"/>
      <c r="E686" s="22"/>
      <c r="F686" s="22"/>
      <c r="G686" s="22"/>
      <c r="H686" s="22"/>
      <c r="I686" s="22"/>
      <c r="J686" s="22"/>
      <c r="K686" s="22"/>
      <c r="L686" s="22"/>
      <c r="M686" s="22"/>
      <c r="N686" s="22"/>
      <c r="O686" s="22"/>
      <c r="P686" s="22"/>
      <c r="Q686" s="22"/>
      <c r="R686" s="22"/>
      <c r="S686" s="22"/>
      <c r="T686" s="22"/>
      <c r="U686" s="22"/>
      <c r="V686" s="22"/>
      <c r="W686" s="22"/>
      <c r="X686" s="22"/>
      <c r="Y686" s="22"/>
    </row>
    <row r="687" spans="1:25" ht="15.75" customHeight="1">
      <c r="A687" s="22"/>
      <c r="B687" s="22"/>
      <c r="C687" s="22"/>
      <c r="D687" s="22"/>
      <c r="E687" s="22"/>
      <c r="F687" s="22"/>
      <c r="G687" s="22"/>
      <c r="H687" s="22"/>
      <c r="I687" s="22"/>
      <c r="J687" s="22"/>
      <c r="K687" s="22"/>
      <c r="L687" s="22"/>
      <c r="M687" s="22"/>
      <c r="N687" s="22"/>
      <c r="O687" s="22"/>
      <c r="P687" s="22"/>
      <c r="Q687" s="22"/>
      <c r="R687" s="22"/>
      <c r="S687" s="22"/>
      <c r="T687" s="22"/>
      <c r="U687" s="22"/>
      <c r="V687" s="22"/>
      <c r="W687" s="22"/>
      <c r="X687" s="22"/>
      <c r="Y687" s="22"/>
    </row>
    <row r="688" spans="1:25" ht="15.75" customHeight="1">
      <c r="A688" s="22"/>
      <c r="B688" s="22"/>
      <c r="C688" s="22"/>
      <c r="D688" s="22"/>
      <c r="E688" s="22"/>
      <c r="F688" s="22"/>
      <c r="G688" s="22"/>
      <c r="H688" s="22"/>
      <c r="I688" s="22"/>
      <c r="J688" s="22"/>
      <c r="K688" s="22"/>
      <c r="L688" s="22"/>
      <c r="M688" s="22"/>
      <c r="N688" s="22"/>
      <c r="O688" s="22"/>
      <c r="P688" s="22"/>
      <c r="Q688" s="22"/>
      <c r="R688" s="22"/>
      <c r="S688" s="22"/>
      <c r="T688" s="22"/>
      <c r="U688" s="22"/>
      <c r="V688" s="22"/>
      <c r="W688" s="22"/>
      <c r="X688" s="22"/>
      <c r="Y688" s="22"/>
    </row>
    <row r="689" spans="1:25" ht="15.75" customHeight="1">
      <c r="A689" s="22"/>
      <c r="B689" s="22"/>
      <c r="C689" s="22"/>
      <c r="D689" s="22"/>
      <c r="E689" s="22"/>
      <c r="F689" s="22"/>
      <c r="G689" s="22"/>
      <c r="H689" s="22"/>
      <c r="I689" s="22"/>
      <c r="J689" s="22"/>
      <c r="K689" s="22"/>
      <c r="L689" s="22"/>
      <c r="M689" s="22"/>
      <c r="N689" s="22"/>
      <c r="O689" s="22"/>
      <c r="P689" s="22"/>
      <c r="Q689" s="22"/>
      <c r="R689" s="22"/>
      <c r="S689" s="22"/>
      <c r="T689" s="22"/>
      <c r="U689" s="22"/>
      <c r="V689" s="22"/>
      <c r="W689" s="22"/>
      <c r="X689" s="22"/>
      <c r="Y689" s="22"/>
    </row>
    <row r="690" spans="1:25" ht="15.75" customHeight="1">
      <c r="A690" s="22"/>
      <c r="B690" s="22"/>
      <c r="C690" s="22"/>
      <c r="D690" s="22"/>
      <c r="E690" s="22"/>
      <c r="F690" s="22"/>
      <c r="G690" s="22"/>
      <c r="H690" s="22"/>
      <c r="I690" s="22"/>
      <c r="J690" s="22"/>
      <c r="K690" s="22"/>
      <c r="L690" s="22"/>
      <c r="M690" s="22"/>
      <c r="N690" s="22"/>
      <c r="O690" s="22"/>
      <c r="P690" s="22"/>
      <c r="Q690" s="22"/>
      <c r="R690" s="22"/>
      <c r="S690" s="22"/>
      <c r="T690" s="22"/>
      <c r="U690" s="22"/>
      <c r="V690" s="22"/>
      <c r="W690" s="22"/>
      <c r="X690" s="22"/>
      <c r="Y690" s="22"/>
    </row>
    <row r="691" spans="1:25" ht="15.75" customHeight="1">
      <c r="A691" s="22"/>
      <c r="B691" s="22"/>
      <c r="C691" s="22"/>
      <c r="D691" s="22"/>
      <c r="E691" s="22"/>
      <c r="F691" s="22"/>
      <c r="G691" s="22"/>
      <c r="H691" s="22"/>
      <c r="I691" s="22"/>
      <c r="J691" s="22"/>
      <c r="K691" s="22"/>
      <c r="L691" s="22"/>
      <c r="M691" s="22"/>
      <c r="N691" s="22"/>
      <c r="O691" s="22"/>
      <c r="P691" s="22"/>
      <c r="Q691" s="22"/>
      <c r="R691" s="22"/>
      <c r="S691" s="22"/>
      <c r="T691" s="22"/>
      <c r="U691" s="22"/>
      <c r="V691" s="22"/>
      <c r="W691" s="22"/>
      <c r="X691" s="22"/>
      <c r="Y691" s="22"/>
    </row>
    <row r="692" spans="1:25" ht="15.75" customHeight="1">
      <c r="A692" s="22"/>
      <c r="B692" s="22"/>
      <c r="C692" s="22"/>
      <c r="D692" s="22"/>
      <c r="E692" s="22"/>
      <c r="F692" s="22"/>
      <c r="G692" s="22"/>
      <c r="H692" s="22"/>
      <c r="I692" s="22"/>
      <c r="J692" s="22"/>
      <c r="K692" s="22"/>
      <c r="L692" s="22"/>
      <c r="M692" s="22"/>
      <c r="N692" s="22"/>
      <c r="O692" s="22"/>
      <c r="P692" s="22"/>
      <c r="Q692" s="22"/>
      <c r="R692" s="22"/>
      <c r="S692" s="22"/>
      <c r="T692" s="22"/>
      <c r="U692" s="22"/>
      <c r="V692" s="22"/>
      <c r="W692" s="22"/>
      <c r="X692" s="22"/>
      <c r="Y692" s="22"/>
    </row>
    <row r="693" spans="1:25" ht="15.75" customHeight="1">
      <c r="A693" s="22"/>
      <c r="B693" s="22"/>
      <c r="C693" s="22"/>
      <c r="D693" s="22"/>
      <c r="E693" s="22"/>
      <c r="F693" s="22"/>
      <c r="G693" s="22"/>
      <c r="H693" s="22"/>
      <c r="I693" s="22"/>
      <c r="J693" s="22"/>
      <c r="K693" s="22"/>
      <c r="L693" s="22"/>
      <c r="M693" s="22"/>
      <c r="N693" s="22"/>
      <c r="O693" s="22"/>
      <c r="P693" s="22"/>
      <c r="Q693" s="22"/>
      <c r="R693" s="22"/>
      <c r="S693" s="22"/>
      <c r="T693" s="22"/>
      <c r="U693" s="22"/>
      <c r="V693" s="22"/>
      <c r="W693" s="22"/>
      <c r="X693" s="22"/>
      <c r="Y693" s="22"/>
    </row>
    <row r="694" spans="1:25" ht="15.75" customHeight="1">
      <c r="A694" s="22"/>
      <c r="B694" s="22"/>
      <c r="C694" s="22"/>
      <c r="D694" s="22"/>
      <c r="E694" s="22"/>
      <c r="F694" s="22"/>
      <c r="G694" s="22"/>
      <c r="H694" s="22"/>
      <c r="I694" s="22"/>
      <c r="J694" s="22"/>
      <c r="K694" s="22"/>
      <c r="L694" s="22"/>
      <c r="M694" s="22"/>
      <c r="N694" s="22"/>
      <c r="O694" s="22"/>
      <c r="P694" s="22"/>
      <c r="Q694" s="22"/>
      <c r="R694" s="22"/>
      <c r="S694" s="22"/>
      <c r="T694" s="22"/>
      <c r="U694" s="22"/>
      <c r="V694" s="22"/>
      <c r="W694" s="22"/>
      <c r="X694" s="22"/>
      <c r="Y694" s="22"/>
    </row>
    <row r="695" spans="1:25" ht="15.75" customHeight="1">
      <c r="A695" s="22"/>
      <c r="B695" s="22"/>
      <c r="C695" s="22"/>
      <c r="D695" s="22"/>
      <c r="E695" s="22"/>
      <c r="F695" s="22"/>
      <c r="G695" s="22"/>
      <c r="H695" s="22"/>
      <c r="I695" s="22"/>
      <c r="J695" s="22"/>
      <c r="K695" s="22"/>
      <c r="L695" s="22"/>
      <c r="M695" s="22"/>
      <c r="N695" s="22"/>
      <c r="O695" s="22"/>
      <c r="P695" s="22"/>
      <c r="Q695" s="22"/>
      <c r="R695" s="22"/>
      <c r="S695" s="22"/>
      <c r="T695" s="22"/>
      <c r="U695" s="22"/>
      <c r="V695" s="22"/>
      <c r="W695" s="22"/>
      <c r="X695" s="22"/>
      <c r="Y695" s="22"/>
    </row>
    <row r="696" spans="1:25" ht="15.75" customHeight="1">
      <c r="A696" s="22"/>
      <c r="B696" s="22"/>
      <c r="C696" s="22"/>
      <c r="D696" s="22"/>
      <c r="E696" s="22"/>
      <c r="F696" s="22"/>
      <c r="G696" s="22"/>
      <c r="H696" s="22"/>
      <c r="I696" s="22"/>
      <c r="J696" s="22"/>
      <c r="K696" s="22"/>
      <c r="L696" s="22"/>
      <c r="M696" s="22"/>
      <c r="N696" s="22"/>
      <c r="O696" s="22"/>
      <c r="P696" s="22"/>
      <c r="Q696" s="22"/>
      <c r="R696" s="22"/>
      <c r="S696" s="22"/>
      <c r="T696" s="22"/>
      <c r="U696" s="22"/>
      <c r="V696" s="22"/>
      <c r="W696" s="22"/>
      <c r="X696" s="22"/>
      <c r="Y696" s="22"/>
    </row>
    <row r="697" spans="1:25" ht="15.75" customHeight="1">
      <c r="A697" s="22"/>
      <c r="B697" s="22"/>
      <c r="C697" s="22"/>
      <c r="D697" s="22"/>
      <c r="E697" s="22"/>
      <c r="F697" s="22"/>
      <c r="G697" s="22"/>
      <c r="H697" s="22"/>
      <c r="I697" s="22"/>
      <c r="J697" s="22"/>
      <c r="K697" s="22"/>
      <c r="L697" s="22"/>
      <c r="M697" s="22"/>
      <c r="N697" s="22"/>
      <c r="O697" s="22"/>
      <c r="P697" s="22"/>
      <c r="Q697" s="22"/>
      <c r="R697" s="22"/>
      <c r="S697" s="22"/>
      <c r="T697" s="22"/>
      <c r="U697" s="22"/>
      <c r="V697" s="22"/>
      <c r="W697" s="22"/>
      <c r="X697" s="22"/>
      <c r="Y697" s="22"/>
    </row>
    <row r="698" spans="1:25" ht="15.75" customHeight="1">
      <c r="A698" s="22"/>
      <c r="B698" s="22"/>
      <c r="C698" s="22"/>
      <c r="D698" s="22"/>
      <c r="E698" s="22"/>
      <c r="F698" s="22"/>
      <c r="G698" s="22"/>
      <c r="H698" s="22"/>
      <c r="I698" s="22"/>
      <c r="J698" s="22"/>
      <c r="K698" s="22"/>
      <c r="L698" s="22"/>
      <c r="M698" s="22"/>
      <c r="N698" s="22"/>
      <c r="O698" s="22"/>
      <c r="P698" s="22"/>
      <c r="Q698" s="22"/>
      <c r="R698" s="22"/>
      <c r="S698" s="22"/>
      <c r="T698" s="22"/>
      <c r="U698" s="22"/>
      <c r="V698" s="22"/>
      <c r="W698" s="22"/>
      <c r="X698" s="22"/>
      <c r="Y698" s="22"/>
    </row>
    <row r="699" spans="1:25" ht="15.75" customHeight="1">
      <c r="A699" s="22"/>
      <c r="B699" s="22"/>
      <c r="C699" s="22"/>
      <c r="D699" s="22"/>
      <c r="E699" s="22"/>
      <c r="F699" s="22"/>
      <c r="G699" s="22"/>
      <c r="H699" s="22"/>
      <c r="I699" s="22"/>
      <c r="J699" s="22"/>
      <c r="K699" s="22"/>
      <c r="L699" s="22"/>
      <c r="M699" s="22"/>
      <c r="N699" s="22"/>
      <c r="O699" s="22"/>
      <c r="P699" s="22"/>
      <c r="Q699" s="22"/>
      <c r="R699" s="22"/>
      <c r="S699" s="22"/>
      <c r="T699" s="22"/>
      <c r="U699" s="22"/>
      <c r="V699" s="22"/>
      <c r="W699" s="22"/>
      <c r="X699" s="22"/>
      <c r="Y699" s="22"/>
    </row>
    <row r="700" spans="1:25" ht="15.75" customHeight="1">
      <c r="A700" s="22"/>
      <c r="B700" s="22"/>
      <c r="C700" s="22"/>
      <c r="D700" s="22"/>
      <c r="E700" s="22"/>
      <c r="F700" s="22"/>
      <c r="G700" s="22"/>
      <c r="H700" s="22"/>
      <c r="I700" s="22"/>
      <c r="J700" s="22"/>
      <c r="K700" s="22"/>
      <c r="L700" s="22"/>
      <c r="M700" s="22"/>
      <c r="N700" s="22"/>
      <c r="O700" s="22"/>
      <c r="P700" s="22"/>
      <c r="Q700" s="22"/>
      <c r="R700" s="22"/>
      <c r="S700" s="22"/>
      <c r="T700" s="22"/>
      <c r="U700" s="22"/>
      <c r="V700" s="22"/>
      <c r="W700" s="22"/>
      <c r="X700" s="22"/>
      <c r="Y700" s="22"/>
    </row>
    <row r="701" spans="1:25" ht="15.75" customHeight="1">
      <c r="A701" s="22"/>
      <c r="B701" s="22"/>
      <c r="C701" s="22"/>
      <c r="D701" s="22"/>
      <c r="E701" s="22"/>
      <c r="F701" s="22"/>
      <c r="G701" s="22"/>
      <c r="H701" s="22"/>
      <c r="I701" s="22"/>
      <c r="J701" s="22"/>
      <c r="K701" s="22"/>
      <c r="L701" s="22"/>
      <c r="M701" s="22"/>
      <c r="N701" s="22"/>
      <c r="O701" s="22"/>
      <c r="P701" s="22"/>
      <c r="Q701" s="22"/>
      <c r="R701" s="22"/>
      <c r="S701" s="22"/>
      <c r="T701" s="22"/>
      <c r="U701" s="22"/>
      <c r="V701" s="22"/>
      <c r="W701" s="22"/>
      <c r="X701" s="22"/>
      <c r="Y701" s="22"/>
    </row>
    <row r="702" spans="1:25" ht="15.75" customHeight="1">
      <c r="A702" s="22"/>
      <c r="B702" s="22"/>
      <c r="C702" s="22"/>
      <c r="D702" s="22"/>
      <c r="E702" s="22"/>
      <c r="F702" s="22"/>
      <c r="G702" s="22"/>
      <c r="H702" s="22"/>
      <c r="I702" s="22"/>
      <c r="J702" s="22"/>
      <c r="K702" s="22"/>
      <c r="L702" s="22"/>
      <c r="M702" s="22"/>
      <c r="N702" s="22"/>
      <c r="O702" s="22"/>
      <c r="P702" s="22"/>
      <c r="Q702" s="22"/>
      <c r="R702" s="22"/>
      <c r="S702" s="22"/>
      <c r="T702" s="22"/>
      <c r="U702" s="22"/>
      <c r="V702" s="22"/>
      <c r="W702" s="22"/>
      <c r="X702" s="22"/>
      <c r="Y702" s="22"/>
    </row>
    <row r="703" spans="1:25" ht="15.75" customHeight="1">
      <c r="A703" s="22"/>
      <c r="B703" s="22"/>
      <c r="C703" s="22"/>
      <c r="D703" s="22"/>
      <c r="E703" s="22"/>
      <c r="F703" s="22"/>
      <c r="G703" s="22"/>
      <c r="H703" s="22"/>
      <c r="I703" s="22"/>
      <c r="J703" s="22"/>
      <c r="K703" s="22"/>
      <c r="L703" s="22"/>
      <c r="M703" s="22"/>
      <c r="N703" s="22"/>
      <c r="O703" s="22"/>
      <c r="P703" s="22"/>
      <c r="Q703" s="22"/>
      <c r="R703" s="22"/>
      <c r="S703" s="22"/>
      <c r="T703" s="22"/>
      <c r="U703" s="22"/>
      <c r="V703" s="22"/>
      <c r="W703" s="22"/>
      <c r="X703" s="22"/>
      <c r="Y703" s="22"/>
    </row>
    <row r="704" spans="1:25" ht="15.75" customHeight="1">
      <c r="A704" s="22"/>
      <c r="B704" s="22"/>
      <c r="C704" s="22"/>
      <c r="D704" s="22"/>
      <c r="E704" s="22"/>
      <c r="F704" s="22"/>
      <c r="G704" s="22"/>
      <c r="H704" s="22"/>
      <c r="I704" s="22"/>
      <c r="J704" s="22"/>
      <c r="K704" s="22"/>
      <c r="L704" s="22"/>
      <c r="M704" s="22"/>
      <c r="N704" s="22"/>
      <c r="O704" s="22"/>
      <c r="P704" s="22"/>
      <c r="Q704" s="22"/>
      <c r="R704" s="22"/>
      <c r="S704" s="22"/>
      <c r="T704" s="22"/>
      <c r="U704" s="22"/>
      <c r="V704" s="22"/>
      <c r="W704" s="22"/>
      <c r="X704" s="22"/>
      <c r="Y704" s="22"/>
    </row>
    <row r="705" spans="1:25" ht="15.75" customHeight="1">
      <c r="A705" s="22"/>
      <c r="B705" s="22"/>
      <c r="C705" s="22"/>
      <c r="D705" s="22"/>
      <c r="E705" s="22"/>
      <c r="F705" s="22"/>
      <c r="G705" s="22"/>
      <c r="H705" s="22"/>
      <c r="I705" s="22"/>
      <c r="J705" s="22"/>
      <c r="K705" s="22"/>
      <c r="L705" s="22"/>
      <c r="M705" s="22"/>
      <c r="N705" s="22"/>
      <c r="O705" s="22"/>
      <c r="P705" s="22"/>
      <c r="Q705" s="22"/>
      <c r="R705" s="22"/>
      <c r="S705" s="22"/>
      <c r="T705" s="22"/>
      <c r="U705" s="22"/>
      <c r="V705" s="22"/>
      <c r="W705" s="22"/>
      <c r="X705" s="22"/>
      <c r="Y705" s="22"/>
    </row>
    <row r="706" spans="1:25" ht="15.75" customHeight="1">
      <c r="A706" s="22"/>
      <c r="B706" s="22"/>
      <c r="C706" s="22"/>
      <c r="D706" s="22"/>
      <c r="E706" s="22"/>
      <c r="F706" s="22"/>
      <c r="G706" s="22"/>
      <c r="H706" s="22"/>
      <c r="I706" s="22"/>
      <c r="J706" s="22"/>
      <c r="K706" s="22"/>
      <c r="L706" s="22"/>
      <c r="M706" s="22"/>
      <c r="N706" s="22"/>
      <c r="O706" s="22"/>
      <c r="P706" s="22"/>
      <c r="Q706" s="22"/>
      <c r="R706" s="22"/>
      <c r="S706" s="22"/>
      <c r="T706" s="22"/>
      <c r="U706" s="22"/>
      <c r="V706" s="22"/>
      <c r="W706" s="22"/>
      <c r="X706" s="22"/>
      <c r="Y706" s="22"/>
    </row>
    <row r="707" spans="1:25" ht="15.75" customHeight="1">
      <c r="A707" s="22"/>
      <c r="B707" s="22"/>
      <c r="C707" s="22"/>
      <c r="D707" s="22"/>
      <c r="E707" s="22"/>
      <c r="F707" s="22"/>
      <c r="G707" s="22"/>
      <c r="H707" s="22"/>
      <c r="I707" s="22"/>
      <c r="J707" s="22"/>
      <c r="K707" s="22"/>
      <c r="L707" s="22"/>
      <c r="M707" s="22"/>
      <c r="N707" s="22"/>
      <c r="O707" s="22"/>
      <c r="P707" s="22"/>
      <c r="Q707" s="22"/>
      <c r="R707" s="22"/>
      <c r="S707" s="22"/>
      <c r="T707" s="22"/>
      <c r="U707" s="22"/>
      <c r="V707" s="22"/>
      <c r="W707" s="22"/>
      <c r="X707" s="22"/>
      <c r="Y707" s="22"/>
    </row>
    <row r="708" spans="1:25" ht="15.75" customHeight="1">
      <c r="A708" s="22"/>
      <c r="B708" s="22"/>
      <c r="C708" s="22"/>
      <c r="D708" s="22"/>
      <c r="E708" s="22"/>
      <c r="F708" s="22"/>
      <c r="G708" s="22"/>
      <c r="H708" s="22"/>
      <c r="I708" s="22"/>
      <c r="J708" s="22"/>
      <c r="K708" s="22"/>
      <c r="L708" s="22"/>
      <c r="M708" s="22"/>
      <c r="N708" s="22"/>
      <c r="O708" s="22"/>
      <c r="P708" s="22"/>
      <c r="Q708" s="22"/>
      <c r="R708" s="22"/>
      <c r="S708" s="22"/>
      <c r="T708" s="22"/>
      <c r="U708" s="22"/>
      <c r="V708" s="22"/>
      <c r="W708" s="22"/>
      <c r="X708" s="22"/>
      <c r="Y708" s="22"/>
    </row>
    <row r="709" spans="1:25" ht="15.75" customHeight="1">
      <c r="A709" s="22"/>
      <c r="B709" s="22"/>
      <c r="C709" s="22"/>
      <c r="D709" s="22"/>
      <c r="E709" s="22"/>
      <c r="F709" s="22"/>
      <c r="G709" s="22"/>
      <c r="H709" s="22"/>
      <c r="I709" s="22"/>
      <c r="J709" s="22"/>
      <c r="K709" s="22"/>
      <c r="L709" s="22"/>
      <c r="M709" s="22"/>
      <c r="N709" s="22"/>
      <c r="O709" s="22"/>
      <c r="P709" s="22"/>
      <c r="Q709" s="22"/>
      <c r="R709" s="22"/>
      <c r="S709" s="22"/>
      <c r="T709" s="22"/>
      <c r="U709" s="22"/>
      <c r="V709" s="22"/>
      <c r="W709" s="22"/>
      <c r="X709" s="22"/>
      <c r="Y709" s="22"/>
    </row>
    <row r="710" spans="1:25" ht="15.75" customHeight="1">
      <c r="A710" s="22"/>
      <c r="B710" s="22"/>
      <c r="C710" s="22"/>
      <c r="D710" s="22"/>
      <c r="E710" s="22"/>
      <c r="F710" s="22"/>
      <c r="G710" s="22"/>
      <c r="H710" s="22"/>
      <c r="I710" s="22"/>
      <c r="J710" s="22"/>
      <c r="K710" s="22"/>
      <c r="L710" s="22"/>
      <c r="M710" s="22"/>
      <c r="N710" s="22"/>
      <c r="O710" s="22"/>
      <c r="P710" s="22"/>
      <c r="Q710" s="22"/>
      <c r="R710" s="22"/>
      <c r="S710" s="22"/>
      <c r="T710" s="22"/>
      <c r="U710" s="22"/>
      <c r="V710" s="22"/>
      <c r="W710" s="22"/>
      <c r="X710" s="22"/>
      <c r="Y710" s="22"/>
    </row>
    <row r="711" spans="1:25" ht="15.75" customHeight="1">
      <c r="A711" s="22"/>
      <c r="B711" s="22"/>
      <c r="C711" s="22"/>
      <c r="D711" s="22"/>
      <c r="E711" s="22"/>
      <c r="F711" s="22"/>
      <c r="G711" s="22"/>
      <c r="H711" s="22"/>
      <c r="I711" s="22"/>
      <c r="J711" s="22"/>
      <c r="K711" s="22"/>
      <c r="L711" s="22"/>
      <c r="M711" s="22"/>
      <c r="N711" s="22"/>
      <c r="O711" s="22"/>
      <c r="P711" s="22"/>
      <c r="Q711" s="22"/>
      <c r="R711" s="22"/>
      <c r="S711" s="22"/>
      <c r="T711" s="22"/>
      <c r="U711" s="22"/>
      <c r="V711" s="22"/>
      <c r="W711" s="22"/>
      <c r="X711" s="22"/>
      <c r="Y711" s="22"/>
    </row>
    <row r="712" spans="1:25" ht="15.75" customHeight="1">
      <c r="A712" s="22"/>
      <c r="B712" s="22"/>
      <c r="C712" s="22"/>
      <c r="D712" s="22"/>
      <c r="E712" s="22"/>
      <c r="F712" s="22"/>
      <c r="G712" s="22"/>
      <c r="H712" s="22"/>
      <c r="I712" s="22"/>
      <c r="J712" s="22"/>
      <c r="K712" s="22"/>
      <c r="L712" s="22"/>
      <c r="M712" s="22"/>
      <c r="N712" s="22"/>
      <c r="O712" s="22"/>
      <c r="P712" s="22"/>
      <c r="Q712" s="22"/>
      <c r="R712" s="22"/>
      <c r="S712" s="22"/>
      <c r="T712" s="22"/>
      <c r="U712" s="22"/>
      <c r="V712" s="22"/>
      <c r="W712" s="22"/>
      <c r="X712" s="22"/>
      <c r="Y712" s="22"/>
    </row>
    <row r="713" spans="1:25" ht="15.75" customHeight="1">
      <c r="A713" s="22"/>
      <c r="B713" s="22"/>
      <c r="C713" s="22"/>
      <c r="D713" s="22"/>
      <c r="E713" s="22"/>
      <c r="F713" s="22"/>
      <c r="G713" s="22"/>
      <c r="H713" s="22"/>
      <c r="I713" s="22"/>
      <c r="J713" s="22"/>
      <c r="K713" s="22"/>
      <c r="L713" s="22"/>
      <c r="M713" s="22"/>
      <c r="N713" s="22"/>
      <c r="O713" s="22"/>
      <c r="P713" s="22"/>
      <c r="Q713" s="22"/>
      <c r="R713" s="22"/>
      <c r="S713" s="22"/>
      <c r="T713" s="22"/>
      <c r="U713" s="22"/>
      <c r="V713" s="22"/>
      <c r="W713" s="22"/>
      <c r="X713" s="22"/>
      <c r="Y713" s="22"/>
    </row>
    <row r="714" spans="1:25" ht="15.75" customHeight="1">
      <c r="A714" s="22"/>
      <c r="B714" s="22"/>
      <c r="C714" s="22"/>
      <c r="D714" s="22"/>
      <c r="E714" s="22"/>
      <c r="F714" s="22"/>
      <c r="G714" s="22"/>
      <c r="H714" s="22"/>
      <c r="I714" s="22"/>
      <c r="J714" s="22"/>
      <c r="K714" s="22"/>
      <c r="L714" s="22"/>
      <c r="M714" s="22"/>
      <c r="N714" s="22"/>
      <c r="O714" s="22"/>
      <c r="P714" s="22"/>
      <c r="Q714" s="22"/>
      <c r="R714" s="22"/>
      <c r="S714" s="22"/>
      <c r="T714" s="22"/>
      <c r="U714" s="22"/>
      <c r="V714" s="22"/>
      <c r="W714" s="22"/>
      <c r="X714" s="22"/>
      <c r="Y714" s="22"/>
    </row>
    <row r="715" spans="1:25" ht="15.75" customHeight="1">
      <c r="A715" s="22"/>
      <c r="B715" s="22"/>
      <c r="C715" s="22"/>
      <c r="D715" s="22"/>
      <c r="E715" s="22"/>
      <c r="F715" s="22"/>
      <c r="G715" s="22"/>
      <c r="H715" s="22"/>
      <c r="I715" s="22"/>
      <c r="J715" s="22"/>
      <c r="K715" s="22"/>
      <c r="L715" s="22"/>
      <c r="M715" s="22"/>
      <c r="N715" s="22"/>
      <c r="O715" s="22"/>
      <c r="P715" s="22"/>
      <c r="Q715" s="22"/>
      <c r="R715" s="22"/>
      <c r="S715" s="22"/>
      <c r="T715" s="22"/>
      <c r="U715" s="22"/>
      <c r="V715" s="22"/>
      <c r="W715" s="22"/>
      <c r="X715" s="22"/>
      <c r="Y715" s="22"/>
    </row>
    <row r="716" spans="1:25" ht="15.75" customHeight="1">
      <c r="A716" s="22"/>
      <c r="B716" s="22"/>
      <c r="C716" s="22"/>
      <c r="D716" s="22"/>
      <c r="E716" s="22"/>
      <c r="F716" s="22"/>
      <c r="G716" s="22"/>
      <c r="H716" s="22"/>
      <c r="I716" s="22"/>
      <c r="J716" s="22"/>
      <c r="K716" s="22"/>
      <c r="L716" s="22"/>
      <c r="M716" s="22"/>
      <c r="N716" s="22"/>
      <c r="O716" s="22"/>
      <c r="P716" s="22"/>
      <c r="Q716" s="22"/>
      <c r="R716" s="22"/>
      <c r="S716" s="22"/>
      <c r="T716" s="22"/>
      <c r="U716" s="22"/>
      <c r="V716" s="22"/>
      <c r="W716" s="22"/>
      <c r="X716" s="22"/>
      <c r="Y716" s="22"/>
    </row>
    <row r="717" spans="1:25" ht="15.75" customHeight="1">
      <c r="A717" s="22"/>
      <c r="B717" s="22"/>
      <c r="C717" s="22"/>
      <c r="D717" s="22"/>
      <c r="E717" s="22"/>
      <c r="F717" s="22"/>
      <c r="G717" s="22"/>
      <c r="H717" s="22"/>
      <c r="I717" s="22"/>
      <c r="J717" s="22"/>
      <c r="K717" s="22"/>
      <c r="L717" s="22"/>
      <c r="M717" s="22"/>
      <c r="N717" s="22"/>
      <c r="O717" s="22"/>
      <c r="P717" s="22"/>
      <c r="Q717" s="22"/>
      <c r="R717" s="22"/>
      <c r="S717" s="22"/>
      <c r="T717" s="22"/>
      <c r="U717" s="22"/>
      <c r="V717" s="22"/>
      <c r="W717" s="22"/>
      <c r="X717" s="22"/>
      <c r="Y717" s="22"/>
    </row>
    <row r="718" spans="1:25" ht="15.75" customHeight="1">
      <c r="A718" s="22"/>
      <c r="B718" s="22"/>
      <c r="C718" s="22"/>
      <c r="D718" s="22"/>
      <c r="E718" s="22"/>
      <c r="F718" s="22"/>
      <c r="G718" s="22"/>
      <c r="H718" s="22"/>
      <c r="I718" s="22"/>
      <c r="J718" s="22"/>
      <c r="K718" s="22"/>
      <c r="L718" s="22"/>
      <c r="M718" s="22"/>
      <c r="N718" s="22"/>
      <c r="O718" s="22"/>
      <c r="P718" s="22"/>
      <c r="Q718" s="22"/>
      <c r="R718" s="22"/>
      <c r="S718" s="22"/>
      <c r="T718" s="22"/>
      <c r="U718" s="22"/>
      <c r="V718" s="22"/>
      <c r="W718" s="22"/>
      <c r="X718" s="22"/>
      <c r="Y718" s="22"/>
    </row>
    <row r="719" spans="1:25" ht="15.75" customHeight="1">
      <c r="A719" s="22"/>
      <c r="B719" s="22"/>
      <c r="C719" s="22"/>
      <c r="D719" s="22"/>
      <c r="E719" s="22"/>
      <c r="F719" s="22"/>
      <c r="G719" s="22"/>
      <c r="H719" s="22"/>
      <c r="I719" s="22"/>
      <c r="J719" s="22"/>
      <c r="K719" s="22"/>
      <c r="L719" s="22"/>
      <c r="M719" s="22"/>
      <c r="N719" s="22"/>
      <c r="O719" s="22"/>
      <c r="P719" s="22"/>
      <c r="Q719" s="22"/>
      <c r="R719" s="22"/>
      <c r="S719" s="22"/>
      <c r="T719" s="22"/>
      <c r="U719" s="22"/>
      <c r="V719" s="22"/>
      <c r="W719" s="22"/>
      <c r="X719" s="22"/>
      <c r="Y719" s="22"/>
    </row>
    <row r="720" spans="1:25" ht="15.75" customHeight="1">
      <c r="A720" s="22"/>
      <c r="B720" s="22"/>
      <c r="C720" s="22"/>
      <c r="D720" s="22"/>
      <c r="E720" s="22"/>
      <c r="F720" s="22"/>
      <c r="G720" s="22"/>
      <c r="H720" s="22"/>
      <c r="I720" s="22"/>
      <c r="J720" s="22"/>
      <c r="K720" s="22"/>
      <c r="L720" s="22"/>
      <c r="M720" s="22"/>
      <c r="N720" s="22"/>
      <c r="O720" s="22"/>
      <c r="P720" s="22"/>
      <c r="Q720" s="22"/>
      <c r="R720" s="22"/>
      <c r="S720" s="22"/>
      <c r="T720" s="22"/>
      <c r="U720" s="22"/>
      <c r="V720" s="22"/>
      <c r="W720" s="22"/>
      <c r="X720" s="22"/>
      <c r="Y720" s="22"/>
    </row>
    <row r="721" spans="1:25" ht="15.75" customHeight="1">
      <c r="A721" s="22"/>
      <c r="B721" s="22"/>
      <c r="C721" s="22"/>
      <c r="D721" s="22"/>
      <c r="E721" s="22"/>
      <c r="F721" s="22"/>
      <c r="G721" s="22"/>
      <c r="H721" s="22"/>
      <c r="I721" s="22"/>
      <c r="J721" s="22"/>
      <c r="K721" s="22"/>
      <c r="L721" s="22"/>
      <c r="M721" s="22"/>
      <c r="N721" s="22"/>
      <c r="O721" s="22"/>
      <c r="P721" s="22"/>
      <c r="Q721" s="22"/>
      <c r="R721" s="22"/>
      <c r="S721" s="22"/>
      <c r="T721" s="22"/>
      <c r="U721" s="22"/>
      <c r="V721" s="22"/>
      <c r="W721" s="22"/>
      <c r="X721" s="22"/>
      <c r="Y721" s="22"/>
    </row>
    <row r="722" spans="1:25" ht="15.75" customHeight="1">
      <c r="A722" s="22"/>
      <c r="B722" s="22"/>
      <c r="C722" s="22"/>
      <c r="D722" s="22"/>
      <c r="E722" s="22"/>
      <c r="F722" s="22"/>
      <c r="G722" s="22"/>
      <c r="H722" s="22"/>
      <c r="I722" s="22"/>
      <c r="J722" s="22"/>
      <c r="K722" s="22"/>
      <c r="L722" s="22"/>
      <c r="M722" s="22"/>
      <c r="N722" s="22"/>
      <c r="O722" s="22"/>
      <c r="P722" s="22"/>
      <c r="Q722" s="22"/>
      <c r="R722" s="22"/>
      <c r="S722" s="22"/>
      <c r="T722" s="22"/>
      <c r="U722" s="22"/>
      <c r="V722" s="22"/>
      <c r="W722" s="22"/>
      <c r="X722" s="22"/>
      <c r="Y722" s="22"/>
    </row>
    <row r="723" spans="1:25" ht="15.75" customHeight="1">
      <c r="A723" s="22"/>
      <c r="B723" s="22"/>
      <c r="C723" s="22"/>
      <c r="D723" s="22"/>
      <c r="E723" s="22"/>
      <c r="F723" s="22"/>
      <c r="G723" s="22"/>
      <c r="H723" s="22"/>
      <c r="I723" s="22"/>
      <c r="J723" s="22"/>
      <c r="K723" s="22"/>
      <c r="L723" s="22"/>
      <c r="M723" s="22"/>
      <c r="N723" s="22"/>
      <c r="O723" s="22"/>
      <c r="P723" s="22"/>
      <c r="Q723" s="22"/>
      <c r="R723" s="22"/>
      <c r="S723" s="22"/>
      <c r="T723" s="22"/>
      <c r="U723" s="22"/>
      <c r="V723" s="22"/>
      <c r="W723" s="22"/>
      <c r="X723" s="22"/>
      <c r="Y723" s="22"/>
    </row>
    <row r="724" spans="1:25" ht="15.75" customHeight="1">
      <c r="A724" s="22"/>
      <c r="B724" s="22"/>
      <c r="C724" s="22"/>
      <c r="D724" s="22"/>
      <c r="E724" s="22"/>
      <c r="F724" s="22"/>
      <c r="G724" s="22"/>
      <c r="H724" s="22"/>
      <c r="I724" s="22"/>
      <c r="J724" s="22"/>
      <c r="K724" s="22"/>
      <c r="L724" s="22"/>
      <c r="M724" s="22"/>
      <c r="N724" s="22"/>
      <c r="O724" s="22"/>
      <c r="P724" s="22"/>
      <c r="Q724" s="22"/>
      <c r="R724" s="22"/>
      <c r="S724" s="22"/>
      <c r="T724" s="22"/>
      <c r="U724" s="22"/>
      <c r="V724" s="22"/>
      <c r="W724" s="22"/>
      <c r="X724" s="22"/>
      <c r="Y724" s="22"/>
    </row>
    <row r="725" spans="1:25" ht="15.75" customHeight="1">
      <c r="A725" s="22"/>
      <c r="B725" s="22"/>
      <c r="C725" s="22"/>
      <c r="D725" s="22"/>
      <c r="E725" s="22"/>
      <c r="F725" s="22"/>
      <c r="G725" s="22"/>
      <c r="H725" s="22"/>
      <c r="I725" s="22"/>
      <c r="J725" s="22"/>
      <c r="K725" s="22"/>
      <c r="L725" s="22"/>
      <c r="M725" s="22"/>
      <c r="N725" s="22"/>
      <c r="O725" s="22"/>
      <c r="P725" s="22"/>
      <c r="Q725" s="22"/>
      <c r="R725" s="22"/>
      <c r="S725" s="22"/>
      <c r="T725" s="22"/>
      <c r="U725" s="22"/>
      <c r="V725" s="22"/>
      <c r="W725" s="22"/>
      <c r="X725" s="22"/>
      <c r="Y725" s="22"/>
    </row>
    <row r="726" spans="1:25" ht="15.75" customHeight="1">
      <c r="A726" s="22"/>
      <c r="B726" s="22"/>
      <c r="C726" s="22"/>
      <c r="D726" s="22"/>
      <c r="E726" s="22"/>
      <c r="F726" s="22"/>
      <c r="G726" s="22"/>
      <c r="H726" s="22"/>
      <c r="I726" s="22"/>
      <c r="J726" s="22"/>
      <c r="K726" s="22"/>
      <c r="L726" s="22"/>
      <c r="M726" s="22"/>
      <c r="N726" s="22"/>
      <c r="O726" s="22"/>
      <c r="P726" s="22"/>
      <c r="Q726" s="22"/>
      <c r="R726" s="22"/>
      <c r="S726" s="22"/>
      <c r="T726" s="22"/>
      <c r="U726" s="22"/>
      <c r="V726" s="22"/>
      <c r="W726" s="22"/>
      <c r="X726" s="22"/>
      <c r="Y726" s="22"/>
    </row>
    <row r="727" spans="1:25" ht="15.75" customHeight="1">
      <c r="A727" s="22"/>
      <c r="B727" s="22"/>
      <c r="C727" s="22"/>
      <c r="D727" s="22"/>
      <c r="E727" s="22"/>
      <c r="F727" s="22"/>
      <c r="G727" s="22"/>
      <c r="H727" s="22"/>
      <c r="I727" s="22"/>
      <c r="J727" s="22"/>
      <c r="K727" s="22"/>
      <c r="L727" s="22"/>
      <c r="M727" s="22"/>
      <c r="N727" s="22"/>
      <c r="O727" s="22"/>
      <c r="P727" s="22"/>
      <c r="Q727" s="22"/>
      <c r="R727" s="22"/>
      <c r="S727" s="22"/>
      <c r="T727" s="22"/>
      <c r="U727" s="22"/>
      <c r="V727" s="22"/>
      <c r="W727" s="22"/>
      <c r="X727" s="22"/>
      <c r="Y727" s="22"/>
    </row>
    <row r="728" spans="1:25" ht="15.75" customHeight="1">
      <c r="A728" s="22"/>
      <c r="B728" s="22"/>
      <c r="C728" s="22"/>
      <c r="D728" s="22"/>
      <c r="E728" s="22"/>
      <c r="F728" s="22"/>
      <c r="G728" s="22"/>
      <c r="H728" s="22"/>
      <c r="I728" s="22"/>
      <c r="J728" s="22"/>
      <c r="K728" s="22"/>
      <c r="L728" s="22"/>
      <c r="M728" s="22"/>
      <c r="N728" s="22"/>
      <c r="O728" s="22"/>
      <c r="P728" s="22"/>
      <c r="Q728" s="22"/>
      <c r="R728" s="22"/>
      <c r="S728" s="22"/>
      <c r="T728" s="22"/>
      <c r="U728" s="22"/>
      <c r="V728" s="22"/>
      <c r="W728" s="22"/>
      <c r="X728" s="22"/>
      <c r="Y728" s="22"/>
    </row>
    <row r="729" spans="1:25" ht="15.75" customHeight="1">
      <c r="A729" s="22"/>
      <c r="B729" s="22"/>
      <c r="C729" s="22"/>
      <c r="D729" s="22"/>
      <c r="E729" s="22"/>
      <c r="F729" s="22"/>
      <c r="G729" s="22"/>
      <c r="H729" s="22"/>
      <c r="I729" s="22"/>
      <c r="J729" s="22"/>
      <c r="K729" s="22"/>
      <c r="L729" s="22"/>
      <c r="M729" s="22"/>
      <c r="N729" s="22"/>
      <c r="O729" s="22"/>
      <c r="P729" s="22"/>
      <c r="Q729" s="22"/>
      <c r="R729" s="22"/>
      <c r="S729" s="22"/>
      <c r="T729" s="22"/>
      <c r="U729" s="22"/>
      <c r="V729" s="22"/>
      <c r="W729" s="22"/>
      <c r="X729" s="22"/>
      <c r="Y729" s="22"/>
    </row>
    <row r="730" spans="1:25" ht="15.75" customHeight="1">
      <c r="A730" s="22"/>
      <c r="B730" s="22"/>
      <c r="C730" s="22"/>
      <c r="D730" s="22"/>
      <c r="E730" s="22"/>
      <c r="F730" s="22"/>
      <c r="G730" s="22"/>
      <c r="H730" s="22"/>
      <c r="I730" s="22"/>
      <c r="J730" s="22"/>
      <c r="K730" s="22"/>
      <c r="L730" s="22"/>
      <c r="M730" s="22"/>
      <c r="N730" s="22"/>
      <c r="O730" s="22"/>
      <c r="P730" s="22"/>
      <c r="Q730" s="22"/>
      <c r="R730" s="22"/>
      <c r="S730" s="22"/>
      <c r="T730" s="22"/>
      <c r="U730" s="22"/>
      <c r="V730" s="22"/>
      <c r="W730" s="22"/>
      <c r="X730" s="22"/>
      <c r="Y730" s="22"/>
    </row>
    <row r="731" spans="1:25" ht="15.75" customHeight="1">
      <c r="A731" s="22"/>
      <c r="B731" s="22"/>
      <c r="C731" s="22"/>
      <c r="D731" s="22"/>
      <c r="E731" s="22"/>
      <c r="F731" s="22"/>
      <c r="G731" s="22"/>
      <c r="H731" s="22"/>
      <c r="I731" s="22"/>
      <c r="J731" s="22"/>
      <c r="K731" s="22"/>
      <c r="L731" s="22"/>
      <c r="M731" s="22"/>
      <c r="N731" s="22"/>
      <c r="O731" s="22"/>
      <c r="P731" s="22"/>
      <c r="Q731" s="22"/>
      <c r="R731" s="22"/>
      <c r="S731" s="22"/>
      <c r="T731" s="22"/>
      <c r="U731" s="22"/>
      <c r="V731" s="22"/>
      <c r="W731" s="22"/>
      <c r="X731" s="22"/>
      <c r="Y731" s="22"/>
    </row>
    <row r="732" spans="1:25" ht="15.75" customHeight="1">
      <c r="A732" s="22"/>
      <c r="B732" s="22"/>
      <c r="C732" s="22"/>
      <c r="D732" s="22"/>
      <c r="E732" s="22"/>
      <c r="F732" s="22"/>
      <c r="G732" s="22"/>
      <c r="H732" s="22"/>
      <c r="I732" s="22"/>
      <c r="J732" s="22"/>
      <c r="K732" s="22"/>
      <c r="L732" s="22"/>
      <c r="M732" s="22"/>
      <c r="N732" s="22"/>
      <c r="O732" s="22"/>
      <c r="P732" s="22"/>
      <c r="Q732" s="22"/>
      <c r="R732" s="22"/>
      <c r="S732" s="22"/>
      <c r="T732" s="22"/>
      <c r="U732" s="22"/>
      <c r="V732" s="22"/>
      <c r="W732" s="22"/>
      <c r="X732" s="22"/>
      <c r="Y732" s="22"/>
    </row>
    <row r="733" spans="1:25" ht="15.75" customHeight="1">
      <c r="A733" s="22"/>
      <c r="B733" s="22"/>
      <c r="C733" s="22"/>
      <c r="D733" s="22"/>
      <c r="E733" s="22"/>
      <c r="F733" s="22"/>
      <c r="G733" s="22"/>
      <c r="H733" s="22"/>
      <c r="I733" s="22"/>
      <c r="J733" s="22"/>
      <c r="K733" s="22"/>
      <c r="L733" s="22"/>
      <c r="M733" s="22"/>
      <c r="N733" s="22"/>
      <c r="O733" s="22"/>
      <c r="P733" s="22"/>
      <c r="Q733" s="22"/>
      <c r="R733" s="22"/>
      <c r="S733" s="22"/>
      <c r="T733" s="22"/>
      <c r="U733" s="22"/>
      <c r="V733" s="22"/>
      <c r="W733" s="22"/>
      <c r="X733" s="22"/>
      <c r="Y733" s="22"/>
    </row>
    <row r="734" spans="1:25" ht="15.75" customHeight="1">
      <c r="A734" s="22"/>
      <c r="B734" s="22"/>
      <c r="C734" s="22"/>
      <c r="D734" s="22"/>
      <c r="E734" s="22"/>
      <c r="F734" s="22"/>
      <c r="G734" s="22"/>
      <c r="H734" s="22"/>
      <c r="I734" s="22"/>
      <c r="J734" s="22"/>
      <c r="K734" s="22"/>
      <c r="L734" s="22"/>
      <c r="M734" s="22"/>
      <c r="N734" s="22"/>
      <c r="O734" s="22"/>
      <c r="P734" s="22"/>
      <c r="Q734" s="22"/>
      <c r="R734" s="22"/>
      <c r="S734" s="22"/>
      <c r="T734" s="22"/>
      <c r="U734" s="22"/>
      <c r="V734" s="22"/>
      <c r="W734" s="22"/>
      <c r="X734" s="22"/>
      <c r="Y734" s="22"/>
    </row>
    <row r="735" spans="1:25" ht="15.75" customHeight="1">
      <c r="A735" s="22"/>
      <c r="B735" s="22"/>
      <c r="C735" s="22"/>
      <c r="D735" s="22"/>
      <c r="E735" s="22"/>
      <c r="F735" s="22"/>
      <c r="G735" s="22"/>
      <c r="H735" s="22"/>
      <c r="I735" s="22"/>
      <c r="J735" s="22"/>
      <c r="K735" s="22"/>
      <c r="L735" s="22"/>
      <c r="M735" s="22"/>
      <c r="N735" s="22"/>
      <c r="O735" s="22"/>
      <c r="P735" s="22"/>
      <c r="Q735" s="22"/>
      <c r="R735" s="22"/>
      <c r="S735" s="22"/>
      <c r="T735" s="22"/>
      <c r="U735" s="22"/>
      <c r="V735" s="22"/>
      <c r="W735" s="22"/>
      <c r="X735" s="22"/>
      <c r="Y735" s="22"/>
    </row>
    <row r="736" spans="1:25" ht="15.75" customHeight="1">
      <c r="A736" s="22"/>
      <c r="B736" s="22"/>
      <c r="C736" s="22"/>
      <c r="D736" s="22"/>
      <c r="E736" s="22"/>
      <c r="F736" s="22"/>
      <c r="G736" s="22"/>
      <c r="H736" s="22"/>
      <c r="I736" s="22"/>
      <c r="J736" s="22"/>
      <c r="K736" s="22"/>
      <c r="L736" s="22"/>
      <c r="M736" s="22"/>
      <c r="N736" s="22"/>
      <c r="O736" s="22"/>
      <c r="P736" s="22"/>
      <c r="Q736" s="22"/>
      <c r="R736" s="22"/>
      <c r="S736" s="22"/>
      <c r="T736" s="22"/>
      <c r="U736" s="22"/>
      <c r="V736" s="22"/>
      <c r="W736" s="22"/>
      <c r="X736" s="22"/>
      <c r="Y736" s="22"/>
    </row>
    <row r="737" spans="1:25" ht="15.75" customHeight="1">
      <c r="A737" s="22"/>
      <c r="B737" s="22"/>
      <c r="C737" s="22"/>
      <c r="D737" s="22"/>
      <c r="E737" s="22"/>
      <c r="F737" s="22"/>
      <c r="G737" s="22"/>
      <c r="H737" s="22"/>
      <c r="I737" s="22"/>
      <c r="J737" s="22"/>
      <c r="K737" s="22"/>
      <c r="L737" s="22"/>
      <c r="M737" s="22"/>
      <c r="N737" s="22"/>
      <c r="O737" s="22"/>
      <c r="P737" s="22"/>
      <c r="Q737" s="22"/>
      <c r="R737" s="22"/>
      <c r="S737" s="22"/>
      <c r="T737" s="22"/>
      <c r="U737" s="22"/>
      <c r="V737" s="22"/>
      <c r="W737" s="22"/>
      <c r="X737" s="22"/>
      <c r="Y737" s="22"/>
    </row>
    <row r="738" spans="1:25" ht="15.75" customHeight="1">
      <c r="A738" s="22"/>
      <c r="B738" s="22"/>
      <c r="C738" s="22"/>
      <c r="D738" s="22"/>
      <c r="E738" s="22"/>
      <c r="F738" s="22"/>
      <c r="G738" s="22"/>
      <c r="H738" s="22"/>
      <c r="I738" s="22"/>
      <c r="J738" s="22"/>
      <c r="K738" s="22"/>
      <c r="L738" s="22"/>
      <c r="M738" s="22"/>
      <c r="N738" s="22"/>
      <c r="O738" s="22"/>
      <c r="P738" s="22"/>
      <c r="Q738" s="22"/>
      <c r="R738" s="22"/>
      <c r="S738" s="22"/>
      <c r="T738" s="22"/>
      <c r="U738" s="22"/>
      <c r="V738" s="22"/>
      <c r="W738" s="22"/>
      <c r="X738" s="22"/>
      <c r="Y738" s="22"/>
    </row>
    <row r="739" spans="1:25" ht="15.75" customHeight="1">
      <c r="A739" s="22"/>
      <c r="B739" s="22"/>
      <c r="C739" s="22"/>
      <c r="D739" s="22"/>
      <c r="E739" s="22"/>
      <c r="F739" s="22"/>
      <c r="G739" s="22"/>
      <c r="H739" s="22"/>
      <c r="I739" s="22"/>
      <c r="J739" s="22"/>
      <c r="K739" s="22"/>
      <c r="L739" s="22"/>
      <c r="M739" s="22"/>
      <c r="N739" s="22"/>
      <c r="O739" s="22"/>
      <c r="P739" s="22"/>
      <c r="Q739" s="22"/>
      <c r="R739" s="22"/>
      <c r="S739" s="22"/>
      <c r="T739" s="22"/>
      <c r="U739" s="22"/>
      <c r="V739" s="22"/>
      <c r="W739" s="22"/>
      <c r="X739" s="22"/>
      <c r="Y739" s="22"/>
    </row>
    <row r="740" spans="1:25" ht="15.75" customHeight="1">
      <c r="A740" s="22"/>
      <c r="B740" s="22"/>
      <c r="C740" s="22"/>
      <c r="D740" s="22"/>
      <c r="E740" s="22"/>
      <c r="F740" s="22"/>
      <c r="G740" s="22"/>
      <c r="H740" s="22"/>
      <c r="I740" s="22"/>
      <c r="J740" s="22"/>
      <c r="K740" s="22"/>
      <c r="L740" s="22"/>
      <c r="M740" s="22"/>
      <c r="N740" s="22"/>
      <c r="O740" s="22"/>
      <c r="P740" s="22"/>
      <c r="Q740" s="22"/>
      <c r="R740" s="22"/>
      <c r="S740" s="22"/>
      <c r="T740" s="22"/>
      <c r="U740" s="22"/>
      <c r="V740" s="22"/>
      <c r="W740" s="22"/>
      <c r="X740" s="22"/>
      <c r="Y740" s="22"/>
    </row>
    <row r="741" spans="1:25" ht="15.75" customHeight="1">
      <c r="A741" s="22"/>
      <c r="B741" s="22"/>
      <c r="C741" s="22"/>
      <c r="D741" s="22"/>
      <c r="E741" s="22"/>
      <c r="F741" s="22"/>
      <c r="G741" s="22"/>
      <c r="H741" s="22"/>
      <c r="I741" s="22"/>
      <c r="J741" s="22"/>
      <c r="K741" s="22"/>
      <c r="L741" s="22"/>
      <c r="M741" s="22"/>
      <c r="N741" s="22"/>
      <c r="O741" s="22"/>
      <c r="P741" s="22"/>
      <c r="Q741" s="22"/>
      <c r="R741" s="22"/>
      <c r="S741" s="22"/>
      <c r="T741" s="22"/>
      <c r="U741" s="22"/>
      <c r="V741" s="22"/>
      <c r="W741" s="22"/>
      <c r="X741" s="22"/>
      <c r="Y741" s="22"/>
    </row>
    <row r="742" spans="1:25" ht="15.75" customHeight="1">
      <c r="A742" s="22"/>
      <c r="B742" s="22"/>
      <c r="C742" s="22"/>
      <c r="D742" s="22"/>
      <c r="E742" s="22"/>
      <c r="F742" s="22"/>
      <c r="G742" s="22"/>
      <c r="H742" s="22"/>
      <c r="I742" s="22"/>
      <c r="J742" s="22"/>
      <c r="K742" s="22"/>
      <c r="L742" s="22"/>
      <c r="M742" s="22"/>
      <c r="N742" s="22"/>
      <c r="O742" s="22"/>
      <c r="P742" s="22"/>
      <c r="Q742" s="22"/>
      <c r="R742" s="22"/>
      <c r="S742" s="22"/>
      <c r="T742" s="22"/>
      <c r="U742" s="22"/>
      <c r="V742" s="22"/>
      <c r="W742" s="22"/>
      <c r="X742" s="22"/>
      <c r="Y742" s="22"/>
    </row>
    <row r="743" spans="1:25" ht="15.75" customHeight="1">
      <c r="A743" s="22"/>
      <c r="B743" s="22"/>
      <c r="C743" s="22"/>
      <c r="D743" s="22"/>
      <c r="E743" s="22"/>
      <c r="F743" s="22"/>
      <c r="G743" s="22"/>
      <c r="H743" s="22"/>
      <c r="I743" s="22"/>
      <c r="J743" s="22"/>
      <c r="K743" s="22"/>
      <c r="L743" s="22"/>
      <c r="M743" s="22"/>
      <c r="N743" s="22"/>
      <c r="O743" s="22"/>
      <c r="P743" s="22"/>
      <c r="Q743" s="22"/>
      <c r="R743" s="22"/>
      <c r="S743" s="22"/>
      <c r="T743" s="22"/>
      <c r="U743" s="22"/>
      <c r="V743" s="22"/>
      <c r="W743" s="22"/>
      <c r="X743" s="22"/>
      <c r="Y743" s="22"/>
    </row>
    <row r="744" spans="1:25" ht="15.75" customHeight="1">
      <c r="A744" s="22"/>
      <c r="B744" s="22"/>
      <c r="C744" s="22"/>
      <c r="D744" s="22"/>
      <c r="E744" s="22"/>
      <c r="F744" s="22"/>
      <c r="G744" s="22"/>
      <c r="H744" s="22"/>
      <c r="I744" s="22"/>
      <c r="J744" s="22"/>
      <c r="K744" s="22"/>
      <c r="L744" s="22"/>
      <c r="M744" s="22"/>
      <c r="N744" s="22"/>
      <c r="O744" s="22"/>
      <c r="P744" s="22"/>
      <c r="Q744" s="22"/>
      <c r="R744" s="22"/>
      <c r="S744" s="22"/>
      <c r="T744" s="22"/>
      <c r="U744" s="22"/>
      <c r="V744" s="22"/>
      <c r="W744" s="22"/>
      <c r="X744" s="22"/>
      <c r="Y744" s="22"/>
    </row>
    <row r="745" spans="1:25" ht="15.75" customHeight="1">
      <c r="A745" s="22"/>
      <c r="B745" s="22"/>
      <c r="C745" s="22"/>
      <c r="D745" s="22"/>
      <c r="E745" s="22"/>
      <c r="F745" s="22"/>
      <c r="G745" s="22"/>
      <c r="H745" s="22"/>
      <c r="I745" s="22"/>
      <c r="J745" s="22"/>
      <c r="K745" s="22"/>
      <c r="L745" s="22"/>
      <c r="M745" s="22"/>
      <c r="N745" s="22"/>
      <c r="O745" s="22"/>
      <c r="P745" s="22"/>
      <c r="Q745" s="22"/>
      <c r="R745" s="22"/>
      <c r="S745" s="22"/>
      <c r="T745" s="22"/>
      <c r="U745" s="22"/>
      <c r="V745" s="22"/>
      <c r="W745" s="22"/>
      <c r="X745" s="22"/>
      <c r="Y745" s="22"/>
    </row>
    <row r="746" spans="1:25" ht="15.75" customHeight="1">
      <c r="A746" s="22"/>
      <c r="B746" s="22"/>
      <c r="C746" s="22"/>
      <c r="D746" s="22"/>
      <c r="E746" s="22"/>
      <c r="F746" s="22"/>
      <c r="G746" s="22"/>
      <c r="H746" s="22"/>
      <c r="I746" s="22"/>
      <c r="J746" s="22"/>
      <c r="K746" s="22"/>
      <c r="L746" s="22"/>
      <c r="M746" s="22"/>
      <c r="N746" s="22"/>
      <c r="O746" s="22"/>
      <c r="P746" s="22"/>
      <c r="Q746" s="22"/>
      <c r="R746" s="22"/>
      <c r="S746" s="22"/>
      <c r="T746" s="22"/>
      <c r="U746" s="22"/>
      <c r="V746" s="22"/>
      <c r="W746" s="22"/>
      <c r="X746" s="22"/>
      <c r="Y746" s="22"/>
    </row>
    <row r="747" spans="1:25" ht="15.75" customHeight="1">
      <c r="A747" s="22"/>
      <c r="B747" s="22"/>
      <c r="C747" s="22"/>
      <c r="D747" s="22"/>
      <c r="E747" s="22"/>
      <c r="F747" s="22"/>
      <c r="G747" s="22"/>
      <c r="H747" s="22"/>
      <c r="I747" s="22"/>
      <c r="J747" s="22"/>
      <c r="K747" s="22"/>
      <c r="L747" s="22"/>
      <c r="M747" s="22"/>
      <c r="N747" s="22"/>
      <c r="O747" s="22"/>
      <c r="P747" s="22"/>
      <c r="Q747" s="22"/>
      <c r="R747" s="22"/>
      <c r="S747" s="22"/>
      <c r="T747" s="22"/>
      <c r="U747" s="22"/>
      <c r="V747" s="22"/>
      <c r="W747" s="22"/>
      <c r="X747" s="22"/>
      <c r="Y747" s="22"/>
    </row>
    <row r="748" spans="1:25" ht="15.75" customHeight="1">
      <c r="A748" s="22"/>
      <c r="B748" s="22"/>
      <c r="C748" s="22"/>
      <c r="D748" s="22"/>
      <c r="E748" s="22"/>
      <c r="F748" s="22"/>
      <c r="G748" s="22"/>
      <c r="H748" s="22"/>
      <c r="I748" s="22"/>
      <c r="J748" s="22"/>
      <c r="K748" s="22"/>
      <c r="L748" s="22"/>
      <c r="M748" s="22"/>
      <c r="N748" s="22"/>
      <c r="O748" s="22"/>
      <c r="P748" s="22"/>
      <c r="Q748" s="22"/>
      <c r="R748" s="22"/>
      <c r="S748" s="22"/>
      <c r="T748" s="22"/>
      <c r="U748" s="22"/>
      <c r="V748" s="22"/>
      <c r="W748" s="22"/>
      <c r="X748" s="22"/>
      <c r="Y748" s="22"/>
    </row>
    <row r="749" spans="1:25" ht="15.75" customHeight="1">
      <c r="A749" s="22"/>
      <c r="B749" s="22"/>
      <c r="C749" s="22"/>
      <c r="D749" s="22"/>
      <c r="E749" s="22"/>
      <c r="F749" s="22"/>
      <c r="G749" s="22"/>
      <c r="H749" s="22"/>
      <c r="I749" s="22"/>
      <c r="J749" s="22"/>
      <c r="K749" s="22"/>
      <c r="L749" s="22"/>
      <c r="M749" s="22"/>
      <c r="N749" s="22"/>
      <c r="O749" s="22"/>
      <c r="P749" s="22"/>
      <c r="Q749" s="22"/>
      <c r="R749" s="22"/>
      <c r="S749" s="22"/>
      <c r="T749" s="22"/>
      <c r="U749" s="22"/>
      <c r="V749" s="22"/>
      <c r="W749" s="22"/>
      <c r="X749" s="22"/>
      <c r="Y749" s="22"/>
    </row>
    <row r="750" spans="1:25" ht="15.75" customHeight="1">
      <c r="A750" s="22"/>
      <c r="B750" s="22"/>
      <c r="C750" s="22"/>
      <c r="D750" s="22"/>
      <c r="E750" s="22"/>
      <c r="F750" s="22"/>
      <c r="G750" s="22"/>
      <c r="H750" s="22"/>
      <c r="I750" s="22"/>
      <c r="J750" s="22"/>
      <c r="K750" s="22"/>
      <c r="L750" s="22"/>
      <c r="M750" s="22"/>
      <c r="N750" s="22"/>
      <c r="O750" s="22"/>
      <c r="P750" s="22"/>
      <c r="Q750" s="22"/>
      <c r="R750" s="22"/>
      <c r="S750" s="22"/>
      <c r="T750" s="22"/>
      <c r="U750" s="22"/>
      <c r="V750" s="22"/>
      <c r="W750" s="22"/>
      <c r="X750" s="22"/>
      <c r="Y750" s="22"/>
    </row>
    <row r="751" spans="1:25" ht="15.75" customHeight="1">
      <c r="A751" s="22"/>
      <c r="B751" s="22"/>
      <c r="C751" s="22"/>
      <c r="D751" s="22"/>
      <c r="E751" s="22"/>
      <c r="F751" s="22"/>
      <c r="G751" s="22"/>
      <c r="H751" s="22"/>
      <c r="I751" s="22"/>
      <c r="J751" s="22"/>
      <c r="K751" s="22"/>
      <c r="L751" s="22"/>
      <c r="M751" s="22"/>
      <c r="N751" s="22"/>
      <c r="O751" s="22"/>
      <c r="P751" s="22"/>
      <c r="Q751" s="22"/>
      <c r="R751" s="22"/>
      <c r="S751" s="22"/>
      <c r="T751" s="22"/>
      <c r="U751" s="22"/>
      <c r="V751" s="22"/>
      <c r="W751" s="22"/>
      <c r="X751" s="22"/>
      <c r="Y751" s="22"/>
    </row>
    <row r="752" spans="1:25" ht="15.75" customHeight="1">
      <c r="A752" s="22"/>
      <c r="B752" s="22"/>
      <c r="C752" s="22"/>
      <c r="D752" s="22"/>
      <c r="E752" s="22"/>
      <c r="F752" s="22"/>
      <c r="G752" s="22"/>
      <c r="H752" s="22"/>
      <c r="I752" s="22"/>
      <c r="J752" s="22"/>
      <c r="K752" s="22"/>
      <c r="L752" s="22"/>
      <c r="M752" s="22"/>
      <c r="N752" s="22"/>
      <c r="O752" s="22"/>
      <c r="P752" s="22"/>
      <c r="Q752" s="22"/>
      <c r="R752" s="22"/>
      <c r="S752" s="22"/>
      <c r="T752" s="22"/>
      <c r="U752" s="22"/>
      <c r="V752" s="22"/>
      <c r="W752" s="22"/>
      <c r="X752" s="22"/>
      <c r="Y752" s="22"/>
    </row>
    <row r="753" spans="1:25" ht="15.75" customHeight="1">
      <c r="A753" s="22"/>
      <c r="B753" s="22"/>
      <c r="C753" s="22"/>
      <c r="D753" s="22"/>
      <c r="E753" s="22"/>
      <c r="F753" s="22"/>
      <c r="G753" s="22"/>
      <c r="H753" s="22"/>
      <c r="I753" s="22"/>
      <c r="J753" s="22"/>
      <c r="K753" s="22"/>
      <c r="L753" s="22"/>
      <c r="M753" s="22"/>
      <c r="N753" s="22"/>
      <c r="O753" s="22"/>
      <c r="P753" s="22"/>
      <c r="Q753" s="22"/>
      <c r="R753" s="22"/>
      <c r="S753" s="22"/>
      <c r="T753" s="22"/>
      <c r="U753" s="22"/>
      <c r="V753" s="22"/>
      <c r="W753" s="22"/>
      <c r="X753" s="22"/>
      <c r="Y753" s="22"/>
    </row>
    <row r="754" spans="1:25" ht="15.75" customHeight="1">
      <c r="A754" s="22"/>
      <c r="B754" s="22"/>
      <c r="C754" s="22"/>
      <c r="D754" s="22"/>
      <c r="E754" s="22"/>
      <c r="F754" s="22"/>
      <c r="G754" s="22"/>
      <c r="H754" s="22"/>
      <c r="I754" s="22"/>
      <c r="J754" s="22"/>
      <c r="K754" s="22"/>
      <c r="L754" s="22"/>
      <c r="M754" s="22"/>
      <c r="N754" s="22"/>
      <c r="O754" s="22"/>
      <c r="P754" s="22"/>
      <c r="Q754" s="22"/>
      <c r="R754" s="22"/>
      <c r="S754" s="22"/>
      <c r="T754" s="22"/>
      <c r="U754" s="22"/>
      <c r="V754" s="22"/>
      <c r="W754" s="22"/>
      <c r="X754" s="22"/>
      <c r="Y754" s="22"/>
    </row>
    <row r="755" spans="1:25" ht="15.75" customHeight="1">
      <c r="A755" s="22"/>
      <c r="B755" s="22"/>
      <c r="C755" s="22"/>
      <c r="D755" s="22"/>
      <c r="E755" s="22"/>
      <c r="F755" s="22"/>
      <c r="G755" s="22"/>
      <c r="H755" s="22"/>
      <c r="I755" s="22"/>
      <c r="J755" s="22"/>
      <c r="K755" s="22"/>
      <c r="L755" s="22"/>
      <c r="M755" s="22"/>
      <c r="N755" s="22"/>
      <c r="O755" s="22"/>
      <c r="P755" s="22"/>
      <c r="Q755" s="22"/>
      <c r="R755" s="22"/>
      <c r="S755" s="22"/>
      <c r="T755" s="22"/>
      <c r="U755" s="22"/>
      <c r="V755" s="22"/>
      <c r="W755" s="22"/>
      <c r="X755" s="22"/>
      <c r="Y755" s="22"/>
    </row>
    <row r="756" spans="1:25" ht="15.75" customHeight="1">
      <c r="A756" s="22"/>
      <c r="B756" s="22"/>
      <c r="C756" s="22"/>
      <c r="D756" s="22"/>
      <c r="E756" s="22"/>
      <c r="F756" s="22"/>
      <c r="G756" s="22"/>
      <c r="H756" s="22"/>
      <c r="I756" s="22"/>
      <c r="J756" s="22"/>
      <c r="K756" s="22"/>
      <c r="L756" s="22"/>
      <c r="M756" s="22"/>
      <c r="N756" s="22"/>
      <c r="O756" s="22"/>
      <c r="P756" s="22"/>
      <c r="Q756" s="22"/>
      <c r="R756" s="22"/>
      <c r="S756" s="22"/>
      <c r="T756" s="22"/>
      <c r="U756" s="22"/>
      <c r="V756" s="22"/>
      <c r="W756" s="22"/>
      <c r="X756" s="22"/>
      <c r="Y756" s="22"/>
    </row>
    <row r="757" spans="1:25" ht="15.75" customHeight="1">
      <c r="A757" s="22"/>
      <c r="B757" s="22"/>
      <c r="C757" s="22"/>
      <c r="D757" s="22"/>
      <c r="E757" s="22"/>
      <c r="F757" s="22"/>
      <c r="G757" s="22"/>
      <c r="H757" s="22"/>
      <c r="I757" s="22"/>
      <c r="J757" s="22"/>
      <c r="K757" s="22"/>
      <c r="L757" s="22"/>
      <c r="M757" s="22"/>
      <c r="N757" s="22"/>
      <c r="O757" s="22"/>
      <c r="P757" s="22"/>
      <c r="Q757" s="22"/>
      <c r="R757" s="22"/>
      <c r="S757" s="22"/>
      <c r="T757" s="22"/>
      <c r="U757" s="22"/>
      <c r="V757" s="22"/>
      <c r="W757" s="22"/>
      <c r="X757" s="22"/>
      <c r="Y757" s="22"/>
    </row>
    <row r="758" spans="1:25" ht="15.75" customHeight="1">
      <c r="A758" s="22"/>
      <c r="B758" s="22"/>
      <c r="C758" s="22"/>
      <c r="D758" s="22"/>
      <c r="E758" s="22"/>
      <c r="F758" s="22"/>
      <c r="G758" s="22"/>
      <c r="H758" s="22"/>
      <c r="I758" s="22"/>
      <c r="J758" s="22"/>
      <c r="K758" s="22"/>
      <c r="L758" s="22"/>
      <c r="M758" s="22"/>
      <c r="N758" s="22"/>
      <c r="O758" s="22"/>
      <c r="P758" s="22"/>
      <c r="Q758" s="22"/>
      <c r="R758" s="22"/>
      <c r="S758" s="22"/>
      <c r="T758" s="22"/>
      <c r="U758" s="22"/>
      <c r="V758" s="22"/>
      <c r="W758" s="22"/>
      <c r="X758" s="22"/>
      <c r="Y758" s="22"/>
    </row>
    <row r="759" spans="1:25" ht="15.75" customHeight="1">
      <c r="A759" s="22"/>
      <c r="B759" s="22"/>
      <c r="C759" s="22"/>
      <c r="D759" s="22"/>
      <c r="E759" s="22"/>
      <c r="F759" s="22"/>
      <c r="G759" s="22"/>
      <c r="H759" s="22"/>
      <c r="I759" s="22"/>
      <c r="J759" s="22"/>
      <c r="K759" s="22"/>
      <c r="L759" s="22"/>
      <c r="M759" s="22"/>
      <c r="N759" s="22"/>
      <c r="O759" s="22"/>
      <c r="P759" s="22"/>
      <c r="Q759" s="22"/>
      <c r="R759" s="22"/>
      <c r="S759" s="22"/>
      <c r="T759" s="22"/>
      <c r="U759" s="22"/>
      <c r="V759" s="22"/>
      <c r="W759" s="22"/>
      <c r="X759" s="22"/>
      <c r="Y759" s="22"/>
    </row>
    <row r="760" spans="1:25" ht="15.75" customHeight="1">
      <c r="A760" s="22"/>
      <c r="B760" s="22"/>
      <c r="C760" s="22"/>
      <c r="D760" s="22"/>
      <c r="E760" s="22"/>
      <c r="F760" s="22"/>
      <c r="G760" s="22"/>
      <c r="H760" s="22"/>
      <c r="I760" s="22"/>
      <c r="J760" s="22"/>
      <c r="K760" s="22"/>
      <c r="L760" s="22"/>
      <c r="M760" s="22"/>
      <c r="N760" s="22"/>
      <c r="O760" s="22"/>
      <c r="P760" s="22"/>
      <c r="Q760" s="22"/>
      <c r="R760" s="22"/>
      <c r="S760" s="22"/>
      <c r="T760" s="22"/>
      <c r="U760" s="22"/>
      <c r="V760" s="22"/>
      <c r="W760" s="22"/>
      <c r="X760" s="22"/>
      <c r="Y760" s="22"/>
    </row>
    <row r="761" spans="1:25" ht="15.75" customHeight="1">
      <c r="A761" s="22"/>
      <c r="B761" s="22"/>
      <c r="C761" s="22"/>
      <c r="D761" s="22"/>
      <c r="E761" s="22"/>
      <c r="F761" s="22"/>
      <c r="G761" s="22"/>
      <c r="H761" s="22"/>
      <c r="I761" s="22"/>
      <c r="J761" s="22"/>
      <c r="K761" s="22"/>
      <c r="L761" s="22"/>
      <c r="M761" s="22"/>
      <c r="N761" s="22"/>
      <c r="O761" s="22"/>
      <c r="P761" s="22"/>
      <c r="Q761" s="22"/>
      <c r="R761" s="22"/>
      <c r="S761" s="22"/>
      <c r="T761" s="22"/>
      <c r="U761" s="22"/>
      <c r="V761" s="22"/>
      <c r="W761" s="22"/>
      <c r="X761" s="22"/>
      <c r="Y761" s="22"/>
    </row>
    <row r="762" spans="1:25" ht="15.75" customHeight="1">
      <c r="A762" s="22"/>
      <c r="B762" s="22"/>
      <c r="C762" s="22"/>
      <c r="D762" s="22"/>
      <c r="E762" s="22"/>
      <c r="F762" s="22"/>
      <c r="G762" s="22"/>
      <c r="H762" s="22"/>
      <c r="I762" s="22"/>
      <c r="J762" s="22"/>
      <c r="K762" s="22"/>
      <c r="L762" s="22"/>
      <c r="M762" s="22"/>
      <c r="N762" s="22"/>
      <c r="O762" s="22"/>
      <c r="P762" s="22"/>
      <c r="Q762" s="22"/>
      <c r="R762" s="22"/>
      <c r="S762" s="22"/>
      <c r="T762" s="22"/>
      <c r="U762" s="22"/>
      <c r="V762" s="22"/>
      <c r="W762" s="22"/>
      <c r="X762" s="22"/>
      <c r="Y762" s="22"/>
    </row>
    <row r="763" spans="1:25" ht="15.75" customHeight="1">
      <c r="A763" s="22"/>
      <c r="B763" s="22"/>
      <c r="C763" s="22"/>
      <c r="D763" s="22"/>
      <c r="E763" s="22"/>
      <c r="F763" s="22"/>
      <c r="G763" s="22"/>
      <c r="H763" s="22"/>
      <c r="I763" s="22"/>
      <c r="J763" s="22"/>
      <c r="K763" s="22"/>
      <c r="L763" s="22"/>
      <c r="M763" s="22"/>
      <c r="N763" s="22"/>
      <c r="O763" s="22"/>
      <c r="P763" s="22"/>
      <c r="Q763" s="22"/>
      <c r="R763" s="22"/>
      <c r="S763" s="22"/>
      <c r="T763" s="22"/>
      <c r="U763" s="22"/>
      <c r="V763" s="22"/>
      <c r="W763" s="22"/>
      <c r="X763" s="22"/>
      <c r="Y763" s="22"/>
    </row>
    <row r="764" spans="1:25" ht="15.75" customHeight="1">
      <c r="A764" s="22"/>
      <c r="B764" s="22"/>
      <c r="C764" s="22"/>
      <c r="D764" s="22"/>
      <c r="E764" s="22"/>
      <c r="F764" s="22"/>
      <c r="G764" s="22"/>
      <c r="H764" s="22"/>
      <c r="I764" s="22"/>
      <c r="J764" s="22"/>
      <c r="K764" s="22"/>
      <c r="L764" s="22"/>
      <c r="M764" s="22"/>
      <c r="N764" s="22"/>
      <c r="O764" s="22"/>
      <c r="P764" s="22"/>
      <c r="Q764" s="22"/>
      <c r="R764" s="22"/>
      <c r="S764" s="22"/>
      <c r="T764" s="22"/>
      <c r="U764" s="22"/>
      <c r="V764" s="22"/>
      <c r="W764" s="22"/>
      <c r="X764" s="22"/>
      <c r="Y764" s="22"/>
    </row>
    <row r="765" spans="1:25" ht="15.75" customHeight="1">
      <c r="A765" s="22"/>
      <c r="B765" s="22"/>
      <c r="C765" s="22"/>
      <c r="D765" s="22"/>
      <c r="E765" s="22"/>
      <c r="F765" s="22"/>
      <c r="G765" s="22"/>
      <c r="H765" s="22"/>
      <c r="I765" s="22"/>
      <c r="J765" s="22"/>
      <c r="K765" s="22"/>
      <c r="L765" s="22"/>
      <c r="M765" s="22"/>
      <c r="N765" s="22"/>
      <c r="O765" s="22"/>
      <c r="P765" s="22"/>
      <c r="Q765" s="22"/>
      <c r="R765" s="22"/>
      <c r="S765" s="22"/>
      <c r="T765" s="22"/>
      <c r="U765" s="22"/>
      <c r="V765" s="22"/>
      <c r="W765" s="22"/>
      <c r="X765" s="22"/>
      <c r="Y765" s="22"/>
    </row>
    <row r="766" spans="1:25" ht="15.75" customHeight="1">
      <c r="A766" s="22"/>
      <c r="B766" s="22"/>
      <c r="C766" s="22"/>
      <c r="D766" s="22"/>
      <c r="E766" s="22"/>
      <c r="F766" s="22"/>
      <c r="G766" s="22"/>
      <c r="H766" s="22"/>
      <c r="I766" s="22"/>
      <c r="J766" s="22"/>
      <c r="K766" s="22"/>
      <c r="L766" s="22"/>
      <c r="M766" s="22"/>
      <c r="N766" s="22"/>
      <c r="O766" s="22"/>
      <c r="P766" s="22"/>
      <c r="Q766" s="22"/>
      <c r="R766" s="22"/>
      <c r="S766" s="22"/>
      <c r="T766" s="22"/>
      <c r="U766" s="22"/>
      <c r="V766" s="22"/>
      <c r="W766" s="22"/>
      <c r="X766" s="22"/>
      <c r="Y766" s="22"/>
    </row>
    <row r="767" spans="1:25" ht="15.75" customHeight="1">
      <c r="A767" s="22"/>
      <c r="B767" s="22"/>
      <c r="C767" s="22"/>
      <c r="D767" s="22"/>
      <c r="E767" s="22"/>
      <c r="F767" s="22"/>
      <c r="G767" s="22"/>
      <c r="H767" s="22"/>
      <c r="I767" s="22"/>
      <c r="J767" s="22"/>
      <c r="K767" s="22"/>
      <c r="L767" s="22"/>
      <c r="M767" s="22"/>
      <c r="N767" s="22"/>
      <c r="O767" s="22"/>
      <c r="P767" s="22"/>
      <c r="Q767" s="22"/>
      <c r="R767" s="22"/>
      <c r="S767" s="22"/>
      <c r="T767" s="22"/>
      <c r="U767" s="22"/>
      <c r="V767" s="22"/>
      <c r="W767" s="22"/>
      <c r="X767" s="22"/>
      <c r="Y767" s="22"/>
    </row>
    <row r="768" spans="1:25" ht="15.75" customHeight="1">
      <c r="A768" s="22"/>
      <c r="B768" s="22"/>
      <c r="C768" s="22"/>
      <c r="D768" s="22"/>
      <c r="E768" s="22"/>
      <c r="F768" s="22"/>
      <c r="G768" s="22"/>
      <c r="H768" s="22"/>
      <c r="I768" s="22"/>
      <c r="J768" s="22"/>
      <c r="K768" s="22"/>
      <c r="L768" s="22"/>
      <c r="M768" s="22"/>
      <c r="N768" s="22"/>
      <c r="O768" s="22"/>
      <c r="P768" s="22"/>
      <c r="Q768" s="22"/>
      <c r="R768" s="22"/>
      <c r="S768" s="22"/>
      <c r="T768" s="22"/>
      <c r="U768" s="22"/>
      <c r="V768" s="22"/>
      <c r="W768" s="22"/>
      <c r="X768" s="22"/>
      <c r="Y768" s="22"/>
    </row>
    <row r="769" spans="1:25" ht="15.75" customHeight="1">
      <c r="A769" s="22"/>
      <c r="B769" s="22"/>
      <c r="C769" s="22"/>
      <c r="D769" s="22"/>
      <c r="E769" s="22"/>
      <c r="F769" s="22"/>
      <c r="G769" s="22"/>
      <c r="H769" s="22"/>
      <c r="I769" s="22"/>
      <c r="J769" s="22"/>
      <c r="K769" s="22"/>
      <c r="L769" s="22"/>
      <c r="M769" s="22"/>
      <c r="N769" s="22"/>
      <c r="O769" s="22"/>
      <c r="P769" s="22"/>
      <c r="Q769" s="22"/>
      <c r="R769" s="22"/>
      <c r="S769" s="22"/>
      <c r="T769" s="22"/>
      <c r="U769" s="22"/>
      <c r="V769" s="22"/>
      <c r="W769" s="22"/>
      <c r="X769" s="22"/>
      <c r="Y769" s="22"/>
    </row>
    <row r="770" spans="1:25" ht="15.75" customHeight="1">
      <c r="A770" s="22"/>
      <c r="B770" s="22"/>
      <c r="C770" s="22"/>
      <c r="D770" s="22"/>
      <c r="E770" s="22"/>
      <c r="F770" s="22"/>
      <c r="G770" s="22"/>
      <c r="H770" s="22"/>
      <c r="I770" s="22"/>
      <c r="J770" s="22"/>
      <c r="K770" s="22"/>
      <c r="L770" s="22"/>
      <c r="M770" s="22"/>
      <c r="N770" s="22"/>
      <c r="O770" s="22"/>
      <c r="P770" s="22"/>
      <c r="Q770" s="22"/>
      <c r="R770" s="22"/>
      <c r="S770" s="22"/>
      <c r="T770" s="22"/>
      <c r="U770" s="22"/>
      <c r="V770" s="22"/>
      <c r="W770" s="22"/>
      <c r="X770" s="22"/>
      <c r="Y770" s="22"/>
    </row>
    <row r="771" spans="1:25" ht="15.75" customHeight="1">
      <c r="A771" s="22"/>
      <c r="B771" s="22"/>
      <c r="C771" s="22"/>
      <c r="D771" s="22"/>
      <c r="E771" s="22"/>
      <c r="F771" s="22"/>
      <c r="G771" s="22"/>
      <c r="H771" s="22"/>
      <c r="I771" s="22"/>
      <c r="J771" s="22"/>
      <c r="K771" s="22"/>
      <c r="L771" s="22"/>
      <c r="M771" s="22"/>
      <c r="N771" s="22"/>
      <c r="O771" s="22"/>
      <c r="P771" s="22"/>
      <c r="Q771" s="22"/>
      <c r="R771" s="22"/>
      <c r="S771" s="22"/>
      <c r="T771" s="22"/>
      <c r="U771" s="22"/>
      <c r="V771" s="22"/>
      <c r="W771" s="22"/>
      <c r="X771" s="22"/>
      <c r="Y771" s="22"/>
    </row>
    <row r="772" spans="1:25" ht="15.75" customHeight="1">
      <c r="A772" s="22"/>
      <c r="B772" s="22"/>
      <c r="C772" s="22"/>
      <c r="D772" s="22"/>
      <c r="E772" s="22"/>
      <c r="F772" s="22"/>
      <c r="G772" s="22"/>
      <c r="H772" s="22"/>
      <c r="I772" s="22"/>
      <c r="J772" s="22"/>
      <c r="K772" s="22"/>
      <c r="L772" s="22"/>
      <c r="M772" s="22"/>
      <c r="N772" s="22"/>
      <c r="O772" s="22"/>
      <c r="P772" s="22"/>
      <c r="Q772" s="22"/>
      <c r="R772" s="22"/>
      <c r="S772" s="22"/>
      <c r="T772" s="22"/>
      <c r="U772" s="22"/>
      <c r="V772" s="22"/>
      <c r="W772" s="22"/>
      <c r="X772" s="22"/>
      <c r="Y772" s="22"/>
    </row>
    <row r="773" spans="1:25" ht="15.75" customHeight="1">
      <c r="A773" s="22"/>
      <c r="B773" s="22"/>
      <c r="C773" s="22"/>
      <c r="D773" s="22"/>
      <c r="E773" s="22"/>
      <c r="F773" s="22"/>
      <c r="G773" s="22"/>
      <c r="H773" s="22"/>
      <c r="I773" s="22"/>
      <c r="J773" s="22"/>
      <c r="K773" s="22"/>
      <c r="L773" s="22"/>
      <c r="M773" s="22"/>
      <c r="N773" s="22"/>
      <c r="O773" s="22"/>
      <c r="P773" s="22"/>
      <c r="Q773" s="22"/>
      <c r="R773" s="22"/>
      <c r="S773" s="22"/>
      <c r="T773" s="22"/>
      <c r="U773" s="22"/>
      <c r="V773" s="22"/>
      <c r="W773" s="22"/>
      <c r="X773" s="22"/>
      <c r="Y773" s="22"/>
    </row>
    <row r="774" spans="1:25" ht="15.75" customHeight="1">
      <c r="A774" s="22"/>
      <c r="B774" s="22"/>
      <c r="C774" s="22"/>
      <c r="D774" s="22"/>
      <c r="E774" s="22"/>
      <c r="F774" s="22"/>
      <c r="G774" s="22"/>
      <c r="H774" s="22"/>
      <c r="I774" s="22"/>
      <c r="J774" s="22"/>
      <c r="K774" s="22"/>
      <c r="L774" s="22"/>
      <c r="M774" s="22"/>
      <c r="N774" s="22"/>
      <c r="O774" s="22"/>
      <c r="P774" s="22"/>
      <c r="Q774" s="22"/>
      <c r="R774" s="22"/>
      <c r="S774" s="22"/>
      <c r="T774" s="22"/>
      <c r="U774" s="22"/>
      <c r="V774" s="22"/>
      <c r="W774" s="22"/>
      <c r="X774" s="22"/>
      <c r="Y774" s="22"/>
    </row>
    <row r="775" spans="1:25" ht="15.75" customHeight="1">
      <c r="A775" s="22"/>
      <c r="B775" s="22"/>
      <c r="C775" s="22"/>
      <c r="D775" s="22"/>
      <c r="E775" s="22"/>
      <c r="F775" s="22"/>
      <c r="G775" s="22"/>
      <c r="H775" s="22"/>
      <c r="I775" s="22"/>
      <c r="J775" s="22"/>
      <c r="K775" s="22"/>
      <c r="L775" s="22"/>
      <c r="M775" s="22"/>
      <c r="N775" s="22"/>
      <c r="O775" s="22"/>
      <c r="P775" s="22"/>
      <c r="Q775" s="22"/>
      <c r="R775" s="22"/>
      <c r="S775" s="22"/>
      <c r="T775" s="22"/>
      <c r="U775" s="22"/>
      <c r="V775" s="22"/>
      <c r="W775" s="22"/>
      <c r="X775" s="22"/>
      <c r="Y775" s="22"/>
    </row>
    <row r="776" spans="1:25" ht="15.75" customHeight="1">
      <c r="A776" s="22"/>
      <c r="B776" s="22"/>
      <c r="C776" s="22"/>
      <c r="D776" s="22"/>
      <c r="E776" s="22"/>
      <c r="F776" s="22"/>
      <c r="G776" s="22"/>
      <c r="H776" s="22"/>
      <c r="I776" s="22"/>
      <c r="J776" s="22"/>
      <c r="K776" s="22"/>
      <c r="L776" s="22"/>
      <c r="M776" s="22"/>
      <c r="N776" s="22"/>
      <c r="O776" s="22"/>
      <c r="P776" s="22"/>
      <c r="Q776" s="22"/>
      <c r="R776" s="22"/>
      <c r="S776" s="22"/>
      <c r="T776" s="22"/>
      <c r="U776" s="22"/>
      <c r="V776" s="22"/>
      <c r="W776" s="22"/>
      <c r="X776" s="22"/>
      <c r="Y776" s="22"/>
    </row>
    <row r="777" spans="1:25" ht="15.75" customHeight="1">
      <c r="A777" s="22"/>
      <c r="B777" s="22"/>
      <c r="C777" s="22"/>
      <c r="D777" s="22"/>
      <c r="E777" s="22"/>
      <c r="F777" s="22"/>
      <c r="G777" s="22"/>
      <c r="H777" s="22"/>
      <c r="I777" s="22"/>
      <c r="J777" s="22"/>
      <c r="K777" s="22"/>
      <c r="L777" s="22"/>
      <c r="M777" s="22"/>
      <c r="N777" s="22"/>
      <c r="O777" s="22"/>
      <c r="P777" s="22"/>
      <c r="Q777" s="22"/>
      <c r="R777" s="22"/>
      <c r="S777" s="22"/>
      <c r="T777" s="22"/>
      <c r="U777" s="22"/>
      <c r="V777" s="22"/>
      <c r="W777" s="22"/>
      <c r="X777" s="22"/>
      <c r="Y777" s="22"/>
    </row>
    <row r="778" spans="1:25" ht="15.75" customHeight="1">
      <c r="A778" s="22"/>
      <c r="B778" s="22"/>
      <c r="C778" s="22"/>
      <c r="D778" s="22"/>
      <c r="E778" s="22"/>
      <c r="F778" s="22"/>
      <c r="G778" s="22"/>
      <c r="H778" s="22"/>
      <c r="I778" s="22"/>
      <c r="J778" s="22"/>
      <c r="K778" s="22"/>
      <c r="L778" s="22"/>
      <c r="M778" s="22"/>
      <c r="N778" s="22"/>
      <c r="O778" s="22"/>
      <c r="P778" s="22"/>
      <c r="Q778" s="22"/>
      <c r="R778" s="22"/>
      <c r="S778" s="22"/>
      <c r="T778" s="22"/>
      <c r="U778" s="22"/>
      <c r="V778" s="22"/>
      <c r="W778" s="22"/>
      <c r="X778" s="22"/>
      <c r="Y778" s="22"/>
    </row>
    <row r="779" spans="1:25" ht="15.75" customHeight="1">
      <c r="A779" s="22"/>
      <c r="B779" s="22"/>
      <c r="C779" s="22"/>
      <c r="D779" s="22"/>
      <c r="E779" s="22"/>
      <c r="F779" s="22"/>
      <c r="G779" s="22"/>
      <c r="H779" s="22"/>
      <c r="I779" s="22"/>
      <c r="J779" s="22"/>
      <c r="K779" s="22"/>
      <c r="L779" s="22"/>
      <c r="M779" s="22"/>
      <c r="N779" s="22"/>
      <c r="O779" s="22"/>
      <c r="P779" s="22"/>
      <c r="Q779" s="22"/>
      <c r="R779" s="22"/>
      <c r="S779" s="22"/>
      <c r="T779" s="22"/>
      <c r="U779" s="22"/>
      <c r="V779" s="22"/>
      <c r="W779" s="22"/>
      <c r="X779" s="22"/>
      <c r="Y779" s="22"/>
    </row>
    <row r="780" spans="1:25" ht="15.75" customHeight="1">
      <c r="A780" s="22"/>
      <c r="B780" s="22"/>
      <c r="C780" s="22"/>
      <c r="D780" s="22"/>
      <c r="E780" s="22"/>
      <c r="F780" s="22"/>
      <c r="G780" s="22"/>
      <c r="H780" s="22"/>
      <c r="I780" s="22"/>
      <c r="J780" s="22"/>
      <c r="K780" s="22"/>
      <c r="L780" s="22"/>
      <c r="M780" s="22"/>
      <c r="N780" s="22"/>
      <c r="O780" s="22"/>
      <c r="P780" s="22"/>
      <c r="Q780" s="22"/>
      <c r="R780" s="22"/>
      <c r="S780" s="22"/>
      <c r="T780" s="22"/>
      <c r="U780" s="22"/>
      <c r="V780" s="22"/>
      <c r="W780" s="22"/>
      <c r="X780" s="22"/>
      <c r="Y780" s="22"/>
    </row>
    <row r="781" spans="1:25" ht="15.75" customHeight="1">
      <c r="A781" s="22"/>
      <c r="B781" s="22"/>
      <c r="C781" s="22"/>
      <c r="D781" s="22"/>
      <c r="E781" s="22"/>
      <c r="F781" s="22"/>
      <c r="G781" s="22"/>
      <c r="H781" s="22"/>
      <c r="I781" s="22"/>
      <c r="J781" s="22"/>
      <c r="K781" s="22"/>
      <c r="L781" s="22"/>
      <c r="M781" s="22"/>
      <c r="N781" s="22"/>
      <c r="O781" s="22"/>
      <c r="P781" s="22"/>
      <c r="Q781" s="22"/>
      <c r="R781" s="22"/>
      <c r="S781" s="22"/>
      <c r="T781" s="22"/>
      <c r="U781" s="22"/>
      <c r="V781" s="22"/>
      <c r="W781" s="22"/>
      <c r="X781" s="22"/>
      <c r="Y781" s="22"/>
    </row>
    <row r="782" spans="1:25" ht="15.75" customHeight="1">
      <c r="A782" s="22"/>
      <c r="B782" s="22"/>
      <c r="C782" s="22"/>
      <c r="D782" s="22"/>
      <c r="E782" s="22"/>
      <c r="F782" s="22"/>
      <c r="G782" s="22"/>
      <c r="H782" s="22"/>
      <c r="I782" s="22"/>
      <c r="J782" s="22"/>
      <c r="K782" s="22"/>
      <c r="L782" s="22"/>
      <c r="M782" s="22"/>
      <c r="N782" s="22"/>
      <c r="O782" s="22"/>
      <c r="P782" s="22"/>
      <c r="Q782" s="22"/>
      <c r="R782" s="22"/>
      <c r="S782" s="22"/>
      <c r="T782" s="22"/>
      <c r="U782" s="22"/>
      <c r="V782" s="22"/>
      <c r="W782" s="22"/>
      <c r="X782" s="22"/>
      <c r="Y782" s="22"/>
    </row>
    <row r="783" spans="1:25" ht="15.75" customHeight="1">
      <c r="A783" s="22"/>
      <c r="B783" s="22"/>
      <c r="C783" s="22"/>
      <c r="D783" s="22"/>
      <c r="E783" s="22"/>
      <c r="F783" s="22"/>
      <c r="G783" s="22"/>
      <c r="H783" s="22"/>
      <c r="I783" s="22"/>
      <c r="J783" s="22"/>
      <c r="K783" s="22"/>
      <c r="L783" s="22"/>
      <c r="M783" s="22"/>
      <c r="N783" s="22"/>
      <c r="O783" s="22"/>
      <c r="P783" s="22"/>
      <c r="Q783" s="22"/>
      <c r="R783" s="22"/>
      <c r="S783" s="22"/>
      <c r="T783" s="22"/>
      <c r="U783" s="22"/>
      <c r="V783" s="22"/>
      <c r="W783" s="22"/>
      <c r="X783" s="22"/>
      <c r="Y783" s="22"/>
    </row>
    <row r="784" spans="1:25" ht="15.75" customHeight="1">
      <c r="A784" s="22"/>
      <c r="B784" s="22"/>
      <c r="C784" s="22"/>
      <c r="D784" s="22"/>
      <c r="E784" s="22"/>
      <c r="F784" s="22"/>
      <c r="G784" s="22"/>
      <c r="H784" s="22"/>
      <c r="I784" s="22"/>
      <c r="J784" s="22"/>
      <c r="K784" s="22"/>
      <c r="L784" s="22"/>
      <c r="M784" s="22"/>
      <c r="N784" s="22"/>
      <c r="O784" s="22"/>
      <c r="P784" s="22"/>
      <c r="Q784" s="22"/>
      <c r="R784" s="22"/>
      <c r="S784" s="22"/>
      <c r="T784" s="22"/>
      <c r="U784" s="22"/>
      <c r="V784" s="22"/>
      <c r="W784" s="22"/>
      <c r="X784" s="22"/>
      <c r="Y784" s="22"/>
    </row>
    <row r="785" spans="1:25" ht="15.75" customHeight="1">
      <c r="A785" s="22"/>
      <c r="B785" s="22"/>
      <c r="C785" s="22"/>
      <c r="D785" s="22"/>
      <c r="E785" s="22"/>
      <c r="F785" s="22"/>
      <c r="G785" s="22"/>
      <c r="H785" s="22"/>
      <c r="I785" s="22"/>
      <c r="J785" s="22"/>
      <c r="K785" s="22"/>
      <c r="L785" s="22"/>
      <c r="M785" s="22"/>
      <c r="N785" s="22"/>
      <c r="O785" s="22"/>
      <c r="P785" s="22"/>
      <c r="Q785" s="22"/>
      <c r="R785" s="22"/>
      <c r="S785" s="22"/>
      <c r="T785" s="22"/>
      <c r="U785" s="22"/>
      <c r="V785" s="22"/>
      <c r="W785" s="22"/>
      <c r="X785" s="22"/>
      <c r="Y785" s="22"/>
    </row>
    <row r="786" spans="1:25" ht="15.75" customHeight="1">
      <c r="A786" s="22"/>
      <c r="B786" s="22"/>
      <c r="C786" s="22"/>
      <c r="D786" s="22"/>
      <c r="E786" s="22"/>
      <c r="F786" s="22"/>
      <c r="G786" s="22"/>
      <c r="H786" s="22"/>
      <c r="I786" s="22"/>
      <c r="J786" s="22"/>
      <c r="K786" s="22"/>
      <c r="L786" s="22"/>
      <c r="M786" s="22"/>
      <c r="N786" s="22"/>
      <c r="O786" s="22"/>
      <c r="P786" s="22"/>
      <c r="Q786" s="22"/>
      <c r="R786" s="22"/>
      <c r="S786" s="22"/>
      <c r="T786" s="22"/>
      <c r="U786" s="22"/>
      <c r="V786" s="22"/>
      <c r="W786" s="22"/>
      <c r="X786" s="22"/>
      <c r="Y786" s="22"/>
    </row>
    <row r="787" spans="1:25" ht="15.75" customHeight="1">
      <c r="A787" s="22"/>
      <c r="B787" s="22"/>
      <c r="C787" s="22"/>
      <c r="D787" s="22"/>
      <c r="E787" s="22"/>
      <c r="F787" s="22"/>
      <c r="G787" s="22"/>
      <c r="H787" s="22"/>
      <c r="I787" s="22"/>
      <c r="J787" s="22"/>
      <c r="K787" s="22"/>
      <c r="L787" s="22"/>
      <c r="M787" s="22"/>
      <c r="N787" s="22"/>
      <c r="O787" s="22"/>
      <c r="P787" s="22"/>
      <c r="Q787" s="22"/>
      <c r="R787" s="22"/>
      <c r="S787" s="22"/>
      <c r="T787" s="22"/>
      <c r="U787" s="22"/>
      <c r="V787" s="22"/>
      <c r="W787" s="22"/>
      <c r="X787" s="22"/>
      <c r="Y787" s="22"/>
    </row>
    <row r="788" spans="1:25" ht="15.75" customHeight="1">
      <c r="A788" s="22"/>
      <c r="B788" s="22"/>
      <c r="C788" s="22"/>
      <c r="D788" s="22"/>
      <c r="E788" s="22"/>
      <c r="F788" s="22"/>
      <c r="G788" s="22"/>
      <c r="H788" s="22"/>
      <c r="I788" s="22"/>
      <c r="J788" s="22"/>
      <c r="K788" s="22"/>
      <c r="L788" s="22"/>
      <c r="M788" s="22"/>
      <c r="N788" s="22"/>
      <c r="O788" s="22"/>
      <c r="P788" s="22"/>
      <c r="Q788" s="22"/>
      <c r="R788" s="22"/>
      <c r="S788" s="22"/>
      <c r="T788" s="22"/>
      <c r="U788" s="22"/>
      <c r="V788" s="22"/>
      <c r="W788" s="22"/>
      <c r="X788" s="22"/>
      <c r="Y788" s="22"/>
    </row>
    <row r="789" spans="1:25" ht="15.75" customHeight="1">
      <c r="A789" s="22"/>
      <c r="B789" s="22"/>
      <c r="C789" s="22"/>
      <c r="D789" s="22"/>
      <c r="E789" s="22"/>
      <c r="F789" s="22"/>
      <c r="G789" s="22"/>
      <c r="H789" s="22"/>
      <c r="I789" s="22"/>
      <c r="J789" s="22"/>
      <c r="K789" s="22"/>
      <c r="L789" s="22"/>
      <c r="M789" s="22"/>
      <c r="N789" s="22"/>
      <c r="O789" s="22"/>
      <c r="P789" s="22"/>
      <c r="Q789" s="22"/>
      <c r="R789" s="22"/>
      <c r="S789" s="22"/>
      <c r="T789" s="22"/>
      <c r="U789" s="22"/>
      <c r="V789" s="22"/>
      <c r="W789" s="22"/>
      <c r="X789" s="22"/>
      <c r="Y789" s="22"/>
    </row>
    <row r="790" spans="1:25" ht="15.75" customHeight="1">
      <c r="A790" s="22"/>
      <c r="B790" s="22"/>
      <c r="C790" s="22"/>
      <c r="D790" s="22"/>
      <c r="E790" s="22"/>
      <c r="F790" s="22"/>
      <c r="G790" s="22"/>
      <c r="H790" s="22"/>
      <c r="I790" s="22"/>
      <c r="J790" s="22"/>
      <c r="K790" s="22"/>
      <c r="L790" s="22"/>
      <c r="M790" s="22"/>
      <c r="N790" s="22"/>
      <c r="O790" s="22"/>
      <c r="P790" s="22"/>
      <c r="Q790" s="22"/>
      <c r="R790" s="22"/>
      <c r="S790" s="22"/>
      <c r="T790" s="22"/>
      <c r="U790" s="22"/>
      <c r="V790" s="22"/>
      <c r="W790" s="22"/>
      <c r="X790" s="22"/>
      <c r="Y790" s="22"/>
    </row>
    <row r="791" spans="1:25" ht="15.75" customHeight="1">
      <c r="A791" s="22"/>
      <c r="B791" s="22"/>
      <c r="C791" s="22"/>
      <c r="D791" s="22"/>
      <c r="E791" s="22"/>
      <c r="F791" s="22"/>
      <c r="G791" s="22"/>
      <c r="H791" s="22"/>
      <c r="I791" s="22"/>
      <c r="J791" s="22"/>
      <c r="K791" s="22"/>
      <c r="L791" s="22"/>
      <c r="M791" s="22"/>
      <c r="N791" s="22"/>
      <c r="O791" s="22"/>
      <c r="P791" s="22"/>
      <c r="Q791" s="22"/>
      <c r="R791" s="22"/>
      <c r="S791" s="22"/>
      <c r="T791" s="22"/>
      <c r="U791" s="22"/>
      <c r="V791" s="22"/>
      <c r="W791" s="22"/>
      <c r="X791" s="22"/>
      <c r="Y791" s="22"/>
    </row>
    <row r="792" spans="1:25" ht="15.75" customHeight="1">
      <c r="A792" s="22"/>
      <c r="B792" s="22"/>
      <c r="C792" s="22"/>
      <c r="D792" s="22"/>
      <c r="E792" s="22"/>
      <c r="F792" s="22"/>
      <c r="G792" s="22"/>
      <c r="H792" s="22"/>
      <c r="I792" s="22"/>
      <c r="J792" s="22"/>
      <c r="K792" s="22"/>
      <c r="L792" s="22"/>
      <c r="M792" s="22"/>
      <c r="N792" s="22"/>
      <c r="O792" s="22"/>
      <c r="P792" s="22"/>
      <c r="Q792" s="22"/>
      <c r="R792" s="22"/>
      <c r="S792" s="22"/>
      <c r="T792" s="22"/>
      <c r="U792" s="22"/>
      <c r="V792" s="22"/>
      <c r="W792" s="22"/>
      <c r="X792" s="22"/>
      <c r="Y792" s="22"/>
    </row>
    <row r="793" spans="1:25" ht="15.75" customHeight="1">
      <c r="A793" s="22"/>
      <c r="B793" s="22"/>
      <c r="C793" s="22"/>
      <c r="D793" s="22"/>
      <c r="E793" s="22"/>
      <c r="F793" s="22"/>
      <c r="G793" s="22"/>
      <c r="H793" s="22"/>
      <c r="I793" s="22"/>
      <c r="J793" s="22"/>
      <c r="K793" s="22"/>
      <c r="L793" s="22"/>
      <c r="M793" s="22"/>
      <c r="N793" s="22"/>
      <c r="O793" s="22"/>
      <c r="P793" s="22"/>
      <c r="Q793" s="22"/>
      <c r="R793" s="22"/>
      <c r="S793" s="22"/>
      <c r="T793" s="22"/>
      <c r="U793" s="22"/>
      <c r="V793" s="22"/>
      <c r="W793" s="22"/>
      <c r="X793" s="22"/>
      <c r="Y793" s="22"/>
    </row>
    <row r="794" spans="1:25" ht="15.75" customHeight="1">
      <c r="A794" s="22"/>
      <c r="B794" s="22"/>
      <c r="C794" s="22"/>
      <c r="D794" s="22"/>
      <c r="E794" s="22"/>
      <c r="F794" s="22"/>
      <c r="G794" s="22"/>
      <c r="H794" s="22"/>
      <c r="I794" s="22"/>
      <c r="J794" s="22"/>
      <c r="K794" s="22"/>
      <c r="L794" s="22"/>
      <c r="M794" s="22"/>
      <c r="N794" s="22"/>
      <c r="O794" s="22"/>
      <c r="P794" s="22"/>
      <c r="Q794" s="22"/>
      <c r="R794" s="22"/>
      <c r="S794" s="22"/>
      <c r="T794" s="22"/>
      <c r="U794" s="22"/>
      <c r="V794" s="22"/>
      <c r="W794" s="22"/>
      <c r="X794" s="22"/>
      <c r="Y794" s="22"/>
    </row>
    <row r="795" spans="1:25" ht="15.75" customHeight="1">
      <c r="A795" s="22"/>
      <c r="B795" s="22"/>
      <c r="C795" s="22"/>
      <c r="D795" s="22"/>
      <c r="E795" s="22"/>
      <c r="F795" s="22"/>
      <c r="G795" s="22"/>
      <c r="H795" s="22"/>
      <c r="I795" s="22"/>
      <c r="J795" s="22"/>
      <c r="K795" s="22"/>
      <c r="L795" s="22"/>
      <c r="M795" s="22"/>
      <c r="N795" s="22"/>
      <c r="O795" s="22"/>
      <c r="P795" s="22"/>
      <c r="Q795" s="22"/>
      <c r="R795" s="22"/>
      <c r="S795" s="22"/>
      <c r="T795" s="22"/>
      <c r="U795" s="22"/>
      <c r="V795" s="22"/>
      <c r="W795" s="22"/>
      <c r="X795" s="22"/>
      <c r="Y795" s="22"/>
    </row>
    <row r="796" spans="1:25" ht="15.75" customHeight="1">
      <c r="A796" s="22"/>
      <c r="B796" s="22"/>
      <c r="C796" s="22"/>
      <c r="D796" s="22"/>
      <c r="E796" s="22"/>
      <c r="F796" s="22"/>
      <c r="G796" s="22"/>
      <c r="H796" s="22"/>
      <c r="I796" s="22"/>
      <c r="J796" s="22"/>
      <c r="K796" s="22"/>
      <c r="L796" s="22"/>
      <c r="M796" s="22"/>
      <c r="N796" s="22"/>
      <c r="O796" s="22"/>
      <c r="P796" s="22"/>
      <c r="Q796" s="22"/>
      <c r="R796" s="22"/>
      <c r="S796" s="22"/>
      <c r="T796" s="22"/>
      <c r="U796" s="22"/>
      <c r="V796" s="22"/>
      <c r="W796" s="22"/>
      <c r="X796" s="22"/>
      <c r="Y796" s="22"/>
    </row>
    <row r="797" spans="1:25" ht="15.75" customHeight="1">
      <c r="A797" s="22"/>
      <c r="B797" s="22"/>
      <c r="C797" s="22"/>
      <c r="D797" s="22"/>
      <c r="E797" s="22"/>
      <c r="F797" s="22"/>
      <c r="G797" s="22"/>
      <c r="H797" s="22"/>
      <c r="I797" s="22"/>
      <c r="J797" s="22"/>
      <c r="K797" s="22"/>
      <c r="L797" s="22"/>
      <c r="M797" s="22"/>
      <c r="N797" s="22"/>
      <c r="O797" s="22"/>
      <c r="P797" s="22"/>
      <c r="Q797" s="22"/>
      <c r="R797" s="22"/>
      <c r="S797" s="22"/>
      <c r="T797" s="22"/>
      <c r="U797" s="22"/>
      <c r="V797" s="22"/>
      <c r="W797" s="22"/>
      <c r="X797" s="22"/>
      <c r="Y797" s="22"/>
    </row>
    <row r="798" spans="1:25" ht="15.75" customHeight="1">
      <c r="A798" s="22"/>
      <c r="B798" s="22"/>
      <c r="C798" s="22"/>
      <c r="D798" s="22"/>
      <c r="E798" s="22"/>
      <c r="F798" s="22"/>
      <c r="G798" s="22"/>
      <c r="H798" s="22"/>
      <c r="I798" s="22"/>
      <c r="J798" s="22"/>
      <c r="K798" s="22"/>
      <c r="L798" s="22"/>
      <c r="M798" s="22"/>
      <c r="N798" s="22"/>
      <c r="O798" s="22"/>
      <c r="P798" s="22"/>
      <c r="Q798" s="22"/>
      <c r="R798" s="22"/>
      <c r="S798" s="22"/>
      <c r="T798" s="22"/>
      <c r="U798" s="22"/>
      <c r="V798" s="22"/>
      <c r="W798" s="22"/>
      <c r="X798" s="22"/>
      <c r="Y798" s="22"/>
    </row>
    <row r="799" spans="1:25" ht="15.75" customHeight="1">
      <c r="A799" s="22"/>
      <c r="B799" s="22"/>
      <c r="C799" s="22"/>
      <c r="D799" s="22"/>
      <c r="E799" s="22"/>
      <c r="F799" s="22"/>
      <c r="G799" s="22"/>
      <c r="H799" s="22"/>
      <c r="I799" s="22"/>
      <c r="J799" s="22"/>
      <c r="K799" s="22"/>
      <c r="L799" s="22"/>
      <c r="M799" s="22"/>
      <c r="N799" s="22"/>
      <c r="O799" s="22"/>
      <c r="P799" s="22"/>
      <c r="Q799" s="22"/>
      <c r="R799" s="22"/>
      <c r="S799" s="22"/>
      <c r="T799" s="22"/>
      <c r="U799" s="22"/>
      <c r="V799" s="22"/>
      <c r="W799" s="22"/>
      <c r="X799" s="22"/>
      <c r="Y799" s="22"/>
    </row>
    <row r="800" spans="1:25" ht="15.75" customHeight="1">
      <c r="A800" s="22"/>
      <c r="B800" s="22"/>
      <c r="C800" s="22"/>
      <c r="D800" s="22"/>
      <c r="E800" s="22"/>
      <c r="F800" s="22"/>
      <c r="G800" s="22"/>
      <c r="H800" s="22"/>
      <c r="I800" s="22"/>
      <c r="J800" s="22"/>
      <c r="K800" s="22"/>
      <c r="L800" s="22"/>
      <c r="M800" s="22"/>
      <c r="N800" s="22"/>
      <c r="O800" s="22"/>
      <c r="P800" s="22"/>
      <c r="Q800" s="22"/>
      <c r="R800" s="22"/>
      <c r="S800" s="22"/>
      <c r="T800" s="22"/>
      <c r="U800" s="22"/>
      <c r="V800" s="22"/>
      <c r="W800" s="22"/>
      <c r="X800" s="22"/>
      <c r="Y800" s="22"/>
    </row>
    <row r="801" spans="1:25" ht="15.75" customHeight="1">
      <c r="A801" s="22"/>
      <c r="B801" s="22"/>
      <c r="C801" s="22"/>
      <c r="D801" s="22"/>
      <c r="E801" s="22"/>
      <c r="F801" s="22"/>
      <c r="G801" s="22"/>
      <c r="H801" s="22"/>
      <c r="I801" s="22"/>
      <c r="J801" s="22"/>
      <c r="K801" s="22"/>
      <c r="L801" s="22"/>
      <c r="M801" s="22"/>
      <c r="N801" s="22"/>
      <c r="O801" s="22"/>
      <c r="P801" s="22"/>
      <c r="Q801" s="22"/>
      <c r="R801" s="22"/>
      <c r="S801" s="22"/>
      <c r="T801" s="22"/>
      <c r="U801" s="22"/>
      <c r="V801" s="22"/>
      <c r="W801" s="22"/>
      <c r="X801" s="22"/>
      <c r="Y801" s="22"/>
    </row>
    <row r="802" spans="1:25" ht="15.75" customHeight="1">
      <c r="A802" s="22"/>
      <c r="B802" s="22"/>
      <c r="C802" s="22"/>
      <c r="D802" s="22"/>
      <c r="E802" s="22"/>
      <c r="F802" s="22"/>
      <c r="G802" s="22"/>
      <c r="H802" s="22"/>
      <c r="I802" s="22"/>
      <c r="J802" s="22"/>
      <c r="K802" s="22"/>
      <c r="L802" s="22"/>
      <c r="M802" s="22"/>
      <c r="N802" s="22"/>
      <c r="O802" s="22"/>
      <c r="P802" s="22"/>
      <c r="Q802" s="22"/>
      <c r="R802" s="22"/>
      <c r="S802" s="22"/>
      <c r="T802" s="22"/>
      <c r="U802" s="22"/>
      <c r="V802" s="22"/>
      <c r="W802" s="22"/>
      <c r="X802" s="22"/>
      <c r="Y802" s="22"/>
    </row>
    <row r="803" spans="1:25" ht="15.75" customHeight="1">
      <c r="A803" s="22"/>
      <c r="B803" s="22"/>
      <c r="C803" s="22"/>
      <c r="D803" s="22"/>
      <c r="E803" s="22"/>
      <c r="F803" s="22"/>
      <c r="G803" s="22"/>
      <c r="H803" s="22"/>
      <c r="I803" s="22"/>
      <c r="J803" s="22"/>
      <c r="K803" s="22"/>
      <c r="L803" s="22"/>
      <c r="M803" s="22"/>
      <c r="N803" s="22"/>
      <c r="O803" s="22"/>
      <c r="P803" s="22"/>
      <c r="Q803" s="22"/>
      <c r="R803" s="22"/>
      <c r="S803" s="22"/>
      <c r="T803" s="22"/>
      <c r="U803" s="22"/>
      <c r="V803" s="22"/>
      <c r="W803" s="22"/>
      <c r="X803" s="22"/>
      <c r="Y803" s="22"/>
    </row>
    <row r="804" spans="1:25" ht="15.75" customHeight="1">
      <c r="A804" s="22"/>
      <c r="B804" s="22"/>
      <c r="C804" s="22"/>
      <c r="D804" s="22"/>
      <c r="E804" s="22"/>
      <c r="F804" s="22"/>
      <c r="G804" s="22"/>
      <c r="H804" s="22"/>
      <c r="I804" s="22"/>
      <c r="J804" s="22"/>
      <c r="K804" s="22"/>
      <c r="L804" s="22"/>
      <c r="M804" s="22"/>
      <c r="N804" s="22"/>
      <c r="O804" s="22"/>
      <c r="P804" s="22"/>
      <c r="Q804" s="22"/>
      <c r="R804" s="22"/>
      <c r="S804" s="22"/>
      <c r="T804" s="22"/>
      <c r="U804" s="22"/>
      <c r="V804" s="22"/>
      <c r="W804" s="22"/>
      <c r="X804" s="22"/>
      <c r="Y804" s="22"/>
    </row>
    <row r="805" spans="1:25" ht="15.75" customHeight="1">
      <c r="A805" s="22"/>
      <c r="B805" s="22"/>
      <c r="C805" s="22"/>
      <c r="D805" s="22"/>
      <c r="E805" s="22"/>
      <c r="F805" s="22"/>
      <c r="G805" s="22"/>
      <c r="H805" s="22"/>
      <c r="I805" s="22"/>
      <c r="J805" s="22"/>
      <c r="K805" s="22"/>
      <c r="L805" s="22"/>
      <c r="M805" s="22"/>
      <c r="N805" s="22"/>
      <c r="O805" s="22"/>
      <c r="P805" s="22"/>
      <c r="Q805" s="22"/>
      <c r="R805" s="22"/>
      <c r="S805" s="22"/>
      <c r="T805" s="22"/>
      <c r="U805" s="22"/>
      <c r="V805" s="22"/>
      <c r="W805" s="22"/>
      <c r="X805" s="22"/>
      <c r="Y805" s="22"/>
    </row>
    <row r="806" spans="1:25" ht="15.75" customHeight="1">
      <c r="A806" s="22"/>
      <c r="B806" s="22"/>
      <c r="C806" s="22"/>
      <c r="D806" s="22"/>
      <c r="E806" s="22"/>
      <c r="F806" s="22"/>
      <c r="G806" s="22"/>
      <c r="H806" s="22"/>
      <c r="I806" s="22"/>
      <c r="J806" s="22"/>
      <c r="K806" s="22"/>
      <c r="L806" s="22"/>
      <c r="M806" s="22"/>
      <c r="N806" s="22"/>
      <c r="O806" s="22"/>
      <c r="P806" s="22"/>
      <c r="Q806" s="22"/>
      <c r="R806" s="22"/>
      <c r="S806" s="22"/>
      <c r="T806" s="22"/>
      <c r="U806" s="22"/>
      <c r="V806" s="22"/>
      <c r="W806" s="22"/>
      <c r="X806" s="22"/>
      <c r="Y806" s="22"/>
    </row>
    <row r="807" spans="1:25" ht="15.75" customHeight="1">
      <c r="A807" s="22"/>
      <c r="B807" s="22"/>
      <c r="C807" s="22"/>
      <c r="D807" s="22"/>
      <c r="E807" s="22"/>
      <c r="F807" s="22"/>
      <c r="G807" s="22"/>
      <c r="H807" s="22"/>
      <c r="I807" s="22"/>
      <c r="J807" s="22"/>
      <c r="K807" s="22"/>
      <c r="L807" s="22"/>
      <c r="M807" s="22"/>
      <c r="N807" s="22"/>
      <c r="O807" s="22"/>
      <c r="P807" s="22"/>
      <c r="Q807" s="22"/>
      <c r="R807" s="22"/>
      <c r="S807" s="22"/>
      <c r="T807" s="22"/>
      <c r="U807" s="22"/>
      <c r="V807" s="22"/>
      <c r="W807" s="22"/>
      <c r="X807" s="22"/>
      <c r="Y807" s="22"/>
    </row>
    <row r="808" spans="1:25" ht="15.75" customHeight="1">
      <c r="A808" s="22"/>
      <c r="B808" s="22"/>
      <c r="C808" s="22"/>
      <c r="D808" s="22"/>
      <c r="E808" s="22"/>
      <c r="F808" s="22"/>
      <c r="G808" s="22"/>
      <c r="H808" s="22"/>
      <c r="I808" s="22"/>
      <c r="J808" s="22"/>
      <c r="K808" s="22"/>
      <c r="L808" s="22"/>
      <c r="M808" s="22"/>
      <c r="N808" s="22"/>
      <c r="O808" s="22"/>
      <c r="P808" s="22"/>
      <c r="Q808" s="22"/>
      <c r="R808" s="22"/>
      <c r="S808" s="22"/>
      <c r="T808" s="22"/>
      <c r="U808" s="22"/>
      <c r="V808" s="22"/>
      <c r="W808" s="22"/>
      <c r="X808" s="22"/>
      <c r="Y808" s="22"/>
    </row>
    <row r="809" spans="1:25" ht="15.75" customHeight="1">
      <c r="A809" s="22"/>
      <c r="B809" s="22"/>
      <c r="C809" s="22"/>
      <c r="D809" s="22"/>
      <c r="E809" s="22"/>
      <c r="F809" s="22"/>
      <c r="G809" s="22"/>
      <c r="H809" s="22"/>
      <c r="I809" s="22"/>
      <c r="J809" s="22"/>
      <c r="K809" s="22"/>
      <c r="L809" s="22"/>
      <c r="M809" s="22"/>
      <c r="N809" s="22"/>
      <c r="O809" s="22"/>
      <c r="P809" s="22"/>
      <c r="Q809" s="22"/>
      <c r="R809" s="22"/>
      <c r="S809" s="22"/>
      <c r="T809" s="22"/>
      <c r="U809" s="22"/>
      <c r="V809" s="22"/>
      <c r="W809" s="22"/>
      <c r="X809" s="22"/>
      <c r="Y809" s="22"/>
    </row>
    <row r="810" spans="1:25" ht="15.75" customHeight="1">
      <c r="A810" s="22"/>
      <c r="B810" s="22"/>
      <c r="C810" s="22"/>
      <c r="D810" s="22"/>
      <c r="E810" s="22"/>
      <c r="F810" s="22"/>
      <c r="G810" s="22"/>
      <c r="H810" s="22"/>
      <c r="I810" s="22"/>
      <c r="J810" s="22"/>
      <c r="K810" s="22"/>
      <c r="L810" s="22"/>
      <c r="M810" s="22"/>
      <c r="N810" s="22"/>
      <c r="O810" s="22"/>
      <c r="P810" s="22"/>
      <c r="Q810" s="22"/>
      <c r="R810" s="22"/>
      <c r="S810" s="22"/>
      <c r="T810" s="22"/>
      <c r="U810" s="22"/>
      <c r="V810" s="22"/>
      <c r="W810" s="22"/>
      <c r="X810" s="22"/>
      <c r="Y810" s="22"/>
    </row>
    <row r="811" spans="1:25" ht="15.75" customHeight="1">
      <c r="A811" s="22"/>
      <c r="B811" s="22"/>
      <c r="C811" s="22"/>
      <c r="D811" s="22"/>
      <c r="E811" s="22"/>
      <c r="F811" s="22"/>
      <c r="G811" s="22"/>
      <c r="H811" s="22"/>
      <c r="I811" s="22"/>
      <c r="J811" s="22"/>
      <c r="K811" s="22"/>
      <c r="L811" s="22"/>
      <c r="M811" s="22"/>
      <c r="N811" s="22"/>
      <c r="O811" s="22"/>
      <c r="P811" s="22"/>
      <c r="Q811" s="22"/>
      <c r="R811" s="22"/>
      <c r="S811" s="22"/>
      <c r="T811" s="22"/>
      <c r="U811" s="22"/>
      <c r="V811" s="22"/>
      <c r="W811" s="22"/>
      <c r="X811" s="22"/>
      <c r="Y811" s="22"/>
    </row>
    <row r="812" spans="1:25" ht="15.75" customHeight="1">
      <c r="A812" s="22"/>
      <c r="B812" s="22"/>
      <c r="C812" s="22"/>
      <c r="D812" s="22"/>
      <c r="E812" s="22"/>
      <c r="F812" s="22"/>
      <c r="G812" s="22"/>
      <c r="H812" s="22"/>
      <c r="I812" s="22"/>
      <c r="J812" s="22"/>
      <c r="K812" s="22"/>
      <c r="L812" s="22"/>
      <c r="M812" s="22"/>
      <c r="N812" s="22"/>
      <c r="O812" s="22"/>
      <c r="P812" s="22"/>
      <c r="Q812" s="22"/>
      <c r="R812" s="22"/>
      <c r="S812" s="22"/>
      <c r="T812" s="22"/>
      <c r="U812" s="22"/>
      <c r="V812" s="22"/>
      <c r="W812" s="22"/>
      <c r="X812" s="22"/>
      <c r="Y812" s="22"/>
    </row>
    <row r="813" spans="1:25" ht="15.75" customHeight="1">
      <c r="A813" s="22"/>
      <c r="B813" s="22"/>
      <c r="C813" s="22"/>
      <c r="D813" s="22"/>
      <c r="E813" s="22"/>
      <c r="F813" s="22"/>
      <c r="G813" s="22"/>
      <c r="H813" s="22"/>
      <c r="I813" s="22"/>
      <c r="J813" s="22"/>
      <c r="K813" s="22"/>
      <c r="L813" s="22"/>
      <c r="M813" s="22"/>
      <c r="N813" s="22"/>
      <c r="O813" s="22"/>
      <c r="P813" s="22"/>
      <c r="Q813" s="22"/>
      <c r="R813" s="22"/>
      <c r="S813" s="22"/>
      <c r="T813" s="22"/>
      <c r="U813" s="22"/>
      <c r="V813" s="22"/>
      <c r="W813" s="22"/>
      <c r="X813" s="22"/>
      <c r="Y813" s="22"/>
    </row>
    <row r="814" spans="1:25" ht="15.75" customHeight="1">
      <c r="A814" s="22"/>
      <c r="B814" s="22"/>
      <c r="C814" s="22"/>
      <c r="D814" s="22"/>
      <c r="E814" s="22"/>
      <c r="F814" s="22"/>
      <c r="G814" s="22"/>
      <c r="H814" s="22"/>
      <c r="I814" s="22"/>
      <c r="J814" s="22"/>
      <c r="K814" s="22"/>
      <c r="L814" s="22"/>
      <c r="M814" s="22"/>
      <c r="N814" s="22"/>
      <c r="O814" s="22"/>
      <c r="P814" s="22"/>
      <c r="Q814" s="22"/>
      <c r="R814" s="22"/>
      <c r="S814" s="22"/>
      <c r="T814" s="22"/>
      <c r="U814" s="22"/>
      <c r="V814" s="22"/>
      <c r="W814" s="22"/>
      <c r="X814" s="22"/>
      <c r="Y814" s="22"/>
    </row>
    <row r="815" spans="1:25" ht="15.75" customHeight="1">
      <c r="A815" s="22"/>
      <c r="B815" s="22"/>
      <c r="C815" s="22"/>
      <c r="D815" s="22"/>
      <c r="E815" s="22"/>
      <c r="F815" s="22"/>
      <c r="G815" s="22"/>
      <c r="H815" s="22"/>
      <c r="I815" s="22"/>
      <c r="J815" s="22"/>
      <c r="K815" s="22"/>
      <c r="L815" s="22"/>
      <c r="M815" s="22"/>
      <c r="N815" s="22"/>
      <c r="O815" s="22"/>
      <c r="P815" s="22"/>
      <c r="Q815" s="22"/>
      <c r="R815" s="22"/>
      <c r="S815" s="22"/>
      <c r="T815" s="22"/>
      <c r="U815" s="22"/>
      <c r="V815" s="22"/>
      <c r="W815" s="22"/>
      <c r="X815" s="22"/>
      <c r="Y815" s="22"/>
    </row>
    <row r="816" spans="1:25" ht="15.75" customHeight="1">
      <c r="A816" s="22"/>
      <c r="B816" s="22"/>
      <c r="C816" s="22"/>
      <c r="D816" s="22"/>
      <c r="E816" s="22"/>
      <c r="F816" s="22"/>
      <c r="G816" s="22"/>
      <c r="H816" s="22"/>
      <c r="I816" s="22"/>
      <c r="J816" s="22"/>
      <c r="K816" s="22"/>
      <c r="L816" s="22"/>
      <c r="M816" s="22"/>
      <c r="N816" s="22"/>
      <c r="O816" s="22"/>
      <c r="P816" s="22"/>
      <c r="Q816" s="22"/>
      <c r="R816" s="22"/>
      <c r="S816" s="22"/>
      <c r="T816" s="22"/>
      <c r="U816" s="22"/>
      <c r="V816" s="22"/>
      <c r="W816" s="22"/>
      <c r="X816" s="22"/>
      <c r="Y816" s="22"/>
    </row>
    <row r="817" spans="1:25" ht="15.75" customHeight="1">
      <c r="A817" s="22"/>
      <c r="B817" s="22"/>
      <c r="C817" s="22"/>
      <c r="D817" s="22"/>
      <c r="E817" s="22"/>
      <c r="F817" s="22"/>
      <c r="G817" s="22"/>
      <c r="H817" s="22"/>
      <c r="I817" s="22"/>
      <c r="J817" s="22"/>
      <c r="K817" s="22"/>
      <c r="L817" s="22"/>
      <c r="M817" s="22"/>
      <c r="N817" s="22"/>
      <c r="O817" s="22"/>
      <c r="P817" s="22"/>
      <c r="Q817" s="22"/>
      <c r="R817" s="22"/>
      <c r="S817" s="22"/>
      <c r="T817" s="22"/>
      <c r="U817" s="22"/>
      <c r="V817" s="22"/>
      <c r="W817" s="22"/>
      <c r="X817" s="22"/>
      <c r="Y817" s="22"/>
    </row>
    <row r="818" spans="1:25" ht="15.75" customHeight="1">
      <c r="A818" s="22"/>
      <c r="B818" s="22"/>
      <c r="C818" s="22"/>
      <c r="D818" s="22"/>
      <c r="E818" s="22"/>
      <c r="F818" s="22"/>
      <c r="G818" s="22"/>
      <c r="H818" s="22"/>
      <c r="I818" s="22"/>
      <c r="J818" s="22"/>
      <c r="K818" s="22"/>
      <c r="L818" s="22"/>
      <c r="M818" s="22"/>
      <c r="N818" s="22"/>
      <c r="O818" s="22"/>
      <c r="P818" s="22"/>
      <c r="Q818" s="22"/>
      <c r="R818" s="22"/>
      <c r="S818" s="22"/>
      <c r="T818" s="22"/>
      <c r="U818" s="22"/>
      <c r="V818" s="22"/>
      <c r="W818" s="22"/>
      <c r="X818" s="22"/>
      <c r="Y818" s="22"/>
    </row>
    <row r="819" spans="1:25" ht="15.75" customHeight="1">
      <c r="A819" s="22"/>
      <c r="B819" s="22"/>
      <c r="C819" s="22"/>
      <c r="D819" s="22"/>
      <c r="E819" s="22"/>
      <c r="F819" s="22"/>
      <c r="G819" s="22"/>
      <c r="H819" s="22"/>
      <c r="I819" s="22"/>
      <c r="J819" s="22"/>
      <c r="K819" s="22"/>
      <c r="L819" s="22"/>
      <c r="M819" s="22"/>
      <c r="N819" s="22"/>
      <c r="O819" s="22"/>
      <c r="P819" s="22"/>
      <c r="Q819" s="22"/>
      <c r="R819" s="22"/>
      <c r="S819" s="22"/>
      <c r="T819" s="22"/>
      <c r="U819" s="22"/>
      <c r="V819" s="22"/>
      <c r="W819" s="22"/>
      <c r="X819" s="22"/>
      <c r="Y819" s="22"/>
    </row>
    <row r="820" spans="1:25" ht="15.75" customHeight="1">
      <c r="A820" s="22"/>
      <c r="B820" s="22"/>
      <c r="C820" s="22"/>
      <c r="D820" s="22"/>
      <c r="E820" s="22"/>
      <c r="F820" s="22"/>
      <c r="G820" s="22"/>
      <c r="H820" s="22"/>
      <c r="I820" s="22"/>
      <c r="J820" s="22"/>
      <c r="K820" s="22"/>
      <c r="L820" s="22"/>
      <c r="M820" s="22"/>
      <c r="N820" s="22"/>
      <c r="O820" s="22"/>
      <c r="P820" s="22"/>
      <c r="Q820" s="22"/>
      <c r="R820" s="22"/>
      <c r="S820" s="22"/>
      <c r="T820" s="22"/>
      <c r="U820" s="22"/>
      <c r="V820" s="22"/>
      <c r="W820" s="22"/>
      <c r="X820" s="22"/>
      <c r="Y820" s="22"/>
    </row>
    <row r="821" spans="1:25" ht="15.75" customHeight="1">
      <c r="A821" s="22"/>
      <c r="B821" s="22"/>
      <c r="C821" s="22"/>
      <c r="D821" s="22"/>
      <c r="E821" s="22"/>
      <c r="F821" s="22"/>
      <c r="G821" s="22"/>
      <c r="H821" s="22"/>
      <c r="I821" s="22"/>
      <c r="J821" s="22"/>
      <c r="K821" s="22"/>
      <c r="L821" s="22"/>
      <c r="M821" s="22"/>
      <c r="N821" s="22"/>
      <c r="O821" s="22"/>
      <c r="P821" s="22"/>
      <c r="Q821" s="22"/>
      <c r="R821" s="22"/>
      <c r="S821" s="22"/>
      <c r="T821" s="22"/>
      <c r="U821" s="22"/>
      <c r="V821" s="22"/>
      <c r="W821" s="22"/>
      <c r="X821" s="22"/>
      <c r="Y821" s="22"/>
    </row>
    <row r="822" spans="1:25" ht="15.75" customHeight="1">
      <c r="A822" s="22"/>
      <c r="B822" s="22"/>
      <c r="C822" s="22"/>
      <c r="D822" s="22"/>
      <c r="E822" s="22"/>
      <c r="F822" s="22"/>
      <c r="G822" s="22"/>
      <c r="H822" s="22"/>
      <c r="I822" s="22"/>
      <c r="J822" s="22"/>
      <c r="K822" s="22"/>
      <c r="L822" s="22"/>
      <c r="M822" s="22"/>
      <c r="N822" s="22"/>
      <c r="O822" s="22"/>
      <c r="P822" s="22"/>
      <c r="Q822" s="22"/>
      <c r="R822" s="22"/>
      <c r="S822" s="22"/>
      <c r="T822" s="22"/>
      <c r="U822" s="22"/>
      <c r="V822" s="22"/>
      <c r="W822" s="22"/>
      <c r="X822" s="22"/>
      <c r="Y822" s="22"/>
    </row>
    <row r="823" spans="1:25" ht="15.75" customHeight="1">
      <c r="A823" s="22"/>
      <c r="B823" s="22"/>
      <c r="C823" s="22"/>
      <c r="D823" s="22"/>
      <c r="E823" s="22"/>
      <c r="F823" s="22"/>
      <c r="G823" s="22"/>
      <c r="H823" s="22"/>
      <c r="I823" s="22"/>
      <c r="J823" s="22"/>
      <c r="K823" s="22"/>
      <c r="L823" s="22"/>
      <c r="M823" s="22"/>
      <c r="N823" s="22"/>
      <c r="O823" s="22"/>
      <c r="P823" s="22"/>
      <c r="Q823" s="22"/>
      <c r="R823" s="22"/>
      <c r="S823" s="22"/>
      <c r="T823" s="22"/>
      <c r="U823" s="22"/>
      <c r="V823" s="22"/>
      <c r="W823" s="22"/>
      <c r="X823" s="22"/>
      <c r="Y823" s="22"/>
    </row>
    <row r="824" spans="1:25" ht="15.75" customHeight="1">
      <c r="A824" s="22"/>
      <c r="B824" s="22"/>
      <c r="C824" s="22"/>
      <c r="D824" s="22"/>
      <c r="E824" s="22"/>
      <c r="F824" s="22"/>
      <c r="G824" s="22"/>
      <c r="H824" s="22"/>
      <c r="I824" s="22"/>
      <c r="J824" s="22"/>
      <c r="K824" s="22"/>
      <c r="L824" s="22"/>
      <c r="M824" s="22"/>
      <c r="N824" s="22"/>
      <c r="O824" s="22"/>
      <c r="P824" s="22"/>
      <c r="Q824" s="22"/>
      <c r="R824" s="22"/>
      <c r="S824" s="22"/>
      <c r="T824" s="22"/>
      <c r="U824" s="22"/>
      <c r="V824" s="22"/>
      <c r="W824" s="22"/>
      <c r="X824" s="22"/>
      <c r="Y824" s="22"/>
    </row>
    <row r="825" spans="1:25" ht="15.75" customHeight="1">
      <c r="A825" s="22"/>
      <c r="B825" s="22"/>
      <c r="C825" s="22"/>
      <c r="D825" s="22"/>
      <c r="E825" s="22"/>
      <c r="F825" s="22"/>
      <c r="G825" s="22"/>
      <c r="H825" s="22"/>
      <c r="I825" s="22"/>
      <c r="J825" s="22"/>
      <c r="K825" s="22"/>
      <c r="L825" s="22"/>
      <c r="M825" s="22"/>
      <c r="N825" s="22"/>
      <c r="O825" s="22"/>
      <c r="P825" s="22"/>
      <c r="Q825" s="22"/>
      <c r="R825" s="22"/>
      <c r="S825" s="22"/>
      <c r="T825" s="22"/>
      <c r="U825" s="22"/>
      <c r="V825" s="22"/>
      <c r="W825" s="22"/>
      <c r="X825" s="22"/>
      <c r="Y825" s="22"/>
    </row>
    <row r="826" spans="1:25" ht="15.75" customHeight="1">
      <c r="A826" s="22"/>
      <c r="B826" s="22"/>
      <c r="C826" s="22"/>
      <c r="D826" s="22"/>
      <c r="E826" s="22"/>
      <c r="F826" s="22"/>
      <c r="G826" s="22"/>
      <c r="H826" s="22"/>
      <c r="I826" s="22"/>
      <c r="J826" s="22"/>
      <c r="K826" s="22"/>
      <c r="L826" s="22"/>
      <c r="M826" s="22"/>
      <c r="N826" s="22"/>
      <c r="O826" s="22"/>
      <c r="P826" s="22"/>
      <c r="Q826" s="22"/>
      <c r="R826" s="22"/>
      <c r="S826" s="22"/>
      <c r="T826" s="22"/>
      <c r="U826" s="22"/>
      <c r="V826" s="22"/>
      <c r="W826" s="22"/>
      <c r="X826" s="22"/>
      <c r="Y826" s="22"/>
    </row>
    <row r="827" spans="1:25" ht="15.75" customHeight="1">
      <c r="A827" s="22"/>
      <c r="B827" s="22"/>
      <c r="C827" s="22"/>
      <c r="D827" s="22"/>
      <c r="E827" s="22"/>
      <c r="F827" s="22"/>
      <c r="G827" s="22"/>
      <c r="H827" s="22"/>
      <c r="I827" s="22"/>
      <c r="J827" s="22"/>
      <c r="K827" s="22"/>
      <c r="L827" s="22"/>
      <c r="M827" s="22"/>
      <c r="N827" s="22"/>
      <c r="O827" s="22"/>
      <c r="P827" s="22"/>
      <c r="Q827" s="22"/>
      <c r="R827" s="22"/>
      <c r="S827" s="22"/>
      <c r="T827" s="22"/>
      <c r="U827" s="22"/>
      <c r="V827" s="22"/>
      <c r="W827" s="22"/>
      <c r="X827" s="22"/>
      <c r="Y827" s="22"/>
    </row>
    <row r="828" spans="1:25" ht="15.75" customHeight="1">
      <c r="A828" s="22"/>
      <c r="B828" s="22"/>
      <c r="C828" s="22"/>
      <c r="D828" s="22"/>
      <c r="E828" s="22"/>
      <c r="F828" s="22"/>
      <c r="G828" s="22"/>
      <c r="H828" s="22"/>
      <c r="I828" s="22"/>
      <c r="J828" s="22"/>
      <c r="K828" s="22"/>
      <c r="L828" s="22"/>
      <c r="M828" s="22"/>
      <c r="N828" s="22"/>
      <c r="O828" s="22"/>
      <c r="P828" s="22"/>
      <c r="Q828" s="22"/>
      <c r="R828" s="22"/>
      <c r="S828" s="22"/>
      <c r="T828" s="22"/>
      <c r="U828" s="22"/>
      <c r="V828" s="22"/>
      <c r="W828" s="22"/>
      <c r="X828" s="22"/>
      <c r="Y828" s="22"/>
    </row>
    <row r="829" spans="1:25" ht="15.75" customHeight="1">
      <c r="A829" s="22"/>
      <c r="B829" s="22"/>
      <c r="C829" s="22"/>
      <c r="D829" s="22"/>
      <c r="E829" s="22"/>
      <c r="F829" s="22"/>
      <c r="G829" s="22"/>
      <c r="H829" s="22"/>
      <c r="I829" s="22"/>
      <c r="J829" s="22"/>
      <c r="K829" s="22"/>
      <c r="L829" s="22"/>
      <c r="M829" s="22"/>
      <c r="N829" s="22"/>
      <c r="O829" s="22"/>
      <c r="P829" s="22"/>
      <c r="Q829" s="22"/>
      <c r="R829" s="22"/>
      <c r="S829" s="22"/>
      <c r="T829" s="22"/>
      <c r="U829" s="22"/>
      <c r="V829" s="22"/>
      <c r="W829" s="22"/>
      <c r="X829" s="22"/>
      <c r="Y829" s="22"/>
    </row>
    <row r="830" spans="1:25" ht="15.75" customHeight="1">
      <c r="A830" s="22"/>
      <c r="B830" s="22"/>
      <c r="C830" s="22"/>
      <c r="D830" s="22"/>
      <c r="E830" s="22"/>
      <c r="F830" s="22"/>
      <c r="G830" s="22"/>
      <c r="H830" s="22"/>
      <c r="I830" s="22"/>
      <c r="J830" s="22"/>
      <c r="K830" s="22"/>
      <c r="L830" s="22"/>
      <c r="M830" s="22"/>
      <c r="N830" s="22"/>
      <c r="O830" s="22"/>
      <c r="P830" s="22"/>
      <c r="Q830" s="22"/>
      <c r="R830" s="22"/>
      <c r="S830" s="22"/>
      <c r="T830" s="22"/>
      <c r="U830" s="22"/>
      <c r="V830" s="22"/>
      <c r="W830" s="22"/>
      <c r="X830" s="22"/>
      <c r="Y830" s="22"/>
    </row>
    <row r="831" spans="1:25" ht="15.75" customHeight="1">
      <c r="A831" s="22"/>
      <c r="B831" s="22"/>
      <c r="C831" s="22"/>
      <c r="D831" s="22"/>
      <c r="E831" s="22"/>
      <c r="F831" s="22"/>
      <c r="G831" s="22"/>
      <c r="H831" s="22"/>
      <c r="I831" s="22"/>
      <c r="J831" s="22"/>
      <c r="K831" s="22"/>
      <c r="L831" s="22"/>
      <c r="M831" s="22"/>
      <c r="N831" s="22"/>
      <c r="O831" s="22"/>
      <c r="P831" s="22"/>
      <c r="Q831" s="22"/>
      <c r="R831" s="22"/>
      <c r="S831" s="22"/>
      <c r="T831" s="22"/>
      <c r="U831" s="22"/>
      <c r="V831" s="22"/>
      <c r="W831" s="22"/>
      <c r="X831" s="22"/>
      <c r="Y831" s="22"/>
    </row>
    <row r="832" spans="1:25" ht="15.75" customHeight="1">
      <c r="A832" s="22"/>
      <c r="B832" s="22"/>
      <c r="C832" s="22"/>
      <c r="D832" s="22"/>
      <c r="E832" s="22"/>
      <c r="F832" s="22"/>
      <c r="G832" s="22"/>
      <c r="H832" s="22"/>
      <c r="I832" s="22"/>
      <c r="J832" s="22"/>
      <c r="K832" s="22"/>
      <c r="L832" s="22"/>
      <c r="M832" s="22"/>
      <c r="N832" s="22"/>
      <c r="O832" s="22"/>
      <c r="P832" s="22"/>
      <c r="Q832" s="22"/>
      <c r="R832" s="22"/>
      <c r="S832" s="22"/>
      <c r="T832" s="22"/>
      <c r="U832" s="22"/>
      <c r="V832" s="22"/>
      <c r="W832" s="22"/>
      <c r="X832" s="22"/>
      <c r="Y832" s="22"/>
    </row>
    <row r="833" spans="1:25" ht="15.75" customHeight="1">
      <c r="A833" s="22"/>
      <c r="B833" s="22"/>
      <c r="C833" s="22"/>
      <c r="D833" s="22"/>
      <c r="E833" s="22"/>
      <c r="F833" s="22"/>
      <c r="G833" s="22"/>
      <c r="H833" s="22"/>
      <c r="I833" s="22"/>
      <c r="J833" s="22"/>
      <c r="K833" s="22"/>
      <c r="L833" s="22"/>
      <c r="M833" s="22"/>
      <c r="N833" s="22"/>
      <c r="O833" s="22"/>
      <c r="P833" s="22"/>
      <c r="Q833" s="22"/>
      <c r="R833" s="22"/>
      <c r="S833" s="22"/>
      <c r="T833" s="22"/>
      <c r="U833" s="22"/>
      <c r="V833" s="22"/>
      <c r="W833" s="22"/>
      <c r="X833" s="22"/>
      <c r="Y833" s="22"/>
    </row>
    <row r="834" spans="1:25" ht="15.75" customHeight="1">
      <c r="A834" s="22"/>
      <c r="B834" s="22"/>
      <c r="C834" s="22"/>
      <c r="D834" s="22"/>
      <c r="E834" s="22"/>
      <c r="F834" s="22"/>
      <c r="G834" s="22"/>
      <c r="H834" s="22"/>
      <c r="I834" s="22"/>
      <c r="J834" s="22"/>
      <c r="K834" s="22"/>
      <c r="L834" s="22"/>
      <c r="M834" s="22"/>
      <c r="N834" s="22"/>
      <c r="O834" s="22"/>
      <c r="P834" s="22"/>
      <c r="Q834" s="22"/>
      <c r="R834" s="22"/>
      <c r="S834" s="22"/>
      <c r="T834" s="22"/>
      <c r="U834" s="22"/>
      <c r="V834" s="22"/>
      <c r="W834" s="22"/>
      <c r="X834" s="22"/>
      <c r="Y834" s="22"/>
    </row>
    <row r="835" spans="1:25" ht="15.75" customHeight="1">
      <c r="A835" s="22"/>
      <c r="B835" s="22"/>
      <c r="C835" s="22"/>
      <c r="D835" s="22"/>
      <c r="E835" s="22"/>
      <c r="F835" s="22"/>
      <c r="G835" s="22"/>
      <c r="H835" s="22"/>
      <c r="I835" s="22"/>
      <c r="J835" s="22"/>
      <c r="K835" s="22"/>
      <c r="L835" s="22"/>
      <c r="M835" s="22"/>
      <c r="N835" s="22"/>
      <c r="O835" s="22"/>
      <c r="P835" s="22"/>
      <c r="Q835" s="22"/>
      <c r="R835" s="22"/>
      <c r="S835" s="22"/>
      <c r="T835" s="22"/>
      <c r="U835" s="22"/>
      <c r="V835" s="22"/>
      <c r="W835" s="22"/>
      <c r="X835" s="22"/>
      <c r="Y835" s="22"/>
    </row>
    <row r="836" spans="1:25" ht="15.75" customHeight="1">
      <c r="A836" s="22"/>
      <c r="B836" s="22"/>
      <c r="C836" s="22"/>
      <c r="D836" s="22"/>
      <c r="E836" s="22"/>
      <c r="F836" s="22"/>
      <c r="G836" s="22"/>
      <c r="H836" s="22"/>
      <c r="I836" s="22"/>
      <c r="J836" s="22"/>
      <c r="K836" s="22"/>
      <c r="L836" s="22"/>
      <c r="M836" s="22"/>
      <c r="N836" s="22"/>
      <c r="O836" s="22"/>
      <c r="P836" s="22"/>
      <c r="Q836" s="22"/>
      <c r="R836" s="22"/>
      <c r="S836" s="22"/>
      <c r="T836" s="22"/>
      <c r="U836" s="22"/>
      <c r="V836" s="22"/>
      <c r="W836" s="22"/>
      <c r="X836" s="22"/>
      <c r="Y836" s="22"/>
    </row>
    <row r="837" spans="1:25" ht="15.75" customHeight="1">
      <c r="A837" s="22"/>
      <c r="B837" s="22"/>
      <c r="C837" s="22"/>
      <c r="D837" s="22"/>
      <c r="E837" s="22"/>
      <c r="F837" s="22"/>
      <c r="G837" s="22"/>
      <c r="H837" s="22"/>
      <c r="I837" s="22"/>
      <c r="J837" s="22"/>
      <c r="K837" s="22"/>
      <c r="L837" s="22"/>
      <c r="M837" s="22"/>
      <c r="N837" s="22"/>
      <c r="O837" s="22"/>
      <c r="P837" s="22"/>
      <c r="Q837" s="22"/>
      <c r="R837" s="22"/>
      <c r="S837" s="22"/>
      <c r="T837" s="22"/>
      <c r="U837" s="22"/>
      <c r="V837" s="22"/>
      <c r="W837" s="22"/>
      <c r="X837" s="22"/>
      <c r="Y837" s="22"/>
    </row>
    <row r="838" spans="1:25" ht="15.75" customHeight="1">
      <c r="A838" s="22"/>
      <c r="B838" s="22"/>
      <c r="C838" s="22"/>
      <c r="D838" s="22"/>
      <c r="E838" s="22"/>
      <c r="F838" s="22"/>
      <c r="G838" s="22"/>
      <c r="H838" s="22"/>
      <c r="I838" s="22"/>
      <c r="J838" s="22"/>
      <c r="K838" s="22"/>
      <c r="L838" s="22"/>
      <c r="M838" s="22"/>
      <c r="N838" s="22"/>
      <c r="O838" s="22"/>
      <c r="P838" s="22"/>
      <c r="Q838" s="22"/>
      <c r="R838" s="22"/>
      <c r="S838" s="22"/>
      <c r="T838" s="22"/>
      <c r="U838" s="22"/>
      <c r="V838" s="22"/>
      <c r="W838" s="22"/>
      <c r="X838" s="22"/>
      <c r="Y838" s="22"/>
    </row>
    <row r="839" spans="1:25" ht="15.75" customHeight="1">
      <c r="A839" s="22"/>
      <c r="B839" s="22"/>
      <c r="C839" s="22"/>
      <c r="D839" s="22"/>
      <c r="E839" s="22"/>
      <c r="F839" s="22"/>
      <c r="G839" s="22"/>
      <c r="H839" s="22"/>
      <c r="I839" s="22"/>
      <c r="J839" s="22"/>
      <c r="K839" s="22"/>
      <c r="L839" s="22"/>
      <c r="M839" s="22"/>
      <c r="N839" s="22"/>
      <c r="O839" s="22"/>
      <c r="P839" s="22"/>
      <c r="Q839" s="22"/>
      <c r="R839" s="22"/>
      <c r="S839" s="22"/>
      <c r="T839" s="22"/>
      <c r="U839" s="22"/>
      <c r="V839" s="22"/>
      <c r="W839" s="22"/>
      <c r="X839" s="22"/>
      <c r="Y839" s="22"/>
    </row>
    <row r="840" spans="1:25" ht="15.75" customHeight="1">
      <c r="A840" s="22"/>
      <c r="B840" s="22"/>
      <c r="C840" s="22"/>
      <c r="D840" s="22"/>
      <c r="E840" s="22"/>
      <c r="F840" s="22"/>
      <c r="G840" s="22"/>
      <c r="H840" s="22"/>
      <c r="I840" s="22"/>
      <c r="J840" s="22"/>
      <c r="K840" s="22"/>
      <c r="L840" s="22"/>
      <c r="M840" s="22"/>
      <c r="N840" s="22"/>
      <c r="O840" s="22"/>
      <c r="P840" s="22"/>
      <c r="Q840" s="22"/>
      <c r="R840" s="22"/>
      <c r="S840" s="22"/>
      <c r="T840" s="22"/>
      <c r="U840" s="22"/>
      <c r="V840" s="22"/>
      <c r="W840" s="22"/>
      <c r="X840" s="22"/>
      <c r="Y840" s="22"/>
    </row>
    <row r="841" spans="1:25" ht="15.75" customHeight="1">
      <c r="A841" s="22"/>
      <c r="B841" s="22"/>
      <c r="C841" s="22"/>
      <c r="D841" s="22"/>
      <c r="E841" s="22"/>
      <c r="F841" s="22"/>
      <c r="G841" s="22"/>
      <c r="H841" s="22"/>
      <c r="I841" s="22"/>
      <c r="J841" s="22"/>
      <c r="K841" s="22"/>
      <c r="L841" s="22"/>
      <c r="M841" s="22"/>
      <c r="N841" s="22"/>
      <c r="O841" s="22"/>
      <c r="P841" s="22"/>
      <c r="Q841" s="22"/>
      <c r="R841" s="22"/>
      <c r="S841" s="22"/>
      <c r="T841" s="22"/>
      <c r="U841" s="22"/>
      <c r="V841" s="22"/>
      <c r="W841" s="22"/>
      <c r="X841" s="22"/>
      <c r="Y841" s="22"/>
    </row>
    <row r="842" spans="1:25" ht="15.75" customHeight="1">
      <c r="A842" s="22"/>
      <c r="B842" s="22"/>
      <c r="C842" s="22"/>
      <c r="D842" s="22"/>
      <c r="E842" s="22"/>
      <c r="F842" s="22"/>
      <c r="G842" s="22"/>
      <c r="H842" s="22"/>
      <c r="I842" s="22"/>
      <c r="J842" s="22"/>
      <c r="K842" s="22"/>
      <c r="L842" s="22"/>
      <c r="M842" s="22"/>
      <c r="N842" s="22"/>
      <c r="O842" s="22"/>
      <c r="P842" s="22"/>
      <c r="Q842" s="22"/>
      <c r="R842" s="22"/>
      <c r="S842" s="22"/>
      <c r="T842" s="22"/>
      <c r="U842" s="22"/>
      <c r="V842" s="22"/>
      <c r="W842" s="22"/>
      <c r="X842" s="22"/>
      <c r="Y842" s="22"/>
    </row>
    <row r="843" spans="1:25" ht="15.75" customHeight="1">
      <c r="A843" s="22"/>
      <c r="B843" s="22"/>
      <c r="C843" s="22"/>
      <c r="D843" s="22"/>
      <c r="E843" s="22"/>
      <c r="F843" s="22"/>
      <c r="G843" s="22"/>
      <c r="H843" s="22"/>
      <c r="I843" s="22"/>
      <c r="J843" s="22"/>
      <c r="K843" s="22"/>
      <c r="L843" s="22"/>
      <c r="M843" s="22"/>
      <c r="N843" s="22"/>
      <c r="O843" s="22"/>
      <c r="P843" s="22"/>
      <c r="Q843" s="22"/>
      <c r="R843" s="22"/>
      <c r="S843" s="22"/>
      <c r="T843" s="22"/>
      <c r="U843" s="22"/>
      <c r="V843" s="22"/>
      <c r="W843" s="22"/>
      <c r="X843" s="22"/>
      <c r="Y843" s="22"/>
    </row>
    <row r="844" spans="1:25" ht="15.75" customHeight="1">
      <c r="A844" s="22"/>
      <c r="B844" s="22"/>
      <c r="C844" s="22"/>
      <c r="D844" s="22"/>
      <c r="E844" s="22"/>
      <c r="F844" s="22"/>
      <c r="G844" s="22"/>
      <c r="H844" s="22"/>
      <c r="I844" s="22"/>
      <c r="J844" s="22"/>
      <c r="K844" s="22"/>
      <c r="L844" s="22"/>
      <c r="M844" s="22"/>
      <c r="N844" s="22"/>
      <c r="O844" s="22"/>
      <c r="P844" s="22"/>
      <c r="Q844" s="22"/>
      <c r="R844" s="22"/>
      <c r="S844" s="22"/>
      <c r="T844" s="22"/>
      <c r="U844" s="22"/>
      <c r="V844" s="22"/>
      <c r="W844" s="22"/>
      <c r="X844" s="22"/>
      <c r="Y844" s="22"/>
    </row>
    <row r="845" spans="1:25" ht="15.75" customHeight="1">
      <c r="A845" s="22"/>
      <c r="B845" s="22"/>
      <c r="C845" s="22"/>
      <c r="D845" s="22"/>
      <c r="E845" s="22"/>
      <c r="F845" s="22"/>
      <c r="G845" s="22"/>
      <c r="H845" s="22"/>
      <c r="I845" s="22"/>
      <c r="J845" s="22"/>
      <c r="K845" s="22"/>
      <c r="L845" s="22"/>
      <c r="M845" s="22"/>
      <c r="N845" s="22"/>
      <c r="O845" s="22"/>
      <c r="P845" s="22"/>
      <c r="Q845" s="22"/>
      <c r="R845" s="22"/>
      <c r="S845" s="22"/>
      <c r="T845" s="22"/>
      <c r="U845" s="22"/>
      <c r="V845" s="22"/>
      <c r="W845" s="22"/>
      <c r="X845" s="22"/>
      <c r="Y845" s="22"/>
    </row>
    <row r="846" spans="1:25" ht="15.75" customHeight="1">
      <c r="A846" s="22"/>
      <c r="B846" s="22"/>
      <c r="C846" s="22"/>
      <c r="D846" s="22"/>
      <c r="E846" s="22"/>
      <c r="F846" s="22"/>
      <c r="G846" s="22"/>
      <c r="H846" s="22"/>
      <c r="I846" s="22"/>
      <c r="J846" s="22"/>
      <c r="K846" s="22"/>
      <c r="L846" s="22"/>
      <c r="M846" s="22"/>
      <c r="N846" s="22"/>
      <c r="O846" s="22"/>
      <c r="P846" s="22"/>
      <c r="Q846" s="22"/>
      <c r="R846" s="22"/>
      <c r="S846" s="22"/>
      <c r="T846" s="22"/>
      <c r="U846" s="22"/>
      <c r="V846" s="22"/>
      <c r="W846" s="22"/>
      <c r="X846" s="22"/>
      <c r="Y846" s="22"/>
    </row>
    <row r="847" spans="1:25" ht="15.75" customHeight="1">
      <c r="A847" s="22"/>
      <c r="B847" s="22"/>
      <c r="C847" s="22"/>
      <c r="D847" s="22"/>
      <c r="E847" s="22"/>
      <c r="F847" s="22"/>
      <c r="G847" s="22"/>
      <c r="H847" s="22"/>
      <c r="I847" s="22"/>
      <c r="J847" s="22"/>
      <c r="K847" s="22"/>
      <c r="L847" s="22"/>
      <c r="M847" s="22"/>
      <c r="N847" s="22"/>
      <c r="O847" s="22"/>
      <c r="P847" s="22"/>
      <c r="Q847" s="22"/>
      <c r="R847" s="22"/>
      <c r="S847" s="22"/>
      <c r="T847" s="22"/>
      <c r="U847" s="22"/>
      <c r="V847" s="22"/>
      <c r="W847" s="22"/>
      <c r="X847" s="22"/>
      <c r="Y847" s="22"/>
    </row>
    <row r="848" spans="1:25" ht="15.75" customHeight="1">
      <c r="A848" s="22"/>
      <c r="B848" s="22"/>
      <c r="C848" s="22"/>
      <c r="D848" s="22"/>
      <c r="E848" s="22"/>
      <c r="F848" s="22"/>
      <c r="G848" s="22"/>
      <c r="H848" s="22"/>
      <c r="I848" s="22"/>
      <c r="J848" s="22"/>
      <c r="K848" s="22"/>
      <c r="L848" s="22"/>
      <c r="M848" s="22"/>
      <c r="N848" s="22"/>
      <c r="O848" s="22"/>
      <c r="P848" s="22"/>
      <c r="Q848" s="22"/>
      <c r="R848" s="22"/>
      <c r="S848" s="22"/>
      <c r="T848" s="22"/>
      <c r="U848" s="22"/>
      <c r="V848" s="22"/>
      <c r="W848" s="22"/>
      <c r="X848" s="22"/>
      <c r="Y848" s="22"/>
    </row>
    <row r="849" spans="1:25" ht="15.75" customHeight="1">
      <c r="A849" s="22"/>
      <c r="B849" s="22"/>
      <c r="C849" s="22"/>
      <c r="D849" s="22"/>
      <c r="E849" s="22"/>
      <c r="F849" s="22"/>
      <c r="G849" s="22"/>
      <c r="H849" s="22"/>
      <c r="I849" s="22"/>
      <c r="J849" s="22"/>
      <c r="K849" s="22"/>
      <c r="L849" s="22"/>
      <c r="M849" s="22"/>
      <c r="N849" s="22"/>
      <c r="O849" s="22"/>
      <c r="P849" s="22"/>
      <c r="Q849" s="22"/>
      <c r="R849" s="22"/>
      <c r="S849" s="22"/>
      <c r="T849" s="22"/>
      <c r="U849" s="22"/>
      <c r="V849" s="22"/>
      <c r="W849" s="22"/>
      <c r="X849" s="22"/>
      <c r="Y849" s="22"/>
    </row>
    <row r="850" spans="1:25" ht="15.75" customHeight="1">
      <c r="A850" s="22"/>
      <c r="B850" s="22"/>
      <c r="C850" s="22"/>
      <c r="D850" s="22"/>
      <c r="E850" s="22"/>
      <c r="F850" s="22"/>
      <c r="G850" s="22"/>
      <c r="H850" s="22"/>
      <c r="I850" s="22"/>
      <c r="J850" s="22"/>
      <c r="K850" s="22"/>
      <c r="L850" s="22"/>
      <c r="M850" s="22"/>
      <c r="N850" s="22"/>
      <c r="O850" s="22"/>
      <c r="P850" s="22"/>
      <c r="Q850" s="22"/>
      <c r="R850" s="22"/>
      <c r="S850" s="22"/>
      <c r="T850" s="22"/>
      <c r="U850" s="22"/>
      <c r="V850" s="22"/>
      <c r="W850" s="22"/>
      <c r="X850" s="22"/>
      <c r="Y850" s="22"/>
    </row>
    <row r="851" spans="1:25" ht="15.75" customHeight="1">
      <c r="A851" s="22"/>
      <c r="B851" s="22"/>
      <c r="C851" s="22"/>
      <c r="D851" s="22"/>
      <c r="E851" s="22"/>
      <c r="F851" s="22"/>
      <c r="G851" s="22"/>
      <c r="H851" s="22"/>
      <c r="I851" s="22"/>
      <c r="J851" s="22"/>
      <c r="K851" s="22"/>
      <c r="L851" s="22"/>
      <c r="M851" s="22"/>
      <c r="N851" s="22"/>
      <c r="O851" s="22"/>
      <c r="P851" s="22"/>
      <c r="Q851" s="22"/>
      <c r="R851" s="22"/>
      <c r="S851" s="22"/>
      <c r="T851" s="22"/>
      <c r="U851" s="22"/>
      <c r="V851" s="22"/>
      <c r="W851" s="22"/>
      <c r="X851" s="22"/>
      <c r="Y851" s="22"/>
    </row>
    <row r="852" spans="1:25" ht="15.75" customHeight="1">
      <c r="A852" s="22"/>
      <c r="B852" s="22"/>
      <c r="C852" s="22"/>
      <c r="D852" s="22"/>
      <c r="E852" s="22"/>
      <c r="F852" s="22"/>
      <c r="G852" s="22"/>
      <c r="H852" s="22"/>
      <c r="I852" s="22"/>
      <c r="J852" s="22"/>
      <c r="K852" s="22"/>
      <c r="L852" s="22"/>
      <c r="M852" s="22"/>
      <c r="N852" s="22"/>
      <c r="O852" s="22"/>
      <c r="P852" s="22"/>
      <c r="Q852" s="22"/>
      <c r="R852" s="22"/>
      <c r="S852" s="22"/>
      <c r="T852" s="22"/>
      <c r="U852" s="22"/>
      <c r="V852" s="22"/>
      <c r="W852" s="22"/>
      <c r="X852" s="22"/>
      <c r="Y852" s="22"/>
    </row>
    <row r="853" spans="1:25" ht="15.75" customHeight="1">
      <c r="A853" s="22"/>
      <c r="B853" s="22"/>
      <c r="C853" s="22"/>
      <c r="D853" s="22"/>
      <c r="E853" s="22"/>
      <c r="F853" s="22"/>
      <c r="G853" s="22"/>
      <c r="H853" s="22"/>
      <c r="I853" s="22"/>
      <c r="J853" s="22"/>
      <c r="K853" s="22"/>
      <c r="L853" s="22"/>
      <c r="M853" s="22"/>
      <c r="N853" s="22"/>
      <c r="O853" s="22"/>
      <c r="P853" s="22"/>
      <c r="Q853" s="22"/>
      <c r="R853" s="22"/>
      <c r="S853" s="22"/>
      <c r="T853" s="22"/>
      <c r="U853" s="22"/>
      <c r="V853" s="22"/>
      <c r="W853" s="22"/>
      <c r="X853" s="22"/>
      <c r="Y853" s="22"/>
    </row>
    <row r="854" spans="1:25" ht="15.75" customHeight="1">
      <c r="A854" s="22"/>
      <c r="B854" s="22"/>
      <c r="C854" s="22"/>
      <c r="D854" s="22"/>
      <c r="E854" s="22"/>
      <c r="F854" s="22"/>
      <c r="G854" s="22"/>
      <c r="H854" s="22"/>
      <c r="I854" s="22"/>
      <c r="J854" s="22"/>
      <c r="K854" s="22"/>
      <c r="L854" s="22"/>
      <c r="M854" s="22"/>
      <c r="N854" s="22"/>
      <c r="O854" s="22"/>
      <c r="P854" s="22"/>
      <c r="Q854" s="22"/>
      <c r="R854" s="22"/>
      <c r="S854" s="22"/>
      <c r="T854" s="22"/>
      <c r="U854" s="22"/>
      <c r="V854" s="22"/>
      <c r="W854" s="22"/>
      <c r="X854" s="22"/>
      <c r="Y854" s="22"/>
    </row>
    <row r="855" spans="1:25" ht="15.75" customHeight="1">
      <c r="A855" s="22"/>
      <c r="B855" s="22"/>
      <c r="C855" s="22"/>
      <c r="D855" s="22"/>
      <c r="E855" s="22"/>
      <c r="F855" s="22"/>
      <c r="G855" s="22"/>
      <c r="H855" s="22"/>
      <c r="I855" s="22"/>
      <c r="J855" s="22"/>
      <c r="K855" s="22"/>
      <c r="L855" s="22"/>
      <c r="M855" s="22"/>
      <c r="N855" s="22"/>
      <c r="O855" s="22"/>
      <c r="P855" s="22"/>
      <c r="Q855" s="22"/>
      <c r="R855" s="22"/>
      <c r="S855" s="22"/>
      <c r="T855" s="22"/>
      <c r="U855" s="22"/>
      <c r="V855" s="22"/>
      <c r="W855" s="22"/>
      <c r="X855" s="22"/>
      <c r="Y855" s="22"/>
    </row>
    <row r="856" spans="1:25" ht="15.75" customHeight="1">
      <c r="A856" s="22"/>
      <c r="B856" s="22"/>
      <c r="C856" s="22"/>
      <c r="D856" s="22"/>
      <c r="E856" s="22"/>
      <c r="F856" s="22"/>
      <c r="G856" s="22"/>
      <c r="H856" s="22"/>
      <c r="I856" s="22"/>
      <c r="J856" s="22"/>
      <c r="K856" s="22"/>
      <c r="L856" s="22"/>
      <c r="M856" s="22"/>
      <c r="N856" s="22"/>
      <c r="O856" s="22"/>
      <c r="P856" s="22"/>
      <c r="Q856" s="22"/>
      <c r="R856" s="22"/>
      <c r="S856" s="22"/>
      <c r="T856" s="22"/>
      <c r="U856" s="22"/>
      <c r="V856" s="22"/>
      <c r="W856" s="22"/>
      <c r="X856" s="22"/>
      <c r="Y856" s="22"/>
    </row>
    <row r="857" spans="1:25" ht="15.75" customHeight="1">
      <c r="A857" s="22"/>
      <c r="B857" s="22"/>
      <c r="C857" s="22"/>
      <c r="D857" s="22"/>
      <c r="E857" s="22"/>
      <c r="F857" s="22"/>
      <c r="G857" s="22"/>
      <c r="H857" s="22"/>
      <c r="I857" s="22"/>
      <c r="J857" s="22"/>
      <c r="K857" s="22"/>
      <c r="L857" s="22"/>
      <c r="M857" s="22"/>
      <c r="N857" s="22"/>
      <c r="O857" s="22"/>
      <c r="P857" s="22"/>
      <c r="Q857" s="22"/>
      <c r="R857" s="22"/>
      <c r="S857" s="22"/>
      <c r="T857" s="22"/>
      <c r="U857" s="22"/>
      <c r="V857" s="22"/>
      <c r="W857" s="22"/>
      <c r="X857" s="22"/>
      <c r="Y857" s="22"/>
    </row>
    <row r="858" spans="1:25" ht="15.75" customHeight="1">
      <c r="A858" s="22"/>
      <c r="B858" s="22"/>
      <c r="C858" s="22"/>
      <c r="D858" s="22"/>
      <c r="E858" s="22"/>
      <c r="F858" s="22"/>
      <c r="G858" s="22"/>
      <c r="H858" s="22"/>
      <c r="I858" s="22"/>
      <c r="J858" s="22"/>
      <c r="K858" s="22"/>
      <c r="L858" s="22"/>
      <c r="M858" s="22"/>
      <c r="N858" s="22"/>
      <c r="O858" s="22"/>
      <c r="P858" s="22"/>
      <c r="Q858" s="22"/>
      <c r="R858" s="22"/>
      <c r="S858" s="22"/>
      <c r="T858" s="22"/>
      <c r="U858" s="22"/>
      <c r="V858" s="22"/>
      <c r="W858" s="22"/>
      <c r="X858" s="22"/>
      <c r="Y858" s="22"/>
    </row>
    <row r="859" spans="1:25" ht="15.75" customHeight="1">
      <c r="A859" s="22"/>
      <c r="B859" s="22"/>
      <c r="C859" s="22"/>
      <c r="D859" s="22"/>
      <c r="E859" s="22"/>
      <c r="F859" s="22"/>
      <c r="G859" s="22"/>
      <c r="H859" s="22"/>
      <c r="I859" s="22"/>
      <c r="J859" s="22"/>
      <c r="K859" s="22"/>
      <c r="L859" s="22"/>
      <c r="M859" s="22"/>
      <c r="N859" s="22"/>
      <c r="O859" s="22"/>
      <c r="P859" s="22"/>
      <c r="Q859" s="22"/>
      <c r="R859" s="22"/>
      <c r="S859" s="22"/>
      <c r="T859" s="22"/>
      <c r="U859" s="22"/>
      <c r="V859" s="22"/>
      <c r="W859" s="22"/>
      <c r="X859" s="22"/>
      <c r="Y859" s="22"/>
    </row>
    <row r="860" spans="1:25" ht="15.75" customHeight="1">
      <c r="A860" s="22"/>
      <c r="B860" s="22"/>
      <c r="C860" s="22"/>
      <c r="D860" s="22"/>
      <c r="E860" s="22"/>
      <c r="F860" s="22"/>
      <c r="G860" s="22"/>
      <c r="H860" s="22"/>
      <c r="I860" s="22"/>
      <c r="J860" s="22"/>
      <c r="K860" s="22"/>
      <c r="L860" s="22"/>
      <c r="M860" s="22"/>
      <c r="N860" s="22"/>
      <c r="O860" s="22"/>
      <c r="P860" s="22"/>
      <c r="Q860" s="22"/>
      <c r="R860" s="22"/>
      <c r="S860" s="22"/>
      <c r="T860" s="22"/>
      <c r="U860" s="22"/>
      <c r="V860" s="22"/>
      <c r="W860" s="22"/>
      <c r="X860" s="22"/>
      <c r="Y860" s="22"/>
    </row>
    <row r="861" spans="1:25" ht="15.75" customHeight="1">
      <c r="A861" s="22"/>
      <c r="B861" s="22"/>
      <c r="C861" s="22"/>
      <c r="D861" s="22"/>
      <c r="E861" s="22"/>
      <c r="F861" s="22"/>
      <c r="G861" s="22"/>
      <c r="H861" s="22"/>
      <c r="I861" s="22"/>
      <c r="J861" s="22"/>
      <c r="K861" s="22"/>
      <c r="L861" s="22"/>
      <c r="M861" s="22"/>
      <c r="N861" s="22"/>
      <c r="O861" s="22"/>
      <c r="P861" s="22"/>
      <c r="Q861" s="22"/>
      <c r="R861" s="22"/>
      <c r="S861" s="22"/>
      <c r="T861" s="22"/>
      <c r="U861" s="22"/>
      <c r="V861" s="22"/>
      <c r="W861" s="22"/>
      <c r="X861" s="22"/>
      <c r="Y861" s="22"/>
    </row>
    <row r="862" spans="1:25" ht="15.75" customHeight="1">
      <c r="A862" s="22"/>
      <c r="B862" s="22"/>
      <c r="C862" s="22"/>
      <c r="D862" s="22"/>
      <c r="E862" s="22"/>
      <c r="F862" s="22"/>
      <c r="G862" s="22"/>
      <c r="H862" s="22"/>
      <c r="I862" s="22"/>
      <c r="J862" s="22"/>
      <c r="K862" s="22"/>
      <c r="L862" s="22"/>
      <c r="M862" s="22"/>
      <c r="N862" s="22"/>
      <c r="O862" s="22"/>
      <c r="P862" s="22"/>
      <c r="Q862" s="22"/>
      <c r="R862" s="22"/>
      <c r="S862" s="22"/>
      <c r="T862" s="22"/>
      <c r="U862" s="22"/>
      <c r="V862" s="22"/>
      <c r="W862" s="22"/>
      <c r="X862" s="22"/>
      <c r="Y862" s="22"/>
    </row>
    <row r="863" spans="1:25" ht="15.75" customHeight="1">
      <c r="A863" s="22"/>
      <c r="B863" s="22"/>
      <c r="C863" s="22"/>
      <c r="D863" s="22"/>
      <c r="E863" s="22"/>
      <c r="F863" s="22"/>
      <c r="G863" s="22"/>
      <c r="H863" s="22"/>
      <c r="I863" s="22"/>
      <c r="J863" s="22"/>
      <c r="K863" s="22"/>
      <c r="L863" s="22"/>
      <c r="M863" s="22"/>
      <c r="N863" s="22"/>
      <c r="O863" s="22"/>
      <c r="P863" s="22"/>
      <c r="Q863" s="22"/>
      <c r="R863" s="22"/>
      <c r="S863" s="22"/>
      <c r="T863" s="22"/>
      <c r="U863" s="22"/>
      <c r="V863" s="22"/>
      <c r="W863" s="22"/>
      <c r="X863" s="22"/>
      <c r="Y863" s="22"/>
    </row>
    <row r="864" spans="1:25" ht="15.75" customHeight="1">
      <c r="A864" s="22"/>
      <c r="B864" s="22"/>
      <c r="C864" s="22"/>
      <c r="D864" s="22"/>
      <c r="E864" s="22"/>
      <c r="F864" s="22"/>
      <c r="G864" s="22"/>
      <c r="H864" s="22"/>
      <c r="I864" s="22"/>
      <c r="J864" s="22"/>
      <c r="K864" s="22"/>
      <c r="L864" s="22"/>
      <c r="M864" s="22"/>
      <c r="N864" s="22"/>
      <c r="O864" s="22"/>
      <c r="P864" s="22"/>
      <c r="Q864" s="22"/>
      <c r="R864" s="22"/>
      <c r="S864" s="22"/>
      <c r="T864" s="22"/>
      <c r="U864" s="22"/>
      <c r="V864" s="22"/>
      <c r="W864" s="22"/>
      <c r="X864" s="22"/>
      <c r="Y864" s="22"/>
    </row>
    <row r="865" spans="1:25" ht="15.75" customHeight="1">
      <c r="A865" s="22"/>
      <c r="B865" s="22"/>
      <c r="C865" s="22"/>
      <c r="D865" s="22"/>
      <c r="E865" s="22"/>
      <c r="F865" s="22"/>
      <c r="G865" s="22"/>
      <c r="H865" s="22"/>
      <c r="I865" s="22"/>
      <c r="J865" s="22"/>
      <c r="K865" s="22"/>
      <c r="L865" s="22"/>
      <c r="M865" s="22"/>
      <c r="N865" s="22"/>
      <c r="O865" s="22"/>
      <c r="P865" s="22"/>
      <c r="Q865" s="22"/>
      <c r="R865" s="22"/>
      <c r="S865" s="22"/>
      <c r="T865" s="22"/>
      <c r="U865" s="22"/>
      <c r="V865" s="22"/>
      <c r="W865" s="22"/>
      <c r="X865" s="22"/>
      <c r="Y865" s="22"/>
    </row>
    <row r="866" spans="1:25" ht="15.75" customHeight="1">
      <c r="A866" s="22"/>
      <c r="B866" s="22"/>
      <c r="C866" s="22"/>
      <c r="D866" s="22"/>
      <c r="E866" s="22"/>
      <c r="F866" s="22"/>
      <c r="G866" s="22"/>
      <c r="H866" s="22"/>
      <c r="I866" s="22"/>
      <c r="J866" s="22"/>
      <c r="K866" s="22"/>
      <c r="L866" s="22"/>
      <c r="M866" s="22"/>
      <c r="N866" s="22"/>
      <c r="O866" s="22"/>
      <c r="P866" s="22"/>
      <c r="Q866" s="22"/>
      <c r="R866" s="22"/>
      <c r="S866" s="22"/>
      <c r="T866" s="22"/>
      <c r="U866" s="22"/>
      <c r="V866" s="22"/>
      <c r="W866" s="22"/>
      <c r="X866" s="22"/>
      <c r="Y866" s="22"/>
    </row>
    <row r="867" spans="1:25" ht="15.75" customHeight="1">
      <c r="A867" s="22"/>
      <c r="B867" s="22"/>
      <c r="C867" s="22"/>
      <c r="D867" s="22"/>
      <c r="E867" s="22"/>
      <c r="F867" s="22"/>
      <c r="G867" s="22"/>
      <c r="H867" s="22"/>
      <c r="I867" s="22"/>
      <c r="J867" s="22"/>
      <c r="K867" s="22"/>
      <c r="L867" s="22"/>
      <c r="M867" s="22"/>
      <c r="N867" s="22"/>
      <c r="O867" s="22"/>
      <c r="P867" s="22"/>
      <c r="Q867" s="22"/>
      <c r="R867" s="22"/>
      <c r="S867" s="22"/>
      <c r="T867" s="22"/>
      <c r="U867" s="22"/>
      <c r="V867" s="22"/>
      <c r="W867" s="22"/>
      <c r="X867" s="22"/>
      <c r="Y867" s="22"/>
    </row>
    <row r="868" spans="1:25" ht="15.75" customHeight="1">
      <c r="A868" s="22"/>
      <c r="B868" s="22"/>
      <c r="C868" s="22"/>
      <c r="D868" s="22"/>
      <c r="E868" s="22"/>
      <c r="F868" s="22"/>
      <c r="G868" s="22"/>
      <c r="H868" s="22"/>
      <c r="I868" s="22"/>
      <c r="J868" s="22"/>
      <c r="K868" s="22"/>
      <c r="L868" s="22"/>
      <c r="M868" s="22"/>
      <c r="N868" s="22"/>
      <c r="O868" s="22"/>
      <c r="P868" s="22"/>
      <c r="Q868" s="22"/>
      <c r="R868" s="22"/>
      <c r="S868" s="22"/>
      <c r="T868" s="22"/>
      <c r="U868" s="22"/>
      <c r="V868" s="22"/>
      <c r="W868" s="22"/>
      <c r="X868" s="22"/>
      <c r="Y868" s="22"/>
    </row>
    <row r="869" spans="1:25" ht="15.75" customHeight="1">
      <c r="A869" s="22"/>
      <c r="B869" s="22"/>
      <c r="C869" s="22"/>
      <c r="D869" s="22"/>
      <c r="E869" s="22"/>
      <c r="F869" s="22"/>
      <c r="G869" s="22"/>
      <c r="H869" s="22"/>
      <c r="I869" s="22"/>
      <c r="J869" s="22"/>
      <c r="K869" s="22"/>
      <c r="L869" s="22"/>
      <c r="M869" s="22"/>
      <c r="N869" s="22"/>
      <c r="O869" s="22"/>
      <c r="P869" s="22"/>
      <c r="Q869" s="22"/>
      <c r="R869" s="22"/>
      <c r="S869" s="22"/>
      <c r="T869" s="22"/>
      <c r="U869" s="22"/>
      <c r="V869" s="22"/>
      <c r="W869" s="22"/>
      <c r="X869" s="22"/>
      <c r="Y869" s="22"/>
    </row>
    <row r="870" spans="1:25" ht="15.75" customHeight="1">
      <c r="A870" s="22"/>
      <c r="B870" s="22"/>
      <c r="C870" s="22"/>
      <c r="D870" s="22"/>
      <c r="E870" s="22"/>
      <c r="F870" s="22"/>
      <c r="G870" s="22"/>
      <c r="H870" s="22"/>
      <c r="I870" s="22"/>
      <c r="J870" s="22"/>
      <c r="K870" s="22"/>
      <c r="L870" s="22"/>
      <c r="M870" s="22"/>
      <c r="N870" s="22"/>
      <c r="O870" s="22"/>
      <c r="P870" s="22"/>
      <c r="Q870" s="22"/>
      <c r="R870" s="22"/>
      <c r="S870" s="22"/>
      <c r="T870" s="22"/>
      <c r="U870" s="22"/>
      <c r="V870" s="22"/>
      <c r="W870" s="22"/>
      <c r="X870" s="22"/>
      <c r="Y870" s="22"/>
    </row>
    <row r="871" spans="1:25" ht="15.75" customHeight="1">
      <c r="A871" s="22"/>
      <c r="B871" s="22"/>
      <c r="C871" s="22"/>
      <c r="D871" s="22"/>
      <c r="E871" s="22"/>
      <c r="F871" s="22"/>
      <c r="G871" s="22"/>
      <c r="H871" s="22"/>
      <c r="I871" s="22"/>
      <c r="J871" s="22"/>
      <c r="K871" s="22"/>
      <c r="L871" s="22"/>
      <c r="M871" s="22"/>
      <c r="N871" s="22"/>
      <c r="O871" s="22"/>
      <c r="P871" s="22"/>
      <c r="Q871" s="22"/>
      <c r="R871" s="22"/>
      <c r="S871" s="22"/>
      <c r="T871" s="22"/>
      <c r="U871" s="22"/>
      <c r="V871" s="22"/>
      <c r="W871" s="22"/>
      <c r="X871" s="22"/>
      <c r="Y871" s="22"/>
    </row>
    <row r="872" spans="1:25" ht="15.75" customHeight="1">
      <c r="A872" s="22"/>
      <c r="B872" s="22"/>
      <c r="C872" s="22"/>
      <c r="D872" s="22"/>
      <c r="E872" s="22"/>
      <c r="F872" s="22"/>
      <c r="G872" s="22"/>
      <c r="H872" s="22"/>
      <c r="I872" s="22"/>
      <c r="J872" s="22"/>
      <c r="K872" s="22"/>
      <c r="L872" s="22"/>
      <c r="M872" s="22"/>
      <c r="N872" s="22"/>
      <c r="O872" s="22"/>
      <c r="P872" s="22"/>
      <c r="Q872" s="22"/>
      <c r="R872" s="22"/>
      <c r="S872" s="22"/>
      <c r="T872" s="22"/>
      <c r="U872" s="22"/>
      <c r="V872" s="22"/>
      <c r="W872" s="22"/>
      <c r="X872" s="22"/>
      <c r="Y872" s="22"/>
    </row>
    <row r="873" spans="1:25" ht="15.75" customHeight="1">
      <c r="A873" s="22"/>
      <c r="B873" s="22"/>
      <c r="C873" s="22"/>
      <c r="D873" s="22"/>
      <c r="E873" s="22"/>
      <c r="F873" s="22"/>
      <c r="G873" s="22"/>
      <c r="H873" s="22"/>
      <c r="I873" s="22"/>
      <c r="J873" s="22"/>
      <c r="K873" s="22"/>
      <c r="L873" s="22"/>
      <c r="M873" s="22"/>
      <c r="N873" s="22"/>
      <c r="O873" s="22"/>
      <c r="P873" s="22"/>
      <c r="Q873" s="22"/>
      <c r="R873" s="22"/>
      <c r="S873" s="22"/>
      <c r="T873" s="22"/>
      <c r="U873" s="22"/>
      <c r="V873" s="22"/>
      <c r="W873" s="22"/>
      <c r="X873" s="22"/>
      <c r="Y873" s="22"/>
    </row>
    <row r="874" spans="1:25" ht="15.75" customHeight="1">
      <c r="A874" s="22"/>
      <c r="B874" s="22"/>
      <c r="C874" s="22"/>
      <c r="D874" s="22"/>
      <c r="E874" s="22"/>
      <c r="F874" s="22"/>
      <c r="G874" s="22"/>
      <c r="H874" s="22"/>
      <c r="I874" s="22"/>
      <c r="J874" s="22"/>
      <c r="K874" s="22"/>
      <c r="L874" s="22"/>
      <c r="M874" s="22"/>
      <c r="N874" s="22"/>
      <c r="O874" s="22"/>
      <c r="P874" s="22"/>
      <c r="Q874" s="22"/>
      <c r="R874" s="22"/>
      <c r="S874" s="22"/>
      <c r="T874" s="22"/>
      <c r="U874" s="22"/>
      <c r="V874" s="22"/>
      <c r="W874" s="22"/>
      <c r="X874" s="22"/>
      <c r="Y874" s="22"/>
    </row>
    <row r="875" spans="1:25" ht="15.75" customHeight="1">
      <c r="A875" s="22"/>
      <c r="B875" s="22"/>
      <c r="C875" s="22"/>
      <c r="D875" s="22"/>
      <c r="E875" s="22"/>
      <c r="F875" s="22"/>
      <c r="G875" s="22"/>
      <c r="H875" s="22"/>
      <c r="I875" s="22"/>
      <c r="J875" s="22"/>
      <c r="K875" s="22"/>
      <c r="L875" s="22"/>
      <c r="M875" s="22"/>
      <c r="N875" s="22"/>
      <c r="O875" s="22"/>
      <c r="P875" s="22"/>
      <c r="Q875" s="22"/>
      <c r="R875" s="22"/>
      <c r="S875" s="22"/>
      <c r="T875" s="22"/>
      <c r="U875" s="22"/>
      <c r="V875" s="22"/>
      <c r="W875" s="22"/>
      <c r="X875" s="22"/>
      <c r="Y875" s="22"/>
    </row>
    <row r="876" spans="1:25" ht="15.75" customHeight="1">
      <c r="A876" s="22"/>
      <c r="B876" s="22"/>
      <c r="C876" s="22"/>
      <c r="D876" s="22"/>
      <c r="E876" s="22"/>
      <c r="F876" s="22"/>
      <c r="G876" s="22"/>
      <c r="H876" s="22"/>
      <c r="I876" s="22"/>
      <c r="J876" s="22"/>
      <c r="K876" s="22"/>
      <c r="L876" s="22"/>
      <c r="M876" s="22"/>
      <c r="N876" s="22"/>
      <c r="O876" s="22"/>
      <c r="P876" s="22"/>
      <c r="Q876" s="22"/>
      <c r="R876" s="22"/>
      <c r="S876" s="22"/>
      <c r="T876" s="22"/>
      <c r="U876" s="22"/>
      <c r="V876" s="22"/>
      <c r="W876" s="22"/>
      <c r="X876" s="22"/>
      <c r="Y876" s="22"/>
    </row>
    <row r="877" spans="1:25" ht="15.75" customHeight="1">
      <c r="A877" s="22"/>
      <c r="B877" s="22"/>
      <c r="C877" s="22"/>
      <c r="D877" s="22"/>
      <c r="E877" s="22"/>
      <c r="F877" s="22"/>
      <c r="G877" s="22"/>
      <c r="H877" s="22"/>
      <c r="I877" s="22"/>
      <c r="J877" s="22"/>
      <c r="K877" s="22"/>
      <c r="L877" s="22"/>
      <c r="M877" s="22"/>
      <c r="N877" s="22"/>
      <c r="O877" s="22"/>
      <c r="P877" s="22"/>
      <c r="Q877" s="22"/>
      <c r="R877" s="22"/>
      <c r="S877" s="22"/>
      <c r="T877" s="22"/>
      <c r="U877" s="22"/>
      <c r="V877" s="22"/>
      <c r="W877" s="22"/>
      <c r="X877" s="22"/>
      <c r="Y877" s="22"/>
    </row>
    <row r="878" spans="1:25" ht="15.75" customHeight="1">
      <c r="A878" s="22"/>
      <c r="B878" s="22"/>
      <c r="C878" s="22"/>
      <c r="D878" s="22"/>
      <c r="E878" s="22"/>
      <c r="F878" s="22"/>
      <c r="G878" s="22"/>
      <c r="H878" s="22"/>
      <c r="I878" s="22"/>
      <c r="J878" s="22"/>
      <c r="K878" s="22"/>
      <c r="L878" s="22"/>
      <c r="M878" s="22"/>
      <c r="N878" s="22"/>
      <c r="O878" s="22"/>
      <c r="P878" s="22"/>
      <c r="Q878" s="22"/>
      <c r="R878" s="22"/>
      <c r="S878" s="22"/>
      <c r="T878" s="22"/>
      <c r="U878" s="22"/>
      <c r="V878" s="22"/>
      <c r="W878" s="22"/>
      <c r="X878" s="22"/>
      <c r="Y878" s="22"/>
    </row>
    <row r="879" spans="1:25" ht="15.75" customHeight="1">
      <c r="A879" s="22"/>
      <c r="B879" s="22"/>
      <c r="C879" s="22"/>
      <c r="D879" s="22"/>
      <c r="E879" s="22"/>
      <c r="F879" s="22"/>
      <c r="G879" s="22"/>
      <c r="H879" s="22"/>
      <c r="I879" s="22"/>
      <c r="J879" s="22"/>
      <c r="K879" s="22"/>
      <c r="L879" s="22"/>
      <c r="M879" s="22"/>
      <c r="N879" s="22"/>
      <c r="O879" s="22"/>
      <c r="P879" s="22"/>
      <c r="Q879" s="22"/>
      <c r="R879" s="22"/>
      <c r="S879" s="22"/>
      <c r="T879" s="22"/>
      <c r="U879" s="22"/>
      <c r="V879" s="22"/>
      <c r="W879" s="22"/>
      <c r="X879" s="22"/>
      <c r="Y879" s="22"/>
    </row>
    <row r="880" spans="1:25" ht="15.75" customHeight="1">
      <c r="A880" s="22"/>
      <c r="B880" s="22"/>
      <c r="C880" s="22"/>
      <c r="D880" s="22"/>
      <c r="E880" s="22"/>
      <c r="F880" s="22"/>
      <c r="G880" s="22"/>
      <c r="H880" s="22"/>
      <c r="I880" s="22"/>
      <c r="J880" s="22"/>
      <c r="K880" s="22"/>
      <c r="L880" s="22"/>
      <c r="M880" s="22"/>
      <c r="N880" s="22"/>
      <c r="O880" s="22"/>
      <c r="P880" s="22"/>
      <c r="Q880" s="22"/>
      <c r="R880" s="22"/>
      <c r="S880" s="22"/>
      <c r="T880" s="22"/>
      <c r="U880" s="22"/>
      <c r="V880" s="22"/>
      <c r="W880" s="22"/>
      <c r="X880" s="22"/>
      <c r="Y880" s="22"/>
    </row>
    <row r="881" spans="1:25" ht="15.75" customHeight="1">
      <c r="A881" s="22"/>
      <c r="B881" s="22"/>
      <c r="C881" s="22"/>
      <c r="D881" s="22"/>
      <c r="E881" s="22"/>
      <c r="F881" s="22"/>
      <c r="G881" s="22"/>
      <c r="H881" s="22"/>
      <c r="I881" s="22"/>
      <c r="J881" s="22"/>
      <c r="K881" s="22"/>
      <c r="L881" s="22"/>
      <c r="M881" s="22"/>
      <c r="N881" s="22"/>
      <c r="O881" s="22"/>
      <c r="P881" s="22"/>
      <c r="Q881" s="22"/>
      <c r="R881" s="22"/>
      <c r="S881" s="22"/>
      <c r="T881" s="22"/>
      <c r="U881" s="22"/>
      <c r="V881" s="22"/>
      <c r="W881" s="22"/>
      <c r="X881" s="22"/>
      <c r="Y881" s="22"/>
    </row>
    <row r="882" spans="1:25" ht="15.75" customHeight="1">
      <c r="A882" s="22"/>
      <c r="B882" s="22"/>
      <c r="C882" s="22"/>
      <c r="D882" s="22"/>
      <c r="E882" s="22"/>
      <c r="F882" s="22"/>
      <c r="G882" s="22"/>
      <c r="H882" s="22"/>
      <c r="I882" s="22"/>
      <c r="J882" s="22"/>
      <c r="K882" s="22"/>
      <c r="L882" s="22"/>
      <c r="M882" s="22"/>
      <c r="N882" s="22"/>
      <c r="O882" s="22"/>
      <c r="P882" s="22"/>
      <c r="Q882" s="22"/>
      <c r="R882" s="22"/>
      <c r="S882" s="22"/>
      <c r="T882" s="22"/>
      <c r="U882" s="22"/>
      <c r="V882" s="22"/>
      <c r="W882" s="22"/>
      <c r="X882" s="22"/>
      <c r="Y882" s="22"/>
    </row>
    <row r="883" spans="1:25" ht="15.75" customHeight="1">
      <c r="A883" s="22"/>
      <c r="B883" s="22"/>
      <c r="C883" s="22"/>
      <c r="D883" s="22"/>
      <c r="E883" s="22"/>
      <c r="F883" s="22"/>
      <c r="G883" s="22"/>
      <c r="H883" s="22"/>
      <c r="I883" s="22"/>
      <c r="J883" s="22"/>
      <c r="K883" s="22"/>
      <c r="L883" s="22"/>
      <c r="M883" s="22"/>
      <c r="N883" s="22"/>
      <c r="O883" s="22"/>
      <c r="P883" s="22"/>
      <c r="Q883" s="22"/>
      <c r="R883" s="22"/>
      <c r="S883" s="22"/>
      <c r="T883" s="22"/>
      <c r="U883" s="22"/>
      <c r="V883" s="22"/>
      <c r="W883" s="22"/>
      <c r="X883" s="22"/>
      <c r="Y883" s="22"/>
    </row>
    <row r="884" spans="1:25" ht="15.75" customHeight="1">
      <c r="A884" s="22"/>
      <c r="B884" s="22"/>
      <c r="C884" s="22"/>
      <c r="D884" s="22"/>
      <c r="E884" s="22"/>
      <c r="F884" s="22"/>
      <c r="G884" s="22"/>
      <c r="H884" s="22"/>
      <c r="I884" s="22"/>
      <c r="J884" s="22"/>
      <c r="K884" s="22"/>
      <c r="L884" s="22"/>
      <c r="M884" s="22"/>
      <c r="N884" s="22"/>
      <c r="O884" s="22"/>
      <c r="P884" s="22"/>
      <c r="Q884" s="22"/>
      <c r="R884" s="22"/>
      <c r="S884" s="22"/>
      <c r="T884" s="22"/>
      <c r="U884" s="22"/>
      <c r="V884" s="22"/>
      <c r="W884" s="22"/>
      <c r="X884" s="22"/>
      <c r="Y884" s="22"/>
    </row>
    <row r="885" spans="1:25" ht="15.75" customHeight="1">
      <c r="A885" s="22"/>
      <c r="B885" s="22"/>
      <c r="C885" s="22"/>
      <c r="D885" s="22"/>
      <c r="E885" s="22"/>
      <c r="F885" s="22"/>
      <c r="G885" s="22"/>
      <c r="H885" s="22"/>
      <c r="I885" s="22"/>
      <c r="J885" s="22"/>
      <c r="K885" s="22"/>
      <c r="L885" s="22"/>
      <c r="M885" s="22"/>
      <c r="N885" s="22"/>
      <c r="O885" s="22"/>
      <c r="P885" s="22"/>
      <c r="Q885" s="22"/>
      <c r="R885" s="22"/>
      <c r="S885" s="22"/>
      <c r="T885" s="22"/>
      <c r="U885" s="22"/>
      <c r="V885" s="22"/>
      <c r="W885" s="22"/>
      <c r="X885" s="22"/>
      <c r="Y885" s="22"/>
    </row>
    <row r="886" spans="1:25" ht="15.75" customHeight="1">
      <c r="A886" s="22"/>
      <c r="B886" s="22"/>
      <c r="C886" s="22"/>
      <c r="D886" s="22"/>
      <c r="E886" s="22"/>
      <c r="F886" s="22"/>
      <c r="G886" s="22"/>
      <c r="H886" s="22"/>
      <c r="I886" s="22"/>
      <c r="J886" s="22"/>
      <c r="K886" s="22"/>
      <c r="L886" s="22"/>
      <c r="M886" s="22"/>
      <c r="N886" s="22"/>
      <c r="O886" s="22"/>
      <c r="P886" s="22"/>
      <c r="Q886" s="22"/>
      <c r="R886" s="22"/>
      <c r="S886" s="22"/>
      <c r="T886" s="22"/>
      <c r="U886" s="22"/>
      <c r="V886" s="22"/>
      <c r="W886" s="22"/>
      <c r="X886" s="22"/>
      <c r="Y886" s="22"/>
    </row>
    <row r="887" spans="1:25" ht="15.75" customHeight="1">
      <c r="A887" s="22"/>
      <c r="B887" s="22"/>
      <c r="C887" s="22"/>
      <c r="D887" s="22"/>
      <c r="E887" s="22"/>
      <c r="F887" s="22"/>
      <c r="G887" s="22"/>
      <c r="H887" s="22"/>
      <c r="I887" s="22"/>
      <c r="J887" s="22"/>
      <c r="K887" s="22"/>
      <c r="L887" s="22"/>
      <c r="M887" s="22"/>
      <c r="N887" s="22"/>
      <c r="O887" s="22"/>
      <c r="P887" s="22"/>
      <c r="Q887" s="22"/>
      <c r="R887" s="22"/>
      <c r="S887" s="22"/>
      <c r="T887" s="22"/>
      <c r="U887" s="22"/>
      <c r="V887" s="22"/>
      <c r="W887" s="22"/>
      <c r="X887" s="22"/>
      <c r="Y887" s="22"/>
    </row>
    <row r="888" spans="1:25" ht="15.75" customHeight="1">
      <c r="A888" s="22"/>
      <c r="B888" s="22"/>
      <c r="C888" s="22"/>
      <c r="D888" s="22"/>
      <c r="E888" s="22"/>
      <c r="F888" s="22"/>
      <c r="G888" s="22"/>
      <c r="H888" s="22"/>
      <c r="I888" s="22"/>
      <c r="J888" s="22"/>
      <c r="K888" s="22"/>
      <c r="L888" s="22"/>
      <c r="M888" s="22"/>
      <c r="N888" s="22"/>
      <c r="O888" s="22"/>
      <c r="P888" s="22"/>
      <c r="Q888" s="22"/>
      <c r="R888" s="22"/>
      <c r="S888" s="22"/>
      <c r="T888" s="22"/>
      <c r="U888" s="22"/>
      <c r="V888" s="22"/>
      <c r="W888" s="22"/>
      <c r="X888" s="22"/>
      <c r="Y888" s="22"/>
    </row>
    <row r="889" spans="1:25" ht="15.75" customHeight="1">
      <c r="A889" s="22"/>
      <c r="B889" s="22"/>
      <c r="C889" s="22"/>
      <c r="D889" s="22"/>
      <c r="E889" s="22"/>
      <c r="F889" s="22"/>
      <c r="G889" s="22"/>
      <c r="H889" s="22"/>
      <c r="I889" s="22"/>
      <c r="J889" s="22"/>
      <c r="K889" s="22"/>
      <c r="L889" s="22"/>
      <c r="M889" s="22"/>
      <c r="N889" s="22"/>
      <c r="O889" s="22"/>
      <c r="P889" s="22"/>
      <c r="Q889" s="22"/>
      <c r="R889" s="22"/>
      <c r="S889" s="22"/>
      <c r="T889" s="22"/>
      <c r="U889" s="22"/>
      <c r="V889" s="22"/>
      <c r="W889" s="22"/>
      <c r="X889" s="22"/>
      <c r="Y889" s="22"/>
    </row>
    <row r="890" spans="1:25" ht="15.75" customHeight="1">
      <c r="A890" s="22"/>
      <c r="B890" s="22"/>
      <c r="C890" s="22"/>
      <c r="D890" s="22"/>
      <c r="E890" s="22"/>
      <c r="F890" s="22"/>
      <c r="G890" s="22"/>
      <c r="H890" s="22"/>
      <c r="I890" s="22"/>
      <c r="J890" s="22"/>
      <c r="K890" s="22"/>
      <c r="L890" s="22"/>
      <c r="M890" s="22"/>
      <c r="N890" s="22"/>
      <c r="O890" s="22"/>
      <c r="P890" s="22"/>
      <c r="Q890" s="22"/>
      <c r="R890" s="22"/>
      <c r="S890" s="22"/>
      <c r="T890" s="22"/>
      <c r="U890" s="22"/>
      <c r="V890" s="22"/>
      <c r="W890" s="22"/>
      <c r="X890" s="22"/>
      <c r="Y890" s="22"/>
    </row>
    <row r="891" spans="1:25" ht="15.75" customHeight="1">
      <c r="A891" s="22"/>
      <c r="B891" s="22"/>
      <c r="C891" s="22"/>
      <c r="D891" s="22"/>
      <c r="E891" s="22"/>
      <c r="F891" s="22"/>
      <c r="G891" s="22"/>
      <c r="H891" s="22"/>
      <c r="I891" s="22"/>
      <c r="J891" s="22"/>
      <c r="K891" s="22"/>
      <c r="L891" s="22"/>
      <c r="M891" s="22"/>
      <c r="N891" s="22"/>
      <c r="O891" s="22"/>
      <c r="P891" s="22"/>
      <c r="Q891" s="22"/>
      <c r="R891" s="22"/>
      <c r="S891" s="22"/>
      <c r="T891" s="22"/>
      <c r="U891" s="22"/>
      <c r="V891" s="22"/>
      <c r="W891" s="22"/>
      <c r="X891" s="22"/>
      <c r="Y891" s="22"/>
    </row>
    <row r="892" spans="1:25" ht="15.75" customHeight="1">
      <c r="A892" s="22"/>
      <c r="B892" s="22"/>
      <c r="C892" s="22"/>
      <c r="D892" s="22"/>
      <c r="E892" s="22"/>
      <c r="F892" s="22"/>
      <c r="G892" s="22"/>
      <c r="H892" s="22"/>
      <c r="I892" s="22"/>
      <c r="J892" s="22"/>
      <c r="K892" s="22"/>
      <c r="L892" s="22"/>
      <c r="M892" s="22"/>
      <c r="N892" s="22"/>
      <c r="O892" s="22"/>
      <c r="P892" s="22"/>
      <c r="Q892" s="22"/>
      <c r="R892" s="22"/>
      <c r="S892" s="22"/>
      <c r="T892" s="22"/>
      <c r="U892" s="22"/>
      <c r="V892" s="22"/>
      <c r="W892" s="22"/>
      <c r="X892" s="22"/>
      <c r="Y892" s="22"/>
    </row>
    <row r="893" spans="1:25" ht="15.75" customHeight="1">
      <c r="A893" s="22"/>
      <c r="B893" s="22"/>
      <c r="C893" s="22"/>
      <c r="D893" s="22"/>
      <c r="E893" s="22"/>
      <c r="F893" s="22"/>
      <c r="G893" s="22"/>
      <c r="H893" s="22"/>
      <c r="I893" s="22"/>
      <c r="J893" s="22"/>
      <c r="K893" s="22"/>
      <c r="L893" s="22"/>
      <c r="M893" s="22"/>
      <c r="N893" s="22"/>
      <c r="O893" s="22"/>
      <c r="P893" s="22"/>
      <c r="Q893" s="22"/>
      <c r="R893" s="22"/>
      <c r="S893" s="22"/>
      <c r="T893" s="22"/>
      <c r="U893" s="22"/>
      <c r="V893" s="22"/>
      <c r="W893" s="22"/>
      <c r="X893" s="22"/>
      <c r="Y893" s="22"/>
    </row>
    <row r="894" spans="1:25" ht="15.75" customHeight="1">
      <c r="A894" s="22"/>
      <c r="B894" s="22"/>
      <c r="C894" s="22"/>
      <c r="D894" s="22"/>
      <c r="E894" s="22"/>
      <c r="F894" s="22"/>
      <c r="G894" s="22"/>
      <c r="H894" s="22"/>
      <c r="I894" s="22"/>
      <c r="J894" s="22"/>
      <c r="K894" s="22"/>
      <c r="L894" s="22"/>
      <c r="M894" s="22"/>
      <c r="N894" s="22"/>
      <c r="O894" s="22"/>
      <c r="P894" s="22"/>
      <c r="Q894" s="22"/>
      <c r="R894" s="22"/>
      <c r="S894" s="22"/>
      <c r="T894" s="22"/>
      <c r="U894" s="22"/>
      <c r="V894" s="22"/>
      <c r="W894" s="22"/>
      <c r="X894" s="22"/>
      <c r="Y894" s="22"/>
    </row>
    <row r="895" spans="1:25" ht="15.75" customHeight="1">
      <c r="A895" s="22"/>
      <c r="B895" s="22"/>
      <c r="C895" s="22"/>
      <c r="D895" s="22"/>
      <c r="E895" s="22"/>
      <c r="F895" s="22"/>
      <c r="G895" s="22"/>
      <c r="H895" s="22"/>
      <c r="I895" s="22"/>
      <c r="J895" s="22"/>
      <c r="K895" s="22"/>
      <c r="L895" s="22"/>
      <c r="M895" s="22"/>
      <c r="N895" s="22"/>
      <c r="O895" s="22"/>
      <c r="P895" s="22"/>
      <c r="Q895" s="22"/>
      <c r="R895" s="22"/>
      <c r="S895" s="22"/>
      <c r="T895" s="22"/>
      <c r="U895" s="22"/>
      <c r="V895" s="22"/>
      <c r="W895" s="22"/>
      <c r="X895" s="22"/>
      <c r="Y895" s="22"/>
    </row>
    <row r="896" spans="1:25" ht="15.75" customHeight="1">
      <c r="A896" s="22"/>
      <c r="B896" s="22"/>
      <c r="C896" s="22"/>
      <c r="D896" s="22"/>
      <c r="E896" s="22"/>
      <c r="F896" s="22"/>
      <c r="G896" s="22"/>
      <c r="H896" s="22"/>
      <c r="I896" s="22"/>
      <c r="J896" s="22"/>
      <c r="K896" s="22"/>
      <c r="L896" s="22"/>
      <c r="M896" s="22"/>
      <c r="N896" s="22"/>
      <c r="O896" s="22"/>
      <c r="P896" s="22"/>
      <c r="Q896" s="22"/>
      <c r="R896" s="22"/>
      <c r="S896" s="22"/>
      <c r="T896" s="22"/>
      <c r="U896" s="22"/>
      <c r="V896" s="22"/>
      <c r="W896" s="22"/>
      <c r="X896" s="22"/>
      <c r="Y896" s="22"/>
    </row>
    <row r="897" spans="1:25" ht="15.75" customHeight="1">
      <c r="A897" s="22"/>
      <c r="B897" s="22"/>
      <c r="C897" s="22"/>
      <c r="D897" s="22"/>
      <c r="E897" s="22"/>
      <c r="F897" s="22"/>
      <c r="G897" s="22"/>
      <c r="H897" s="22"/>
      <c r="I897" s="22"/>
      <c r="J897" s="22"/>
      <c r="K897" s="22"/>
      <c r="L897" s="22"/>
      <c r="M897" s="22"/>
      <c r="N897" s="22"/>
      <c r="O897" s="22"/>
      <c r="P897" s="22"/>
      <c r="Q897" s="22"/>
      <c r="R897" s="22"/>
      <c r="S897" s="22"/>
      <c r="T897" s="22"/>
      <c r="U897" s="22"/>
      <c r="V897" s="22"/>
      <c r="W897" s="22"/>
      <c r="X897" s="22"/>
      <c r="Y897" s="22"/>
    </row>
    <row r="898" spans="1:25" ht="15.75" customHeight="1">
      <c r="A898" s="22"/>
      <c r="B898" s="22"/>
      <c r="C898" s="22"/>
      <c r="D898" s="22"/>
      <c r="E898" s="22"/>
      <c r="F898" s="22"/>
      <c r="G898" s="22"/>
      <c r="H898" s="22"/>
      <c r="I898" s="22"/>
      <c r="J898" s="22"/>
      <c r="K898" s="22"/>
      <c r="L898" s="22"/>
      <c r="M898" s="22"/>
      <c r="N898" s="22"/>
      <c r="O898" s="22"/>
      <c r="P898" s="22"/>
      <c r="Q898" s="22"/>
      <c r="R898" s="22"/>
      <c r="S898" s="22"/>
      <c r="T898" s="22"/>
      <c r="U898" s="22"/>
      <c r="V898" s="22"/>
      <c r="W898" s="22"/>
      <c r="X898" s="22"/>
      <c r="Y898" s="22"/>
    </row>
    <row r="899" spans="1:25" ht="15.75" customHeight="1">
      <c r="A899" s="22"/>
      <c r="B899" s="22"/>
      <c r="C899" s="22"/>
      <c r="D899" s="22"/>
      <c r="E899" s="22"/>
      <c r="F899" s="22"/>
      <c r="G899" s="22"/>
      <c r="H899" s="22"/>
      <c r="I899" s="22"/>
      <c r="J899" s="22"/>
      <c r="K899" s="22"/>
      <c r="L899" s="22"/>
      <c r="M899" s="22"/>
      <c r="N899" s="22"/>
      <c r="O899" s="22"/>
      <c r="P899" s="22"/>
      <c r="Q899" s="22"/>
      <c r="R899" s="22"/>
      <c r="S899" s="22"/>
      <c r="T899" s="22"/>
      <c r="U899" s="22"/>
      <c r="V899" s="22"/>
      <c r="W899" s="22"/>
      <c r="X899" s="22"/>
      <c r="Y899" s="22"/>
    </row>
    <row r="900" spans="1:25" ht="15.75" customHeight="1">
      <c r="A900" s="22"/>
      <c r="B900" s="22"/>
      <c r="C900" s="22"/>
      <c r="D900" s="22"/>
      <c r="E900" s="22"/>
      <c r="F900" s="22"/>
      <c r="G900" s="22"/>
      <c r="H900" s="22"/>
      <c r="I900" s="22"/>
      <c r="J900" s="22"/>
      <c r="K900" s="22"/>
      <c r="L900" s="22"/>
      <c r="M900" s="22"/>
      <c r="N900" s="22"/>
      <c r="O900" s="22"/>
      <c r="P900" s="22"/>
      <c r="Q900" s="22"/>
      <c r="R900" s="22"/>
      <c r="S900" s="22"/>
      <c r="T900" s="22"/>
      <c r="U900" s="22"/>
      <c r="V900" s="22"/>
      <c r="W900" s="22"/>
      <c r="X900" s="22"/>
      <c r="Y900" s="22"/>
    </row>
    <row r="901" spans="1:25" ht="15.75" customHeight="1">
      <c r="A901" s="22"/>
      <c r="B901" s="22"/>
      <c r="C901" s="22"/>
      <c r="D901" s="22"/>
      <c r="E901" s="22"/>
      <c r="F901" s="22"/>
      <c r="G901" s="22"/>
      <c r="H901" s="22"/>
      <c r="I901" s="22"/>
      <c r="J901" s="22"/>
      <c r="K901" s="22"/>
      <c r="L901" s="22"/>
      <c r="M901" s="22"/>
      <c r="N901" s="22"/>
      <c r="O901" s="22"/>
      <c r="P901" s="22"/>
      <c r="Q901" s="22"/>
      <c r="R901" s="22"/>
      <c r="S901" s="22"/>
      <c r="T901" s="22"/>
      <c r="U901" s="22"/>
      <c r="V901" s="22"/>
      <c r="W901" s="22"/>
      <c r="X901" s="22"/>
      <c r="Y901" s="22"/>
    </row>
    <row r="902" spans="1:25" ht="15.75" customHeight="1">
      <c r="A902" s="22"/>
      <c r="B902" s="22"/>
      <c r="C902" s="22"/>
      <c r="D902" s="22"/>
      <c r="E902" s="22"/>
      <c r="F902" s="22"/>
      <c r="G902" s="22"/>
      <c r="H902" s="22"/>
      <c r="I902" s="22"/>
      <c r="J902" s="22"/>
      <c r="K902" s="22"/>
      <c r="L902" s="22"/>
      <c r="M902" s="22"/>
      <c r="N902" s="22"/>
      <c r="O902" s="22"/>
      <c r="P902" s="22"/>
      <c r="Q902" s="22"/>
      <c r="R902" s="22"/>
      <c r="S902" s="22"/>
      <c r="T902" s="22"/>
      <c r="U902" s="22"/>
      <c r="V902" s="22"/>
      <c r="W902" s="22"/>
      <c r="X902" s="22"/>
      <c r="Y902" s="22"/>
    </row>
    <row r="903" spans="1:25" ht="15.75" customHeight="1">
      <c r="A903" s="22"/>
      <c r="B903" s="22"/>
      <c r="C903" s="22"/>
      <c r="D903" s="22"/>
      <c r="E903" s="22"/>
      <c r="F903" s="22"/>
      <c r="G903" s="22"/>
      <c r="H903" s="22"/>
      <c r="I903" s="22"/>
      <c r="J903" s="22"/>
      <c r="K903" s="22"/>
      <c r="L903" s="22"/>
      <c r="M903" s="22"/>
      <c r="N903" s="22"/>
      <c r="O903" s="22"/>
      <c r="P903" s="22"/>
      <c r="Q903" s="22"/>
      <c r="R903" s="22"/>
      <c r="S903" s="22"/>
      <c r="T903" s="22"/>
      <c r="U903" s="22"/>
      <c r="V903" s="22"/>
      <c r="W903" s="22"/>
      <c r="X903" s="22"/>
      <c r="Y903" s="22"/>
    </row>
    <row r="904" spans="1:25" ht="15.75" customHeight="1">
      <c r="A904" s="22"/>
      <c r="B904" s="22"/>
      <c r="C904" s="22"/>
      <c r="D904" s="22"/>
      <c r="E904" s="22"/>
      <c r="F904" s="22"/>
      <c r="G904" s="22"/>
      <c r="H904" s="22"/>
      <c r="I904" s="22"/>
      <c r="J904" s="22"/>
      <c r="K904" s="22"/>
      <c r="L904" s="22"/>
      <c r="M904" s="22"/>
      <c r="N904" s="22"/>
      <c r="O904" s="22"/>
      <c r="P904" s="22"/>
      <c r="Q904" s="22"/>
      <c r="R904" s="22"/>
      <c r="S904" s="22"/>
      <c r="T904" s="22"/>
      <c r="U904" s="22"/>
      <c r="V904" s="22"/>
      <c r="W904" s="22"/>
      <c r="X904" s="22"/>
      <c r="Y904" s="22"/>
    </row>
    <row r="905" spans="1:25" ht="15.75" customHeight="1">
      <c r="A905" s="22"/>
      <c r="B905" s="22"/>
      <c r="C905" s="22"/>
      <c r="D905" s="22"/>
      <c r="E905" s="22"/>
      <c r="F905" s="22"/>
      <c r="G905" s="22"/>
      <c r="H905" s="22"/>
      <c r="I905" s="22"/>
      <c r="J905" s="22"/>
      <c r="K905" s="22"/>
      <c r="L905" s="22"/>
      <c r="M905" s="22"/>
      <c r="N905" s="22"/>
      <c r="O905" s="22"/>
      <c r="P905" s="22"/>
      <c r="Q905" s="22"/>
      <c r="R905" s="22"/>
      <c r="S905" s="22"/>
      <c r="T905" s="22"/>
      <c r="U905" s="22"/>
      <c r="V905" s="22"/>
      <c r="W905" s="22"/>
      <c r="X905" s="22"/>
      <c r="Y905" s="22"/>
    </row>
    <row r="906" spans="1:25" ht="15.75" customHeight="1">
      <c r="A906" s="22"/>
      <c r="B906" s="22"/>
      <c r="C906" s="22"/>
      <c r="D906" s="22"/>
      <c r="E906" s="22"/>
      <c r="F906" s="22"/>
      <c r="G906" s="22"/>
      <c r="H906" s="22"/>
      <c r="I906" s="22"/>
      <c r="J906" s="22"/>
      <c r="K906" s="22"/>
      <c r="L906" s="22"/>
      <c r="M906" s="22"/>
      <c r="N906" s="22"/>
      <c r="O906" s="22"/>
      <c r="P906" s="22"/>
      <c r="Q906" s="22"/>
      <c r="R906" s="22"/>
      <c r="S906" s="22"/>
      <c r="T906" s="22"/>
      <c r="U906" s="22"/>
      <c r="V906" s="22"/>
      <c r="W906" s="22"/>
      <c r="X906" s="22"/>
      <c r="Y906" s="22"/>
    </row>
    <row r="907" spans="1:25" ht="15.75" customHeight="1">
      <c r="A907" s="22"/>
      <c r="B907" s="22"/>
      <c r="C907" s="22"/>
      <c r="D907" s="22"/>
      <c r="E907" s="22"/>
      <c r="F907" s="22"/>
      <c r="G907" s="22"/>
      <c r="H907" s="22"/>
      <c r="I907" s="22"/>
      <c r="J907" s="22"/>
      <c r="K907" s="22"/>
      <c r="L907" s="22"/>
      <c r="M907" s="22"/>
      <c r="N907" s="22"/>
      <c r="O907" s="22"/>
      <c r="P907" s="22"/>
      <c r="Q907" s="22"/>
      <c r="R907" s="22"/>
      <c r="S907" s="22"/>
      <c r="T907" s="22"/>
      <c r="U907" s="22"/>
      <c r="V907" s="22"/>
      <c r="W907" s="22"/>
      <c r="X907" s="22"/>
      <c r="Y907" s="22"/>
    </row>
    <row r="908" spans="1:25" ht="15.75" customHeight="1">
      <c r="A908" s="22"/>
      <c r="B908" s="22"/>
      <c r="C908" s="22"/>
      <c r="D908" s="22"/>
      <c r="E908" s="22"/>
      <c r="F908" s="22"/>
      <c r="G908" s="22"/>
      <c r="H908" s="22"/>
      <c r="I908" s="22"/>
      <c r="J908" s="22"/>
      <c r="K908" s="22"/>
      <c r="L908" s="22"/>
      <c r="M908" s="22"/>
      <c r="N908" s="22"/>
      <c r="O908" s="22"/>
      <c r="P908" s="22"/>
      <c r="Q908" s="22"/>
      <c r="R908" s="22"/>
      <c r="S908" s="22"/>
      <c r="T908" s="22"/>
      <c r="U908" s="22"/>
      <c r="V908" s="22"/>
      <c r="W908" s="22"/>
      <c r="X908" s="22"/>
      <c r="Y908" s="22"/>
    </row>
    <row r="909" spans="1:25" ht="15.75" customHeight="1">
      <c r="A909" s="22"/>
      <c r="B909" s="22"/>
      <c r="C909" s="22"/>
      <c r="D909" s="22"/>
      <c r="E909" s="22"/>
      <c r="F909" s="22"/>
      <c r="G909" s="22"/>
      <c r="H909" s="22"/>
      <c r="I909" s="22"/>
      <c r="J909" s="22"/>
      <c r="K909" s="22"/>
      <c r="L909" s="22"/>
      <c r="M909" s="22"/>
      <c r="N909" s="22"/>
      <c r="O909" s="22"/>
      <c r="P909" s="22"/>
      <c r="Q909" s="22"/>
      <c r="R909" s="22"/>
      <c r="S909" s="22"/>
      <c r="T909" s="22"/>
      <c r="U909" s="22"/>
      <c r="V909" s="22"/>
      <c r="W909" s="22"/>
      <c r="X909" s="22"/>
      <c r="Y909" s="22"/>
    </row>
    <row r="910" spans="1:25" ht="15.75" customHeight="1">
      <c r="A910" s="22"/>
      <c r="B910" s="22"/>
      <c r="C910" s="22"/>
      <c r="D910" s="22"/>
      <c r="E910" s="22"/>
      <c r="F910" s="22"/>
      <c r="G910" s="22"/>
      <c r="H910" s="22"/>
      <c r="I910" s="22"/>
      <c r="J910" s="22"/>
      <c r="K910" s="22"/>
      <c r="L910" s="22"/>
      <c r="M910" s="22"/>
      <c r="N910" s="22"/>
      <c r="O910" s="22"/>
      <c r="P910" s="22"/>
      <c r="Q910" s="22"/>
      <c r="R910" s="22"/>
      <c r="S910" s="22"/>
      <c r="T910" s="22"/>
      <c r="U910" s="22"/>
      <c r="V910" s="22"/>
      <c r="W910" s="22"/>
      <c r="X910" s="22"/>
      <c r="Y910" s="22"/>
    </row>
    <row r="911" spans="1:25" ht="15.75" customHeight="1">
      <c r="A911" s="22"/>
      <c r="B911" s="22"/>
      <c r="C911" s="22"/>
      <c r="D911" s="22"/>
      <c r="E911" s="22"/>
      <c r="F911" s="22"/>
      <c r="G911" s="22"/>
      <c r="H911" s="22"/>
      <c r="I911" s="22"/>
      <c r="J911" s="22"/>
      <c r="K911" s="22"/>
      <c r="L911" s="22"/>
      <c r="M911" s="22"/>
      <c r="N911" s="22"/>
      <c r="O911" s="22"/>
      <c r="P911" s="22"/>
      <c r="Q911" s="22"/>
      <c r="R911" s="22"/>
      <c r="S911" s="22"/>
      <c r="T911" s="22"/>
      <c r="U911" s="22"/>
      <c r="V911" s="22"/>
      <c r="W911" s="22"/>
      <c r="X911" s="22"/>
      <c r="Y911" s="22"/>
    </row>
    <row r="912" spans="1:25" ht="15.75" customHeight="1">
      <c r="A912" s="22"/>
      <c r="B912" s="22"/>
      <c r="C912" s="22"/>
      <c r="D912" s="22"/>
      <c r="E912" s="22"/>
      <c r="F912" s="22"/>
      <c r="G912" s="22"/>
      <c r="H912" s="22"/>
      <c r="I912" s="22"/>
      <c r="J912" s="22"/>
      <c r="K912" s="22"/>
      <c r="L912" s="22"/>
      <c r="M912" s="22"/>
      <c r="N912" s="22"/>
      <c r="O912" s="22"/>
      <c r="P912" s="22"/>
      <c r="Q912" s="22"/>
      <c r="R912" s="22"/>
      <c r="S912" s="22"/>
      <c r="T912" s="22"/>
      <c r="U912" s="22"/>
      <c r="V912" s="22"/>
      <c r="W912" s="22"/>
      <c r="X912" s="22"/>
      <c r="Y912" s="22"/>
    </row>
    <row r="913" spans="1:25" ht="15.75" customHeight="1">
      <c r="A913" s="22"/>
      <c r="B913" s="22"/>
      <c r="C913" s="22"/>
      <c r="D913" s="22"/>
      <c r="E913" s="22"/>
      <c r="F913" s="22"/>
      <c r="G913" s="22"/>
      <c r="H913" s="22"/>
      <c r="I913" s="22"/>
      <c r="J913" s="22"/>
      <c r="K913" s="22"/>
      <c r="L913" s="22"/>
      <c r="M913" s="22"/>
      <c r="N913" s="22"/>
      <c r="O913" s="22"/>
      <c r="P913" s="22"/>
      <c r="Q913" s="22"/>
      <c r="R913" s="22"/>
      <c r="S913" s="22"/>
      <c r="T913" s="22"/>
      <c r="U913" s="22"/>
      <c r="V913" s="22"/>
      <c r="W913" s="22"/>
      <c r="X913" s="22"/>
      <c r="Y913" s="22"/>
    </row>
    <row r="914" spans="1:25" ht="15.75" customHeight="1">
      <c r="A914" s="22"/>
      <c r="B914" s="22"/>
      <c r="C914" s="22"/>
      <c r="D914" s="22"/>
      <c r="E914" s="22"/>
      <c r="F914" s="22"/>
      <c r="G914" s="22"/>
      <c r="H914" s="22"/>
      <c r="I914" s="22"/>
      <c r="J914" s="22"/>
      <c r="K914" s="22"/>
      <c r="L914" s="22"/>
      <c r="M914" s="22"/>
      <c r="N914" s="22"/>
      <c r="O914" s="22"/>
      <c r="P914" s="22"/>
      <c r="Q914" s="22"/>
      <c r="R914" s="22"/>
      <c r="S914" s="22"/>
      <c r="T914" s="22"/>
      <c r="U914" s="22"/>
      <c r="V914" s="22"/>
      <c r="W914" s="22"/>
      <c r="X914" s="22"/>
      <c r="Y914" s="22"/>
    </row>
    <row r="915" spans="1:25" ht="15.75" customHeight="1">
      <c r="A915" s="22"/>
      <c r="B915" s="22"/>
      <c r="C915" s="22"/>
      <c r="D915" s="22"/>
      <c r="E915" s="22"/>
      <c r="F915" s="22"/>
      <c r="G915" s="22"/>
      <c r="H915" s="22"/>
      <c r="I915" s="22"/>
      <c r="J915" s="22"/>
      <c r="K915" s="22"/>
      <c r="L915" s="22"/>
      <c r="M915" s="22"/>
      <c r="N915" s="22"/>
      <c r="O915" s="22"/>
      <c r="P915" s="22"/>
      <c r="Q915" s="22"/>
      <c r="R915" s="22"/>
      <c r="S915" s="22"/>
      <c r="T915" s="22"/>
      <c r="U915" s="22"/>
      <c r="V915" s="22"/>
      <c r="W915" s="22"/>
      <c r="X915" s="22"/>
      <c r="Y915" s="22"/>
    </row>
    <row r="916" spans="1:25" ht="15.75" customHeight="1">
      <c r="A916" s="22"/>
      <c r="B916" s="22"/>
      <c r="C916" s="22"/>
      <c r="D916" s="22"/>
      <c r="E916" s="22"/>
      <c r="F916" s="22"/>
      <c r="G916" s="22"/>
      <c r="H916" s="22"/>
      <c r="I916" s="22"/>
      <c r="J916" s="22"/>
      <c r="K916" s="22"/>
      <c r="L916" s="22"/>
      <c r="M916" s="22"/>
      <c r="N916" s="22"/>
      <c r="O916" s="22"/>
      <c r="P916" s="22"/>
      <c r="Q916" s="22"/>
      <c r="R916" s="22"/>
      <c r="S916" s="22"/>
      <c r="T916" s="22"/>
      <c r="U916" s="22"/>
      <c r="V916" s="22"/>
      <c r="W916" s="22"/>
      <c r="X916" s="22"/>
      <c r="Y916" s="22"/>
    </row>
    <row r="917" spans="1:25" ht="15.75" customHeight="1">
      <c r="A917" s="22"/>
      <c r="B917" s="22"/>
      <c r="C917" s="22"/>
      <c r="D917" s="22"/>
      <c r="E917" s="22"/>
      <c r="F917" s="22"/>
      <c r="G917" s="22"/>
      <c r="H917" s="22"/>
      <c r="I917" s="22"/>
      <c r="J917" s="22"/>
      <c r="K917" s="22"/>
      <c r="L917" s="22"/>
      <c r="M917" s="22"/>
      <c r="N917" s="22"/>
      <c r="O917" s="22"/>
      <c r="P917" s="22"/>
      <c r="Q917" s="22"/>
      <c r="R917" s="22"/>
      <c r="S917" s="22"/>
      <c r="T917" s="22"/>
      <c r="U917" s="22"/>
      <c r="V917" s="22"/>
      <c r="W917" s="22"/>
      <c r="X917" s="22"/>
      <c r="Y917" s="22"/>
    </row>
    <row r="918" spans="1:25" ht="15.75" customHeight="1">
      <c r="A918" s="22"/>
      <c r="B918" s="22"/>
      <c r="C918" s="22"/>
      <c r="D918" s="22"/>
      <c r="E918" s="22"/>
      <c r="F918" s="22"/>
      <c r="G918" s="22"/>
      <c r="H918" s="22"/>
      <c r="I918" s="22"/>
      <c r="J918" s="22"/>
      <c r="K918" s="22"/>
      <c r="L918" s="22"/>
      <c r="M918" s="22"/>
      <c r="N918" s="22"/>
      <c r="O918" s="22"/>
      <c r="P918" s="22"/>
      <c r="Q918" s="22"/>
      <c r="R918" s="22"/>
      <c r="S918" s="22"/>
      <c r="T918" s="22"/>
      <c r="U918" s="22"/>
      <c r="V918" s="22"/>
      <c r="W918" s="22"/>
      <c r="X918" s="22"/>
      <c r="Y918" s="22"/>
    </row>
    <row r="919" spans="1:25" ht="15.75" customHeight="1">
      <c r="A919" s="22"/>
      <c r="B919" s="22"/>
      <c r="C919" s="22"/>
      <c r="D919" s="22"/>
      <c r="E919" s="22"/>
      <c r="F919" s="22"/>
      <c r="G919" s="22"/>
      <c r="H919" s="22"/>
      <c r="I919" s="22"/>
      <c r="J919" s="22"/>
      <c r="K919" s="22"/>
      <c r="L919" s="22"/>
      <c r="M919" s="22"/>
      <c r="N919" s="22"/>
      <c r="O919" s="22"/>
      <c r="P919" s="22"/>
      <c r="Q919" s="22"/>
      <c r="R919" s="22"/>
      <c r="S919" s="22"/>
      <c r="T919" s="22"/>
      <c r="U919" s="22"/>
      <c r="V919" s="22"/>
      <c r="W919" s="22"/>
      <c r="X919" s="22"/>
      <c r="Y919" s="22"/>
    </row>
    <row r="920" spans="1:25" ht="15.75" customHeight="1">
      <c r="A920" s="22"/>
      <c r="B920" s="22"/>
      <c r="C920" s="22"/>
      <c r="D920" s="22"/>
      <c r="E920" s="22"/>
      <c r="F920" s="22"/>
      <c r="G920" s="22"/>
      <c r="H920" s="22"/>
      <c r="I920" s="22"/>
      <c r="J920" s="22"/>
      <c r="K920" s="22"/>
      <c r="L920" s="22"/>
      <c r="M920" s="22"/>
      <c r="N920" s="22"/>
      <c r="O920" s="22"/>
      <c r="P920" s="22"/>
      <c r="Q920" s="22"/>
      <c r="R920" s="22"/>
      <c r="S920" s="22"/>
      <c r="T920" s="22"/>
      <c r="U920" s="22"/>
      <c r="V920" s="22"/>
      <c r="W920" s="22"/>
      <c r="X920" s="22"/>
      <c r="Y920" s="22"/>
    </row>
    <row r="921" spans="1:25" ht="15.75" customHeight="1">
      <c r="A921" s="22"/>
      <c r="B921" s="22"/>
      <c r="C921" s="22"/>
      <c r="D921" s="22"/>
      <c r="E921" s="22"/>
      <c r="F921" s="22"/>
      <c r="G921" s="22"/>
      <c r="H921" s="22"/>
      <c r="I921" s="22"/>
      <c r="J921" s="22"/>
      <c r="K921" s="22"/>
      <c r="L921" s="22"/>
      <c r="M921" s="22"/>
      <c r="N921" s="22"/>
      <c r="O921" s="22"/>
      <c r="P921" s="22"/>
      <c r="Q921" s="22"/>
      <c r="R921" s="22"/>
      <c r="S921" s="22"/>
      <c r="T921" s="22"/>
      <c r="U921" s="22"/>
      <c r="V921" s="22"/>
      <c r="W921" s="22"/>
      <c r="X921" s="22"/>
      <c r="Y921" s="22"/>
    </row>
    <row r="922" spans="1:25" ht="15.75" customHeight="1">
      <c r="A922" s="22"/>
      <c r="B922" s="22"/>
      <c r="C922" s="22"/>
      <c r="D922" s="22"/>
      <c r="E922" s="22"/>
      <c r="F922" s="22"/>
      <c r="G922" s="22"/>
      <c r="H922" s="22"/>
      <c r="I922" s="22"/>
      <c r="J922" s="22"/>
      <c r="K922" s="22"/>
      <c r="L922" s="22"/>
      <c r="M922" s="22"/>
      <c r="N922" s="22"/>
      <c r="O922" s="22"/>
      <c r="P922" s="22"/>
      <c r="Q922" s="22"/>
      <c r="R922" s="22"/>
      <c r="S922" s="22"/>
      <c r="T922" s="22"/>
      <c r="U922" s="22"/>
      <c r="V922" s="22"/>
      <c r="W922" s="22"/>
      <c r="X922" s="22"/>
      <c r="Y922" s="22"/>
    </row>
    <row r="923" spans="1:25" ht="15.75" customHeight="1">
      <c r="A923" s="22"/>
      <c r="B923" s="22"/>
      <c r="C923" s="22"/>
      <c r="D923" s="22"/>
      <c r="E923" s="22"/>
      <c r="F923" s="22"/>
      <c r="G923" s="22"/>
      <c r="H923" s="22"/>
      <c r="I923" s="22"/>
      <c r="J923" s="22"/>
      <c r="K923" s="22"/>
      <c r="L923" s="22"/>
      <c r="M923" s="22"/>
      <c r="N923" s="22"/>
      <c r="O923" s="22"/>
      <c r="P923" s="22"/>
      <c r="Q923" s="22"/>
      <c r="R923" s="22"/>
      <c r="S923" s="22"/>
      <c r="T923" s="22"/>
      <c r="U923" s="22"/>
      <c r="V923" s="22"/>
      <c r="W923" s="22"/>
      <c r="X923" s="22"/>
      <c r="Y923" s="22"/>
    </row>
    <row r="924" spans="1:25" ht="15.75" customHeight="1">
      <c r="A924" s="22"/>
      <c r="B924" s="22"/>
      <c r="C924" s="22"/>
      <c r="D924" s="22"/>
      <c r="E924" s="22"/>
      <c r="F924" s="22"/>
      <c r="G924" s="22"/>
      <c r="H924" s="22"/>
      <c r="I924" s="22"/>
      <c r="J924" s="22"/>
      <c r="K924" s="22"/>
      <c r="L924" s="22"/>
      <c r="M924" s="22"/>
      <c r="N924" s="22"/>
      <c r="O924" s="22"/>
      <c r="P924" s="22"/>
      <c r="Q924" s="22"/>
      <c r="R924" s="22"/>
      <c r="S924" s="22"/>
      <c r="T924" s="22"/>
      <c r="U924" s="22"/>
      <c r="V924" s="22"/>
      <c r="W924" s="22"/>
      <c r="X924" s="22"/>
      <c r="Y924" s="22"/>
    </row>
    <row r="925" spans="1:25" ht="15.75" customHeight="1">
      <c r="A925" s="22"/>
      <c r="B925" s="22"/>
      <c r="C925" s="22"/>
      <c r="D925" s="22"/>
      <c r="E925" s="22"/>
      <c r="F925" s="22"/>
      <c r="G925" s="22"/>
      <c r="H925" s="22"/>
      <c r="I925" s="22"/>
      <c r="J925" s="22"/>
      <c r="K925" s="22"/>
      <c r="L925" s="22"/>
      <c r="M925" s="22"/>
      <c r="N925" s="22"/>
      <c r="O925" s="22"/>
      <c r="P925" s="22"/>
      <c r="Q925" s="22"/>
      <c r="R925" s="22"/>
      <c r="S925" s="22"/>
      <c r="T925" s="22"/>
      <c r="U925" s="22"/>
      <c r="V925" s="22"/>
      <c r="W925" s="22"/>
      <c r="X925" s="22"/>
      <c r="Y925" s="22"/>
    </row>
    <row r="926" spans="1:25" ht="15.75" customHeight="1">
      <c r="A926" s="22"/>
      <c r="B926" s="22"/>
      <c r="C926" s="22"/>
      <c r="D926" s="22"/>
      <c r="E926" s="22"/>
      <c r="F926" s="22"/>
      <c r="G926" s="22"/>
      <c r="H926" s="22"/>
      <c r="I926" s="22"/>
      <c r="J926" s="22"/>
      <c r="K926" s="22"/>
      <c r="L926" s="22"/>
      <c r="M926" s="22"/>
      <c r="N926" s="22"/>
      <c r="O926" s="22"/>
      <c r="P926" s="22"/>
      <c r="Q926" s="22"/>
      <c r="R926" s="22"/>
      <c r="S926" s="22"/>
      <c r="T926" s="22"/>
      <c r="U926" s="22"/>
      <c r="V926" s="22"/>
      <c r="W926" s="22"/>
      <c r="X926" s="22"/>
      <c r="Y926" s="22"/>
    </row>
    <row r="927" spans="1:25" ht="15.75" customHeight="1">
      <c r="A927" s="22"/>
      <c r="B927" s="22"/>
      <c r="C927" s="22"/>
      <c r="D927" s="22"/>
      <c r="E927" s="22"/>
      <c r="F927" s="22"/>
      <c r="G927" s="22"/>
      <c r="H927" s="22"/>
      <c r="I927" s="22"/>
      <c r="J927" s="22"/>
      <c r="K927" s="22"/>
      <c r="L927" s="22"/>
      <c r="M927" s="22"/>
      <c r="N927" s="22"/>
      <c r="O927" s="22"/>
      <c r="P927" s="22"/>
      <c r="Q927" s="22"/>
      <c r="R927" s="22"/>
      <c r="S927" s="22"/>
      <c r="T927" s="22"/>
      <c r="U927" s="22"/>
      <c r="V927" s="22"/>
      <c r="W927" s="22"/>
      <c r="X927" s="22"/>
      <c r="Y927" s="22"/>
    </row>
    <row r="928" spans="1:25" ht="15.75" customHeight="1">
      <c r="A928" s="22"/>
      <c r="B928" s="22"/>
      <c r="C928" s="22"/>
      <c r="D928" s="22"/>
      <c r="E928" s="22"/>
      <c r="F928" s="22"/>
      <c r="G928" s="22"/>
      <c r="H928" s="22"/>
      <c r="I928" s="22"/>
      <c r="J928" s="22"/>
      <c r="K928" s="22"/>
      <c r="L928" s="22"/>
      <c r="M928" s="22"/>
      <c r="N928" s="22"/>
      <c r="O928" s="22"/>
      <c r="P928" s="22"/>
      <c r="Q928" s="22"/>
      <c r="R928" s="22"/>
      <c r="S928" s="22"/>
      <c r="T928" s="22"/>
      <c r="U928" s="22"/>
      <c r="V928" s="22"/>
      <c r="W928" s="22"/>
      <c r="X928" s="22"/>
      <c r="Y928" s="22"/>
    </row>
    <row r="929" spans="1:25" ht="15.75" customHeight="1">
      <c r="A929" s="22"/>
      <c r="B929" s="22"/>
      <c r="C929" s="22"/>
      <c r="D929" s="22"/>
      <c r="E929" s="22"/>
      <c r="F929" s="22"/>
      <c r="G929" s="22"/>
      <c r="H929" s="22"/>
      <c r="I929" s="22"/>
      <c r="J929" s="22"/>
      <c r="K929" s="22"/>
      <c r="L929" s="22"/>
      <c r="M929" s="22"/>
      <c r="N929" s="22"/>
      <c r="O929" s="22"/>
      <c r="P929" s="22"/>
      <c r="Q929" s="22"/>
      <c r="R929" s="22"/>
      <c r="S929" s="22"/>
      <c r="T929" s="22"/>
      <c r="U929" s="22"/>
      <c r="V929" s="22"/>
      <c r="W929" s="22"/>
      <c r="X929" s="22"/>
      <c r="Y929" s="22"/>
    </row>
    <row r="930" spans="1:25" ht="15.75" customHeight="1">
      <c r="A930" s="22"/>
      <c r="B930" s="22"/>
      <c r="C930" s="22"/>
      <c r="D930" s="22"/>
      <c r="E930" s="22"/>
      <c r="F930" s="22"/>
      <c r="G930" s="22"/>
      <c r="H930" s="22"/>
      <c r="I930" s="22"/>
      <c r="J930" s="22"/>
      <c r="K930" s="22"/>
      <c r="L930" s="22"/>
      <c r="M930" s="22"/>
      <c r="N930" s="22"/>
      <c r="O930" s="22"/>
      <c r="P930" s="22"/>
      <c r="Q930" s="22"/>
      <c r="R930" s="22"/>
      <c r="S930" s="22"/>
      <c r="T930" s="22"/>
      <c r="U930" s="22"/>
      <c r="V930" s="22"/>
      <c r="W930" s="22"/>
      <c r="X930" s="22"/>
      <c r="Y930" s="22"/>
    </row>
    <row r="931" spans="1:25" ht="15.75" customHeight="1">
      <c r="A931" s="22"/>
      <c r="B931" s="22"/>
      <c r="C931" s="22"/>
      <c r="D931" s="22"/>
      <c r="E931" s="22"/>
      <c r="F931" s="22"/>
      <c r="G931" s="22"/>
      <c r="H931" s="22"/>
      <c r="I931" s="22"/>
      <c r="J931" s="22"/>
      <c r="K931" s="22"/>
      <c r="L931" s="22"/>
      <c r="M931" s="22"/>
      <c r="N931" s="22"/>
      <c r="O931" s="22"/>
      <c r="P931" s="22"/>
      <c r="Q931" s="22"/>
      <c r="R931" s="22"/>
      <c r="S931" s="22"/>
      <c r="T931" s="22"/>
      <c r="U931" s="22"/>
      <c r="V931" s="22"/>
      <c r="W931" s="22"/>
      <c r="X931" s="22"/>
      <c r="Y931" s="22"/>
    </row>
    <row r="932" spans="1:25" ht="15.75" customHeight="1">
      <c r="A932" s="22"/>
      <c r="B932" s="22"/>
      <c r="C932" s="22"/>
      <c r="D932" s="22"/>
      <c r="E932" s="22"/>
      <c r="F932" s="22"/>
      <c r="G932" s="22"/>
      <c r="H932" s="22"/>
      <c r="I932" s="22"/>
      <c r="J932" s="22"/>
      <c r="K932" s="22"/>
      <c r="L932" s="22"/>
      <c r="M932" s="22"/>
      <c r="N932" s="22"/>
      <c r="O932" s="22"/>
      <c r="P932" s="22"/>
      <c r="Q932" s="22"/>
      <c r="R932" s="22"/>
      <c r="S932" s="22"/>
      <c r="T932" s="22"/>
      <c r="U932" s="22"/>
      <c r="V932" s="22"/>
      <c r="W932" s="22"/>
      <c r="X932" s="22"/>
      <c r="Y932" s="22"/>
    </row>
    <row r="933" spans="1:25" ht="15.75" customHeight="1">
      <c r="A933" s="22"/>
      <c r="B933" s="22"/>
      <c r="C933" s="22"/>
      <c r="D933" s="22"/>
      <c r="E933" s="22"/>
      <c r="F933" s="22"/>
      <c r="G933" s="22"/>
      <c r="H933" s="22"/>
      <c r="I933" s="22"/>
      <c r="J933" s="22"/>
      <c r="K933" s="22"/>
      <c r="L933" s="22"/>
      <c r="M933" s="22"/>
      <c r="N933" s="22"/>
      <c r="O933" s="22"/>
      <c r="P933" s="22"/>
      <c r="Q933" s="22"/>
      <c r="R933" s="22"/>
      <c r="S933" s="22"/>
      <c r="T933" s="22"/>
      <c r="U933" s="22"/>
      <c r="V933" s="22"/>
      <c r="W933" s="22"/>
      <c r="X933" s="22"/>
      <c r="Y933" s="22"/>
    </row>
    <row r="934" spans="1:25" ht="15.75" customHeight="1">
      <c r="A934" s="22"/>
      <c r="B934" s="22"/>
      <c r="C934" s="22"/>
      <c r="D934" s="22"/>
      <c r="E934" s="22"/>
      <c r="F934" s="22"/>
      <c r="G934" s="22"/>
      <c r="H934" s="22"/>
      <c r="I934" s="22"/>
      <c r="J934" s="22"/>
      <c r="K934" s="22"/>
      <c r="L934" s="22"/>
      <c r="M934" s="22"/>
      <c r="N934" s="22"/>
      <c r="O934" s="22"/>
      <c r="P934" s="22"/>
      <c r="Q934" s="22"/>
      <c r="R934" s="22"/>
      <c r="S934" s="22"/>
      <c r="T934" s="22"/>
      <c r="U934" s="22"/>
      <c r="V934" s="22"/>
      <c r="W934" s="22"/>
      <c r="X934" s="22"/>
      <c r="Y934" s="22"/>
    </row>
    <row r="935" spans="1:25" ht="15.75" customHeight="1">
      <c r="A935" s="22"/>
      <c r="B935" s="22"/>
      <c r="C935" s="22"/>
      <c r="D935" s="22"/>
      <c r="E935" s="22"/>
      <c r="F935" s="22"/>
      <c r="G935" s="22"/>
      <c r="H935" s="22"/>
      <c r="I935" s="22"/>
      <c r="J935" s="22"/>
      <c r="K935" s="22"/>
      <c r="L935" s="22"/>
      <c r="M935" s="22"/>
      <c r="N935" s="22"/>
      <c r="O935" s="22"/>
      <c r="P935" s="22"/>
      <c r="Q935" s="22"/>
      <c r="R935" s="22"/>
      <c r="S935" s="22"/>
      <c r="T935" s="22"/>
      <c r="U935" s="22"/>
      <c r="V935" s="22"/>
      <c r="W935" s="22"/>
      <c r="X935" s="22"/>
      <c r="Y935" s="22"/>
    </row>
    <row r="936" spans="1:25" ht="15.75" customHeight="1">
      <c r="A936" s="22"/>
      <c r="B936" s="22"/>
      <c r="C936" s="22"/>
      <c r="D936" s="22"/>
      <c r="E936" s="22"/>
      <c r="F936" s="22"/>
      <c r="G936" s="22"/>
      <c r="H936" s="22"/>
      <c r="I936" s="22"/>
      <c r="J936" s="22"/>
      <c r="K936" s="22"/>
      <c r="L936" s="22"/>
      <c r="M936" s="22"/>
      <c r="N936" s="22"/>
      <c r="O936" s="22"/>
      <c r="P936" s="22"/>
      <c r="Q936" s="22"/>
      <c r="R936" s="22"/>
      <c r="S936" s="22"/>
      <c r="T936" s="22"/>
      <c r="U936" s="22"/>
      <c r="V936" s="22"/>
      <c r="W936" s="22"/>
      <c r="X936" s="22"/>
      <c r="Y936" s="22"/>
    </row>
    <row r="937" spans="1:25" ht="15.75" customHeight="1">
      <c r="A937" s="22"/>
      <c r="B937" s="22"/>
      <c r="C937" s="22"/>
      <c r="D937" s="22"/>
      <c r="E937" s="22"/>
      <c r="F937" s="22"/>
      <c r="G937" s="22"/>
      <c r="H937" s="22"/>
      <c r="I937" s="22"/>
      <c r="J937" s="22"/>
      <c r="K937" s="22"/>
      <c r="L937" s="22"/>
      <c r="M937" s="22"/>
      <c r="N937" s="22"/>
      <c r="O937" s="22"/>
      <c r="P937" s="22"/>
      <c r="Q937" s="22"/>
      <c r="R937" s="22"/>
      <c r="S937" s="22"/>
      <c r="T937" s="22"/>
      <c r="U937" s="22"/>
      <c r="V937" s="22"/>
      <c r="W937" s="22"/>
      <c r="X937" s="22"/>
      <c r="Y937" s="22"/>
    </row>
    <row r="938" spans="1:25" ht="15.75" customHeight="1">
      <c r="A938" s="22"/>
      <c r="B938" s="22"/>
      <c r="C938" s="22"/>
      <c r="D938" s="22"/>
      <c r="E938" s="22"/>
      <c r="F938" s="22"/>
      <c r="G938" s="22"/>
      <c r="H938" s="22"/>
      <c r="I938" s="22"/>
      <c r="J938" s="22"/>
      <c r="K938" s="22"/>
      <c r="L938" s="22"/>
      <c r="M938" s="22"/>
      <c r="N938" s="22"/>
      <c r="O938" s="22"/>
      <c r="P938" s="22"/>
      <c r="Q938" s="22"/>
      <c r="R938" s="22"/>
      <c r="S938" s="22"/>
      <c r="T938" s="22"/>
      <c r="U938" s="22"/>
      <c r="V938" s="22"/>
      <c r="W938" s="22"/>
      <c r="X938" s="22"/>
      <c r="Y938" s="22"/>
    </row>
    <row r="939" spans="1:25" ht="15.75" customHeight="1">
      <c r="A939" s="22"/>
      <c r="B939" s="22"/>
      <c r="C939" s="22"/>
      <c r="D939" s="22"/>
      <c r="E939" s="22"/>
      <c r="F939" s="22"/>
      <c r="G939" s="22"/>
      <c r="H939" s="22"/>
      <c r="I939" s="22"/>
      <c r="J939" s="22"/>
      <c r="K939" s="22"/>
      <c r="L939" s="22"/>
      <c r="M939" s="22"/>
      <c r="N939" s="22"/>
      <c r="O939" s="22"/>
      <c r="P939" s="22"/>
      <c r="Q939" s="22"/>
      <c r="R939" s="22"/>
      <c r="S939" s="22"/>
      <c r="T939" s="22"/>
      <c r="U939" s="22"/>
      <c r="V939" s="22"/>
      <c r="W939" s="22"/>
      <c r="X939" s="22"/>
      <c r="Y939" s="22"/>
    </row>
    <row r="940" spans="1:25" ht="15.75" customHeight="1">
      <c r="A940" s="22"/>
      <c r="B940" s="22"/>
      <c r="C940" s="22"/>
      <c r="D940" s="22"/>
      <c r="E940" s="22"/>
      <c r="F940" s="22"/>
      <c r="G940" s="22"/>
      <c r="H940" s="22"/>
      <c r="I940" s="22"/>
      <c r="J940" s="22"/>
      <c r="K940" s="22"/>
      <c r="L940" s="22"/>
      <c r="M940" s="22"/>
      <c r="N940" s="22"/>
      <c r="O940" s="22"/>
      <c r="P940" s="22"/>
      <c r="Q940" s="22"/>
      <c r="R940" s="22"/>
      <c r="S940" s="22"/>
      <c r="T940" s="22"/>
      <c r="U940" s="22"/>
      <c r="V940" s="22"/>
      <c r="W940" s="22"/>
      <c r="X940" s="22"/>
      <c r="Y940" s="22"/>
    </row>
    <row r="941" spans="1:25" ht="15.75" customHeight="1">
      <c r="A941" s="22"/>
      <c r="B941" s="22"/>
      <c r="C941" s="22"/>
      <c r="D941" s="22"/>
      <c r="E941" s="22"/>
      <c r="F941" s="22"/>
      <c r="G941" s="22"/>
      <c r="H941" s="22"/>
      <c r="I941" s="22"/>
      <c r="J941" s="22"/>
      <c r="K941" s="22"/>
      <c r="L941" s="22"/>
      <c r="M941" s="22"/>
      <c r="N941" s="22"/>
      <c r="O941" s="22"/>
      <c r="P941" s="22"/>
      <c r="Q941" s="22"/>
      <c r="R941" s="22"/>
      <c r="S941" s="22"/>
      <c r="T941" s="22"/>
      <c r="U941" s="22"/>
      <c r="V941" s="22"/>
      <c r="W941" s="22"/>
      <c r="X941" s="22"/>
      <c r="Y941" s="22"/>
    </row>
    <row r="942" spans="1:25" ht="15.75" customHeight="1">
      <c r="A942" s="22"/>
      <c r="B942" s="22"/>
      <c r="C942" s="22"/>
      <c r="D942" s="22"/>
      <c r="E942" s="22"/>
      <c r="F942" s="22"/>
      <c r="G942" s="22"/>
      <c r="H942" s="22"/>
      <c r="I942" s="22"/>
      <c r="J942" s="22"/>
      <c r="K942" s="22"/>
      <c r="L942" s="22"/>
      <c r="M942" s="22"/>
      <c r="N942" s="22"/>
      <c r="O942" s="22"/>
      <c r="P942" s="22"/>
      <c r="Q942" s="22"/>
      <c r="R942" s="22"/>
      <c r="S942" s="22"/>
      <c r="T942" s="22"/>
      <c r="U942" s="22"/>
      <c r="V942" s="22"/>
      <c r="W942" s="22"/>
      <c r="X942" s="22"/>
      <c r="Y942" s="22"/>
    </row>
    <row r="943" spans="1:25" ht="15.75" customHeight="1">
      <c r="A943" s="22"/>
      <c r="B943" s="22"/>
      <c r="C943" s="22"/>
      <c r="D943" s="22"/>
      <c r="E943" s="22"/>
      <c r="F943" s="22"/>
      <c r="G943" s="22"/>
      <c r="H943" s="22"/>
      <c r="I943" s="22"/>
      <c r="J943" s="22"/>
      <c r="K943" s="22"/>
      <c r="L943" s="22"/>
      <c r="M943" s="22"/>
      <c r="N943" s="22"/>
      <c r="O943" s="22"/>
      <c r="P943" s="22"/>
      <c r="Q943" s="22"/>
      <c r="R943" s="22"/>
      <c r="S943" s="22"/>
      <c r="T943" s="22"/>
      <c r="U943" s="22"/>
      <c r="V943" s="22"/>
      <c r="W943" s="22"/>
      <c r="X943" s="22"/>
      <c r="Y943" s="22"/>
    </row>
    <row r="944" spans="1:25" ht="15.75" customHeight="1">
      <c r="A944" s="22"/>
      <c r="B944" s="22"/>
      <c r="C944" s="22"/>
      <c r="D944" s="22"/>
      <c r="E944" s="22"/>
      <c r="F944" s="22"/>
      <c r="G944" s="22"/>
      <c r="H944" s="22"/>
      <c r="I944" s="22"/>
      <c r="J944" s="22"/>
      <c r="K944" s="22"/>
      <c r="L944" s="22"/>
      <c r="M944" s="22"/>
      <c r="N944" s="22"/>
      <c r="O944" s="22"/>
      <c r="P944" s="22"/>
      <c r="Q944" s="22"/>
      <c r="R944" s="22"/>
      <c r="S944" s="22"/>
      <c r="T944" s="22"/>
      <c r="U944" s="22"/>
      <c r="V944" s="22"/>
      <c r="W944" s="22"/>
      <c r="X944" s="22"/>
      <c r="Y944" s="22"/>
    </row>
    <row r="945" spans="1:25" ht="15.75" customHeight="1">
      <c r="A945" s="22"/>
      <c r="B945" s="22"/>
      <c r="C945" s="22"/>
      <c r="D945" s="22"/>
      <c r="E945" s="22"/>
      <c r="F945" s="22"/>
      <c r="G945" s="22"/>
      <c r="H945" s="22"/>
      <c r="I945" s="22"/>
      <c r="J945" s="22"/>
      <c r="K945" s="22"/>
      <c r="L945" s="22"/>
      <c r="M945" s="22"/>
      <c r="N945" s="22"/>
      <c r="O945" s="22"/>
      <c r="P945" s="22"/>
      <c r="Q945" s="22"/>
      <c r="R945" s="22"/>
      <c r="S945" s="22"/>
      <c r="T945" s="22"/>
      <c r="U945" s="22"/>
      <c r="V945" s="22"/>
      <c r="W945" s="22"/>
      <c r="X945" s="22"/>
      <c r="Y945" s="22"/>
    </row>
    <row r="946" spans="1:25" ht="15.75" customHeight="1">
      <c r="A946" s="22"/>
      <c r="B946" s="22"/>
      <c r="C946" s="22"/>
      <c r="D946" s="22"/>
      <c r="E946" s="22"/>
      <c r="F946" s="22"/>
      <c r="G946" s="22"/>
      <c r="H946" s="22"/>
      <c r="I946" s="22"/>
      <c r="J946" s="22"/>
      <c r="K946" s="22"/>
      <c r="L946" s="22"/>
      <c r="M946" s="22"/>
      <c r="N946" s="22"/>
      <c r="O946" s="22"/>
      <c r="P946" s="22"/>
      <c r="Q946" s="22"/>
      <c r="R946" s="22"/>
      <c r="S946" s="22"/>
      <c r="T946" s="22"/>
      <c r="U946" s="22"/>
      <c r="V946" s="22"/>
      <c r="W946" s="22"/>
      <c r="X946" s="22"/>
      <c r="Y946" s="22"/>
    </row>
    <row r="947" spans="1:25" ht="15.75" customHeight="1">
      <c r="A947" s="22"/>
      <c r="B947" s="22"/>
      <c r="C947" s="22"/>
      <c r="D947" s="22"/>
      <c r="E947" s="22"/>
      <c r="F947" s="22"/>
      <c r="G947" s="22"/>
      <c r="H947" s="22"/>
      <c r="I947" s="22"/>
      <c r="J947" s="22"/>
      <c r="K947" s="22"/>
      <c r="L947" s="22"/>
      <c r="M947" s="22"/>
      <c r="N947" s="22"/>
      <c r="O947" s="22"/>
      <c r="P947" s="22"/>
      <c r="Q947" s="22"/>
      <c r="R947" s="22"/>
      <c r="S947" s="22"/>
      <c r="T947" s="22"/>
      <c r="U947" s="22"/>
      <c r="V947" s="22"/>
      <c r="W947" s="22"/>
      <c r="X947" s="22"/>
      <c r="Y947" s="22"/>
    </row>
    <row r="948" spans="1:25" ht="15.75" customHeight="1">
      <c r="A948" s="22"/>
      <c r="B948" s="22"/>
      <c r="C948" s="22"/>
      <c r="D948" s="22"/>
      <c r="E948" s="22"/>
      <c r="F948" s="22"/>
      <c r="G948" s="22"/>
      <c r="H948" s="22"/>
      <c r="I948" s="22"/>
      <c r="J948" s="22"/>
      <c r="K948" s="22"/>
      <c r="L948" s="22"/>
      <c r="M948" s="22"/>
      <c r="N948" s="22"/>
      <c r="O948" s="22"/>
      <c r="P948" s="22"/>
      <c r="Q948" s="22"/>
      <c r="R948" s="22"/>
      <c r="S948" s="22"/>
      <c r="T948" s="22"/>
      <c r="U948" s="22"/>
      <c r="V948" s="22"/>
      <c r="W948" s="22"/>
      <c r="X948" s="22"/>
      <c r="Y948" s="22"/>
    </row>
    <row r="949" spans="1:25" ht="15.75" customHeight="1">
      <c r="A949" s="22"/>
      <c r="B949" s="22"/>
      <c r="C949" s="22"/>
      <c r="D949" s="22"/>
      <c r="E949" s="22"/>
      <c r="F949" s="22"/>
      <c r="G949" s="22"/>
      <c r="H949" s="22"/>
      <c r="I949" s="22"/>
      <c r="J949" s="22"/>
      <c r="K949" s="22"/>
      <c r="L949" s="22"/>
      <c r="M949" s="22"/>
      <c r="N949" s="22"/>
      <c r="O949" s="22"/>
      <c r="P949" s="22"/>
      <c r="Q949" s="22"/>
      <c r="R949" s="22"/>
      <c r="S949" s="22"/>
      <c r="T949" s="22"/>
      <c r="U949" s="22"/>
      <c r="V949" s="22"/>
      <c r="W949" s="22"/>
      <c r="X949" s="22"/>
      <c r="Y949" s="22"/>
    </row>
    <row r="950" spans="1:25" ht="15.75" customHeight="1">
      <c r="A950" s="22"/>
      <c r="B950" s="22"/>
      <c r="C950" s="22"/>
      <c r="D950" s="22"/>
      <c r="E950" s="22"/>
      <c r="F950" s="22"/>
      <c r="G950" s="22"/>
      <c r="H950" s="22"/>
      <c r="I950" s="22"/>
      <c r="J950" s="22"/>
      <c r="K950" s="22"/>
      <c r="L950" s="22"/>
      <c r="M950" s="22"/>
      <c r="N950" s="22"/>
      <c r="O950" s="22"/>
      <c r="P950" s="22"/>
      <c r="Q950" s="22"/>
      <c r="R950" s="22"/>
      <c r="S950" s="22"/>
      <c r="T950" s="22"/>
      <c r="U950" s="22"/>
      <c r="V950" s="22"/>
      <c r="W950" s="22"/>
      <c r="X950" s="22"/>
      <c r="Y950" s="22"/>
    </row>
    <row r="951" spans="1:25" ht="15.75" customHeight="1">
      <c r="A951" s="22"/>
      <c r="B951" s="22"/>
      <c r="C951" s="22"/>
      <c r="D951" s="22"/>
      <c r="E951" s="22"/>
      <c r="F951" s="22"/>
      <c r="G951" s="22"/>
      <c r="H951" s="22"/>
      <c r="I951" s="22"/>
      <c r="J951" s="22"/>
      <c r="K951" s="22"/>
      <c r="L951" s="22"/>
      <c r="M951" s="22"/>
      <c r="N951" s="22"/>
      <c r="O951" s="22"/>
      <c r="P951" s="22"/>
      <c r="Q951" s="22"/>
      <c r="R951" s="22"/>
      <c r="S951" s="22"/>
      <c r="T951" s="22"/>
      <c r="U951" s="22"/>
      <c r="V951" s="22"/>
      <c r="W951" s="22"/>
      <c r="X951" s="22"/>
      <c r="Y951" s="22"/>
    </row>
    <row r="952" spans="1:25" ht="15.75" customHeight="1">
      <c r="A952" s="22"/>
      <c r="B952" s="22"/>
      <c r="C952" s="22"/>
      <c r="D952" s="22"/>
      <c r="E952" s="22"/>
      <c r="F952" s="22"/>
      <c r="G952" s="22"/>
      <c r="H952" s="22"/>
      <c r="I952" s="22"/>
      <c r="J952" s="22"/>
      <c r="K952" s="22"/>
      <c r="L952" s="22"/>
      <c r="M952" s="22"/>
      <c r="N952" s="22"/>
      <c r="O952" s="22"/>
      <c r="P952" s="22"/>
      <c r="Q952" s="22"/>
      <c r="R952" s="22"/>
      <c r="S952" s="22"/>
      <c r="T952" s="22"/>
      <c r="U952" s="22"/>
      <c r="V952" s="22"/>
      <c r="W952" s="22"/>
      <c r="X952" s="22"/>
      <c r="Y952" s="22"/>
    </row>
    <row r="953" spans="1:25" ht="15.75" customHeight="1">
      <c r="A953" s="22"/>
      <c r="B953" s="22"/>
      <c r="C953" s="22"/>
      <c r="D953" s="22"/>
      <c r="E953" s="22"/>
      <c r="F953" s="22"/>
      <c r="G953" s="22"/>
      <c r="H953" s="22"/>
      <c r="I953" s="22"/>
      <c r="J953" s="22"/>
      <c r="K953" s="22"/>
      <c r="L953" s="22"/>
      <c r="M953" s="22"/>
      <c r="N953" s="22"/>
      <c r="O953" s="22"/>
      <c r="P953" s="22"/>
      <c r="Q953" s="22"/>
      <c r="R953" s="22"/>
      <c r="S953" s="22"/>
      <c r="T953" s="22"/>
      <c r="U953" s="22"/>
      <c r="V953" s="22"/>
      <c r="W953" s="22"/>
      <c r="X953" s="22"/>
      <c r="Y953" s="22"/>
    </row>
    <row r="954" spans="1:25" ht="15.75" customHeight="1">
      <c r="A954" s="22"/>
      <c r="B954" s="22"/>
      <c r="C954" s="22"/>
      <c r="D954" s="22"/>
      <c r="E954" s="22"/>
      <c r="F954" s="22"/>
      <c r="G954" s="22"/>
      <c r="H954" s="22"/>
      <c r="I954" s="22"/>
      <c r="J954" s="22"/>
      <c r="K954" s="22"/>
      <c r="L954" s="22"/>
      <c r="M954" s="22"/>
      <c r="N954" s="22"/>
      <c r="O954" s="22"/>
      <c r="P954" s="22"/>
      <c r="Q954" s="22"/>
      <c r="R954" s="22"/>
      <c r="S954" s="22"/>
      <c r="T954" s="22"/>
      <c r="U954" s="22"/>
      <c r="V954" s="22"/>
      <c r="W954" s="22"/>
      <c r="X954" s="22"/>
      <c r="Y954" s="22"/>
    </row>
    <row r="955" spans="1:25" ht="15.75" customHeight="1">
      <c r="A955" s="22"/>
      <c r="B955" s="22"/>
      <c r="C955" s="22"/>
      <c r="D955" s="22"/>
      <c r="E955" s="22"/>
      <c r="F955" s="22"/>
      <c r="G955" s="22"/>
      <c r="H955" s="22"/>
      <c r="I955" s="22"/>
      <c r="J955" s="22"/>
      <c r="K955" s="22"/>
      <c r="L955" s="22"/>
      <c r="M955" s="22"/>
      <c r="N955" s="22"/>
      <c r="O955" s="22"/>
      <c r="P955" s="22"/>
      <c r="Q955" s="22"/>
      <c r="R955" s="22"/>
      <c r="S955" s="22"/>
      <c r="T955" s="22"/>
      <c r="U955" s="22"/>
      <c r="V955" s="22"/>
      <c r="W955" s="22"/>
      <c r="X955" s="22"/>
      <c r="Y955" s="22"/>
    </row>
    <row r="956" spans="1:25" ht="15.75" customHeight="1">
      <c r="A956" s="22"/>
      <c r="B956" s="22"/>
      <c r="C956" s="22"/>
      <c r="D956" s="22"/>
      <c r="E956" s="22"/>
      <c r="F956" s="22"/>
      <c r="G956" s="22"/>
      <c r="H956" s="22"/>
      <c r="I956" s="22"/>
      <c r="J956" s="22"/>
      <c r="K956" s="22"/>
      <c r="L956" s="22"/>
      <c r="M956" s="22"/>
      <c r="N956" s="22"/>
      <c r="O956" s="22"/>
      <c r="P956" s="22"/>
      <c r="Q956" s="22"/>
      <c r="R956" s="22"/>
      <c r="S956" s="22"/>
      <c r="T956" s="22"/>
      <c r="U956" s="22"/>
      <c r="V956" s="22"/>
      <c r="W956" s="22"/>
      <c r="X956" s="22"/>
      <c r="Y956" s="22"/>
    </row>
    <row r="957" spans="1:25" ht="15.75" customHeight="1">
      <c r="A957" s="22"/>
      <c r="B957" s="22"/>
      <c r="C957" s="22"/>
      <c r="D957" s="22"/>
      <c r="E957" s="22"/>
      <c r="F957" s="22"/>
      <c r="G957" s="22"/>
      <c r="H957" s="22"/>
      <c r="I957" s="22"/>
      <c r="J957" s="22"/>
      <c r="K957" s="22"/>
      <c r="L957" s="22"/>
      <c r="M957" s="22"/>
      <c r="N957" s="22"/>
      <c r="O957" s="22"/>
      <c r="P957" s="22"/>
      <c r="Q957" s="22"/>
      <c r="R957" s="22"/>
      <c r="S957" s="22"/>
      <c r="T957" s="22"/>
      <c r="U957" s="22"/>
      <c r="V957" s="22"/>
      <c r="W957" s="22"/>
      <c r="X957" s="22"/>
      <c r="Y957" s="22"/>
    </row>
    <row r="958" spans="1:25" ht="15.75" customHeight="1">
      <c r="A958" s="22"/>
      <c r="B958" s="22"/>
      <c r="C958" s="22"/>
      <c r="D958" s="22"/>
      <c r="E958" s="22"/>
      <c r="F958" s="22"/>
      <c r="G958" s="22"/>
      <c r="H958" s="22"/>
      <c r="I958" s="22"/>
      <c r="J958" s="22"/>
      <c r="K958" s="22"/>
      <c r="L958" s="22"/>
      <c r="M958" s="22"/>
      <c r="N958" s="22"/>
      <c r="O958" s="22"/>
      <c r="P958" s="22"/>
      <c r="Q958" s="22"/>
      <c r="R958" s="22"/>
      <c r="S958" s="22"/>
      <c r="T958" s="22"/>
      <c r="U958" s="22"/>
      <c r="V958" s="22"/>
      <c r="W958" s="22"/>
      <c r="X958" s="22"/>
      <c r="Y958" s="22"/>
    </row>
    <row r="959" spans="1:25" ht="15.75" customHeight="1">
      <c r="A959" s="22"/>
      <c r="B959" s="22"/>
      <c r="C959" s="22"/>
      <c r="D959" s="22"/>
      <c r="E959" s="22"/>
      <c r="F959" s="22"/>
      <c r="G959" s="22"/>
      <c r="H959" s="22"/>
      <c r="I959" s="22"/>
      <c r="J959" s="22"/>
      <c r="K959" s="22"/>
      <c r="L959" s="22"/>
      <c r="M959" s="22"/>
      <c r="N959" s="22"/>
      <c r="O959" s="22"/>
      <c r="P959" s="22"/>
      <c r="Q959" s="22"/>
      <c r="R959" s="22"/>
      <c r="S959" s="22"/>
      <c r="T959" s="22"/>
      <c r="U959" s="22"/>
      <c r="V959" s="22"/>
      <c r="W959" s="22"/>
      <c r="X959" s="22"/>
      <c r="Y959" s="22"/>
    </row>
    <row r="960" spans="1:25" ht="15.75" customHeight="1">
      <c r="A960" s="22"/>
      <c r="B960" s="22"/>
      <c r="C960" s="22"/>
      <c r="D960" s="22"/>
      <c r="E960" s="22"/>
      <c r="F960" s="22"/>
      <c r="G960" s="22"/>
      <c r="H960" s="22"/>
      <c r="I960" s="22"/>
      <c r="J960" s="22"/>
      <c r="K960" s="22"/>
      <c r="L960" s="22"/>
      <c r="M960" s="22"/>
      <c r="N960" s="22"/>
      <c r="O960" s="22"/>
      <c r="P960" s="22"/>
      <c r="Q960" s="22"/>
      <c r="R960" s="22"/>
      <c r="S960" s="22"/>
      <c r="T960" s="22"/>
      <c r="U960" s="22"/>
      <c r="V960" s="22"/>
      <c r="W960" s="22"/>
      <c r="X960" s="22"/>
      <c r="Y960" s="22"/>
    </row>
    <row r="961" spans="1:25" ht="15.75" customHeight="1">
      <c r="A961" s="22"/>
      <c r="B961" s="22"/>
      <c r="C961" s="22"/>
      <c r="D961" s="22"/>
      <c r="E961" s="22"/>
      <c r="F961" s="22"/>
      <c r="G961" s="22"/>
      <c r="H961" s="22"/>
      <c r="I961" s="22"/>
      <c r="J961" s="22"/>
      <c r="K961" s="22"/>
      <c r="L961" s="22"/>
      <c r="M961" s="22"/>
      <c r="N961" s="22"/>
      <c r="O961" s="22"/>
      <c r="P961" s="22"/>
      <c r="Q961" s="22"/>
      <c r="R961" s="22"/>
      <c r="S961" s="22"/>
      <c r="T961" s="22"/>
      <c r="U961" s="22"/>
      <c r="V961" s="22"/>
      <c r="W961" s="22"/>
      <c r="X961" s="22"/>
      <c r="Y961" s="22"/>
    </row>
    <row r="962" spans="1:25" ht="15.75" customHeight="1">
      <c r="A962" s="22"/>
      <c r="B962" s="22"/>
      <c r="C962" s="22"/>
      <c r="D962" s="22"/>
      <c r="E962" s="22"/>
      <c r="F962" s="22"/>
      <c r="G962" s="22"/>
      <c r="H962" s="22"/>
      <c r="I962" s="22"/>
      <c r="J962" s="22"/>
      <c r="K962" s="22"/>
      <c r="L962" s="22"/>
      <c r="M962" s="22"/>
      <c r="N962" s="22"/>
      <c r="O962" s="22"/>
      <c r="P962" s="22"/>
      <c r="Q962" s="22"/>
      <c r="R962" s="22"/>
      <c r="S962" s="22"/>
      <c r="T962" s="22"/>
      <c r="U962" s="22"/>
      <c r="V962" s="22"/>
      <c r="W962" s="22"/>
      <c r="X962" s="22"/>
      <c r="Y962" s="22"/>
    </row>
    <row r="963" spans="1:25" ht="15.75" customHeight="1">
      <c r="A963" s="22"/>
      <c r="B963" s="22"/>
      <c r="C963" s="22"/>
      <c r="D963" s="22"/>
      <c r="E963" s="22"/>
      <c r="F963" s="22"/>
      <c r="G963" s="22"/>
      <c r="H963" s="22"/>
      <c r="I963" s="22"/>
      <c r="J963" s="22"/>
      <c r="K963" s="22"/>
      <c r="L963" s="22"/>
      <c r="M963" s="22"/>
      <c r="N963" s="22"/>
      <c r="O963" s="22"/>
      <c r="P963" s="22"/>
      <c r="Q963" s="22"/>
      <c r="R963" s="22"/>
      <c r="S963" s="22"/>
      <c r="T963" s="22"/>
      <c r="U963" s="22"/>
      <c r="V963" s="22"/>
      <c r="W963" s="22"/>
      <c r="X963" s="22"/>
      <c r="Y963" s="22"/>
    </row>
    <row r="964" spans="1:25" ht="15.75" customHeight="1">
      <c r="A964" s="22"/>
      <c r="B964" s="22"/>
      <c r="C964" s="22"/>
      <c r="D964" s="22"/>
      <c r="E964" s="22"/>
      <c r="F964" s="22"/>
      <c r="G964" s="22"/>
      <c r="H964" s="22"/>
      <c r="I964" s="22"/>
      <c r="J964" s="22"/>
      <c r="K964" s="22"/>
      <c r="L964" s="22"/>
      <c r="M964" s="22"/>
      <c r="N964" s="22"/>
      <c r="O964" s="22"/>
      <c r="P964" s="22"/>
      <c r="Q964" s="22"/>
      <c r="R964" s="22"/>
      <c r="S964" s="22"/>
      <c r="T964" s="22"/>
      <c r="U964" s="22"/>
      <c r="V964" s="22"/>
      <c r="W964" s="22"/>
      <c r="X964" s="22"/>
      <c r="Y964" s="22"/>
    </row>
    <row r="965" spans="1:25" ht="15.75" customHeight="1">
      <c r="A965" s="22"/>
      <c r="B965" s="22"/>
      <c r="C965" s="22"/>
      <c r="D965" s="22"/>
      <c r="E965" s="22"/>
      <c r="F965" s="22"/>
      <c r="G965" s="22"/>
      <c r="H965" s="22"/>
      <c r="I965" s="22"/>
      <c r="J965" s="22"/>
      <c r="K965" s="22"/>
      <c r="L965" s="22"/>
      <c r="M965" s="22"/>
      <c r="N965" s="22"/>
      <c r="O965" s="22"/>
      <c r="P965" s="22"/>
      <c r="Q965" s="22"/>
      <c r="R965" s="22"/>
      <c r="S965" s="22"/>
      <c r="T965" s="22"/>
      <c r="U965" s="22"/>
      <c r="V965" s="22"/>
      <c r="W965" s="22"/>
      <c r="X965" s="22"/>
      <c r="Y965" s="22"/>
    </row>
    <row r="966" spans="1:25" ht="15.75" customHeight="1">
      <c r="A966" s="22"/>
      <c r="B966" s="22"/>
      <c r="C966" s="22"/>
      <c r="D966" s="22"/>
      <c r="E966" s="22"/>
      <c r="F966" s="22"/>
      <c r="G966" s="22"/>
      <c r="H966" s="22"/>
      <c r="I966" s="22"/>
      <c r="J966" s="22"/>
      <c r="K966" s="22"/>
      <c r="L966" s="22"/>
      <c r="M966" s="22"/>
      <c r="N966" s="22"/>
      <c r="O966" s="22"/>
      <c r="P966" s="22"/>
      <c r="Q966" s="22"/>
      <c r="R966" s="22"/>
      <c r="S966" s="22"/>
      <c r="T966" s="22"/>
      <c r="U966" s="22"/>
      <c r="V966" s="22"/>
      <c r="W966" s="22"/>
      <c r="X966" s="22"/>
      <c r="Y966" s="22"/>
    </row>
    <row r="967" spans="1:25" ht="15.75" customHeight="1">
      <c r="A967" s="22"/>
      <c r="B967" s="22"/>
      <c r="C967" s="22"/>
      <c r="D967" s="22"/>
      <c r="E967" s="22"/>
      <c r="F967" s="22"/>
      <c r="G967" s="22"/>
      <c r="H967" s="22"/>
      <c r="I967" s="22"/>
      <c r="J967" s="22"/>
      <c r="K967" s="22"/>
      <c r="L967" s="22"/>
      <c r="M967" s="22"/>
      <c r="N967" s="22"/>
      <c r="O967" s="22"/>
      <c r="P967" s="22"/>
      <c r="Q967" s="22"/>
      <c r="R967" s="22"/>
      <c r="S967" s="22"/>
      <c r="T967" s="22"/>
      <c r="U967" s="22"/>
      <c r="V967" s="22"/>
      <c r="W967" s="22"/>
      <c r="X967" s="22"/>
      <c r="Y967" s="22"/>
    </row>
    <row r="968" spans="1:25" ht="15.75" customHeight="1">
      <c r="A968" s="22"/>
      <c r="B968" s="22"/>
      <c r="C968" s="22"/>
      <c r="D968" s="22"/>
      <c r="E968" s="22"/>
      <c r="F968" s="22"/>
      <c r="G968" s="22"/>
      <c r="H968" s="22"/>
      <c r="I968" s="22"/>
      <c r="J968" s="22"/>
      <c r="K968" s="22"/>
      <c r="L968" s="22"/>
      <c r="M968" s="22"/>
      <c r="N968" s="22"/>
      <c r="O968" s="22"/>
      <c r="P968" s="22"/>
      <c r="Q968" s="22"/>
      <c r="R968" s="22"/>
      <c r="S968" s="22"/>
      <c r="T968" s="22"/>
      <c r="U968" s="22"/>
      <c r="V968" s="22"/>
      <c r="W968" s="22"/>
      <c r="X968" s="22"/>
      <c r="Y968" s="22"/>
    </row>
    <row r="969" spans="1:25" ht="15.75" customHeight="1">
      <c r="A969" s="22"/>
      <c r="B969" s="22"/>
      <c r="C969" s="22"/>
      <c r="D969" s="22"/>
      <c r="E969" s="22"/>
      <c r="F969" s="22"/>
      <c r="G969" s="22"/>
      <c r="H969" s="22"/>
      <c r="I969" s="22"/>
      <c r="J969" s="22"/>
      <c r="K969" s="22"/>
      <c r="L969" s="22"/>
      <c r="M969" s="22"/>
      <c r="N969" s="22"/>
      <c r="O969" s="22"/>
      <c r="P969" s="22"/>
      <c r="Q969" s="22"/>
      <c r="R969" s="22"/>
      <c r="S969" s="22"/>
      <c r="T969" s="22"/>
      <c r="U969" s="22"/>
      <c r="V969" s="22"/>
      <c r="W969" s="22"/>
      <c r="X969" s="22"/>
      <c r="Y969" s="22"/>
    </row>
    <row r="970" spans="1:25" ht="15.75" customHeight="1">
      <c r="A970" s="22"/>
      <c r="B970" s="22"/>
      <c r="C970" s="22"/>
      <c r="D970" s="22"/>
      <c r="E970" s="22"/>
      <c r="F970" s="22"/>
      <c r="G970" s="22"/>
      <c r="H970" s="22"/>
      <c r="I970" s="22"/>
      <c r="J970" s="22"/>
      <c r="K970" s="22"/>
      <c r="L970" s="22"/>
      <c r="M970" s="22"/>
      <c r="N970" s="22"/>
      <c r="O970" s="22"/>
      <c r="P970" s="22"/>
      <c r="Q970" s="22"/>
      <c r="R970" s="22"/>
      <c r="S970" s="22"/>
      <c r="T970" s="22"/>
      <c r="U970" s="22"/>
      <c r="V970" s="22"/>
      <c r="W970" s="22"/>
      <c r="X970" s="22"/>
      <c r="Y970" s="22"/>
    </row>
    <row r="971" spans="1:25" ht="15.75" customHeight="1">
      <c r="A971" s="22"/>
      <c r="B971" s="22"/>
      <c r="C971" s="22"/>
      <c r="D971" s="22"/>
      <c r="E971" s="22"/>
      <c r="F971" s="22"/>
      <c r="G971" s="22"/>
      <c r="H971" s="22"/>
      <c r="I971" s="22"/>
      <c r="J971" s="22"/>
      <c r="K971" s="22"/>
      <c r="L971" s="22"/>
      <c r="M971" s="22"/>
      <c r="N971" s="22"/>
      <c r="O971" s="22"/>
      <c r="P971" s="22"/>
      <c r="Q971" s="22"/>
      <c r="R971" s="22"/>
      <c r="S971" s="22"/>
      <c r="T971" s="22"/>
      <c r="U971" s="22"/>
      <c r="V971" s="22"/>
      <c r="W971" s="22"/>
      <c r="X971" s="22"/>
      <c r="Y971" s="22"/>
    </row>
    <row r="972" spans="1:25" ht="15.75" customHeight="1">
      <c r="A972" s="22"/>
      <c r="B972" s="22"/>
      <c r="C972" s="22"/>
      <c r="D972" s="22"/>
      <c r="E972" s="22"/>
      <c r="F972" s="22"/>
      <c r="G972" s="22"/>
      <c r="H972" s="22"/>
      <c r="I972" s="22"/>
      <c r="J972" s="22"/>
      <c r="K972" s="22"/>
      <c r="L972" s="22"/>
      <c r="M972" s="22"/>
      <c r="N972" s="22"/>
      <c r="O972" s="22"/>
      <c r="P972" s="22"/>
      <c r="Q972" s="22"/>
      <c r="R972" s="22"/>
      <c r="S972" s="22"/>
      <c r="T972" s="22"/>
      <c r="U972" s="22"/>
      <c r="V972" s="22"/>
      <c r="W972" s="22"/>
      <c r="X972" s="22"/>
      <c r="Y972" s="22"/>
    </row>
    <row r="973" spans="1:25" ht="15.75" customHeight="1">
      <c r="A973" s="22"/>
      <c r="B973" s="22"/>
      <c r="C973" s="22"/>
      <c r="D973" s="22"/>
      <c r="E973" s="22"/>
      <c r="F973" s="22"/>
      <c r="G973" s="22"/>
      <c r="H973" s="22"/>
      <c r="I973" s="22"/>
      <c r="J973" s="22"/>
      <c r="K973" s="22"/>
      <c r="L973" s="22"/>
      <c r="M973" s="22"/>
      <c r="N973" s="22"/>
      <c r="O973" s="22"/>
      <c r="P973" s="22"/>
      <c r="Q973" s="22"/>
      <c r="R973" s="22"/>
      <c r="S973" s="22"/>
      <c r="T973" s="22"/>
      <c r="U973" s="22"/>
      <c r="V973" s="22"/>
      <c r="W973" s="22"/>
      <c r="X973" s="22"/>
      <c r="Y973" s="22"/>
    </row>
    <row r="974" spans="1:25" ht="15.75" customHeight="1">
      <c r="A974" s="22"/>
      <c r="B974" s="22"/>
      <c r="C974" s="22"/>
      <c r="D974" s="22"/>
      <c r="E974" s="22"/>
      <c r="F974" s="22"/>
      <c r="G974" s="22"/>
      <c r="H974" s="22"/>
      <c r="I974" s="22"/>
      <c r="J974" s="22"/>
      <c r="K974" s="22"/>
      <c r="L974" s="22"/>
      <c r="M974" s="22"/>
      <c r="N974" s="22"/>
      <c r="O974" s="22"/>
      <c r="P974" s="22"/>
      <c r="Q974" s="22"/>
      <c r="R974" s="22"/>
      <c r="S974" s="22"/>
      <c r="T974" s="22"/>
      <c r="U974" s="22"/>
      <c r="V974" s="22"/>
      <c r="W974" s="22"/>
      <c r="X974" s="22"/>
      <c r="Y974" s="22"/>
    </row>
    <row r="975" spans="1:25" ht="15.75" customHeight="1">
      <c r="A975" s="22"/>
      <c r="B975" s="22"/>
      <c r="C975" s="22"/>
      <c r="D975" s="22"/>
      <c r="E975" s="22"/>
      <c r="F975" s="22"/>
      <c r="G975" s="22"/>
      <c r="H975" s="22"/>
      <c r="I975" s="22"/>
      <c r="J975" s="22"/>
      <c r="K975" s="22"/>
      <c r="L975" s="22"/>
      <c r="M975" s="22"/>
      <c r="N975" s="22"/>
      <c r="O975" s="22"/>
      <c r="P975" s="22"/>
      <c r="Q975" s="22"/>
      <c r="R975" s="22"/>
      <c r="S975" s="22"/>
      <c r="T975" s="22"/>
      <c r="U975" s="22"/>
      <c r="V975" s="22"/>
      <c r="W975" s="22"/>
      <c r="X975" s="22"/>
      <c r="Y975" s="22"/>
    </row>
    <row r="976" spans="1:25" ht="15.75" customHeight="1">
      <c r="A976" s="22"/>
      <c r="B976" s="22"/>
      <c r="C976" s="22"/>
      <c r="D976" s="22"/>
      <c r="E976" s="22"/>
      <c r="F976" s="22"/>
      <c r="G976" s="22"/>
      <c r="H976" s="22"/>
      <c r="I976" s="22"/>
      <c r="J976" s="22"/>
      <c r="K976" s="22"/>
      <c r="L976" s="22"/>
      <c r="M976" s="22"/>
      <c r="N976" s="22"/>
      <c r="O976" s="22"/>
      <c r="P976" s="22"/>
      <c r="Q976" s="22"/>
      <c r="R976" s="22"/>
      <c r="S976" s="22"/>
      <c r="T976" s="22"/>
      <c r="U976" s="22"/>
      <c r="V976" s="22"/>
      <c r="W976" s="22"/>
      <c r="X976" s="22"/>
      <c r="Y976" s="22"/>
    </row>
    <row r="977" spans="1:25" ht="15.75" customHeight="1">
      <c r="A977" s="22"/>
      <c r="B977" s="22"/>
      <c r="C977" s="22"/>
      <c r="D977" s="22"/>
      <c r="E977" s="22"/>
      <c r="F977" s="22"/>
      <c r="G977" s="22"/>
      <c r="H977" s="22"/>
      <c r="I977" s="22"/>
      <c r="J977" s="22"/>
      <c r="K977" s="22"/>
      <c r="L977" s="22"/>
      <c r="M977" s="22"/>
      <c r="N977" s="22"/>
      <c r="O977" s="22"/>
      <c r="P977" s="22"/>
      <c r="Q977" s="22"/>
      <c r="R977" s="22"/>
      <c r="S977" s="22"/>
      <c r="T977" s="22"/>
      <c r="U977" s="22"/>
      <c r="V977" s="22"/>
      <c r="W977" s="22"/>
      <c r="X977" s="22"/>
      <c r="Y977" s="22"/>
    </row>
    <row r="978" spans="1:25" ht="15.75" customHeight="1">
      <c r="A978" s="22"/>
      <c r="B978" s="22"/>
      <c r="C978" s="22"/>
      <c r="D978" s="22"/>
      <c r="E978" s="22"/>
      <c r="F978" s="22"/>
      <c r="G978" s="22"/>
      <c r="H978" s="22"/>
      <c r="I978" s="22"/>
      <c r="J978" s="22"/>
      <c r="K978" s="22"/>
      <c r="L978" s="22"/>
      <c r="M978" s="22"/>
      <c r="N978" s="22"/>
      <c r="O978" s="22"/>
      <c r="P978" s="22"/>
      <c r="Q978" s="22"/>
      <c r="R978" s="22"/>
      <c r="S978" s="22"/>
      <c r="T978" s="22"/>
      <c r="U978" s="22"/>
      <c r="V978" s="22"/>
      <c r="W978" s="22"/>
      <c r="X978" s="22"/>
      <c r="Y978" s="22"/>
    </row>
    <row r="979" spans="1:25" ht="15.75" customHeight="1">
      <c r="A979" s="22"/>
      <c r="B979" s="22"/>
      <c r="C979" s="22"/>
      <c r="D979" s="22"/>
      <c r="E979" s="22"/>
      <c r="F979" s="22"/>
      <c r="G979" s="22"/>
      <c r="H979" s="22"/>
      <c r="I979" s="22"/>
      <c r="J979" s="22"/>
      <c r="K979" s="22"/>
      <c r="L979" s="22"/>
      <c r="M979" s="22"/>
      <c r="N979" s="22"/>
      <c r="O979" s="22"/>
      <c r="P979" s="22"/>
      <c r="Q979" s="22"/>
      <c r="R979" s="22"/>
      <c r="S979" s="22"/>
      <c r="T979" s="22"/>
      <c r="U979" s="22"/>
      <c r="V979" s="22"/>
      <c r="W979" s="22"/>
      <c r="X979" s="22"/>
      <c r="Y979" s="22"/>
    </row>
    <row r="980" spans="1:25" ht="15.75" customHeight="1">
      <c r="A980" s="22"/>
      <c r="B980" s="22"/>
      <c r="C980" s="22"/>
      <c r="D980" s="22"/>
      <c r="E980" s="22"/>
      <c r="F980" s="22"/>
      <c r="G980" s="22"/>
      <c r="H980" s="22"/>
      <c r="I980" s="22"/>
      <c r="J980" s="22"/>
      <c r="K980" s="22"/>
      <c r="L980" s="22"/>
      <c r="M980" s="22"/>
      <c r="N980" s="22"/>
      <c r="O980" s="22"/>
      <c r="P980" s="22"/>
      <c r="Q980" s="22"/>
      <c r="R980" s="22"/>
      <c r="S980" s="22"/>
      <c r="T980" s="22"/>
      <c r="U980" s="22"/>
      <c r="V980" s="22"/>
      <c r="W980" s="22"/>
      <c r="X980" s="22"/>
      <c r="Y980" s="22"/>
    </row>
    <row r="981" spans="1:25" ht="15.75" customHeight="1">
      <c r="A981" s="22"/>
      <c r="B981" s="22"/>
      <c r="C981" s="22"/>
      <c r="D981" s="22"/>
      <c r="E981" s="22"/>
      <c r="F981" s="22"/>
      <c r="G981" s="22"/>
      <c r="H981" s="22"/>
      <c r="I981" s="22"/>
      <c r="J981" s="22"/>
      <c r="K981" s="22"/>
      <c r="L981" s="22"/>
      <c r="M981" s="22"/>
      <c r="N981" s="22"/>
      <c r="O981" s="22"/>
      <c r="P981" s="22"/>
      <c r="Q981" s="22"/>
      <c r="R981" s="22"/>
      <c r="S981" s="22"/>
      <c r="T981" s="22"/>
      <c r="U981" s="22"/>
      <c r="V981" s="22"/>
      <c r="W981" s="22"/>
      <c r="X981" s="22"/>
      <c r="Y981" s="22"/>
    </row>
    <row r="982" spans="1:25" ht="15.75" customHeight="1">
      <c r="A982" s="22"/>
      <c r="B982" s="22"/>
      <c r="C982" s="22"/>
      <c r="D982" s="22"/>
      <c r="E982" s="22"/>
      <c r="F982" s="22"/>
      <c r="G982" s="22"/>
      <c r="H982" s="22"/>
      <c r="I982" s="22"/>
      <c r="J982" s="22"/>
      <c r="K982" s="22"/>
      <c r="L982" s="22"/>
      <c r="M982" s="22"/>
      <c r="N982" s="22"/>
      <c r="O982" s="22"/>
      <c r="P982" s="22"/>
      <c r="Q982" s="22"/>
      <c r="R982" s="22"/>
      <c r="S982" s="22"/>
      <c r="T982" s="22"/>
      <c r="U982" s="22"/>
      <c r="V982" s="22"/>
      <c r="W982" s="22"/>
      <c r="X982" s="22"/>
      <c r="Y982" s="22"/>
    </row>
    <row r="983" spans="1:25" ht="15.75" customHeight="1">
      <c r="A983" s="22"/>
      <c r="B983" s="22"/>
      <c r="C983" s="22"/>
      <c r="D983" s="22"/>
      <c r="E983" s="22"/>
      <c r="F983" s="22"/>
      <c r="G983" s="22"/>
      <c r="H983" s="22"/>
      <c r="I983" s="22"/>
      <c r="J983" s="22"/>
      <c r="K983" s="22"/>
      <c r="L983" s="22"/>
      <c r="M983" s="22"/>
      <c r="N983" s="22"/>
      <c r="O983" s="22"/>
      <c r="P983" s="22"/>
      <c r="Q983" s="22"/>
      <c r="R983" s="22"/>
      <c r="S983" s="22"/>
      <c r="T983" s="22"/>
      <c r="U983" s="22"/>
      <c r="V983" s="22"/>
      <c r="W983" s="22"/>
      <c r="X983" s="22"/>
      <c r="Y983" s="22"/>
    </row>
    <row r="984" spans="1:25" ht="15.75" customHeight="1">
      <c r="A984" s="22"/>
      <c r="B984" s="22"/>
      <c r="C984" s="22"/>
      <c r="D984" s="22"/>
      <c r="E984" s="22"/>
      <c r="F984" s="22"/>
      <c r="G984" s="22"/>
      <c r="H984" s="22"/>
      <c r="I984" s="22"/>
      <c r="J984" s="22"/>
      <c r="K984" s="22"/>
      <c r="L984" s="22"/>
      <c r="M984" s="22"/>
      <c r="N984" s="22"/>
      <c r="O984" s="22"/>
      <c r="P984" s="22"/>
      <c r="Q984" s="22"/>
      <c r="R984" s="22"/>
      <c r="S984" s="22"/>
      <c r="T984" s="22"/>
      <c r="U984" s="22"/>
      <c r="V984" s="22"/>
      <c r="W984" s="22"/>
      <c r="X984" s="22"/>
      <c r="Y984" s="22"/>
    </row>
    <row r="985" spans="1:25" ht="15.75" customHeight="1">
      <c r="A985" s="22"/>
      <c r="B985" s="22"/>
      <c r="C985" s="22"/>
      <c r="D985" s="22"/>
      <c r="E985" s="22"/>
      <c r="F985" s="22"/>
      <c r="G985" s="22"/>
      <c r="H985" s="22"/>
      <c r="I985" s="22"/>
      <c r="J985" s="22"/>
      <c r="K985" s="22"/>
      <c r="L985" s="22"/>
      <c r="M985" s="22"/>
      <c r="N985" s="22"/>
      <c r="O985" s="22"/>
      <c r="P985" s="22"/>
      <c r="Q985" s="22"/>
      <c r="R985" s="22"/>
      <c r="S985" s="22"/>
      <c r="T985" s="22"/>
      <c r="U985" s="22"/>
      <c r="V985" s="22"/>
      <c r="W985" s="22"/>
      <c r="X985" s="22"/>
      <c r="Y985" s="22"/>
    </row>
    <row r="986" spans="1:25" ht="15.75" customHeight="1">
      <c r="A986" s="22"/>
      <c r="B986" s="22"/>
      <c r="C986" s="22"/>
      <c r="D986" s="22"/>
      <c r="E986" s="22"/>
      <c r="F986" s="22"/>
      <c r="G986" s="22"/>
      <c r="H986" s="22"/>
      <c r="I986" s="22"/>
      <c r="J986" s="22"/>
      <c r="K986" s="22"/>
      <c r="L986" s="22"/>
      <c r="M986" s="22"/>
      <c r="N986" s="22"/>
      <c r="O986" s="22"/>
      <c r="P986" s="22"/>
      <c r="Q986" s="22"/>
      <c r="R986" s="22"/>
      <c r="S986" s="22"/>
      <c r="T986" s="22"/>
      <c r="U986" s="22"/>
      <c r="V986" s="22"/>
      <c r="W986" s="22"/>
      <c r="X986" s="22"/>
      <c r="Y986" s="22"/>
    </row>
    <row r="987" spans="1:25" ht="15.75" customHeight="1">
      <c r="A987" s="22"/>
      <c r="B987" s="22"/>
      <c r="C987" s="22"/>
      <c r="D987" s="22"/>
      <c r="E987" s="22"/>
      <c r="F987" s="22"/>
      <c r="G987" s="22"/>
      <c r="H987" s="22"/>
      <c r="I987" s="22"/>
      <c r="J987" s="22"/>
      <c r="K987" s="22"/>
      <c r="L987" s="22"/>
      <c r="M987" s="22"/>
      <c r="N987" s="22"/>
      <c r="O987" s="22"/>
      <c r="P987" s="22"/>
      <c r="Q987" s="22"/>
      <c r="R987" s="22"/>
      <c r="S987" s="22"/>
      <c r="T987" s="22"/>
      <c r="U987" s="22"/>
      <c r="V987" s="22"/>
      <c r="W987" s="22"/>
      <c r="X987" s="22"/>
      <c r="Y987" s="22"/>
    </row>
    <row r="988" spans="1:25" ht="15.75" customHeight="1">
      <c r="A988" s="22"/>
      <c r="B988" s="22"/>
      <c r="C988" s="22"/>
      <c r="D988" s="22"/>
      <c r="E988" s="22"/>
      <c r="F988" s="22"/>
      <c r="G988" s="22"/>
      <c r="H988" s="22"/>
      <c r="I988" s="22"/>
      <c r="J988" s="22"/>
      <c r="K988" s="22"/>
      <c r="L988" s="22"/>
      <c r="M988" s="22"/>
      <c r="N988" s="22"/>
      <c r="O988" s="22"/>
      <c r="P988" s="22"/>
      <c r="Q988" s="22"/>
      <c r="R988" s="22"/>
      <c r="S988" s="22"/>
      <c r="T988" s="22"/>
      <c r="U988" s="22"/>
      <c r="V988" s="22"/>
      <c r="W988" s="22"/>
      <c r="X988" s="22"/>
      <c r="Y988" s="22"/>
    </row>
    <row r="989" spans="1:25" ht="15.75" customHeight="1">
      <c r="A989" s="22"/>
      <c r="B989" s="22"/>
      <c r="C989" s="22"/>
      <c r="D989" s="22"/>
      <c r="E989" s="22"/>
      <c r="F989" s="22"/>
      <c r="G989" s="22"/>
      <c r="H989" s="22"/>
      <c r="I989" s="22"/>
      <c r="J989" s="22"/>
      <c r="K989" s="22"/>
      <c r="L989" s="22"/>
      <c r="M989" s="22"/>
      <c r="N989" s="22"/>
      <c r="O989" s="22"/>
      <c r="P989" s="22"/>
      <c r="Q989" s="22"/>
      <c r="R989" s="22"/>
      <c r="S989" s="22"/>
      <c r="T989" s="22"/>
      <c r="U989" s="22"/>
      <c r="V989" s="22"/>
      <c r="W989" s="22"/>
      <c r="X989" s="22"/>
      <c r="Y989" s="22"/>
    </row>
    <row r="990" spans="1:25" ht="15.75" customHeight="1">
      <c r="A990" s="22"/>
      <c r="B990" s="22"/>
      <c r="C990" s="22"/>
      <c r="D990" s="22"/>
      <c r="E990" s="22"/>
      <c r="F990" s="22"/>
      <c r="G990" s="22"/>
      <c r="H990" s="22"/>
      <c r="I990" s="22"/>
      <c r="J990" s="22"/>
      <c r="K990" s="22"/>
      <c r="L990" s="22"/>
      <c r="M990" s="22"/>
      <c r="N990" s="22"/>
      <c r="O990" s="22"/>
      <c r="P990" s="22"/>
      <c r="Q990" s="22"/>
      <c r="R990" s="22"/>
      <c r="S990" s="22"/>
      <c r="T990" s="22"/>
      <c r="U990" s="22"/>
      <c r="V990" s="22"/>
      <c r="W990" s="22"/>
      <c r="X990" s="22"/>
      <c r="Y990" s="22"/>
    </row>
    <row r="991" spans="1:25" ht="15.75" customHeight="1">
      <c r="A991" s="22"/>
      <c r="B991" s="22"/>
      <c r="C991" s="22"/>
      <c r="D991" s="22"/>
      <c r="E991" s="22"/>
      <c r="F991" s="22"/>
      <c r="G991" s="22"/>
      <c r="H991" s="22"/>
      <c r="I991" s="22"/>
      <c r="J991" s="22"/>
      <c r="K991" s="22"/>
      <c r="L991" s="22"/>
      <c r="M991" s="22"/>
      <c r="N991" s="22"/>
      <c r="O991" s="22"/>
      <c r="P991" s="22"/>
      <c r="Q991" s="22"/>
      <c r="R991" s="22"/>
      <c r="S991" s="22"/>
      <c r="T991" s="22"/>
      <c r="U991" s="22"/>
      <c r="V991" s="22"/>
      <c r="W991" s="22"/>
      <c r="X991" s="22"/>
      <c r="Y991" s="22"/>
    </row>
    <row r="992" spans="1:25" ht="15.75" customHeight="1">
      <c r="A992" s="22"/>
      <c r="B992" s="22"/>
      <c r="C992" s="22"/>
      <c r="D992" s="22"/>
      <c r="E992" s="22"/>
      <c r="F992" s="22"/>
      <c r="G992" s="22"/>
      <c r="H992" s="22"/>
      <c r="I992" s="22"/>
      <c r="J992" s="22"/>
      <c r="K992" s="22"/>
      <c r="L992" s="22"/>
      <c r="M992" s="22"/>
      <c r="N992" s="22"/>
      <c r="O992" s="22"/>
      <c r="P992" s="22"/>
      <c r="Q992" s="22"/>
      <c r="R992" s="22"/>
      <c r="S992" s="22"/>
      <c r="T992" s="22"/>
      <c r="U992" s="22"/>
      <c r="V992" s="22"/>
      <c r="W992" s="22"/>
      <c r="X992" s="22"/>
      <c r="Y992" s="22"/>
    </row>
    <row r="993" spans="1:25" ht="15.75" customHeight="1">
      <c r="A993" s="22"/>
      <c r="B993" s="22"/>
      <c r="C993" s="22"/>
      <c r="D993" s="22"/>
      <c r="E993" s="22"/>
      <c r="F993" s="22"/>
      <c r="G993" s="22"/>
      <c r="H993" s="22"/>
      <c r="I993" s="22"/>
      <c r="J993" s="22"/>
      <c r="K993" s="22"/>
      <c r="L993" s="22"/>
      <c r="M993" s="22"/>
      <c r="N993" s="22"/>
      <c r="O993" s="22"/>
      <c r="P993" s="22"/>
      <c r="Q993" s="22"/>
      <c r="R993" s="22"/>
      <c r="S993" s="22"/>
      <c r="T993" s="22"/>
      <c r="U993" s="22"/>
      <c r="V993" s="22"/>
      <c r="W993" s="22"/>
      <c r="X993" s="22"/>
      <c r="Y993" s="22"/>
    </row>
    <row r="994" spans="1:25" ht="15.75" customHeight="1">
      <c r="A994" s="22"/>
      <c r="B994" s="22"/>
      <c r="C994" s="22"/>
      <c r="D994" s="22"/>
      <c r="E994" s="22"/>
      <c r="F994" s="22"/>
      <c r="G994" s="22"/>
      <c r="H994" s="22"/>
      <c r="I994" s="22"/>
      <c r="J994" s="22"/>
      <c r="K994" s="22"/>
      <c r="L994" s="22"/>
      <c r="M994" s="22"/>
      <c r="N994" s="22"/>
      <c r="O994" s="22"/>
      <c r="P994" s="22"/>
      <c r="Q994" s="22"/>
      <c r="R994" s="22"/>
      <c r="S994" s="22"/>
      <c r="T994" s="22"/>
      <c r="U994" s="22"/>
      <c r="V994" s="22"/>
      <c r="W994" s="22"/>
      <c r="X994" s="22"/>
      <c r="Y994" s="22"/>
    </row>
    <row r="995" spans="1:25" ht="15.75" customHeight="1">
      <c r="A995" s="22"/>
      <c r="B995" s="22"/>
      <c r="C995" s="22"/>
      <c r="D995" s="22"/>
      <c r="E995" s="22"/>
      <c r="F995" s="22"/>
      <c r="G995" s="22"/>
      <c r="H995" s="22"/>
      <c r="I995" s="22"/>
      <c r="J995" s="22"/>
      <c r="K995" s="22"/>
      <c r="L995" s="22"/>
      <c r="M995" s="22"/>
      <c r="N995" s="22"/>
      <c r="O995" s="22"/>
      <c r="P995" s="22"/>
      <c r="Q995" s="22"/>
      <c r="R995" s="22"/>
      <c r="S995" s="22"/>
      <c r="T995" s="22"/>
      <c r="U995" s="22"/>
      <c r="V995" s="22"/>
      <c r="W995" s="22"/>
      <c r="X995" s="22"/>
      <c r="Y995" s="22"/>
    </row>
    <row r="996" spans="1:25" ht="15.75" customHeight="1">
      <c r="A996" s="22"/>
      <c r="B996" s="22"/>
      <c r="C996" s="22"/>
      <c r="D996" s="22"/>
      <c r="E996" s="22"/>
      <c r="F996" s="22"/>
      <c r="G996" s="22"/>
      <c r="H996" s="22"/>
      <c r="I996" s="22"/>
      <c r="J996" s="22"/>
      <c r="K996" s="22"/>
      <c r="L996" s="22"/>
      <c r="M996" s="22"/>
      <c r="N996" s="22"/>
      <c r="O996" s="22"/>
      <c r="P996" s="22"/>
      <c r="Q996" s="22"/>
      <c r="R996" s="22"/>
      <c r="S996" s="22"/>
      <c r="T996" s="22"/>
      <c r="U996" s="22"/>
      <c r="V996" s="22"/>
      <c r="W996" s="22"/>
      <c r="X996" s="22"/>
      <c r="Y996" s="22"/>
    </row>
    <row r="997" spans="1:25" ht="15.75" customHeight="1">
      <c r="A997" s="22"/>
      <c r="B997" s="22"/>
      <c r="C997" s="22"/>
      <c r="D997" s="22"/>
      <c r="E997" s="22"/>
      <c r="F997" s="22"/>
      <c r="G997" s="22"/>
      <c r="H997" s="22"/>
      <c r="I997" s="22"/>
      <c r="J997" s="22"/>
      <c r="K997" s="22"/>
      <c r="L997" s="22"/>
      <c r="M997" s="22"/>
      <c r="N997" s="22"/>
      <c r="O997" s="22"/>
      <c r="P997" s="22"/>
      <c r="Q997" s="22"/>
      <c r="R997" s="22"/>
      <c r="S997" s="22"/>
      <c r="T997" s="22"/>
      <c r="U997" s="22"/>
      <c r="V997" s="22"/>
      <c r="W997" s="22"/>
      <c r="X997" s="22"/>
      <c r="Y997" s="22"/>
    </row>
    <row r="998" spans="1:25" ht="15.75" customHeight="1">
      <c r="A998" s="22"/>
      <c r="B998" s="22"/>
      <c r="C998" s="22"/>
      <c r="D998" s="22"/>
      <c r="E998" s="22"/>
      <c r="F998" s="22"/>
      <c r="G998" s="22"/>
      <c r="H998" s="22"/>
      <c r="I998" s="22"/>
      <c r="J998" s="22"/>
      <c r="K998" s="22"/>
      <c r="L998" s="22"/>
      <c r="M998" s="22"/>
      <c r="N998" s="22"/>
      <c r="O998" s="22"/>
      <c r="P998" s="22"/>
      <c r="Q998" s="22"/>
      <c r="R998" s="22"/>
      <c r="S998" s="22"/>
      <c r="T998" s="22"/>
      <c r="U998" s="22"/>
      <c r="V998" s="22"/>
      <c r="W998" s="22"/>
      <c r="X998" s="22"/>
      <c r="Y998" s="22"/>
    </row>
    <row r="999" spans="1:25" ht="15.75" customHeight="1">
      <c r="A999" s="22"/>
      <c r="B999" s="22"/>
      <c r="C999" s="22"/>
      <c r="D999" s="22"/>
      <c r="E999" s="22"/>
      <c r="F999" s="22"/>
      <c r="G999" s="22"/>
      <c r="H999" s="22"/>
      <c r="I999" s="22"/>
      <c r="J999" s="22"/>
      <c r="K999" s="22"/>
      <c r="L999" s="22"/>
      <c r="M999" s="22"/>
      <c r="N999" s="22"/>
      <c r="O999" s="22"/>
      <c r="P999" s="22"/>
      <c r="Q999" s="22"/>
      <c r="R999" s="22"/>
      <c r="S999" s="22"/>
      <c r="T999" s="22"/>
      <c r="U999" s="22"/>
      <c r="V999" s="22"/>
      <c r="W999" s="22"/>
      <c r="X999" s="22"/>
      <c r="Y999" s="22"/>
    </row>
  </sheetData>
  <mergeCells count="1">
    <mergeCell ref="J1:K1"/>
  </mergeCells>
  <conditionalFormatting sqref="A2:B34">
    <cfRule type="expression" dxfId="852" priority="1">
      <formula>$A2="Vincent"</formula>
    </cfRule>
  </conditionalFormatting>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D039E8-1320-42B9-9029-D5BF3C6EFC2B}">
  <dimension ref="A1:BG1003"/>
  <sheetViews>
    <sheetView topLeftCell="Y16" workbookViewId="0">
      <selection activeCell="AF30" sqref="AF30"/>
    </sheetView>
  </sheetViews>
  <sheetFormatPr defaultColWidth="12.625" defaultRowHeight="15" customHeight="1"/>
  <cols>
    <col min="1" max="1" width="36.625" customWidth="1"/>
    <col min="2" max="2" width="28.125" customWidth="1"/>
    <col min="3" max="3" width="21" customWidth="1"/>
    <col min="4" max="4" width="17.5" customWidth="1"/>
    <col min="5" max="5" width="16.125" customWidth="1"/>
    <col min="6" max="6" width="21.5" customWidth="1"/>
    <col min="7" max="7" width="22.625" customWidth="1"/>
    <col min="8" max="8" width="18.625" customWidth="1"/>
    <col min="9" max="9" width="19.625" customWidth="1"/>
    <col min="10" max="10" width="18.875" customWidth="1"/>
    <col min="11" max="11" width="21.625" customWidth="1"/>
    <col min="12" max="12" width="17.375" customWidth="1"/>
    <col min="13" max="13" width="15.125" customWidth="1"/>
    <col min="14" max="14" width="15.625" customWidth="1"/>
    <col min="15" max="15" width="28.5" customWidth="1"/>
    <col min="16" max="16" width="13.125" customWidth="1"/>
    <col min="17" max="17" width="21.875" customWidth="1"/>
    <col min="18" max="18" width="27" customWidth="1"/>
    <col min="19" max="19" width="20.5" customWidth="1"/>
    <col min="20" max="22" width="7.625" customWidth="1"/>
    <col min="23" max="23" width="31.875" customWidth="1"/>
    <col min="24" max="24" width="7.625" customWidth="1"/>
    <col min="25" max="25" width="8.375" customWidth="1"/>
    <col min="26" max="26" width="21.625" customWidth="1"/>
    <col min="27" max="27" width="12" customWidth="1"/>
    <col min="28" max="28" width="16.5" customWidth="1"/>
    <col min="29" max="29" width="6" customWidth="1"/>
    <col min="30" max="30" width="13.625" customWidth="1"/>
  </cols>
  <sheetData>
    <row r="1" spans="1:59" ht="171" customHeight="1">
      <c r="A1" s="703"/>
      <c r="B1" s="704"/>
      <c r="C1" s="705"/>
      <c r="D1" s="16"/>
      <c r="E1" s="572"/>
      <c r="F1" s="704"/>
      <c r="G1" s="704"/>
      <c r="H1" s="705"/>
      <c r="I1" s="16"/>
      <c r="J1" s="16"/>
      <c r="K1" s="16"/>
      <c r="L1" s="16"/>
      <c r="M1" s="16"/>
      <c r="N1" s="16"/>
      <c r="O1" s="16"/>
      <c r="P1" s="16"/>
      <c r="Q1" s="16"/>
      <c r="R1" s="16"/>
      <c r="S1" s="16"/>
      <c r="T1" s="16"/>
      <c r="U1" s="16"/>
      <c r="V1" s="16"/>
      <c r="W1" s="16"/>
      <c r="X1" s="16"/>
      <c r="Y1" s="16"/>
      <c r="Z1" s="16"/>
      <c r="AA1" s="16"/>
      <c r="AB1" s="16"/>
      <c r="AC1" s="16"/>
      <c r="AD1" s="16"/>
    </row>
    <row r="2" spans="1:59">
      <c r="A2" s="58" t="s">
        <v>404</v>
      </c>
      <c r="B2" s="152" t="s">
        <v>532</v>
      </c>
      <c r="C2" s="59"/>
      <c r="D2" s="16"/>
      <c r="E2" s="60" t="s">
        <v>406</v>
      </c>
      <c r="F2" s="153"/>
      <c r="G2" s="154"/>
      <c r="H2" s="61"/>
      <c r="I2" s="16"/>
      <c r="J2" s="16"/>
      <c r="K2" s="16"/>
      <c r="L2" s="16"/>
      <c r="M2" s="16"/>
      <c r="N2" s="16"/>
      <c r="O2" s="16"/>
      <c r="P2" s="16"/>
      <c r="Q2" s="16"/>
      <c r="R2" s="16"/>
      <c r="S2" s="16"/>
      <c r="T2" s="16"/>
      <c r="U2" s="16"/>
      <c r="V2" s="16"/>
      <c r="W2" s="16"/>
      <c r="X2" s="16"/>
      <c r="Y2" s="16"/>
      <c r="Z2" s="15"/>
      <c r="AA2" s="15"/>
      <c r="AB2" s="15"/>
      <c r="AC2" s="15"/>
      <c r="AD2" s="16"/>
      <c r="AE2" s="16"/>
      <c r="AF2" s="16"/>
      <c r="AG2" s="16"/>
      <c r="AH2" s="16"/>
      <c r="AI2" s="17"/>
      <c r="AJ2" s="17"/>
      <c r="AK2" s="17"/>
      <c r="AL2" s="17"/>
      <c r="AM2" s="17"/>
      <c r="AN2" s="17"/>
      <c r="AO2" s="17"/>
      <c r="AP2" s="17"/>
      <c r="AQ2" s="17"/>
      <c r="AR2" s="18"/>
      <c r="AS2" s="17"/>
      <c r="AT2" s="17"/>
      <c r="AU2" s="16"/>
      <c r="AV2" s="16"/>
      <c r="AW2" s="16"/>
      <c r="AX2" s="16"/>
      <c r="AY2" s="16"/>
      <c r="AZ2" s="16"/>
      <c r="BA2" s="16"/>
    </row>
    <row r="3" spans="1:59">
      <c r="A3" s="62" t="s">
        <v>408</v>
      </c>
      <c r="B3" s="155">
        <v>7</v>
      </c>
      <c r="C3" s="156"/>
      <c r="D3" s="16"/>
      <c r="E3" s="63" t="s">
        <v>409</v>
      </c>
      <c r="F3" s="189">
        <v>45803</v>
      </c>
      <c r="G3" s="158"/>
      <c r="H3" s="159"/>
      <c r="I3" s="16"/>
      <c r="J3" s="16"/>
      <c r="K3" s="16"/>
      <c r="L3" s="16"/>
      <c r="M3" s="16"/>
      <c r="N3" s="16"/>
      <c r="O3" s="16"/>
      <c r="P3" s="16"/>
      <c r="Q3" s="16"/>
      <c r="R3" s="16"/>
      <c r="S3" s="16"/>
      <c r="T3" s="16"/>
      <c r="U3" s="16"/>
      <c r="V3" s="16"/>
      <c r="W3" s="16"/>
      <c r="X3" s="16"/>
      <c r="Y3" s="16"/>
      <c r="Z3" s="16"/>
      <c r="AA3" s="16"/>
      <c r="AB3" s="16"/>
      <c r="AC3" s="16"/>
      <c r="AD3" s="16"/>
    </row>
    <row r="4" spans="1:59">
      <c r="A4" s="160" t="s">
        <v>410</v>
      </c>
      <c r="B4" s="161"/>
      <c r="C4" s="162"/>
      <c r="D4" s="16"/>
      <c r="E4" s="163"/>
      <c r="F4" s="164"/>
      <c r="G4" s="165"/>
      <c r="H4" s="166"/>
      <c r="I4" s="16"/>
      <c r="J4" s="16"/>
      <c r="K4" s="16"/>
      <c r="L4" s="16"/>
      <c r="M4" s="16"/>
      <c r="N4" s="16"/>
      <c r="O4" s="16"/>
      <c r="P4" s="16"/>
      <c r="Q4" s="16"/>
      <c r="R4" s="16"/>
      <c r="S4" s="16"/>
      <c r="T4" s="16"/>
      <c r="U4" s="16"/>
      <c r="V4" s="16"/>
      <c r="W4" s="16"/>
      <c r="X4" s="16"/>
      <c r="Y4" s="16"/>
      <c r="Z4" s="16"/>
      <c r="AA4" s="16"/>
      <c r="AB4" s="16"/>
      <c r="AC4" s="16"/>
      <c r="AD4" s="16"/>
    </row>
    <row r="5" spans="1:59">
      <c r="A5" s="167" t="s">
        <v>411</v>
      </c>
      <c r="B5" s="168"/>
      <c r="C5" s="167"/>
      <c r="D5" s="16"/>
      <c r="E5" s="169" t="s">
        <v>412</v>
      </c>
      <c r="F5" s="169"/>
      <c r="G5" s="158"/>
      <c r="H5" s="169"/>
      <c r="I5" s="16"/>
      <c r="J5" s="16"/>
      <c r="K5" s="16"/>
      <c r="L5" s="16"/>
      <c r="M5" s="16"/>
      <c r="N5" s="16"/>
      <c r="O5" s="16"/>
      <c r="P5" s="16"/>
      <c r="Q5" s="16"/>
      <c r="R5" s="16"/>
      <c r="S5" s="16"/>
      <c r="T5" s="16"/>
      <c r="U5" s="16"/>
      <c r="V5" s="16"/>
      <c r="W5" s="16"/>
      <c r="X5" s="16"/>
      <c r="Y5" s="16"/>
      <c r="Z5" s="16"/>
      <c r="AA5" s="16"/>
      <c r="AB5" s="16"/>
      <c r="AC5" s="16"/>
      <c r="AD5" s="16"/>
    </row>
    <row r="6" spans="1:59">
      <c r="A6" s="15"/>
      <c r="B6" s="64"/>
      <c r="C6" s="16"/>
      <c r="D6" s="16"/>
      <c r="E6" s="16"/>
      <c r="F6" s="16"/>
      <c r="G6" s="16"/>
      <c r="H6" s="16"/>
      <c r="I6" s="16"/>
      <c r="J6" s="64"/>
      <c r="K6" s="16"/>
      <c r="L6" s="16"/>
      <c r="M6" s="16"/>
      <c r="N6" s="16"/>
      <c r="O6" s="16"/>
      <c r="P6" s="16"/>
      <c r="Q6" s="16"/>
      <c r="R6" s="16"/>
      <c r="S6" s="16"/>
      <c r="T6" s="16"/>
      <c r="U6" s="16"/>
      <c r="V6" s="16"/>
      <c r="W6" s="16"/>
      <c r="X6" s="16"/>
      <c r="Y6" s="16"/>
      <c r="Z6" s="16"/>
      <c r="AA6" s="16"/>
      <c r="AB6" s="16"/>
      <c r="AC6" s="16"/>
      <c r="AD6" s="16"/>
    </row>
    <row r="7" spans="1:59">
      <c r="A7" s="170" t="s">
        <v>413</v>
      </c>
      <c r="B7" s="59">
        <v>207</v>
      </c>
      <c r="C7" s="16"/>
      <c r="D7" s="573" t="s">
        <v>414</v>
      </c>
      <c r="E7" s="701"/>
      <c r="F7" s="701"/>
      <c r="G7" s="701"/>
      <c r="H7" s="701"/>
      <c r="I7" s="701"/>
      <c r="J7" s="16"/>
      <c r="K7" s="16"/>
      <c r="L7" s="16"/>
      <c r="M7" s="16"/>
      <c r="N7" s="16"/>
      <c r="O7" s="16"/>
      <c r="P7" s="16"/>
      <c r="Q7" s="16"/>
      <c r="R7" s="16"/>
      <c r="S7" s="16"/>
      <c r="T7" s="16"/>
      <c r="U7" s="16"/>
      <c r="V7" s="16"/>
      <c r="W7" s="16"/>
      <c r="X7" s="16"/>
      <c r="Y7" s="16"/>
      <c r="Z7" s="16"/>
      <c r="AA7" s="16"/>
      <c r="AB7" s="16"/>
      <c r="AC7" s="16"/>
      <c r="AD7" s="16"/>
    </row>
    <row r="8" spans="1:59" ht="14.25" customHeight="1">
      <c r="A8" s="171" t="s">
        <v>415</v>
      </c>
      <c r="B8" s="172">
        <f>M21</f>
        <v>0</v>
      </c>
      <c r="C8" s="16" t="s">
        <v>416</v>
      </c>
      <c r="D8" s="574" t="s">
        <v>417</v>
      </c>
      <c r="E8" s="704"/>
      <c r="F8" s="704"/>
      <c r="G8" s="704"/>
      <c r="H8" s="704"/>
      <c r="I8" s="704"/>
      <c r="J8" s="16"/>
      <c r="K8" s="16"/>
      <c r="L8" s="16"/>
      <c r="M8" s="16"/>
      <c r="N8" s="16"/>
      <c r="O8" s="16"/>
      <c r="P8" s="16"/>
      <c r="Q8" s="16"/>
      <c r="R8" s="16"/>
      <c r="S8" s="16"/>
      <c r="T8" s="16"/>
      <c r="U8" s="16"/>
      <c r="V8" s="16"/>
      <c r="W8" s="16"/>
      <c r="X8" s="16"/>
      <c r="Y8" s="16"/>
      <c r="Z8" s="16"/>
      <c r="AA8" s="16"/>
      <c r="AB8" s="16"/>
      <c r="AC8" s="16"/>
    </row>
    <row r="9" spans="1:59">
      <c r="A9" s="65" t="s">
        <v>418</v>
      </c>
      <c r="B9" s="173" t="s">
        <v>419</v>
      </c>
      <c r="C9" s="16"/>
      <c r="D9" s="16"/>
      <c r="E9" s="17"/>
      <c r="F9" s="17"/>
      <c r="G9" s="17"/>
      <c r="H9" s="17"/>
      <c r="I9" s="17"/>
      <c r="J9" s="17"/>
      <c r="K9" s="17"/>
      <c r="L9" s="17"/>
      <c r="M9" s="17"/>
      <c r="N9" s="17"/>
      <c r="O9" s="17"/>
      <c r="P9" s="17"/>
      <c r="Q9" s="16"/>
      <c r="R9" s="17"/>
      <c r="S9" s="17"/>
      <c r="T9" s="17"/>
      <c r="U9" s="17"/>
      <c r="V9" s="17"/>
      <c r="W9" s="17"/>
      <c r="X9" s="17"/>
      <c r="Y9" s="17"/>
      <c r="Z9" s="17"/>
      <c r="AA9" s="17"/>
      <c r="AB9" s="17"/>
      <c r="AC9" s="17"/>
      <c r="AD9" s="18" t="s">
        <v>242</v>
      </c>
    </row>
    <row r="10" spans="1:59">
      <c r="A10" s="174" t="s">
        <v>420</v>
      </c>
      <c r="B10" s="66">
        <f>COUNTA(A38:A42)</f>
        <v>0</v>
      </c>
      <c r="C10" s="16"/>
      <c r="D10" s="16"/>
      <c r="E10" s="17"/>
      <c r="F10" s="17"/>
      <c r="G10" s="17"/>
      <c r="H10" s="17"/>
      <c r="I10" s="17"/>
      <c r="J10" s="17"/>
      <c r="K10" s="17"/>
      <c r="L10" s="17"/>
      <c r="M10" s="17"/>
      <c r="N10" s="17"/>
      <c r="O10" s="17"/>
      <c r="P10" s="17"/>
      <c r="Q10" s="16"/>
      <c r="R10" s="17"/>
      <c r="S10" s="17"/>
      <c r="T10" s="17"/>
      <c r="U10" s="17"/>
      <c r="V10" s="17"/>
      <c r="W10" s="17"/>
      <c r="X10" s="17"/>
      <c r="Y10" s="17"/>
      <c r="Z10" s="17"/>
      <c r="AA10" s="17"/>
      <c r="AB10" s="17"/>
      <c r="AC10" s="17"/>
      <c r="AD10" s="18"/>
    </row>
    <row r="11" spans="1:59">
      <c r="A11" s="171" t="s">
        <v>421</v>
      </c>
      <c r="B11" s="238">
        <f>SUM(B38:B42)</f>
        <v>0</v>
      </c>
      <c r="C11" s="16"/>
      <c r="D11" s="16"/>
      <c r="E11" s="17"/>
      <c r="F11" s="17"/>
      <c r="G11" s="17"/>
      <c r="H11" s="17"/>
      <c r="I11" s="17"/>
      <c r="J11" s="17"/>
      <c r="K11" s="17"/>
      <c r="L11" s="17"/>
      <c r="M11" s="17"/>
      <c r="N11" s="17"/>
      <c r="O11" s="17"/>
      <c r="P11" s="17"/>
      <c r="Q11" s="16"/>
      <c r="R11" s="17"/>
      <c r="S11" s="17"/>
      <c r="T11" s="17"/>
      <c r="U11" s="17"/>
      <c r="V11" s="17"/>
      <c r="W11" s="17"/>
      <c r="X11" s="17"/>
      <c r="Y11" s="17"/>
      <c r="Z11" s="17"/>
      <c r="AA11" s="17"/>
      <c r="AB11" s="17"/>
      <c r="AC11" s="17"/>
      <c r="AD11" s="18"/>
    </row>
    <row r="12" spans="1:59">
      <c r="A12" s="239" t="s">
        <v>422</v>
      </c>
      <c r="B12" s="240" t="s">
        <v>319</v>
      </c>
      <c r="C12" s="16"/>
      <c r="D12" s="16"/>
      <c r="E12" s="17"/>
      <c r="F12" s="17"/>
      <c r="G12" s="17"/>
      <c r="H12" s="17"/>
      <c r="I12" s="17"/>
      <c r="J12" s="17"/>
      <c r="K12" s="17"/>
      <c r="L12" s="17"/>
      <c r="M12" s="17"/>
      <c r="N12" s="17"/>
      <c r="O12" s="17"/>
      <c r="P12" s="17"/>
      <c r="Q12" s="16"/>
      <c r="R12" s="17"/>
      <c r="S12" s="17"/>
      <c r="T12" s="17"/>
      <c r="U12" s="17"/>
      <c r="V12" s="17"/>
      <c r="W12" s="17"/>
      <c r="X12" s="17"/>
      <c r="Y12" s="17"/>
      <c r="Z12" s="17"/>
      <c r="AA12" s="17"/>
      <c r="AB12" s="17"/>
      <c r="AC12" s="17"/>
      <c r="AD12" s="18"/>
    </row>
    <row r="13" spans="1:59">
      <c r="A13" s="16"/>
      <c r="B13" s="16"/>
      <c r="C13" s="16"/>
      <c r="D13" s="16"/>
      <c r="E13" s="17"/>
      <c r="F13" s="17"/>
      <c r="G13" s="17"/>
      <c r="H13" s="17"/>
      <c r="I13" s="17"/>
      <c r="J13" s="17"/>
      <c r="K13" s="17"/>
      <c r="L13" s="17"/>
      <c r="M13" s="17"/>
      <c r="N13" s="17"/>
      <c r="O13" s="17"/>
      <c r="P13" s="17"/>
      <c r="Q13" s="16"/>
      <c r="R13" s="17"/>
      <c r="S13" s="17"/>
      <c r="T13" s="17"/>
      <c r="U13" s="17"/>
      <c r="V13" s="17"/>
      <c r="W13" s="17"/>
      <c r="X13" s="17"/>
      <c r="Y13" s="17"/>
      <c r="Z13" s="17"/>
      <c r="AA13" s="17"/>
      <c r="AB13" s="17"/>
      <c r="AC13" s="17"/>
      <c r="AD13" s="17" t="str">
        <f t="array" ref="AD13:BF13">[0]!LocationNames</f>
        <v>SC1</v>
      </c>
      <c r="AE13" s="17" t="str">
        <v>SC1 - Half</v>
      </c>
      <c r="AF13" s="17" t="str">
        <v>SC2</v>
      </c>
      <c r="AG13" s="17" t="e">
        <v>#N/A</v>
      </c>
      <c r="AH13" s="17" t="e">
        <v>#N/A</v>
      </c>
      <c r="AI13" s="17" t="e">
        <v>#N/A</v>
      </c>
      <c r="AJ13" s="17" t="e">
        <v>#N/A</v>
      </c>
      <c r="AK13" s="17" t="e">
        <v>#N/A</v>
      </c>
      <c r="AL13" s="17" t="e">
        <v>#N/A</v>
      </c>
      <c r="AM13" s="17" t="e">
        <v>#N/A</v>
      </c>
      <c r="AN13" s="17" t="e">
        <v>#N/A</v>
      </c>
      <c r="AO13" s="17" t="e">
        <v>#N/A</v>
      </c>
      <c r="AP13" s="17" t="e">
        <v>#N/A</v>
      </c>
      <c r="AQ13" s="17" t="e">
        <v>#N/A</v>
      </c>
      <c r="AR13" s="17" t="e">
        <v>#N/A</v>
      </c>
      <c r="AS13" s="17" t="e">
        <v>#N/A</v>
      </c>
      <c r="AT13" s="17" t="e">
        <v>#N/A</v>
      </c>
      <c r="AU13" s="17" t="e">
        <v>#N/A</v>
      </c>
      <c r="AV13" s="17" t="e">
        <v>#N/A</v>
      </c>
      <c r="AW13" s="17" t="e">
        <v>#N/A</v>
      </c>
      <c r="AX13" s="17" t="e">
        <v>#N/A</v>
      </c>
      <c r="AY13" s="17" t="e">
        <v>#N/A</v>
      </c>
      <c r="AZ13" s="17" t="e">
        <v>#N/A</v>
      </c>
      <c r="BA13" s="17" t="e">
        <v>#N/A</v>
      </c>
      <c r="BB13" s="17" t="e">
        <v>#N/A</v>
      </c>
      <c r="BC13" s="22" t="e">
        <v>#N/A</v>
      </c>
      <c r="BD13" s="22" t="e">
        <v>#N/A</v>
      </c>
      <c r="BE13" s="22" t="e">
        <v>#N/A</v>
      </c>
      <c r="BF13" s="22" t="e">
        <v>#N/A</v>
      </c>
      <c r="BG13" s="22" t="s">
        <v>270</v>
      </c>
    </row>
    <row r="14" spans="1:59" ht="15.95" thickBot="1">
      <c r="A14" s="175" t="s">
        <v>423</v>
      </c>
      <c r="B14" s="16"/>
      <c r="C14" s="16"/>
      <c r="D14" s="16"/>
      <c r="E14" s="16"/>
      <c r="F14" s="16"/>
      <c r="G14" s="175" t="s">
        <v>424</v>
      </c>
      <c r="I14" s="17"/>
      <c r="J14" s="17"/>
      <c r="K14" s="176" t="s">
        <v>425</v>
      </c>
      <c r="L14" s="17"/>
      <c r="M14" s="176" t="s">
        <v>426</v>
      </c>
      <c r="N14" s="17"/>
      <c r="O14" s="17"/>
      <c r="P14" s="17"/>
      <c r="Q14" s="17"/>
      <c r="R14" s="17"/>
      <c r="S14" s="16"/>
      <c r="T14" s="17"/>
      <c r="U14" s="17"/>
      <c r="V14" s="17"/>
      <c r="W14" s="17"/>
      <c r="X14" s="17"/>
      <c r="Y14" s="17"/>
      <c r="Z14" s="17"/>
      <c r="AA14" s="17"/>
      <c r="AB14" s="17"/>
      <c r="AC14" s="17"/>
      <c r="AD14" s="19">
        <f t="array" ref="AD14:BF14">Constants!A3:AC3</f>
        <v>67.5</v>
      </c>
      <c r="AE14" s="19">
        <v>35</v>
      </c>
      <c r="AF14" s="19">
        <v>67.5</v>
      </c>
      <c r="AG14" s="19">
        <v>35</v>
      </c>
      <c r="AH14" s="19">
        <v>40</v>
      </c>
      <c r="AI14" s="19">
        <v>40</v>
      </c>
      <c r="AJ14" s="19">
        <v>35</v>
      </c>
      <c r="AK14" s="19">
        <v>35</v>
      </c>
      <c r="AL14" s="19">
        <v>40</v>
      </c>
      <c r="AM14" s="19">
        <v>27.5</v>
      </c>
      <c r="AN14" s="19">
        <v>45</v>
      </c>
      <c r="AO14" s="19">
        <v>75</v>
      </c>
      <c r="AP14" s="19">
        <v>40</v>
      </c>
      <c r="AQ14" s="19">
        <v>75</v>
      </c>
      <c r="AR14" s="19">
        <v>40</v>
      </c>
      <c r="AS14" s="19">
        <v>30</v>
      </c>
      <c r="AT14" s="19">
        <v>50</v>
      </c>
      <c r="AU14" s="19">
        <v>75</v>
      </c>
      <c r="AV14" s="19">
        <v>40</v>
      </c>
      <c r="AW14" s="19">
        <v>75</v>
      </c>
      <c r="AX14" s="19">
        <v>40</v>
      </c>
      <c r="AY14" s="19">
        <v>50</v>
      </c>
      <c r="AZ14" s="19">
        <v>65</v>
      </c>
      <c r="BA14" s="19">
        <v>35</v>
      </c>
      <c r="BB14" s="19">
        <v>45</v>
      </c>
      <c r="BC14" s="19">
        <v>50</v>
      </c>
      <c r="BD14" s="19">
        <v>0</v>
      </c>
      <c r="BE14" s="19">
        <v>65</v>
      </c>
      <c r="BF14" s="20">
        <v>70</v>
      </c>
      <c r="BG14" s="20"/>
    </row>
    <row r="15" spans="1:59" ht="15.95" thickTop="1">
      <c r="A15" s="67"/>
      <c r="B15" s="68" t="str">
        <f>Constants!H6</f>
        <v>Performance training</v>
      </c>
      <c r="C15" s="68" t="str">
        <f>Constants!H7</f>
        <v>Performance coaching</v>
      </c>
      <c r="D15" s="68" t="str">
        <f>Constants!H8</f>
        <v>Dangerous</v>
      </c>
      <c r="E15" s="69" t="str">
        <f>Constants!H9</f>
        <v>Recreational</v>
      </c>
      <c r="F15" s="69" t="s">
        <v>290</v>
      </c>
      <c r="G15" s="70"/>
      <c r="H15" s="71" t="s">
        <v>427</v>
      </c>
      <c r="I15" s="72" t="s">
        <v>272</v>
      </c>
      <c r="J15" s="70" t="s">
        <v>5</v>
      </c>
      <c r="K15" s="72" t="s">
        <v>428</v>
      </c>
      <c r="L15" s="70" t="s">
        <v>429</v>
      </c>
      <c r="M15" s="73" cm="1">
        <f t="array" ref="M15">(SUM(IF($D$46:$D$50="PT",($F$46:$F$50)/1.5+IF($G$46:$G$50="yes",1)))+SUM(IF($D$46:$D$50="Extern",($F$46:$F$50)/1.5+IF($G$46:$G$50="yes",1)))+SUM(IF($D$46:$D$50="PT-ZZP",($F$46:$F$50)/1.5+IF($G$46:$G$50="yes",1))))*Constants!B10</f>
        <v>0</v>
      </c>
      <c r="N15" s="17"/>
      <c r="O15" s="17"/>
      <c r="P15" s="17"/>
      <c r="Q15" s="17"/>
      <c r="R15" s="16"/>
      <c r="S15" s="17"/>
      <c r="T15" s="17"/>
      <c r="U15" s="17"/>
      <c r="V15" s="17"/>
      <c r="W15" s="17"/>
      <c r="X15" s="17"/>
      <c r="Y15" s="17"/>
      <c r="Z15" s="17"/>
      <c r="AA15" s="17"/>
      <c r="AB15" s="17"/>
      <c r="AC15" s="17"/>
      <c r="AD15" s="16">
        <f t="shared" ref="AD15:BF15" si="0">SUMIF($B$71:$B$88,AD13,$F$71:$F$88)</f>
        <v>0</v>
      </c>
      <c r="AE15" s="16">
        <f t="shared" si="0"/>
        <v>0</v>
      </c>
      <c r="AF15" s="16">
        <f t="shared" si="0"/>
        <v>0</v>
      </c>
      <c r="AG15" s="16">
        <f t="shared" si="0"/>
        <v>0</v>
      </c>
      <c r="AH15" s="16">
        <f t="shared" si="0"/>
        <v>0</v>
      </c>
      <c r="AI15" s="16">
        <f t="shared" si="0"/>
        <v>0</v>
      </c>
      <c r="AJ15" s="16">
        <f t="shared" si="0"/>
        <v>0</v>
      </c>
      <c r="AK15" s="16">
        <f t="shared" si="0"/>
        <v>0</v>
      </c>
      <c r="AL15" s="16">
        <f t="shared" si="0"/>
        <v>0</v>
      </c>
      <c r="AM15" s="16">
        <f t="shared" si="0"/>
        <v>0</v>
      </c>
      <c r="AN15" s="16">
        <f t="shared" si="0"/>
        <v>0</v>
      </c>
      <c r="AO15" s="16">
        <f t="shared" si="0"/>
        <v>0</v>
      </c>
      <c r="AP15" s="16">
        <f t="shared" si="0"/>
        <v>0</v>
      </c>
      <c r="AQ15" s="16">
        <f t="shared" si="0"/>
        <v>0</v>
      </c>
      <c r="AR15" s="16">
        <f t="shared" si="0"/>
        <v>0</v>
      </c>
      <c r="AS15" s="16">
        <f t="shared" si="0"/>
        <v>0</v>
      </c>
      <c r="AT15" s="16">
        <f t="shared" si="0"/>
        <v>0</v>
      </c>
      <c r="AU15" s="16">
        <f t="shared" si="0"/>
        <v>0</v>
      </c>
      <c r="AV15" s="16">
        <f t="shared" si="0"/>
        <v>0</v>
      </c>
      <c r="AW15" s="16">
        <f t="shared" si="0"/>
        <v>0</v>
      </c>
      <c r="AX15" s="16">
        <f t="shared" si="0"/>
        <v>0</v>
      </c>
      <c r="AY15" s="16">
        <f t="shared" si="0"/>
        <v>0</v>
      </c>
      <c r="AZ15" s="16">
        <f t="shared" si="0"/>
        <v>0</v>
      </c>
      <c r="BA15" s="16">
        <f t="shared" si="0"/>
        <v>0</v>
      </c>
      <c r="BB15" s="16">
        <f t="shared" si="0"/>
        <v>0</v>
      </c>
      <c r="BC15" s="16">
        <f t="shared" si="0"/>
        <v>0</v>
      </c>
      <c r="BD15" s="16">
        <f t="shared" si="0"/>
        <v>0</v>
      </c>
      <c r="BE15" s="16">
        <f t="shared" si="0"/>
        <v>0</v>
      </c>
      <c r="BF15" s="16">
        <f t="shared" si="0"/>
        <v>0</v>
      </c>
    </row>
    <row r="16" spans="1:59">
      <c r="A16" s="74" t="str">
        <f>Constants!E6</f>
        <v>PT</v>
      </c>
      <c r="B16" s="16">
        <f>SUMIFS(Blueshell!$F$55:$F$67,Blueshell!$B$55:$B$67, B$15,Blueshell!$H$55:$H$67,$A16)*(1+Constants!$B$7)</f>
        <v>0</v>
      </c>
      <c r="C16" s="16">
        <f>SUMIFS(Blueshell!$F$55:$F$67,Blueshell!$B$55:$B$67, C$15,Blueshell!$H$55:$H$67,$A16)</f>
        <v>0</v>
      </c>
      <c r="D16" s="16">
        <f>SUMIFS(Blueshell!$F$55:$F$67,Blueshell!$B$55:$B$67, D$15,Blueshell!$H$55:$H$67,$A16)*(1+Constants!$B$7)</f>
        <v>0</v>
      </c>
      <c r="E16" s="16">
        <f>SUMIFS(Blueshell!$F$55:$F$67,Blueshell!$B$55:$B$67, E$15,Blueshell!$H$55:$H$67,$A16)*(1+Constants!$B$7)</f>
        <v>0</v>
      </c>
      <c r="F16" s="16">
        <f>SUMIFS(Blueshell!$F$55:$F$67,Blueshell!$B$55:$B$67, F$15,Blueshell!$H$55:$H$67,$A16)*(1+Constants!$B$7)</f>
        <v>0</v>
      </c>
      <c r="G16" s="74" t="s">
        <v>430</v>
      </c>
      <c r="H16" s="16">
        <f>SUMIF(Blueshell!$B$73:$B$89,"&lt;&gt;External",Blueshell!$F$73:$F$89)</f>
        <v>0</v>
      </c>
      <c r="I16" s="75">
        <f>SUMIF(Blueshell!$B$73:$B$89,"External",Blueshell!$F$73:$F$89)</f>
        <v>0</v>
      </c>
      <c r="J16" s="234">
        <f>SUM($F$92:$F$105)</f>
        <v>0</v>
      </c>
      <c r="K16" s="76">
        <f>IF(OR(ISBLANK(B7),ISBLANK(B9)), "ERROR",MAX(MIN(J16,B7*Constants!B15)-Constants!B14*B7,0)*IF(B9="yes",Constants!B16,IF(B9="no",Constants!B17,0)))</f>
        <v>0</v>
      </c>
      <c r="L16" s="77" t="s">
        <v>360</v>
      </c>
      <c r="M16" s="76">
        <f>E16*Constants!B6+E17*Constants!B8+E22+E21</f>
        <v>0</v>
      </c>
      <c r="N16" s="17"/>
      <c r="O16" s="17"/>
      <c r="P16" s="17"/>
      <c r="Q16" s="17"/>
      <c r="R16" s="16"/>
      <c r="S16" s="17"/>
      <c r="T16" s="17"/>
      <c r="U16" s="17"/>
      <c r="V16" s="17"/>
      <c r="W16" s="17"/>
      <c r="X16" s="17"/>
      <c r="Y16" s="17"/>
      <c r="Z16" s="17"/>
      <c r="AA16" s="17"/>
      <c r="AB16" s="17"/>
      <c r="AC16" s="17"/>
      <c r="AD16" s="19">
        <f t="shared" ref="AD16:BF16" si="1">AD14*AD15</f>
        <v>0</v>
      </c>
      <c r="AE16" s="19">
        <f t="shared" si="1"/>
        <v>0</v>
      </c>
      <c r="AF16" s="19">
        <f t="shared" si="1"/>
        <v>0</v>
      </c>
      <c r="AG16" s="19">
        <f t="shared" si="1"/>
        <v>0</v>
      </c>
      <c r="AH16" s="19">
        <f t="shared" si="1"/>
        <v>0</v>
      </c>
      <c r="AI16" s="19">
        <f t="shared" si="1"/>
        <v>0</v>
      </c>
      <c r="AJ16" s="19">
        <f t="shared" si="1"/>
        <v>0</v>
      </c>
      <c r="AK16" s="19">
        <f t="shared" si="1"/>
        <v>0</v>
      </c>
      <c r="AL16" s="19">
        <f t="shared" si="1"/>
        <v>0</v>
      </c>
      <c r="AM16" s="19">
        <f t="shared" si="1"/>
        <v>0</v>
      </c>
      <c r="AN16" s="19">
        <f t="shared" si="1"/>
        <v>0</v>
      </c>
      <c r="AO16" s="19">
        <f t="shared" si="1"/>
        <v>0</v>
      </c>
      <c r="AP16" s="19">
        <f t="shared" si="1"/>
        <v>0</v>
      </c>
      <c r="AQ16" s="19">
        <f t="shared" si="1"/>
        <v>0</v>
      </c>
      <c r="AR16" s="19">
        <f t="shared" si="1"/>
        <v>0</v>
      </c>
      <c r="AS16" s="19">
        <f t="shared" si="1"/>
        <v>0</v>
      </c>
      <c r="AT16" s="19">
        <f t="shared" si="1"/>
        <v>0</v>
      </c>
      <c r="AU16" s="19">
        <f t="shared" si="1"/>
        <v>0</v>
      </c>
      <c r="AV16" s="19">
        <f t="shared" si="1"/>
        <v>0</v>
      </c>
      <c r="AW16" s="19">
        <f t="shared" si="1"/>
        <v>0</v>
      </c>
      <c r="AX16" s="19">
        <f t="shared" si="1"/>
        <v>0</v>
      </c>
      <c r="AY16" s="19">
        <f t="shared" si="1"/>
        <v>0</v>
      </c>
      <c r="AZ16" s="19">
        <f t="shared" si="1"/>
        <v>0</v>
      </c>
      <c r="BA16" s="19">
        <f t="shared" si="1"/>
        <v>0</v>
      </c>
      <c r="BB16" s="19">
        <f t="shared" si="1"/>
        <v>0</v>
      </c>
      <c r="BC16" s="19">
        <f t="shared" si="1"/>
        <v>0</v>
      </c>
      <c r="BD16" s="19">
        <f t="shared" si="1"/>
        <v>0</v>
      </c>
      <c r="BE16" s="19">
        <f t="shared" si="1"/>
        <v>0</v>
      </c>
      <c r="BF16" s="19">
        <f t="shared" si="1"/>
        <v>0</v>
      </c>
    </row>
    <row r="17" spans="1:36">
      <c r="A17" s="74" t="str">
        <f>Constants!E7</f>
        <v>PT-V</v>
      </c>
      <c r="B17" s="16">
        <f>SUMIFS(Blueshell!$F$55:$F$67,Blueshell!$B$55:$B$67, B$15,Blueshell!$H$55:$H$67,$A17)*(1+Constants!$B$9)</f>
        <v>0</v>
      </c>
      <c r="C17" s="16">
        <f>SUMIFS(Blueshell!$F$55:$F$67,Blueshell!$B$55:$B$67, C$15,Blueshell!$H$55:$H$67,$A17)</f>
        <v>0</v>
      </c>
      <c r="D17" s="16">
        <f>SUMIFS(Blueshell!$F$55:$F$67,Blueshell!$B$55:$B$67, D$15,Blueshell!$H$55:$H$67,$A17)*(1+Constants!$B$9)</f>
        <v>0</v>
      </c>
      <c r="E17" s="16">
        <f>SUMIFS(Blueshell!$F$55:$F$67,Blueshell!$B$55:$B$67, E$15,Blueshell!$H$55:$H$67,$A17)*(1+Constants!$B$9)</f>
        <v>0</v>
      </c>
      <c r="F17" s="16">
        <f>SUMIFS(Blueshell!$F$55:$F$67,Blueshell!$B$55:$B$67, F$15,Blueshell!$H$55:$H$67,$A17)</f>
        <v>0</v>
      </c>
      <c r="G17" s="74" t="s">
        <v>38</v>
      </c>
      <c r="H17" s="78">
        <f>SUM(AD16:BZ16)</f>
        <v>0</v>
      </c>
      <c r="I17" s="76" cm="1">
        <f t="array" ref="I17">SUM(IF($B$71:$B$87="External",$F$71:$F$87*$H$71:$H$87,0))</f>
        <v>0</v>
      </c>
      <c r="J17" s="79"/>
      <c r="K17" s="80"/>
      <c r="L17" s="77" t="s">
        <v>63</v>
      </c>
      <c r="M17" s="76">
        <f>J16-K16</f>
        <v>0</v>
      </c>
      <c r="N17" s="17"/>
      <c r="O17" s="17"/>
      <c r="P17" s="17"/>
      <c r="Q17" s="17"/>
      <c r="R17" s="16"/>
      <c r="S17" s="17"/>
      <c r="T17" s="17"/>
      <c r="U17" s="17"/>
      <c r="V17" s="17"/>
      <c r="W17" s="17"/>
      <c r="X17" s="17"/>
      <c r="Y17" s="17"/>
      <c r="Z17" s="17"/>
      <c r="AA17" s="17"/>
      <c r="AB17" s="17"/>
      <c r="AC17" s="17"/>
      <c r="AD17" s="17"/>
      <c r="AE17" s="17"/>
    </row>
    <row r="18" spans="1:36">
      <c r="A18" s="74" t="str">
        <f>Constants!E8</f>
        <v>PT-ZZP</v>
      </c>
      <c r="B18" s="16">
        <f>SUMIFS(Blueshell!$F$55:$F$67,Blueshell!$B$55:$B$67, B$15,Blueshell!$H$55:$H$67,$A18)*(1+Constants!$B$7)</f>
        <v>0</v>
      </c>
      <c r="C18" s="16">
        <f>SUMIFS(Blueshell!$F$55:$F$67,Blueshell!$B$55:$B$67, C$15,Blueshell!$H$55:$H$67,$A18)</f>
        <v>0</v>
      </c>
      <c r="D18" s="16">
        <f>SUMIFS(Blueshell!$F$55:$F$67,Blueshell!$B$55:$B$67, D$15,Blueshell!$H$55:$H$67,$A18)*(1+Constants!$B$7)</f>
        <v>0</v>
      </c>
      <c r="E18" s="16">
        <f>SUMIFS(Blueshell!$F$55:$F$67,Blueshell!$B$55:$B$67, E$15,Blueshell!$H$55:$H$67,$A18)*(1+Constants!$B$7)</f>
        <v>0</v>
      </c>
      <c r="F18" s="16">
        <f>SUMIFS(Blueshell!$F$55:$F$67,Blueshell!$B$55:$B$67, F$15,Blueshell!$H$55:$H$67,$A18)*(1+Constants!$B$7)</f>
        <v>0</v>
      </c>
      <c r="G18" s="74"/>
      <c r="H18" s="78"/>
      <c r="I18" s="76"/>
      <c r="J18" s="79"/>
      <c r="K18" s="80"/>
      <c r="L18" s="77" t="s">
        <v>60</v>
      </c>
      <c r="M18" s="76" t="str">
        <f>IF(I17-Constants!I17*$B$7&gt;0,$I$17-Constants!I17*$B$7,"-")</f>
        <v>-</v>
      </c>
      <c r="N18" s="17"/>
      <c r="O18" s="17"/>
      <c r="P18" s="17"/>
      <c r="Q18" s="17"/>
      <c r="R18" s="16"/>
      <c r="S18" s="17"/>
      <c r="T18" s="17"/>
      <c r="U18" s="17"/>
      <c r="V18" s="17"/>
      <c r="W18" s="17"/>
      <c r="X18" s="17"/>
      <c r="Y18" s="17"/>
      <c r="Z18" s="17"/>
      <c r="AA18" s="17"/>
      <c r="AB18" s="17"/>
      <c r="AC18" s="17"/>
      <c r="AD18" s="17"/>
      <c r="AE18" s="17"/>
    </row>
    <row r="19" spans="1:36">
      <c r="A19" s="74" t="str">
        <f>Constants!E9</f>
        <v>RT</v>
      </c>
      <c r="B19" s="16">
        <f>SUMIFS(Blueshell!$F$55:$F$67,Blueshell!$B$55:$B$67, B$15,Blueshell!$H$55:$H$67,$A19)</f>
        <v>0</v>
      </c>
      <c r="C19" s="16">
        <f>SUMIFS(Blueshell!$F$55:$F$67,Blueshell!$B$55:$B$67, C$15,Blueshell!$H$55:$H$67,$A19)</f>
        <v>0</v>
      </c>
      <c r="D19" s="16">
        <f>SUMIFS(Blueshell!$F$55:$F$67,Blueshell!$B$55:$B$67, D$15,Blueshell!$H$55:$H$67,$A19)</f>
        <v>0</v>
      </c>
      <c r="E19" s="16">
        <f>SUMIFS(Blueshell!$F$55:$F$67,Blueshell!$B$55:$B$67, E$15,Blueshell!$H$55:$H$67,$A19)</f>
        <v>0</v>
      </c>
      <c r="F19" s="16">
        <f>SUMIFS(Blueshell!$F$55:$F$67,Blueshell!$B$55:$B$67, F$15,Blueshell!$H$55:$H$67,$A19)</f>
        <v>0</v>
      </c>
      <c r="G19" s="74" t="s">
        <v>396</v>
      </c>
      <c r="H19" s="78"/>
      <c r="I19" s="76">
        <f>IF(B7*Constants!I17&lt;I17,B7*Constants!I17,I17)</f>
        <v>0</v>
      </c>
      <c r="J19" s="79"/>
      <c r="K19" s="80"/>
      <c r="L19" s="77" t="s">
        <v>431</v>
      </c>
      <c r="M19" s="255"/>
      <c r="N19" s="17"/>
      <c r="O19" s="17"/>
      <c r="P19" s="17"/>
      <c r="Q19" s="17"/>
      <c r="R19" s="16"/>
      <c r="S19" s="17"/>
      <c r="T19" s="17"/>
      <c r="U19" s="17"/>
      <c r="V19" s="17"/>
      <c r="W19" s="17"/>
      <c r="X19" s="17"/>
      <c r="Y19" s="17"/>
      <c r="Z19" s="17"/>
      <c r="AA19" s="17"/>
      <c r="AB19" s="17"/>
      <c r="AC19" s="17"/>
      <c r="AD19" s="17"/>
      <c r="AE19" s="17"/>
    </row>
    <row r="20" spans="1:36">
      <c r="A20" s="74" t="str">
        <f>Constants!E10</f>
        <v>Extern</v>
      </c>
      <c r="B20" s="16">
        <f>SUMIFS(Blueshell!$F$55:$F$67,Blueshell!$B$55:$B$67, B$15,Blueshell!$H$55:$H$67,$A20)</f>
        <v>0</v>
      </c>
      <c r="C20" s="16">
        <f>SUMIFS(Blueshell!$F$55:$F$67,Blueshell!$B$55:$B$67, C$15,Blueshell!$H$55:$H$67,$A20)</f>
        <v>0</v>
      </c>
      <c r="D20" s="16">
        <f>SUMIFS(Blueshell!$F$55:$F$67,Blueshell!$B$55:$B$67, D$15,Blueshell!$H$55:$H$67,$A20)</f>
        <v>0</v>
      </c>
      <c r="E20" s="16">
        <f>SUMIFS(Blueshell!$F$55:$F$67,Blueshell!$B$55:$B$67, E$15,Blueshell!$H$55:$H$67,$A20)</f>
        <v>0</v>
      </c>
      <c r="F20" s="16">
        <f>SUMIFS(Blueshell!$F$55:$F$67,Blueshell!$B$55:$B$67, F$15,Blueshell!$H$55:$H$67,$A20)</f>
        <v>0</v>
      </c>
      <c r="G20" s="81"/>
      <c r="H20" s="16"/>
      <c r="I20" s="75"/>
      <c r="J20" s="79"/>
      <c r="K20" s="82"/>
      <c r="L20" s="83"/>
      <c r="M20" s="84"/>
      <c r="N20" s="17"/>
      <c r="O20" s="17"/>
      <c r="P20" s="17"/>
      <c r="Q20" s="17"/>
      <c r="R20" s="16"/>
      <c r="S20" s="17"/>
      <c r="T20" s="17"/>
      <c r="U20" s="17"/>
      <c r="V20" s="17"/>
      <c r="W20" s="17"/>
      <c r="X20" s="17"/>
      <c r="Y20" s="17"/>
      <c r="Z20" s="17"/>
      <c r="AA20" s="17"/>
      <c r="AB20" s="17"/>
      <c r="AC20" s="17"/>
      <c r="AD20" s="17"/>
      <c r="AE20" s="17"/>
    </row>
    <row r="21" spans="1:36">
      <c r="A21" s="74" t="str">
        <f>CONCATENATE(A18," Costs")</f>
        <v>PT-ZZP Costs</v>
      </c>
      <c r="B21" s="78">
        <f t="array" ref="B21">SUM(IF(Blueshell!$B$55:$B$67=B$15,IF(Blueshell!$H$55:$H$67="PT-ZZP",Blueshell!$F$55:$F$67*Blueshell!$I$55:$I$67*(1+Constants!$B$7),0),0))</f>
        <v>0</v>
      </c>
      <c r="C21" s="78">
        <f t="array" ref="C21">SUM(IF(Blueshell!$B$55:$B$67=C$15,IF(Blueshell!$H$55:$H$67="PT-ZZP",Blueshell!$F$55:$F$67*Blueshell!$I$55:$I$67,0),0))</f>
        <v>0</v>
      </c>
      <c r="D21" s="78">
        <f t="array" ref="D21">SUM(IF(Blueshell!$B$55:$B$67=D$15,IF(Blueshell!$H$55:$H$67="PT-ZZP",Blueshell!$F$55:$F$67*Blueshell!$I$55:$I$67*(1+Constants!$B$7),0),0))</f>
        <v>0</v>
      </c>
      <c r="E21" s="78">
        <f t="array" ref="E21">SUM(IF(Blueshell!$B$55:$B$67=E$15,IF(Blueshell!$H$55:$H$67="PT-ZZP",Blueshell!$F$55:$F$67*Blueshell!$I$55:$I$67*(1+Constants!$B$7),0),0))</f>
        <v>0</v>
      </c>
      <c r="F21" s="78">
        <f t="array" ref="F21">SUM(IF(Blueshell!$B$55:$B$67=F$15,IF(Blueshell!$H$55:$H$67="PT-ZZP",Blueshell!$F$55:$F$67*Blueshell!$I$55:$I$67*(1+Constants!$B$7),0),0))</f>
        <v>0</v>
      </c>
      <c r="G21" s="81"/>
      <c r="H21" s="16"/>
      <c r="I21" s="75"/>
      <c r="J21" s="79"/>
      <c r="K21" s="82"/>
      <c r="L21" s="77" t="s">
        <v>5</v>
      </c>
      <c r="M21" s="76">
        <f>SUM(M15:M20)</f>
        <v>0</v>
      </c>
      <c r="N21" s="17"/>
      <c r="O21" s="17"/>
      <c r="P21" s="17"/>
      <c r="Q21" s="17"/>
      <c r="R21" s="16"/>
      <c r="S21" s="17"/>
      <c r="T21" s="17"/>
      <c r="U21" s="17"/>
      <c r="V21" s="17"/>
      <c r="W21" s="17"/>
      <c r="X21" s="17"/>
      <c r="Y21" s="17"/>
      <c r="Z21" s="17"/>
      <c r="AA21" s="17"/>
      <c r="AB21" s="17"/>
      <c r="AC21" s="17"/>
      <c r="AD21" s="17"/>
      <c r="AE21" s="17"/>
    </row>
    <row r="22" spans="1:36" ht="15.75" customHeight="1" thickBot="1">
      <c r="A22" s="74" t="str">
        <f>CONCATENATE(A20," Costs")</f>
        <v>Extern Costs</v>
      </c>
      <c r="B22" s="78">
        <f t="array" ref="B22">SUM(IF(Blueshell!$B$55:$B$67=B$15,IF(Blueshell!$H$55:$H$67="Extern",Blueshell!$F$55:$F$67*Blueshell!$I$55:$I$67,0),0))</f>
        <v>0</v>
      </c>
      <c r="C22" s="78">
        <f t="array" ref="C22">SUM(IF(Blueshell!$B$55:$B$67=C$15,IF(Blueshell!$H$55:$H$67="Extern",Blueshell!$F$55:$F$67*Blueshell!$I$55:$I$67,0),0))</f>
        <v>0</v>
      </c>
      <c r="D22" s="78">
        <f t="array" ref="D22">SUM(IF(Blueshell!$B$55:$B$67=D$15,IF(Blueshell!$H$55:$H$67="Extern",Blueshell!$F$55:$F$67*Blueshell!$I$55:$I$67,0),0))</f>
        <v>0</v>
      </c>
      <c r="E22" s="78">
        <f t="array" ref="E22">SUM(IF(Blueshell!$B$55:$B$67=E$15,IF(Blueshell!$H$55:$H$67="Extern",Blueshell!$F$55:$F$67*Blueshell!$I$55:$I$67,0),0))</f>
        <v>0</v>
      </c>
      <c r="F22" s="76">
        <f t="array" ref="F22">SUM(IF(Blueshell!$B$55:$B$67=F$15,IF(Blueshell!$H$55:$H$67="Extern",Blueshell!$F$55:$F$67*Blueshell!$I$55:$I$67,0),0))</f>
        <v>0</v>
      </c>
      <c r="G22" s="85"/>
      <c r="H22" s="177"/>
      <c r="I22" s="86"/>
      <c r="J22" s="87"/>
      <c r="K22" s="88"/>
      <c r="L22" s="87"/>
      <c r="M22" s="88"/>
      <c r="N22" s="17"/>
      <c r="O22" s="17"/>
      <c r="P22" s="17"/>
      <c r="Q22" s="17"/>
      <c r="R22" s="16"/>
      <c r="S22" s="17"/>
      <c r="T22" s="17"/>
      <c r="U22" s="17"/>
      <c r="V22" s="17"/>
      <c r="W22" s="17"/>
      <c r="X22" s="17"/>
      <c r="Y22" s="17"/>
      <c r="Z22" s="17"/>
      <c r="AA22" s="17"/>
      <c r="AB22" s="17"/>
      <c r="AC22" s="17"/>
      <c r="AD22" s="17"/>
      <c r="AE22" s="17"/>
    </row>
    <row r="23" spans="1:36" ht="15" customHeight="1" thickTop="1">
      <c r="A23" s="74" t="s">
        <v>432</v>
      </c>
      <c r="B23" s="78"/>
      <c r="C23" s="78"/>
      <c r="D23" s="78"/>
      <c r="E23" s="78"/>
      <c r="F23" s="76">
        <f t="array" ref="F23">SUMIFS(Blueshell!$F$55:$F$67,Blueshell!$B$55:$B$67,"Mentorship",Blueshell!$H$55:$H$67,"PT-V")*Constants!B8+SUMIFS(Blueshell!$F$55:$F$67,Blueshell!$B$55:$B$67,"Mentorship",Blueshell!$H$55:$H$67,"PT")*Constants!B6+SUMPRODUCT(IF(Blueshell!$B$55:$B$67="Mentorship",IF(Blueshell!$H$55:$H$67="PT-ZZP",Blueshell!$F$55:$F$67*Blueshell!$I$55:$I$67,0)))</f>
        <v>0</v>
      </c>
    </row>
    <row r="24" spans="1:36" ht="15" customHeight="1" thickBot="1">
      <c r="A24" s="89" t="s">
        <v>433</v>
      </c>
      <c r="B24" s="178"/>
      <c r="C24" s="178"/>
      <c r="D24" s="178"/>
      <c r="E24" s="178">
        <f>SUMIF(Blueshell!$B$55:$B$67,"External Trainer Course",Blueshell!$I$55:$I$67)</f>
        <v>0</v>
      </c>
      <c r="F24" s="90"/>
    </row>
    <row r="25" spans="1:36" ht="15.75" customHeight="1" thickTop="1">
      <c r="A25" s="16"/>
      <c r="B25" s="16"/>
      <c r="C25" s="16"/>
      <c r="D25" s="16"/>
      <c r="E25" s="17"/>
      <c r="F25" s="17"/>
      <c r="G25" s="17"/>
      <c r="H25" s="17"/>
      <c r="I25" s="17"/>
      <c r="J25" s="17"/>
      <c r="K25" s="17"/>
      <c r="L25" s="17"/>
      <c r="M25" s="17"/>
      <c r="N25" s="17"/>
      <c r="O25" s="17"/>
      <c r="P25" s="17"/>
      <c r="Q25" s="16"/>
      <c r="R25" s="17"/>
      <c r="S25" s="17"/>
      <c r="T25" s="17"/>
      <c r="U25" s="17"/>
      <c r="V25" s="17"/>
      <c r="W25" s="17"/>
      <c r="X25" s="17"/>
      <c r="Y25" s="17"/>
      <c r="Z25" s="17"/>
      <c r="AA25" s="17"/>
      <c r="AB25" s="17"/>
      <c r="AC25" s="17"/>
      <c r="AD25" s="17"/>
    </row>
    <row r="26" spans="1:36" ht="15.75" customHeight="1">
      <c r="A26" s="16"/>
      <c r="B26" s="16"/>
      <c r="C26" s="16"/>
      <c r="D26" s="16"/>
      <c r="E26" s="17"/>
      <c r="F26" s="17"/>
      <c r="G26" s="17"/>
      <c r="H26" s="17"/>
      <c r="I26" s="17"/>
      <c r="J26" s="17"/>
      <c r="K26" s="17"/>
      <c r="L26" s="17"/>
      <c r="M26" s="17"/>
      <c r="N26" s="17"/>
      <c r="O26" s="17"/>
      <c r="P26" s="17"/>
      <c r="Q26" s="16"/>
      <c r="R26" s="17"/>
      <c r="S26" s="17"/>
      <c r="T26" s="17"/>
      <c r="U26" s="17"/>
      <c r="V26" s="17"/>
      <c r="W26" s="17"/>
      <c r="X26" s="17"/>
      <c r="Y26" s="17"/>
      <c r="Z26" s="17"/>
      <c r="AA26" s="17"/>
      <c r="AB26" s="17"/>
      <c r="AC26" s="17"/>
      <c r="AD26" s="17"/>
    </row>
    <row r="27" spans="1:36" ht="15.75" customHeight="1" thickBot="1">
      <c r="A27" s="91" t="s">
        <v>434</v>
      </c>
      <c r="B27" s="17"/>
      <c r="C27" s="17"/>
      <c r="D27" s="17"/>
      <c r="E27" s="17"/>
      <c r="F27" s="17"/>
      <c r="G27" s="92"/>
      <c r="H27" s="19"/>
      <c r="I27" s="17"/>
      <c r="J27" s="17"/>
      <c r="K27" s="17"/>
      <c r="L27" s="17"/>
      <c r="M27" s="17"/>
      <c r="N27" s="17"/>
      <c r="O27" s="17"/>
      <c r="P27" s="17"/>
      <c r="Q27" s="16"/>
      <c r="R27" s="17"/>
      <c r="S27" s="17"/>
      <c r="T27" s="17"/>
      <c r="U27" s="17"/>
      <c r="V27" s="17"/>
      <c r="W27" s="17"/>
      <c r="X27" s="17"/>
      <c r="Y27" s="17"/>
      <c r="Z27" s="17"/>
      <c r="AA27" s="17"/>
      <c r="AB27" s="17"/>
      <c r="AC27" s="17"/>
      <c r="AD27" s="17"/>
    </row>
    <row r="28" spans="1:36" ht="15.75" customHeight="1" thickTop="1" thickBot="1">
      <c r="A28" s="706" t="s">
        <v>435</v>
      </c>
      <c r="B28" s="707"/>
      <c r="C28" s="707"/>
      <c r="D28" s="707"/>
      <c r="E28" s="707"/>
      <c r="F28" s="708"/>
      <c r="G28" s="15"/>
      <c r="H28" s="17"/>
      <c r="I28" s="17"/>
      <c r="J28" s="17"/>
      <c r="K28" s="17"/>
      <c r="L28" s="17"/>
      <c r="M28" s="17"/>
      <c r="N28" s="17"/>
      <c r="O28" s="17"/>
      <c r="P28" s="17"/>
      <c r="Q28" s="16"/>
      <c r="R28" s="17"/>
      <c r="S28" s="17"/>
      <c r="T28" s="17"/>
      <c r="U28" s="17"/>
      <c r="V28" s="17"/>
      <c r="W28" s="17"/>
      <c r="X28" s="17"/>
      <c r="Y28" s="17"/>
      <c r="Z28" s="17"/>
      <c r="AA28" s="17"/>
      <c r="AB28" s="17"/>
      <c r="AC28" s="17"/>
      <c r="AD28" s="242" t="s">
        <v>436</v>
      </c>
      <c r="AE28" s="16"/>
      <c r="AF28" s="128"/>
      <c r="AG28" s="51"/>
      <c r="AH28" s="51"/>
      <c r="AI28" s="51"/>
      <c r="AJ28" s="51"/>
    </row>
    <row r="29" spans="1:36" ht="15.75" customHeight="1" thickBot="1">
      <c r="A29" s="709" t="s">
        <v>437</v>
      </c>
      <c r="B29" s="696"/>
      <c r="C29" s="696"/>
      <c r="D29" s="696"/>
      <c r="E29" s="696"/>
      <c r="F29" s="710"/>
      <c r="G29" s="17"/>
      <c r="H29" s="17"/>
      <c r="I29" s="17"/>
      <c r="J29" s="17"/>
      <c r="K29" s="17"/>
      <c r="L29" s="17"/>
      <c r="M29" s="17"/>
      <c r="N29" s="17"/>
      <c r="O29" s="17"/>
      <c r="P29" s="17"/>
      <c r="Q29" s="16"/>
      <c r="R29" s="17"/>
      <c r="S29" s="17"/>
      <c r="T29" s="17"/>
      <c r="U29" s="17"/>
      <c r="V29" s="17"/>
      <c r="W29" s="17"/>
      <c r="X29" s="17"/>
      <c r="Y29" s="17"/>
      <c r="Z29" s="17"/>
      <c r="AA29" s="17"/>
      <c r="AB29" s="17"/>
      <c r="AC29" s="17"/>
      <c r="AD29" s="243" t="s">
        <v>438</v>
      </c>
      <c r="AE29" s="243" t="s">
        <v>439</v>
      </c>
      <c r="AF29" s="243" t="s">
        <v>440</v>
      </c>
      <c r="AG29" s="711" t="s">
        <v>441</v>
      </c>
      <c r="AH29" s="712"/>
      <c r="AI29" s="711" t="s">
        <v>434</v>
      </c>
      <c r="AJ29" s="712"/>
    </row>
    <row r="30" spans="1:36" ht="15.75" customHeight="1" thickBot="1">
      <c r="A30" s="709" t="s">
        <v>442</v>
      </c>
      <c r="B30" s="696"/>
      <c r="C30" s="696"/>
      <c r="D30" s="696"/>
      <c r="E30" s="696"/>
      <c r="F30" s="710"/>
      <c r="G30" s="17"/>
      <c r="H30" s="17"/>
      <c r="I30" s="17"/>
      <c r="J30" s="17"/>
      <c r="K30" s="17"/>
      <c r="L30" s="17"/>
      <c r="M30" s="17"/>
      <c r="N30" s="17"/>
      <c r="O30" s="17"/>
      <c r="P30" s="17"/>
      <c r="Q30" s="16"/>
      <c r="R30" s="17"/>
      <c r="S30" s="17"/>
      <c r="T30" s="17"/>
      <c r="U30" s="17"/>
      <c r="V30" s="17"/>
      <c r="W30" s="17"/>
      <c r="X30" s="17"/>
      <c r="Y30" s="17"/>
      <c r="Z30" s="17"/>
      <c r="AA30" s="17"/>
      <c r="AB30" s="17"/>
      <c r="AC30" s="17"/>
      <c r="AD30" s="244" t="str">
        <f>IF($B$12="individual",Constants!F55,Constants!L55)</f>
        <v>member count</v>
      </c>
      <c r="AE30" s="244">
        <f>B7</f>
        <v>207</v>
      </c>
      <c r="AF30" s="269">
        <f>IF(AE30&gt;=301,5,IF(AE30&gt;=176,4,IF(AE30&gt;=101,3,IF(AE30&gt;=51,2,1))))</f>
        <v>4</v>
      </c>
      <c r="AG30" s="560" t="s">
        <v>1939</v>
      </c>
      <c r="AH30" s="560"/>
      <c r="AI30" s="560" t="s">
        <v>443</v>
      </c>
      <c r="AJ30" s="560"/>
    </row>
    <row r="31" spans="1:36" ht="15" customHeight="1" thickBot="1">
      <c r="A31" s="709" t="s">
        <v>444</v>
      </c>
      <c r="B31" s="696"/>
      <c r="C31" s="696"/>
      <c r="D31" s="696"/>
      <c r="E31" s="696"/>
      <c r="F31" s="710"/>
      <c r="G31" s="17"/>
      <c r="H31" s="17"/>
      <c r="I31" s="17"/>
      <c r="J31" s="17"/>
      <c r="K31" s="17"/>
      <c r="L31" s="17"/>
      <c r="M31" s="17"/>
      <c r="N31" s="17"/>
      <c r="O31" s="17"/>
      <c r="P31" s="17"/>
      <c r="Q31" s="16"/>
      <c r="R31" s="17"/>
      <c r="S31" s="17"/>
      <c r="T31" s="17"/>
      <c r="U31" s="17"/>
      <c r="V31" s="17"/>
      <c r="W31" s="17"/>
      <c r="X31" s="17"/>
      <c r="Y31" s="17"/>
      <c r="Z31" s="17"/>
      <c r="AA31" s="17"/>
      <c r="AB31" s="17"/>
      <c r="AC31" s="17"/>
      <c r="AD31" s="244" t="str">
        <f>IF($B$12="individual",Constants!F56,Constants!L56)</f>
        <v>number of trainings per week</v>
      </c>
      <c r="AE31" s="244">
        <v>12</v>
      </c>
      <c r="AF31" s="270">
        <f>IF(AE31&gt;=4,3,IF(AE31&gt;=3,2,IF(AE31&gt;=2,1,0)))</f>
        <v>3</v>
      </c>
      <c r="AG31" s="560"/>
      <c r="AH31" s="560"/>
      <c r="AI31" s="560"/>
      <c r="AJ31" s="560"/>
    </row>
    <row r="32" spans="1:36" ht="15.75" customHeight="1" thickBot="1">
      <c r="A32" s="709" t="s">
        <v>445</v>
      </c>
      <c r="B32" s="696"/>
      <c r="C32" s="696"/>
      <c r="D32" s="696"/>
      <c r="E32" s="696"/>
      <c r="F32" s="710"/>
      <c r="G32" s="17"/>
      <c r="H32" s="16"/>
      <c r="I32" s="16"/>
      <c r="J32" s="16"/>
      <c r="K32" s="17"/>
      <c r="L32" s="17"/>
      <c r="M32" s="17"/>
      <c r="N32" s="17"/>
      <c r="O32" s="17"/>
      <c r="P32" s="17"/>
      <c r="Q32" s="16"/>
      <c r="R32" s="17"/>
      <c r="S32" s="17"/>
      <c r="T32" s="17"/>
      <c r="U32" s="17"/>
      <c r="V32" s="17"/>
      <c r="W32" s="17"/>
      <c r="X32" s="17"/>
      <c r="Y32" s="17"/>
      <c r="Z32" s="17"/>
      <c r="AA32" s="17"/>
      <c r="AB32" s="17"/>
      <c r="AC32" s="17"/>
      <c r="AD32" s="244" t="str">
        <f>IF($B$12="individual",Constants!F57,Constants!L57)</f>
        <v>number of trainings weeks per year</v>
      </c>
      <c r="AE32" s="252">
        <v>42</v>
      </c>
      <c r="AF32" s="250">
        <f>IF(AE32&gt;=40,3,IF(AE32&gt;=35,2,1))</f>
        <v>3</v>
      </c>
      <c r="AG32" s="560"/>
      <c r="AH32" s="560"/>
      <c r="AI32" s="560"/>
      <c r="AJ32" s="560"/>
    </row>
    <row r="33" spans="1:58" ht="15.75" customHeight="1" thickBot="1">
      <c r="A33" s="93" t="s">
        <v>446</v>
      </c>
      <c r="F33" s="94"/>
      <c r="G33" s="17"/>
      <c r="H33" s="16"/>
      <c r="I33" s="16"/>
      <c r="J33" s="16"/>
      <c r="K33" s="17"/>
      <c r="L33" s="17"/>
      <c r="M33" s="17"/>
      <c r="N33" s="17"/>
      <c r="O33" s="17"/>
      <c r="P33" s="17"/>
      <c r="Q33" s="16"/>
      <c r="R33" s="17"/>
      <c r="S33" s="17"/>
      <c r="T33" s="17"/>
      <c r="U33" s="17"/>
      <c r="V33" s="17"/>
      <c r="W33" s="17"/>
      <c r="X33" s="17"/>
      <c r="Y33" s="17"/>
      <c r="Z33" s="17"/>
      <c r="AA33" s="17"/>
      <c r="AB33" s="17"/>
      <c r="AC33" s="17"/>
      <c r="AD33" s="244" t="str">
        <f>IF($B$12="individual",Constants!F58,Constants!L58)</f>
        <v>number of training hours by RT / PT-V</v>
      </c>
      <c r="AE33" s="251" t="e">
        <f>(SUMIF(H55:H67,"RT",F55:F67)+SUMIF(H55:H67,"PT-V",F55:F67))/SUM(F55:F67)</f>
        <v>#DIV/0!</v>
      </c>
      <c r="AF33" s="270">
        <v>0</v>
      </c>
      <c r="AG33" s="560"/>
      <c r="AH33" s="560"/>
      <c r="AI33" s="560"/>
      <c r="AJ33" s="560"/>
    </row>
    <row r="34" spans="1:58" ht="15.75" customHeight="1" thickBot="1">
      <c r="A34" s="713" t="s">
        <v>447</v>
      </c>
      <c r="B34" s="714"/>
      <c r="C34" s="714"/>
      <c r="D34" s="714"/>
      <c r="E34" s="714"/>
      <c r="F34" s="715"/>
      <c r="G34" s="17"/>
      <c r="H34" s="16"/>
      <c r="I34" s="16"/>
      <c r="J34" s="16"/>
      <c r="K34" s="17"/>
      <c r="L34" s="17"/>
      <c r="M34" s="17"/>
      <c r="N34" s="17"/>
      <c r="O34" s="17"/>
      <c r="P34" s="17"/>
      <c r="Q34" s="16"/>
      <c r="R34" s="17"/>
      <c r="S34" s="17"/>
      <c r="T34" s="17"/>
      <c r="U34" s="17"/>
      <c r="V34" s="17"/>
      <c r="W34" s="17"/>
      <c r="X34" s="17"/>
      <c r="Y34" s="17"/>
      <c r="Z34" s="17"/>
      <c r="AA34" s="17"/>
      <c r="AB34" s="17"/>
      <c r="AC34" s="17"/>
      <c r="AD34" s="244" t="str">
        <f>IF($B$12="individual",Constants!F59,Constants!L59)</f>
        <v>number of training groups / teams</v>
      </c>
      <c r="AE34" s="244">
        <f>B10</f>
        <v>0</v>
      </c>
      <c r="AF34" s="271">
        <f>IF(AE34&gt;9,3,IF(AE34&gt;4,2,IF(AE34&gt;2,1,0)))</f>
        <v>0</v>
      </c>
      <c r="AG34" s="560"/>
      <c r="AH34" s="560"/>
      <c r="AI34" s="560"/>
      <c r="AJ34" s="560"/>
    </row>
    <row r="35" spans="1:58" ht="15.75" customHeight="1" thickTop="1" thickBot="1">
      <c r="A35" s="16"/>
      <c r="G35" s="17"/>
      <c r="H35" s="16"/>
      <c r="I35" s="16"/>
      <c r="J35" s="16"/>
      <c r="K35" s="17"/>
      <c r="L35" s="17"/>
      <c r="M35" s="17"/>
      <c r="N35" s="17"/>
      <c r="O35" s="17"/>
      <c r="P35" s="17"/>
      <c r="Q35" s="16"/>
      <c r="R35" s="17"/>
      <c r="S35" s="17"/>
      <c r="T35" s="17"/>
      <c r="U35" s="17"/>
      <c r="V35" s="17"/>
      <c r="W35" s="17"/>
      <c r="X35" s="17"/>
      <c r="Y35" s="17"/>
      <c r="Z35" s="17"/>
      <c r="AA35" s="17"/>
      <c r="AB35" s="17"/>
      <c r="AC35" s="17"/>
      <c r="AD35" s="244" t="str">
        <f>IF($B$12="individual",Constants!F60,Constants!L60)</f>
        <v>number of competitions organised</v>
      </c>
      <c r="AE35" s="249">
        <v>3</v>
      </c>
      <c r="AF35" s="271">
        <f>IF(AE35&gt;=4,5,IF(AE35&gt;=2,3,IF(AE35&gt;=1,1,0)))</f>
        <v>3</v>
      </c>
      <c r="AG35" s="560"/>
      <c r="AH35" s="560"/>
      <c r="AI35" s="560"/>
      <c r="AJ35" s="560"/>
    </row>
    <row r="36" spans="1:58" ht="15.75" customHeight="1" thickBot="1">
      <c r="A36" s="179" t="s">
        <v>448</v>
      </c>
      <c r="B36" s="16"/>
      <c r="C36" s="16"/>
      <c r="D36" s="16"/>
      <c r="E36" s="16"/>
      <c r="F36" s="16"/>
      <c r="G36" s="16"/>
      <c r="H36" s="16"/>
      <c r="I36" s="16"/>
      <c r="J36" s="16"/>
      <c r="K36" s="16"/>
      <c r="L36" s="16"/>
      <c r="M36" s="16"/>
      <c r="N36" s="16"/>
      <c r="O36" s="16"/>
      <c r="P36" s="16"/>
      <c r="Q36" s="16"/>
      <c r="R36" s="16"/>
      <c r="S36" s="16"/>
      <c r="T36" s="16"/>
      <c r="U36" s="16"/>
      <c r="V36" s="16"/>
      <c r="W36" s="16"/>
      <c r="X36" s="16"/>
      <c r="Y36" s="16"/>
      <c r="Z36" s="16"/>
      <c r="AA36" s="16"/>
      <c r="AB36" s="18"/>
      <c r="AC36" s="16"/>
      <c r="AD36" s="244" t="str">
        <f>IF($B$12="individual",Constants!F61,Constants!L61)</f>
        <v>number of social activities</v>
      </c>
      <c r="AE36" s="249">
        <v>20</v>
      </c>
      <c r="AF36" s="271">
        <f>IF(AE36&gt;=20,2,IF(AE36&gt;=10,1,0))</f>
        <v>2</v>
      </c>
      <c r="AG36" s="560"/>
      <c r="AH36" s="560"/>
      <c r="AI36" s="560"/>
      <c r="AJ36" s="560"/>
    </row>
    <row r="37" spans="1:58" ht="15" customHeight="1" thickTop="1" thickBot="1">
      <c r="A37" s="95" t="s">
        <v>449</v>
      </c>
      <c r="B37" s="96" t="s">
        <v>450</v>
      </c>
      <c r="C37" s="95" t="s">
        <v>451</v>
      </c>
      <c r="D37" s="95" t="s">
        <v>452</v>
      </c>
      <c r="E37" s="95" t="s">
        <v>453</v>
      </c>
      <c r="F37" s="95" t="s">
        <v>454</v>
      </c>
      <c r="G37" s="97" t="s">
        <v>455</v>
      </c>
      <c r="H37" s="561" t="s">
        <v>456</v>
      </c>
      <c r="I37" s="716"/>
      <c r="J37" s="717"/>
      <c r="K37" s="98"/>
      <c r="L37" s="98"/>
      <c r="M37" s="98"/>
      <c r="N37" s="98"/>
      <c r="O37" s="98"/>
      <c r="P37" s="98"/>
      <c r="Q37" s="98"/>
      <c r="R37" s="98"/>
      <c r="S37" s="98"/>
      <c r="T37" s="98"/>
      <c r="U37" s="96"/>
      <c r="V37" s="96"/>
      <c r="W37" s="96"/>
      <c r="X37" s="96"/>
      <c r="Y37" s="99"/>
      <c r="Z37" s="96"/>
      <c r="AA37" s="96"/>
      <c r="AB37" s="100"/>
      <c r="AC37" s="100"/>
      <c r="AD37" s="244" t="str">
        <f>IF($B$12="individual",Constants!F62,Constants!L62)</f>
        <v>number of bar days</v>
      </c>
      <c r="AE37" s="249">
        <v>0</v>
      </c>
      <c r="AF37" s="271">
        <f>IF(AE37&gt;=15,2,IF(AE37&gt;=8,1,0))</f>
        <v>0</v>
      </c>
      <c r="AG37" s="560"/>
      <c r="AH37" s="560"/>
      <c r="AI37" s="560"/>
      <c r="AJ37" s="560"/>
      <c r="AK37" s="100"/>
      <c r="AL37" s="100"/>
      <c r="AM37" s="100"/>
      <c r="AN37" s="100"/>
      <c r="AO37" s="100"/>
      <c r="AP37" s="100"/>
      <c r="AQ37" s="100"/>
      <c r="AR37" s="100"/>
      <c r="AS37" s="100"/>
      <c r="AT37" s="100"/>
      <c r="AU37" s="100"/>
      <c r="AV37" s="100"/>
      <c r="AW37" s="100"/>
      <c r="AX37" s="100"/>
      <c r="AY37" s="100"/>
      <c r="AZ37" s="100"/>
      <c r="BA37" s="100"/>
      <c r="BB37" s="100"/>
      <c r="BC37" s="100"/>
      <c r="BD37" s="100"/>
      <c r="BE37" s="100"/>
      <c r="BF37" s="100"/>
    </row>
    <row r="38" spans="1:58" ht="14.25" customHeight="1" thickBot="1">
      <c r="A38" s="101"/>
      <c r="B38" s="51"/>
      <c r="C38" s="101"/>
      <c r="D38" s="136"/>
      <c r="E38" s="101"/>
      <c r="F38" s="103"/>
      <c r="G38" s="102"/>
      <c r="H38" s="571"/>
      <c r="I38" s="696"/>
      <c r="J38" s="718"/>
      <c r="K38" s="16"/>
      <c r="L38" s="16"/>
      <c r="M38" s="16"/>
      <c r="N38" s="16"/>
      <c r="O38" s="16"/>
      <c r="P38" s="16"/>
      <c r="Q38" s="16"/>
      <c r="R38" s="16"/>
      <c r="S38" s="16"/>
      <c r="T38" s="16"/>
      <c r="U38" s="16"/>
      <c r="V38" s="16"/>
      <c r="W38" s="16"/>
      <c r="X38" s="16"/>
      <c r="Y38" s="17"/>
      <c r="Z38" s="16"/>
      <c r="AA38" s="16"/>
      <c r="AD38" s="244" t="str">
        <f>IF($B$12="individual",Constants!F63,Constants!L63)</f>
        <v>own bar / extra location</v>
      </c>
      <c r="AE38" s="249">
        <v>0</v>
      </c>
      <c r="AF38" s="271">
        <f>IF(AE38&gt;=1,2,0)</f>
        <v>0</v>
      </c>
      <c r="AG38" s="560"/>
      <c r="AH38" s="560"/>
      <c r="AI38" s="560"/>
      <c r="AJ38" s="560"/>
    </row>
    <row r="39" spans="1:58" ht="14.25" customHeight="1" thickBot="1">
      <c r="A39" s="101"/>
      <c r="B39" s="51"/>
      <c r="C39" s="104"/>
      <c r="D39" s="136"/>
      <c r="E39" s="105"/>
      <c r="F39" s="106"/>
      <c r="G39" s="107"/>
      <c r="H39" s="696"/>
      <c r="I39" s="696"/>
      <c r="J39" s="718"/>
      <c r="K39" s="16"/>
      <c r="L39" s="16"/>
      <c r="M39" s="16"/>
      <c r="N39" s="16"/>
      <c r="O39" s="16"/>
      <c r="P39" s="16"/>
      <c r="Q39" s="16"/>
      <c r="R39" s="16"/>
      <c r="S39" s="16"/>
      <c r="T39" s="16"/>
      <c r="U39" s="16"/>
      <c r="V39" s="16"/>
      <c r="W39" s="16"/>
      <c r="X39" s="16"/>
      <c r="Y39" s="17"/>
      <c r="Z39" s="16"/>
      <c r="AA39" s="16"/>
      <c r="AD39" s="244" t="str">
        <f>IF($B$12="individual",Constants!F65,Constants!L64)</f>
        <v>number of facilities used</v>
      </c>
      <c r="AE39" s="249">
        <v>1</v>
      </c>
      <c r="AF39" s="273">
        <f>IF(B12="individual", IF(AE39&gt;10, 5, IF(AE39&gt;6, 3, IF(AE39&gt;2, 1, 0))), IF(AE39&gt;3, 3, IF(AE39&gt;1, 2, 1)))</f>
        <v>1</v>
      </c>
      <c r="AG39" s="560"/>
      <c r="AH39" s="560"/>
      <c r="AI39" s="560"/>
      <c r="AJ39" s="560"/>
    </row>
    <row r="40" spans="1:58" ht="15.75" customHeight="1" thickBot="1">
      <c r="A40" s="16"/>
      <c r="B40" s="51"/>
      <c r="C40" s="16"/>
      <c r="D40" s="51"/>
      <c r="E40" s="105"/>
      <c r="F40" s="106"/>
      <c r="G40" s="16"/>
      <c r="H40" s="696"/>
      <c r="I40" s="696"/>
      <c r="J40" s="718"/>
      <c r="K40" s="16"/>
      <c r="L40" s="16"/>
      <c r="M40" s="16"/>
      <c r="N40" s="16"/>
      <c r="O40" s="16"/>
      <c r="P40" s="16"/>
      <c r="Q40" s="16"/>
      <c r="R40" s="16"/>
      <c r="S40" s="16"/>
      <c r="T40" s="16"/>
      <c r="U40" s="16"/>
      <c r="V40" s="16"/>
      <c r="W40" s="16"/>
      <c r="X40" s="16"/>
      <c r="Y40" s="16"/>
      <c r="Z40" s="16"/>
      <c r="AA40" s="16"/>
      <c r="AD40" s="231" t="str">
        <f>IF($B$12="individual",Constants!F64,Constants!L65)</f>
        <v>ratio of competing teams / training teams</v>
      </c>
      <c r="AE40" s="231">
        <f>AE44/(AE30-AE44)</f>
        <v>0.42758620689655175</v>
      </c>
      <c r="AF40" s="273">
        <f>IF(B12="group", IF(AE40&gt;0.15, 5, IF(AE40&gt;0.1, 3, IF(AE40&gt;0.05, 1, 0))), " ")</f>
        <v>5</v>
      </c>
      <c r="AG40" s="560"/>
      <c r="AH40" s="560"/>
      <c r="AI40" s="560"/>
      <c r="AJ40" s="560"/>
    </row>
    <row r="41" spans="1:58" ht="15.75" customHeight="1" thickBot="1">
      <c r="A41" s="16"/>
      <c r="B41" s="51"/>
      <c r="C41" s="16"/>
      <c r="D41" s="51"/>
      <c r="E41" s="105"/>
      <c r="F41" s="106"/>
      <c r="G41" s="16"/>
      <c r="H41" s="696"/>
      <c r="I41" s="696"/>
      <c r="J41" s="718"/>
      <c r="K41" s="16"/>
      <c r="L41" s="16"/>
      <c r="M41" s="16"/>
      <c r="N41" s="16"/>
      <c r="O41" s="16"/>
      <c r="P41" s="16"/>
      <c r="Q41" s="16"/>
      <c r="R41" s="16"/>
      <c r="S41" s="16"/>
      <c r="T41" s="16"/>
      <c r="U41" s="16"/>
      <c r="V41" s="16"/>
      <c r="W41" s="16"/>
      <c r="X41" s="16"/>
      <c r="Y41" s="16"/>
      <c r="Z41" s="16"/>
      <c r="AA41" s="16"/>
      <c r="AD41" s="16"/>
      <c r="AE41" s="275" t="s">
        <v>461</v>
      </c>
      <c r="AF41" s="277">
        <f>SUM(AF30:AF40)</f>
        <v>21</v>
      </c>
      <c r="AG41" s="247"/>
      <c r="AH41" s="245"/>
      <c r="AI41" s="246"/>
      <c r="AJ41" s="247"/>
    </row>
    <row r="42" spans="1:58" ht="15.75" customHeight="1" thickBot="1">
      <c r="A42" s="180"/>
      <c r="B42" s="181"/>
      <c r="C42" s="182"/>
      <c r="D42" s="183"/>
      <c r="E42" s="184"/>
      <c r="F42" s="184"/>
      <c r="G42" s="180"/>
      <c r="H42" s="719"/>
      <c r="I42" s="719"/>
      <c r="J42" s="720"/>
      <c r="K42" s="16"/>
      <c r="L42" s="16"/>
      <c r="M42" s="16"/>
      <c r="N42" s="16"/>
      <c r="O42" s="16"/>
      <c r="P42" s="16"/>
      <c r="Q42" s="16"/>
      <c r="R42" s="16"/>
      <c r="S42" s="16"/>
      <c r="T42" s="16"/>
      <c r="U42" s="16"/>
      <c r="V42" s="16"/>
      <c r="W42" s="16"/>
      <c r="X42" s="16"/>
      <c r="Y42" s="16"/>
      <c r="Z42" s="16"/>
      <c r="AA42" s="16"/>
      <c r="AD42" s="231"/>
      <c r="AE42" s="231"/>
      <c r="AF42" s="246"/>
      <c r="AG42" s="247"/>
      <c r="AH42" s="245"/>
      <c r="AI42" s="246"/>
      <c r="AJ42" s="247"/>
    </row>
    <row r="43" spans="1:58" ht="15.75" customHeight="1" thickTop="1">
      <c r="A43" s="18"/>
      <c r="B43" s="18"/>
      <c r="C43" s="18"/>
      <c r="D43" s="18"/>
      <c r="E43" s="18"/>
      <c r="F43" s="18"/>
      <c r="G43" s="17"/>
      <c r="H43" s="17"/>
      <c r="I43" s="17"/>
      <c r="J43" s="17"/>
      <c r="K43" s="17"/>
      <c r="L43" s="17"/>
      <c r="M43" s="17"/>
      <c r="N43" s="17"/>
      <c r="O43" s="17"/>
      <c r="P43" s="17"/>
      <c r="Q43" s="16"/>
      <c r="R43" s="17"/>
      <c r="S43" s="17"/>
      <c r="T43" s="17"/>
      <c r="U43" s="17"/>
      <c r="V43" s="17"/>
      <c r="W43" s="17"/>
      <c r="X43" s="17"/>
      <c r="Y43" s="17"/>
      <c r="Z43" s="17"/>
      <c r="AA43" s="17"/>
      <c r="AB43" s="17"/>
      <c r="AC43" s="17"/>
      <c r="AD43" s="231"/>
      <c r="AE43" s="16"/>
      <c r="AF43" s="246"/>
      <c r="AG43" s="247"/>
      <c r="AH43" s="245"/>
      <c r="AI43" s="246"/>
      <c r="AJ43" s="247"/>
    </row>
    <row r="44" spans="1:58" ht="15.75" customHeight="1" thickBot="1">
      <c r="A44" s="179" t="s">
        <v>462</v>
      </c>
      <c r="B44" s="169"/>
      <c r="C44" s="16"/>
      <c r="D44" s="16"/>
      <c r="E44" s="16"/>
      <c r="F44" s="16"/>
      <c r="G44" s="16"/>
      <c r="H44" s="16"/>
      <c r="I44" s="16"/>
      <c r="J44" s="16"/>
      <c r="K44" s="16"/>
      <c r="L44" s="16"/>
      <c r="M44" s="16"/>
      <c r="N44" s="16"/>
      <c r="O44" s="16"/>
      <c r="P44" s="16"/>
      <c r="Q44" s="16"/>
      <c r="R44" s="16"/>
      <c r="S44" s="16"/>
      <c r="T44" s="16"/>
      <c r="U44" s="16"/>
      <c r="V44" s="16"/>
      <c r="W44" s="16"/>
      <c r="X44" s="16"/>
      <c r="Y44" s="16"/>
      <c r="Z44" s="16"/>
      <c r="AA44" s="16"/>
      <c r="AB44" s="18"/>
      <c r="AC44" s="16"/>
      <c r="AD44" s="16" t="s">
        <v>1940</v>
      </c>
      <c r="AE44" s="16">
        <v>62</v>
      </c>
      <c r="AF44" s="16"/>
      <c r="AG44" s="16"/>
      <c r="AH44" s="16"/>
      <c r="AI44" s="16"/>
      <c r="AJ44" s="16"/>
    </row>
    <row r="45" spans="1:58" ht="15" customHeight="1" thickTop="1">
      <c r="A45" s="95" t="s">
        <v>449</v>
      </c>
      <c r="B45" s="96" t="s">
        <v>450</v>
      </c>
      <c r="C45" s="95" t="s">
        <v>463</v>
      </c>
      <c r="D45" s="95" t="s">
        <v>464</v>
      </c>
      <c r="E45" s="95" t="s">
        <v>465</v>
      </c>
      <c r="F45" s="95" t="s">
        <v>466</v>
      </c>
      <c r="G45" s="95" t="s">
        <v>467</v>
      </c>
      <c r="H45" s="97" t="s">
        <v>455</v>
      </c>
      <c r="I45" s="561" t="s">
        <v>456</v>
      </c>
      <c r="J45" s="716"/>
      <c r="K45" s="717"/>
      <c r="L45" s="98"/>
      <c r="M45" s="98"/>
      <c r="N45" s="98"/>
      <c r="O45" s="98"/>
      <c r="P45" s="98"/>
      <c r="Q45" s="98"/>
      <c r="R45" s="98"/>
      <c r="S45" s="98"/>
      <c r="T45" s="98"/>
      <c r="U45" s="98"/>
      <c r="V45" s="96"/>
      <c r="W45" s="96"/>
      <c r="X45" s="96"/>
      <c r="Y45" s="96"/>
      <c r="Z45" s="99"/>
      <c r="AA45" s="96"/>
      <c r="AB45" s="96"/>
      <c r="AC45" s="100"/>
      <c r="AD45" s="100"/>
      <c r="AE45" s="100"/>
      <c r="AF45" s="100"/>
      <c r="AG45" s="100"/>
      <c r="AH45" s="100"/>
      <c r="AI45" s="100"/>
      <c r="AJ45" s="100"/>
      <c r="AK45" s="100"/>
      <c r="AL45" s="100"/>
      <c r="AM45" s="100"/>
      <c r="AN45" s="100"/>
      <c r="AO45" s="100"/>
      <c r="AP45" s="100"/>
      <c r="AQ45" s="100"/>
      <c r="AR45" s="100"/>
      <c r="AS45" s="100"/>
      <c r="AT45" s="100"/>
      <c r="AU45" s="100"/>
      <c r="AV45" s="100"/>
      <c r="AW45" s="100"/>
      <c r="AX45" s="100"/>
      <c r="AY45" s="100"/>
      <c r="AZ45" s="100"/>
      <c r="BA45" s="100"/>
      <c r="BB45" s="100"/>
      <c r="BC45" s="100"/>
      <c r="BD45" s="100"/>
      <c r="BE45" s="100"/>
      <c r="BF45" s="100"/>
    </row>
    <row r="46" spans="1:58" ht="14.25" customHeight="1">
      <c r="A46" s="101"/>
      <c r="B46" s="102"/>
      <c r="C46" s="101"/>
      <c r="D46" s="101"/>
      <c r="E46" s="108"/>
      <c r="F46" s="108"/>
      <c r="G46" s="102"/>
      <c r="H46" s="102"/>
      <c r="I46" s="571"/>
      <c r="J46" s="696"/>
      <c r="K46" s="718"/>
      <c r="L46" s="16"/>
      <c r="M46" s="16"/>
      <c r="N46" s="16"/>
      <c r="O46" s="16"/>
      <c r="P46" s="16"/>
      <c r="Q46" s="16"/>
      <c r="R46" s="16"/>
      <c r="S46" s="16"/>
      <c r="T46" s="16"/>
      <c r="U46" s="16"/>
      <c r="V46" s="16"/>
      <c r="W46" s="16"/>
      <c r="X46" s="16"/>
      <c r="Y46" s="16"/>
      <c r="Z46" s="17"/>
      <c r="AA46" s="16"/>
      <c r="AB46" s="16"/>
    </row>
    <row r="47" spans="1:58" ht="14.25" customHeight="1">
      <c r="A47" s="101"/>
      <c r="B47" s="102"/>
      <c r="C47" s="101"/>
      <c r="D47" s="101"/>
      <c r="E47" s="109"/>
      <c r="F47" s="108"/>
      <c r="G47" s="102"/>
      <c r="H47" s="102"/>
      <c r="I47" s="696"/>
      <c r="J47" s="696"/>
      <c r="K47" s="718"/>
      <c r="L47" s="16"/>
      <c r="M47" s="16"/>
      <c r="N47" s="16"/>
      <c r="O47" s="16"/>
      <c r="P47" s="16"/>
      <c r="Q47" s="16"/>
      <c r="R47" s="16"/>
      <c r="S47" s="16"/>
      <c r="T47" s="16"/>
      <c r="U47" s="16"/>
      <c r="V47" s="16"/>
      <c r="W47" s="16"/>
      <c r="X47" s="16"/>
      <c r="Y47" s="16"/>
      <c r="Z47" s="17"/>
      <c r="AA47" s="16"/>
      <c r="AB47" s="16"/>
    </row>
    <row r="48" spans="1:58" ht="15.75" customHeight="1">
      <c r="A48" s="102"/>
      <c r="B48" s="102"/>
      <c r="C48" s="102"/>
      <c r="D48" s="101"/>
      <c r="E48" s="109"/>
      <c r="F48" s="108"/>
      <c r="G48" s="110"/>
      <c r="H48" s="102"/>
      <c r="I48" s="696"/>
      <c r="J48" s="696"/>
      <c r="K48" s="718"/>
      <c r="L48" s="16"/>
      <c r="M48" s="16"/>
      <c r="N48" s="16"/>
      <c r="O48" s="16"/>
      <c r="P48" s="16"/>
      <c r="Q48" s="16"/>
      <c r="R48" s="16"/>
      <c r="S48" s="16"/>
      <c r="T48" s="16"/>
      <c r="U48" s="16"/>
      <c r="V48" s="16"/>
      <c r="W48" s="16"/>
      <c r="X48" s="16"/>
      <c r="Y48" s="16"/>
      <c r="Z48" s="16"/>
      <c r="AA48" s="16"/>
      <c r="AB48" s="16"/>
    </row>
    <row r="49" spans="1:30" ht="15.75" customHeight="1">
      <c r="A49" s="16"/>
      <c r="B49" s="51"/>
      <c r="C49" s="16"/>
      <c r="D49" s="104"/>
      <c r="E49" s="105"/>
      <c r="F49" s="106"/>
      <c r="G49" s="111"/>
      <c r="H49" s="16"/>
      <c r="I49" s="696"/>
      <c r="J49" s="696"/>
      <c r="K49" s="718"/>
      <c r="L49" s="16"/>
      <c r="M49" s="16"/>
      <c r="N49" s="16"/>
      <c r="O49" s="16"/>
      <c r="P49" s="16"/>
      <c r="Q49" s="16"/>
      <c r="R49" s="16"/>
      <c r="S49" s="16"/>
      <c r="T49" s="16"/>
      <c r="U49" s="16"/>
      <c r="V49" s="16"/>
      <c r="W49" s="16"/>
      <c r="X49" s="16"/>
      <c r="Y49" s="16"/>
      <c r="Z49" s="16"/>
      <c r="AA49" s="16"/>
      <c r="AB49" s="16"/>
    </row>
    <row r="50" spans="1:30" ht="15.75" customHeight="1" thickBot="1">
      <c r="A50" s="180"/>
      <c r="B50" s="181"/>
      <c r="C50" s="182"/>
      <c r="D50" s="182"/>
      <c r="E50" s="184"/>
      <c r="F50" s="184"/>
      <c r="G50" s="112"/>
      <c r="H50" s="180"/>
      <c r="I50" s="719"/>
      <c r="J50" s="719"/>
      <c r="K50" s="720"/>
      <c r="L50" s="16"/>
      <c r="M50" s="16"/>
      <c r="N50" s="16"/>
      <c r="O50" s="16"/>
      <c r="P50" s="16"/>
      <c r="Q50" s="16"/>
      <c r="R50" s="16"/>
      <c r="S50" s="16"/>
      <c r="T50" s="16"/>
      <c r="U50" s="16"/>
      <c r="V50" s="16"/>
      <c r="W50" s="16"/>
      <c r="X50" s="16"/>
      <c r="Y50" s="16"/>
      <c r="Z50" s="16"/>
      <c r="AA50" s="16"/>
      <c r="AB50" s="16"/>
    </row>
    <row r="51" spans="1:30" ht="15.75" customHeight="1" thickTop="1">
      <c r="A51" s="15"/>
      <c r="B51" s="16"/>
      <c r="C51" s="16"/>
      <c r="D51" s="16"/>
      <c r="E51" s="16"/>
      <c r="F51" s="16"/>
      <c r="G51" s="16"/>
      <c r="H51" s="16"/>
      <c r="I51" s="16"/>
      <c r="J51" s="16"/>
      <c r="K51" s="16"/>
      <c r="L51" s="16"/>
      <c r="M51" s="16"/>
      <c r="N51" s="16"/>
      <c r="O51" s="16"/>
      <c r="P51" s="16"/>
      <c r="Q51" s="16"/>
      <c r="R51" s="16"/>
      <c r="S51" s="16"/>
      <c r="T51" s="16"/>
      <c r="U51" s="16"/>
      <c r="V51" s="16"/>
      <c r="W51" s="16"/>
      <c r="X51" s="16"/>
      <c r="Y51" s="16"/>
      <c r="Z51" s="16"/>
      <c r="AA51" s="16"/>
      <c r="AB51" s="16"/>
      <c r="AC51" s="16"/>
      <c r="AD51" s="16"/>
    </row>
    <row r="52" spans="1:30" ht="15.75" customHeight="1">
      <c r="A52" s="15"/>
      <c r="B52" s="16"/>
      <c r="C52" s="16"/>
      <c r="D52" s="16"/>
      <c r="E52" s="16"/>
      <c r="F52" s="16"/>
      <c r="G52" s="16"/>
      <c r="H52" s="16"/>
      <c r="I52" s="16"/>
      <c r="J52" s="16"/>
      <c r="K52" s="16"/>
      <c r="L52" s="16"/>
      <c r="M52" s="16"/>
      <c r="N52" s="16"/>
      <c r="O52" s="16"/>
      <c r="P52" s="16"/>
      <c r="Q52" s="16"/>
      <c r="W52" s="16"/>
      <c r="X52" s="16"/>
      <c r="Y52" s="16"/>
      <c r="Z52" s="16"/>
      <c r="AA52" s="16"/>
      <c r="AB52" s="16"/>
      <c r="AC52" s="16"/>
      <c r="AD52" s="16"/>
    </row>
    <row r="53" spans="1:30" ht="15.75" customHeight="1" thickBot="1">
      <c r="A53" s="113" t="s">
        <v>475</v>
      </c>
      <c r="B53" s="180"/>
      <c r="C53" s="180"/>
      <c r="D53" s="180"/>
      <c r="E53" s="180"/>
      <c r="F53" s="180"/>
      <c r="G53" s="180"/>
      <c r="H53" s="180"/>
      <c r="I53" s="180"/>
      <c r="J53" s="16"/>
      <c r="K53" s="16"/>
      <c r="L53" s="16"/>
      <c r="M53" s="16"/>
      <c r="N53" s="16"/>
      <c r="O53" s="16"/>
      <c r="P53" s="16"/>
      <c r="Q53" s="16"/>
      <c r="W53" s="16"/>
      <c r="X53" s="16"/>
      <c r="Y53" s="16"/>
      <c r="Z53" s="16"/>
      <c r="AA53" s="16"/>
      <c r="AB53" s="16"/>
      <c r="AC53" s="16"/>
      <c r="AD53" s="16"/>
    </row>
    <row r="54" spans="1:30" ht="15.75" customHeight="1" thickTop="1">
      <c r="A54" s="114" t="s">
        <v>476</v>
      </c>
      <c r="B54" s="15" t="s">
        <v>477</v>
      </c>
      <c r="C54" s="15" t="s">
        <v>478</v>
      </c>
      <c r="D54" s="15" t="s">
        <v>479</v>
      </c>
      <c r="E54" s="15" t="s">
        <v>480</v>
      </c>
      <c r="F54" s="15" t="s">
        <v>481</v>
      </c>
      <c r="G54" s="15" t="s">
        <v>482</v>
      </c>
      <c r="H54" s="15" t="s">
        <v>453</v>
      </c>
      <c r="I54" s="15" t="s">
        <v>483</v>
      </c>
      <c r="J54" s="15" t="s">
        <v>484</v>
      </c>
      <c r="K54" s="721" t="s">
        <v>485</v>
      </c>
      <c r="L54" s="716"/>
      <c r="M54" s="722"/>
      <c r="N54" s="15"/>
      <c r="O54" s="16"/>
      <c r="P54" s="16"/>
      <c r="Q54" s="16"/>
      <c r="W54" s="16"/>
      <c r="X54" s="16"/>
      <c r="Y54" s="16"/>
      <c r="Z54" s="16"/>
      <c r="AA54" s="16"/>
      <c r="AB54" s="16"/>
    </row>
    <row r="55" spans="1:30" ht="15" customHeight="1">
      <c r="A55" s="116"/>
      <c r="B55" s="117"/>
      <c r="C55" s="16"/>
      <c r="D55" s="16"/>
      <c r="E55" s="16"/>
      <c r="F55" s="16"/>
      <c r="G55" s="118"/>
      <c r="H55" s="117"/>
      <c r="I55" s="119"/>
      <c r="J55" s="16"/>
      <c r="K55" s="588"/>
      <c r="L55" s="696"/>
      <c r="M55" s="723"/>
      <c r="N55" s="16"/>
      <c r="O55" s="16"/>
      <c r="P55" s="16"/>
      <c r="Q55" s="16"/>
      <c r="W55" s="16"/>
      <c r="X55" s="16"/>
      <c r="Y55" s="16"/>
      <c r="Z55" s="16"/>
      <c r="AA55" s="16"/>
      <c r="AB55" s="16"/>
    </row>
    <row r="56" spans="1:30" ht="15.75" customHeight="1">
      <c r="A56" s="16"/>
      <c r="B56" s="117"/>
      <c r="C56" s="16"/>
      <c r="D56" s="16"/>
      <c r="E56" s="16"/>
      <c r="F56" s="16"/>
      <c r="G56" s="16"/>
      <c r="H56" s="117"/>
      <c r="I56" s="119"/>
      <c r="J56" s="16"/>
      <c r="K56" s="738"/>
      <c r="L56" s="696"/>
      <c r="M56" s="723"/>
      <c r="N56" s="16"/>
      <c r="O56" s="16"/>
      <c r="P56" s="16"/>
      <c r="Q56" s="16"/>
      <c r="W56" s="16"/>
      <c r="X56" s="16"/>
      <c r="Y56" s="16"/>
      <c r="Z56" s="16"/>
      <c r="AA56" s="16"/>
      <c r="AB56" s="16"/>
    </row>
    <row r="57" spans="1:30" ht="14.25" customHeight="1">
      <c r="A57" s="16"/>
      <c r="B57" s="117"/>
      <c r="C57" s="16"/>
      <c r="D57" s="16"/>
      <c r="E57" s="16"/>
      <c r="F57" s="16"/>
      <c r="H57" s="117"/>
      <c r="I57" s="119"/>
      <c r="J57" s="16"/>
      <c r="K57" s="738"/>
      <c r="L57" s="696"/>
      <c r="M57" s="723"/>
      <c r="N57" s="16"/>
      <c r="O57" s="16"/>
      <c r="P57" s="16"/>
      <c r="Q57" s="16"/>
      <c r="W57" s="16"/>
      <c r="X57" s="16"/>
      <c r="Y57" s="16"/>
      <c r="Z57" s="16"/>
      <c r="AA57" s="16"/>
      <c r="AB57" s="16"/>
    </row>
    <row r="58" spans="1:30" ht="15.75" customHeight="1">
      <c r="A58" s="116"/>
      <c r="B58" s="117"/>
      <c r="C58" s="16"/>
      <c r="D58" s="16"/>
      <c r="E58" s="16"/>
      <c r="F58" s="16"/>
      <c r="G58" s="16"/>
      <c r="H58" s="117"/>
      <c r="I58" s="119"/>
      <c r="J58" s="16"/>
      <c r="K58" s="738"/>
      <c r="L58" s="696"/>
      <c r="M58" s="723"/>
      <c r="N58" s="16"/>
      <c r="O58" s="16"/>
      <c r="P58" s="16"/>
      <c r="Q58" s="16"/>
      <c r="W58" s="16"/>
      <c r="X58" s="16"/>
      <c r="Y58" s="16"/>
      <c r="Z58" s="16"/>
      <c r="AA58" s="16"/>
      <c r="AB58" s="16"/>
    </row>
    <row r="59" spans="1:30" ht="15.75" customHeight="1">
      <c r="A59" s="116"/>
      <c r="B59" s="117"/>
      <c r="C59" s="16"/>
      <c r="D59" s="16"/>
      <c r="E59" s="16"/>
      <c r="F59" s="16"/>
      <c r="G59" s="16"/>
      <c r="H59" s="117"/>
      <c r="I59" s="119"/>
      <c r="J59" s="16"/>
      <c r="K59" s="738"/>
      <c r="L59" s="696"/>
      <c r="M59" s="723"/>
      <c r="N59" s="16"/>
      <c r="O59" s="16"/>
      <c r="P59" s="16"/>
      <c r="Q59" s="16"/>
      <c r="W59" s="16"/>
      <c r="X59" s="16"/>
      <c r="Y59" s="16"/>
      <c r="Z59" s="16"/>
      <c r="AA59" s="16"/>
      <c r="AB59" s="16"/>
    </row>
    <row r="60" spans="1:30" ht="15.75" customHeight="1">
      <c r="A60" s="116"/>
      <c r="B60" s="117"/>
      <c r="C60" s="16"/>
      <c r="D60" s="16"/>
      <c r="E60" s="16"/>
      <c r="F60" s="16"/>
      <c r="G60" s="117"/>
      <c r="H60" s="117"/>
      <c r="I60" s="119"/>
      <c r="J60" s="16"/>
      <c r="K60" s="738"/>
      <c r="L60" s="696"/>
      <c r="M60" s="723"/>
      <c r="N60" s="16"/>
      <c r="O60" s="16"/>
      <c r="P60" s="16"/>
      <c r="Q60" s="16"/>
      <c r="W60" s="16"/>
      <c r="X60" s="16"/>
      <c r="Y60" s="16"/>
      <c r="Z60" s="16"/>
      <c r="AA60" s="16"/>
      <c r="AB60" s="16"/>
    </row>
    <row r="61" spans="1:30" ht="15.75" customHeight="1">
      <c r="A61" s="116"/>
      <c r="B61" s="117"/>
      <c r="C61" s="16"/>
      <c r="D61" s="16"/>
      <c r="E61" s="16"/>
      <c r="F61" s="16"/>
      <c r="G61" s="117"/>
      <c r="H61" s="117"/>
      <c r="I61" s="119"/>
      <c r="J61" s="16"/>
      <c r="K61" s="738"/>
      <c r="L61" s="696"/>
      <c r="M61" s="723"/>
      <c r="N61" s="16"/>
      <c r="O61" s="16"/>
      <c r="P61" s="16"/>
      <c r="Q61" s="16"/>
      <c r="W61" s="16"/>
      <c r="X61" s="16"/>
      <c r="Y61" s="16"/>
      <c r="Z61" s="16"/>
      <c r="AA61" s="16"/>
      <c r="AB61" s="16"/>
    </row>
    <row r="62" spans="1:30" ht="15.75" customHeight="1">
      <c r="A62" s="116"/>
      <c r="B62" s="117"/>
      <c r="C62" s="106"/>
      <c r="D62" s="106"/>
      <c r="E62" s="106"/>
      <c r="F62" s="120"/>
      <c r="G62" s="117"/>
      <c r="H62" s="117"/>
      <c r="I62" s="119"/>
      <c r="J62" s="16"/>
      <c r="K62" s="738"/>
      <c r="L62" s="696"/>
      <c r="M62" s="723"/>
      <c r="N62" s="16"/>
      <c r="O62" s="16"/>
      <c r="P62" s="16"/>
      <c r="Q62" s="16"/>
      <c r="W62" s="16"/>
      <c r="X62" s="16"/>
      <c r="Y62" s="16"/>
      <c r="Z62" s="16"/>
      <c r="AA62" s="16"/>
      <c r="AB62" s="16"/>
    </row>
    <row r="63" spans="1:30" ht="15.75" customHeight="1">
      <c r="A63" s="116"/>
      <c r="B63" s="117"/>
      <c r="C63" s="106"/>
      <c r="D63" s="106"/>
      <c r="E63" s="106"/>
      <c r="F63" s="120"/>
      <c r="G63" s="117"/>
      <c r="H63" s="117"/>
      <c r="I63" s="119"/>
      <c r="J63" s="16"/>
      <c r="K63" s="738"/>
      <c r="L63" s="696"/>
      <c r="M63" s="723"/>
      <c r="N63" s="16"/>
      <c r="O63" s="16"/>
      <c r="P63" s="16"/>
      <c r="Q63" s="16"/>
      <c r="W63" s="16"/>
      <c r="X63" s="16"/>
      <c r="Y63" s="16"/>
      <c r="Z63" s="16"/>
      <c r="AA63" s="16"/>
      <c r="AB63" s="16"/>
    </row>
    <row r="64" spans="1:30" ht="15.75" customHeight="1">
      <c r="A64" s="16"/>
      <c r="B64" s="117"/>
      <c r="C64" s="51"/>
      <c r="D64" s="51"/>
      <c r="E64" s="106"/>
      <c r="F64" s="120"/>
      <c r="G64" s="16"/>
      <c r="H64" s="117"/>
      <c r="I64" s="119"/>
      <c r="J64" s="16"/>
      <c r="K64" s="738"/>
      <c r="L64" s="696"/>
      <c r="M64" s="723"/>
      <c r="N64" s="16"/>
      <c r="O64" s="16"/>
      <c r="P64" s="16"/>
      <c r="Q64" s="16"/>
      <c r="W64" s="16"/>
      <c r="X64" s="16"/>
      <c r="Y64" s="16"/>
      <c r="Z64" s="16"/>
      <c r="AA64" s="16"/>
      <c r="AB64" s="16"/>
    </row>
    <row r="65" spans="1:30" ht="15.75" customHeight="1">
      <c r="A65" s="16"/>
      <c r="B65" s="117"/>
      <c r="C65" s="51"/>
      <c r="D65" s="51"/>
      <c r="E65" s="106"/>
      <c r="F65" s="120"/>
      <c r="G65" s="16"/>
      <c r="H65" s="117"/>
      <c r="I65" s="119"/>
      <c r="J65" s="16"/>
      <c r="K65" s="738"/>
      <c r="L65" s="696"/>
      <c r="M65" s="723"/>
      <c r="N65" s="16"/>
      <c r="O65" s="16"/>
      <c r="P65" s="16"/>
      <c r="Q65" s="16"/>
      <c r="W65" s="16"/>
      <c r="X65" s="16"/>
      <c r="Y65" s="16"/>
      <c r="Z65" s="16"/>
      <c r="AA65" s="16"/>
      <c r="AB65" s="16"/>
    </row>
    <row r="66" spans="1:30" ht="15.75" customHeight="1">
      <c r="A66" s="16"/>
      <c r="B66" s="117"/>
      <c r="C66" s="51"/>
      <c r="D66" s="51"/>
      <c r="E66" s="106"/>
      <c r="F66" s="120"/>
      <c r="G66" s="16"/>
      <c r="H66" s="117"/>
      <c r="I66" s="119"/>
      <c r="J66" s="16"/>
      <c r="K66" s="738"/>
      <c r="L66" s="696"/>
      <c r="M66" s="723"/>
      <c r="N66" s="16"/>
      <c r="O66" s="16"/>
      <c r="P66" s="16"/>
      <c r="Q66" s="16"/>
      <c r="W66" s="16"/>
      <c r="X66" s="16"/>
      <c r="Y66" s="16"/>
      <c r="Z66" s="16"/>
      <c r="AA66" s="16"/>
      <c r="AB66" s="16"/>
    </row>
    <row r="67" spans="1:30" ht="15.75" customHeight="1" thickBot="1">
      <c r="A67" s="121"/>
      <c r="B67" s="117"/>
      <c r="C67" s="182"/>
      <c r="D67" s="183"/>
      <c r="E67" s="184"/>
      <c r="F67" s="185"/>
      <c r="G67" s="112"/>
      <c r="H67" s="112"/>
      <c r="I67" s="122"/>
      <c r="J67" s="180"/>
      <c r="K67" s="739"/>
      <c r="L67" s="724"/>
      <c r="M67" s="725"/>
      <c r="N67" s="16"/>
      <c r="O67" s="16"/>
      <c r="P67" s="16"/>
      <c r="Q67" s="16"/>
      <c r="W67" s="16"/>
      <c r="X67" s="16"/>
      <c r="Y67" s="16"/>
      <c r="Z67" s="16"/>
      <c r="AA67" s="16"/>
      <c r="AB67" s="16"/>
    </row>
    <row r="68" spans="1:30" ht="15.75" customHeight="1" thickTop="1">
      <c r="A68" s="16"/>
      <c r="B68" s="16"/>
      <c r="C68" s="16"/>
      <c r="D68" s="16"/>
      <c r="E68" s="16"/>
      <c r="F68" s="16"/>
      <c r="G68" s="16"/>
      <c r="H68" s="16"/>
      <c r="I68" s="16"/>
      <c r="J68" s="16"/>
      <c r="K68" s="16"/>
      <c r="L68" s="16"/>
      <c r="M68" s="16"/>
      <c r="N68" s="16"/>
      <c r="O68" s="16"/>
      <c r="P68" s="16"/>
      <c r="Q68" s="16"/>
      <c r="W68" s="16"/>
      <c r="X68" s="16"/>
      <c r="Y68" s="16"/>
      <c r="Z68" s="16"/>
      <c r="AA68" s="16"/>
      <c r="AB68" s="16"/>
      <c r="AC68" s="16"/>
      <c r="AD68" s="16"/>
    </row>
    <row r="69" spans="1:30" ht="15.75" customHeight="1" thickBot="1">
      <c r="A69" s="186" t="s">
        <v>499</v>
      </c>
      <c r="B69" s="16"/>
      <c r="C69" s="16"/>
      <c r="D69" s="16"/>
      <c r="E69" s="16"/>
      <c r="F69" s="16"/>
      <c r="G69" s="16"/>
      <c r="H69" s="16"/>
      <c r="I69" s="123"/>
      <c r="J69" s="123"/>
      <c r="K69" s="123"/>
      <c r="L69" s="123"/>
      <c r="M69" s="16"/>
      <c r="N69" s="16"/>
      <c r="O69" s="16"/>
      <c r="P69" s="16"/>
      <c r="Q69" s="16"/>
      <c r="W69" s="16"/>
      <c r="X69" s="16"/>
      <c r="Y69" s="16"/>
      <c r="Z69" s="16"/>
      <c r="AA69" s="16"/>
      <c r="AB69" s="16"/>
      <c r="AC69" s="16"/>
      <c r="AD69" s="16"/>
    </row>
    <row r="70" spans="1:30" ht="15.75" customHeight="1" thickTop="1" thickBot="1">
      <c r="A70" s="124" t="s">
        <v>476</v>
      </c>
      <c r="B70" s="115" t="s">
        <v>500</v>
      </c>
      <c r="C70" s="115" t="s">
        <v>501</v>
      </c>
      <c r="D70" s="115" t="s">
        <v>502</v>
      </c>
      <c r="E70" s="115" t="s">
        <v>503</v>
      </c>
      <c r="F70" s="115" t="s">
        <v>504</v>
      </c>
      <c r="G70" s="115" t="s">
        <v>505</v>
      </c>
      <c r="H70" s="115" t="s">
        <v>506</v>
      </c>
      <c r="I70" s="15" t="s">
        <v>507</v>
      </c>
      <c r="J70" s="15" t="s">
        <v>508</v>
      </c>
      <c r="K70" s="691" t="s">
        <v>441</v>
      </c>
      <c r="L70" s="561"/>
      <c r="M70" s="561"/>
      <c r="N70" s="561"/>
      <c r="O70" s="570"/>
      <c r="P70" s="758" t="s">
        <v>434</v>
      </c>
      <c r="Q70" s="759"/>
      <c r="R70" s="16"/>
      <c r="S70" s="16"/>
      <c r="V70" s="16"/>
      <c r="W70" s="16"/>
      <c r="X70" s="16"/>
      <c r="Y70" s="16"/>
      <c r="Z70" s="16"/>
      <c r="AA70" s="16"/>
    </row>
    <row r="71" spans="1:30" ht="15.75" customHeight="1" thickTop="1">
      <c r="A71" s="16"/>
      <c r="B71" s="16"/>
      <c r="C71" s="51"/>
      <c r="D71" s="106"/>
      <c r="E71" s="105"/>
      <c r="F71" s="128">
        <f>Blueshell!$D71*Blueshell!$E71</f>
        <v>0</v>
      </c>
      <c r="G71" s="105"/>
      <c r="H71" s="126" t="str">
        <f>IF($B71= "","-",IF($B71= "External","Specify location tariff", INDEX(Constants!$3:$3,MATCH($B71,Constants!$2:$2,0))))</f>
        <v>-</v>
      </c>
      <c r="I71" s="236" t="str">
        <f t="shared" ref="I71:I87" si="2">IF($H71="-","-",IF($H71="Specify location tariff","-",$H71*$F71))</f>
        <v>-</v>
      </c>
      <c r="J71" s="127"/>
      <c r="K71" s="686"/>
      <c r="L71" s="562"/>
      <c r="M71" s="562"/>
      <c r="N71" s="562"/>
      <c r="O71" s="687"/>
      <c r="P71" s="690" t="s">
        <v>511</v>
      </c>
      <c r="Q71" s="628"/>
      <c r="R71" s="16"/>
      <c r="S71" s="16"/>
      <c r="V71" s="16"/>
      <c r="W71" s="16"/>
      <c r="X71" s="16"/>
      <c r="Y71" s="16"/>
      <c r="Z71" s="16"/>
      <c r="AA71" s="16"/>
    </row>
    <row r="72" spans="1:30" ht="15.75" customHeight="1">
      <c r="A72" s="16"/>
      <c r="B72" s="16"/>
      <c r="C72" s="51"/>
      <c r="D72" s="106"/>
      <c r="E72" s="105"/>
      <c r="F72" s="128">
        <f>Blueshell!$D72*Blueshell!$E72</f>
        <v>0</v>
      </c>
      <c r="G72" s="105"/>
      <c r="H72" s="126" t="str">
        <f>IF($B72= "","-",IF($B72= "External","Specify location tariff", INDEX(Constants!$3:$3,MATCH($B72,Constants!$2:$2,0))))</f>
        <v>-</v>
      </c>
      <c r="I72" s="236" t="str">
        <f t="shared" si="2"/>
        <v>-</v>
      </c>
      <c r="J72" s="127"/>
      <c r="K72" s="686"/>
      <c r="L72" s="562"/>
      <c r="M72" s="562"/>
      <c r="N72" s="562"/>
      <c r="O72" s="687"/>
      <c r="P72" s="588"/>
      <c r="Q72" s="575"/>
      <c r="R72" s="16"/>
      <c r="S72" s="16"/>
      <c r="V72" s="16"/>
      <c r="W72" s="16"/>
      <c r="X72" s="16"/>
      <c r="Y72" s="16"/>
      <c r="Z72" s="16"/>
      <c r="AA72" s="16"/>
    </row>
    <row r="73" spans="1:30" ht="15.75" customHeight="1">
      <c r="A73" s="16"/>
      <c r="B73" s="16"/>
      <c r="C73" s="51"/>
      <c r="D73" s="106"/>
      <c r="E73" s="105"/>
      <c r="F73" s="128">
        <f>Blueshell!$D73*Blueshell!$E73</f>
        <v>0</v>
      </c>
      <c r="G73" s="105"/>
      <c r="H73" s="126" t="str">
        <f>IF($B73= "","-",IF($B73= "External","Specify location tariff", INDEX(Constants!$3:$3,MATCH($B73,Constants!$2:$2,0))))</f>
        <v>-</v>
      </c>
      <c r="I73" s="236" t="str">
        <f t="shared" si="2"/>
        <v>-</v>
      </c>
      <c r="J73" s="127"/>
      <c r="K73" s="686"/>
      <c r="L73" s="562"/>
      <c r="M73" s="562"/>
      <c r="N73" s="562"/>
      <c r="O73" s="687"/>
      <c r="P73" s="588"/>
      <c r="Q73" s="575"/>
      <c r="R73" s="16"/>
      <c r="S73" s="16"/>
      <c r="V73" s="16"/>
      <c r="W73" s="16"/>
      <c r="X73" s="16"/>
      <c r="Y73" s="16"/>
      <c r="Z73" s="16"/>
      <c r="AA73" s="16"/>
    </row>
    <row r="74" spans="1:30" ht="15.75" customHeight="1">
      <c r="A74" s="16"/>
      <c r="B74" s="16"/>
      <c r="C74" s="51"/>
      <c r="D74" s="106"/>
      <c r="E74" s="105"/>
      <c r="F74" s="128">
        <f>Blueshell!$D74*Blueshell!$E74</f>
        <v>0</v>
      </c>
      <c r="G74" s="105"/>
      <c r="H74" s="126" t="str">
        <f>IF($B74= "","-",IF($B74= "External","Specify location tariff", INDEX(Constants!$3:$3,MATCH($B74,Constants!$2:$2,0))))</f>
        <v>-</v>
      </c>
      <c r="I74" s="236" t="str">
        <f t="shared" si="2"/>
        <v>-</v>
      </c>
      <c r="J74" s="127"/>
      <c r="K74" s="686"/>
      <c r="L74" s="562"/>
      <c r="M74" s="562"/>
      <c r="N74" s="562"/>
      <c r="O74" s="687"/>
      <c r="P74" s="588"/>
      <c r="Q74" s="575"/>
      <c r="R74" s="16"/>
      <c r="S74" s="16"/>
      <c r="V74" s="16"/>
      <c r="W74" s="16"/>
      <c r="X74" s="16"/>
      <c r="Y74" s="16"/>
      <c r="Z74" s="16"/>
      <c r="AA74" s="16"/>
    </row>
    <row r="75" spans="1:30" ht="15.75" customHeight="1">
      <c r="A75" s="16"/>
      <c r="B75" s="16"/>
      <c r="C75" s="51"/>
      <c r="D75" s="106"/>
      <c r="E75" s="105"/>
      <c r="F75" s="128">
        <f>Blueshell!$D75*Blueshell!$E75</f>
        <v>0</v>
      </c>
      <c r="G75" s="105"/>
      <c r="H75" s="126" t="str">
        <f>IF($B75= "","-",IF($B75= "External","Specify location tariff", INDEX(Constants!$3:$3,MATCH($B75,Constants!$2:$2,0))))</f>
        <v>-</v>
      </c>
      <c r="I75" s="236" t="str">
        <f t="shared" si="2"/>
        <v>-</v>
      </c>
      <c r="J75" s="127"/>
      <c r="K75" s="686"/>
      <c r="L75" s="562"/>
      <c r="M75" s="562"/>
      <c r="N75" s="562"/>
      <c r="O75" s="687"/>
      <c r="P75" s="588"/>
      <c r="Q75" s="575"/>
      <c r="R75" s="16"/>
      <c r="S75" s="16"/>
      <c r="V75" s="16"/>
      <c r="W75" s="16"/>
      <c r="X75" s="16"/>
      <c r="Y75" s="16"/>
      <c r="Z75" s="16"/>
      <c r="AA75" s="16"/>
    </row>
    <row r="76" spans="1:30" ht="15.75" customHeight="1">
      <c r="A76" s="16"/>
      <c r="B76" s="16"/>
      <c r="C76" s="51"/>
      <c r="D76" s="106"/>
      <c r="E76" s="105"/>
      <c r="F76" s="128">
        <f>Blueshell!$D76*Blueshell!$E76</f>
        <v>0</v>
      </c>
      <c r="G76" s="105"/>
      <c r="H76" s="126" t="str">
        <f>IF($B76= "","-",IF($B76= "External","Specify location tariff", INDEX(Constants!$3:$3,MATCH($B76,Constants!$2:$2,0))))</f>
        <v>-</v>
      </c>
      <c r="I76" s="236" t="str">
        <f t="shared" si="2"/>
        <v>-</v>
      </c>
      <c r="J76" s="127"/>
      <c r="K76" s="686"/>
      <c r="L76" s="562"/>
      <c r="M76" s="562"/>
      <c r="N76" s="562"/>
      <c r="O76" s="687"/>
      <c r="P76" s="588"/>
      <c r="Q76" s="575"/>
      <c r="R76" s="16"/>
      <c r="S76" s="16"/>
      <c r="V76" s="16"/>
      <c r="W76" s="16"/>
      <c r="X76" s="16"/>
      <c r="Y76" s="16"/>
      <c r="Z76" s="16"/>
      <c r="AA76" s="16"/>
    </row>
    <row r="77" spans="1:30" ht="15.75" customHeight="1">
      <c r="A77" s="16"/>
      <c r="B77" s="16"/>
      <c r="C77" s="51"/>
      <c r="D77" s="106"/>
      <c r="E77" s="105"/>
      <c r="F77" s="128">
        <f>Blueshell!$D77*Blueshell!$E77</f>
        <v>0</v>
      </c>
      <c r="G77" s="105"/>
      <c r="H77" s="126" t="str">
        <f>IF($B77= "","-",IF($B77= "External","Specify location tariff", INDEX(Constants!$3:$3,MATCH($B77,Constants!$2:$2,0))))</f>
        <v>-</v>
      </c>
      <c r="I77" s="236" t="str">
        <f t="shared" si="2"/>
        <v>-</v>
      </c>
      <c r="J77" s="127"/>
      <c r="K77" s="686"/>
      <c r="L77" s="562"/>
      <c r="M77" s="562"/>
      <c r="N77" s="562"/>
      <c r="O77" s="687"/>
      <c r="P77" s="588"/>
      <c r="Q77" s="575"/>
      <c r="R77" s="16"/>
      <c r="S77" s="16"/>
      <c r="V77" s="16"/>
      <c r="W77" s="16"/>
      <c r="X77" s="16"/>
      <c r="Y77" s="16"/>
      <c r="Z77" s="16"/>
      <c r="AA77" s="16"/>
    </row>
    <row r="78" spans="1:30" ht="15.75" customHeight="1">
      <c r="A78" s="16"/>
      <c r="B78" s="16"/>
      <c r="C78" s="51"/>
      <c r="D78" s="106"/>
      <c r="E78" s="105"/>
      <c r="F78" s="128">
        <f>Blueshell!$D78*Blueshell!$E78</f>
        <v>0</v>
      </c>
      <c r="G78" s="105"/>
      <c r="H78" s="126" t="str">
        <f>IF($B78= "","-",IF($B78= "External","Specify location tariff", INDEX(Constants!$3:$3,MATCH($B78,Constants!$2:$2,0))))</f>
        <v>-</v>
      </c>
      <c r="I78" s="236" t="str">
        <f t="shared" si="2"/>
        <v>-</v>
      </c>
      <c r="J78" s="127"/>
      <c r="K78" s="686"/>
      <c r="L78" s="562"/>
      <c r="M78" s="562"/>
      <c r="N78" s="562"/>
      <c r="O78" s="687"/>
      <c r="P78" s="588"/>
      <c r="Q78" s="575"/>
      <c r="R78" s="16"/>
      <c r="S78" s="16"/>
      <c r="V78" s="16"/>
      <c r="W78" s="16"/>
      <c r="X78" s="16"/>
      <c r="Y78" s="16"/>
      <c r="Z78" s="16"/>
      <c r="AA78" s="16"/>
    </row>
    <row r="79" spans="1:30" ht="15.75" customHeight="1">
      <c r="A79" s="16"/>
      <c r="B79" s="16"/>
      <c r="C79" s="51"/>
      <c r="D79" s="106"/>
      <c r="E79" s="105"/>
      <c r="F79" s="128">
        <f>Blueshell!$D79*Blueshell!$E79</f>
        <v>0</v>
      </c>
      <c r="G79" s="105"/>
      <c r="H79" s="126" t="str">
        <f>IF($B79= "","-",IF($B79= "External","Specify location tariff", INDEX(Constants!$3:$3,MATCH($B79,Constants!$2:$2,0))))</f>
        <v>-</v>
      </c>
      <c r="I79" s="236" t="str">
        <f t="shared" si="2"/>
        <v>-</v>
      </c>
      <c r="J79" s="127"/>
      <c r="K79" s="686"/>
      <c r="L79" s="562"/>
      <c r="M79" s="562"/>
      <c r="N79" s="562"/>
      <c r="O79" s="687"/>
      <c r="P79" s="588"/>
      <c r="Q79" s="575"/>
      <c r="R79" s="16"/>
      <c r="S79" s="16"/>
      <c r="V79" s="16"/>
      <c r="W79" s="16"/>
      <c r="X79" s="16"/>
      <c r="Y79" s="16"/>
      <c r="Z79" s="16"/>
      <c r="AA79" s="16"/>
    </row>
    <row r="80" spans="1:30" ht="15.75" customHeight="1">
      <c r="A80" s="16"/>
      <c r="B80" s="16"/>
      <c r="C80" s="51"/>
      <c r="D80" s="106"/>
      <c r="E80" s="105"/>
      <c r="F80" s="128">
        <f>Blueshell!$D80*Blueshell!$E80</f>
        <v>0</v>
      </c>
      <c r="G80" s="105"/>
      <c r="H80" s="126" t="str">
        <f>IF($B80= "","-",IF($B80= "External","Specify location tariff", INDEX(Constants!$3:$3,MATCH($B80,Constants!$2:$2,0))))</f>
        <v>-</v>
      </c>
      <c r="I80" s="236" t="str">
        <f t="shared" si="2"/>
        <v>-</v>
      </c>
      <c r="J80" s="127"/>
      <c r="K80" s="686"/>
      <c r="L80" s="562"/>
      <c r="M80" s="562"/>
      <c r="N80" s="562"/>
      <c r="O80" s="687"/>
      <c r="P80" s="588"/>
      <c r="Q80" s="575"/>
      <c r="R80" s="16"/>
      <c r="S80" s="16"/>
      <c r="V80" s="16"/>
      <c r="W80" s="16"/>
      <c r="X80" s="16"/>
      <c r="Y80" s="16"/>
      <c r="Z80" s="16"/>
      <c r="AA80" s="16"/>
    </row>
    <row r="81" spans="1:30" ht="15.75" customHeight="1">
      <c r="A81" s="16"/>
      <c r="B81" s="16"/>
      <c r="C81" s="51"/>
      <c r="D81" s="106"/>
      <c r="E81" s="105"/>
      <c r="F81" s="128">
        <f>Blueshell!$D81*Blueshell!$E81</f>
        <v>0</v>
      </c>
      <c r="G81" s="105"/>
      <c r="H81" s="126" t="str">
        <f>IF($B81= "","-",IF($B81= "External","Specify location tariff", INDEX(Constants!$3:$3,MATCH($B81,Constants!$2:$2,0))))</f>
        <v>-</v>
      </c>
      <c r="I81" s="236" t="str">
        <f t="shared" si="2"/>
        <v>-</v>
      </c>
      <c r="J81" s="127"/>
      <c r="K81" s="686"/>
      <c r="L81" s="562"/>
      <c r="M81" s="562"/>
      <c r="N81" s="562"/>
      <c r="O81" s="687"/>
      <c r="P81" s="588"/>
      <c r="Q81" s="575"/>
      <c r="R81" s="16"/>
      <c r="S81" s="16"/>
      <c r="V81" s="16"/>
      <c r="W81" s="16"/>
      <c r="X81" s="16"/>
      <c r="Y81" s="16"/>
      <c r="Z81" s="16"/>
      <c r="AA81" s="16"/>
    </row>
    <row r="82" spans="1:30" ht="15.75" customHeight="1">
      <c r="A82" s="16"/>
      <c r="B82" s="16"/>
      <c r="C82" s="51"/>
      <c r="D82" s="106"/>
      <c r="E82" s="105"/>
      <c r="F82" s="128">
        <f>Blueshell!$D82*Blueshell!$E82</f>
        <v>0</v>
      </c>
      <c r="G82" s="105"/>
      <c r="H82" s="126" t="str">
        <f>IF($B82= "","-",IF($B82= "External","Specify location tariff", INDEX(Constants!$3:$3,MATCH($B82,Constants!$2:$2,0))))</f>
        <v>-</v>
      </c>
      <c r="I82" s="236" t="str">
        <f t="shared" si="2"/>
        <v>-</v>
      </c>
      <c r="J82" s="127"/>
      <c r="K82" s="686"/>
      <c r="L82" s="562"/>
      <c r="M82" s="562"/>
      <c r="N82" s="562"/>
      <c r="O82" s="687"/>
      <c r="P82" s="588"/>
      <c r="Q82" s="575"/>
      <c r="R82" s="16"/>
      <c r="S82" s="16"/>
      <c r="V82" s="16"/>
      <c r="W82" s="16"/>
      <c r="X82" s="16"/>
      <c r="Y82" s="16"/>
      <c r="Z82" s="16"/>
      <c r="AA82" s="16"/>
    </row>
    <row r="83" spans="1:30" ht="15.75" customHeight="1">
      <c r="A83" s="16"/>
      <c r="B83" s="16"/>
      <c r="C83" s="51"/>
      <c r="D83" s="106"/>
      <c r="E83" s="105"/>
      <c r="F83" s="128">
        <f>Blueshell!$D83*Blueshell!$E83</f>
        <v>0</v>
      </c>
      <c r="G83" s="105"/>
      <c r="H83" s="126" t="str">
        <f>IF($B83= "","-",IF($B83= "External","Specify location tariff", INDEX(Constants!$3:$3,MATCH($B83,Constants!$2:$2,0))))</f>
        <v>-</v>
      </c>
      <c r="I83" s="236" t="str">
        <f t="shared" si="2"/>
        <v>-</v>
      </c>
      <c r="J83" s="127"/>
      <c r="K83" s="686"/>
      <c r="L83" s="562"/>
      <c r="M83" s="562"/>
      <c r="N83" s="562"/>
      <c r="O83" s="687"/>
      <c r="P83" s="588"/>
      <c r="Q83" s="575"/>
      <c r="R83" s="16"/>
      <c r="S83" s="16"/>
      <c r="V83" s="16"/>
      <c r="W83" s="16"/>
      <c r="X83" s="16"/>
      <c r="Y83" s="16"/>
      <c r="Z83" s="16"/>
      <c r="AA83" s="16"/>
    </row>
    <row r="84" spans="1:30" ht="15.75" customHeight="1">
      <c r="A84" s="16"/>
      <c r="B84" s="16"/>
      <c r="C84" s="51"/>
      <c r="D84" s="106"/>
      <c r="E84" s="105"/>
      <c r="F84" s="128">
        <f>Blueshell!$D84*Blueshell!$E84</f>
        <v>0</v>
      </c>
      <c r="G84" s="105"/>
      <c r="H84" s="126" t="str">
        <f>IF($B84= "","-",IF($B84= "External","Specify location tariff", INDEX(Constants!$3:$3,MATCH($B84,Constants!$2:$2,0))))</f>
        <v>-</v>
      </c>
      <c r="I84" s="236" t="str">
        <f t="shared" si="2"/>
        <v>-</v>
      </c>
      <c r="J84" s="127"/>
      <c r="K84" s="686"/>
      <c r="L84" s="562"/>
      <c r="M84" s="562"/>
      <c r="N84" s="562"/>
      <c r="O84" s="687"/>
      <c r="P84" s="588"/>
      <c r="Q84" s="575"/>
      <c r="R84" s="16"/>
      <c r="S84" s="16"/>
      <c r="V84" s="16"/>
      <c r="W84" s="16"/>
      <c r="X84" s="16"/>
      <c r="Y84" s="16"/>
      <c r="Z84" s="16"/>
      <c r="AA84" s="16"/>
    </row>
    <row r="85" spans="1:30" ht="15.75" customHeight="1">
      <c r="A85" s="16"/>
      <c r="B85" s="16"/>
      <c r="C85" s="51"/>
      <c r="D85" s="106"/>
      <c r="E85" s="105"/>
      <c r="F85" s="128">
        <f>Blueshell!$D85*Blueshell!$E85</f>
        <v>0</v>
      </c>
      <c r="G85" s="105"/>
      <c r="H85" s="126" t="str">
        <f>IF($B85= "","-",IF($B85= "External","Specify location tariff", INDEX(Constants!$3:$3,MATCH($B85,Constants!$2:$2,0))))</f>
        <v>-</v>
      </c>
      <c r="I85" s="236" t="str">
        <f t="shared" si="2"/>
        <v>-</v>
      </c>
      <c r="J85" s="127"/>
      <c r="K85" s="686"/>
      <c r="L85" s="562"/>
      <c r="M85" s="562"/>
      <c r="N85" s="562"/>
      <c r="O85" s="687"/>
      <c r="P85" s="588"/>
      <c r="Q85" s="575"/>
      <c r="R85" s="16"/>
      <c r="S85" s="16"/>
      <c r="V85" s="16"/>
      <c r="W85" s="16"/>
      <c r="X85" s="16"/>
      <c r="Y85" s="16"/>
      <c r="Z85" s="16"/>
      <c r="AA85" s="16"/>
    </row>
    <row r="86" spans="1:30" ht="15.75" customHeight="1">
      <c r="A86" s="16"/>
      <c r="B86" s="16"/>
      <c r="C86" s="51"/>
      <c r="D86" s="106"/>
      <c r="E86" s="105"/>
      <c r="F86" s="128">
        <f>Blueshell!$D86*Blueshell!$E86</f>
        <v>0</v>
      </c>
      <c r="G86" s="105"/>
      <c r="H86" s="126" t="str">
        <f>IF($B86= "","-",IF($B86= "External","Specify location tariff", INDEX(Constants!$3:$3,MATCH($B86,Constants!$2:$2,0))))</f>
        <v>-</v>
      </c>
      <c r="I86" s="236" t="str">
        <f t="shared" si="2"/>
        <v>-</v>
      </c>
      <c r="J86" s="127"/>
      <c r="K86" s="686"/>
      <c r="L86" s="562"/>
      <c r="M86" s="562"/>
      <c r="N86" s="562"/>
      <c r="O86" s="687"/>
      <c r="P86" s="588"/>
      <c r="Q86" s="575"/>
      <c r="R86" s="16"/>
      <c r="S86" s="16"/>
      <c r="V86" s="16"/>
      <c r="W86" s="16"/>
      <c r="X86" s="16"/>
      <c r="Y86" s="16"/>
      <c r="Z86" s="16"/>
      <c r="AA86" s="16"/>
    </row>
    <row r="87" spans="1:30" ht="15.75" customHeight="1" thickBot="1">
      <c r="A87" s="121"/>
      <c r="B87" s="16"/>
      <c r="C87" s="183"/>
      <c r="D87" s="184"/>
      <c r="E87" s="182"/>
      <c r="F87" s="181">
        <f>Blueshell!$D87*Blueshell!$E87</f>
        <v>0</v>
      </c>
      <c r="G87" s="182"/>
      <c r="H87" s="126" t="str">
        <f>IF($B87= "","-",IF($B87= "External","Specify location tariff", INDEX(Constants!$3:$3,MATCH($B87,Constants!$2:$2,0))))</f>
        <v>-</v>
      </c>
      <c r="I87" s="236" t="str">
        <f t="shared" si="2"/>
        <v>-</v>
      </c>
      <c r="J87" s="187"/>
      <c r="K87" s="688"/>
      <c r="L87" s="563"/>
      <c r="M87" s="563"/>
      <c r="N87" s="563"/>
      <c r="O87" s="689"/>
      <c r="P87" s="588"/>
      <c r="Q87" s="575"/>
      <c r="R87" s="16"/>
      <c r="S87" s="16"/>
      <c r="V87" s="16"/>
      <c r="W87" s="16"/>
      <c r="X87" s="16"/>
      <c r="Y87" s="16"/>
      <c r="Z87" s="16"/>
      <c r="AA87" s="16"/>
    </row>
    <row r="88" spans="1:30" ht="15.75" customHeight="1" thickTop="1">
      <c r="A88" s="15"/>
      <c r="B88" s="16"/>
      <c r="C88" s="16"/>
      <c r="D88" s="16"/>
      <c r="E88" s="16"/>
      <c r="F88" s="16"/>
      <c r="G88" s="16"/>
      <c r="H88" s="16"/>
      <c r="I88" s="16"/>
      <c r="J88" s="16"/>
      <c r="K88" s="16"/>
      <c r="L88" s="16"/>
      <c r="M88" s="16"/>
      <c r="N88" s="16"/>
      <c r="O88" s="16">
        <v>0</v>
      </c>
      <c r="P88" s="16"/>
      <c r="Q88" s="16"/>
      <c r="R88" s="16"/>
      <c r="S88" s="16"/>
      <c r="T88" s="16"/>
      <c r="U88" s="16"/>
      <c r="V88" s="16"/>
      <c r="W88" s="16"/>
      <c r="X88" s="16"/>
      <c r="Y88" s="16"/>
      <c r="Z88" s="16"/>
      <c r="AA88" s="16"/>
      <c r="AB88" s="16"/>
      <c r="AC88" s="16"/>
      <c r="AD88" s="16"/>
    </row>
    <row r="89" spans="1:30" ht="15.75" customHeight="1">
      <c r="A89" s="15"/>
      <c r="B89" s="16"/>
      <c r="C89" s="16"/>
      <c r="D89" s="16"/>
      <c r="E89" s="16"/>
      <c r="F89" s="16"/>
      <c r="G89" s="16"/>
      <c r="H89" s="16"/>
      <c r="I89" s="16"/>
      <c r="J89" s="16"/>
      <c r="K89" s="16"/>
      <c r="L89" s="16"/>
      <c r="M89" s="16"/>
      <c r="N89" s="16"/>
      <c r="O89" s="16"/>
      <c r="P89" s="16"/>
      <c r="Q89" s="16"/>
      <c r="R89" s="16"/>
      <c r="S89" s="16"/>
      <c r="T89" s="16"/>
      <c r="U89" s="16"/>
      <c r="V89" s="16"/>
      <c r="W89" s="16"/>
      <c r="X89" s="16"/>
      <c r="Y89" s="16"/>
      <c r="Z89" s="16"/>
      <c r="AA89" s="16"/>
      <c r="AB89" s="16"/>
      <c r="AC89" s="16"/>
      <c r="AD89" s="16"/>
    </row>
    <row r="90" spans="1:30" ht="15.75" customHeight="1" thickBot="1">
      <c r="A90" s="186" t="s">
        <v>519</v>
      </c>
      <c r="B90" s="16"/>
      <c r="C90" s="128"/>
      <c r="D90" s="51"/>
      <c r="E90" s="51"/>
      <c r="F90" s="51"/>
      <c r="G90" s="51"/>
      <c r="H90" s="51"/>
      <c r="I90" s="51"/>
      <c r="J90" s="51"/>
      <c r="K90" s="51"/>
      <c r="L90" s="129"/>
      <c r="M90" s="123"/>
      <c r="N90" s="16"/>
      <c r="O90" s="16"/>
      <c r="P90" s="16"/>
      <c r="Q90" s="16"/>
      <c r="R90" s="16"/>
      <c r="S90" s="16"/>
      <c r="T90" s="16"/>
      <c r="U90" s="16"/>
      <c r="V90" s="16"/>
      <c r="W90" s="16"/>
      <c r="X90" s="16"/>
      <c r="Y90" s="16"/>
      <c r="Z90" s="16"/>
      <c r="AA90" s="16"/>
      <c r="AB90" s="16"/>
      <c r="AC90" s="16"/>
      <c r="AD90" s="16"/>
    </row>
    <row r="91" spans="1:30" ht="15" customHeight="1" thickTop="1" thickBot="1">
      <c r="A91" s="15" t="s">
        <v>438</v>
      </c>
      <c r="B91" s="15" t="s">
        <v>439</v>
      </c>
      <c r="C91" s="15" t="s">
        <v>520</v>
      </c>
      <c r="D91" s="15" t="s">
        <v>521</v>
      </c>
      <c r="E91" s="15" t="s">
        <v>522</v>
      </c>
      <c r="F91" s="15" t="s">
        <v>523</v>
      </c>
      <c r="G91" s="15" t="s">
        <v>508</v>
      </c>
      <c r="H91" s="721" t="s">
        <v>441</v>
      </c>
      <c r="I91" s="728"/>
      <c r="J91" s="729" t="s">
        <v>434</v>
      </c>
      <c r="K91" s="730"/>
      <c r="L91" s="16"/>
      <c r="M91" s="16"/>
      <c r="N91" s="16"/>
      <c r="O91" s="16"/>
      <c r="P91" s="117"/>
      <c r="Q91" s="15"/>
      <c r="R91" s="16"/>
      <c r="S91" s="130"/>
      <c r="T91" s="16"/>
      <c r="U91" s="16"/>
      <c r="V91" s="16"/>
      <c r="W91" s="241"/>
      <c r="X91" s="16"/>
      <c r="Y91" s="16"/>
      <c r="Z91" s="16"/>
      <c r="AA91" s="16"/>
      <c r="AB91" s="16"/>
    </row>
    <row r="92" spans="1:30" ht="14.25" customHeight="1" thickTop="1">
      <c r="A92" s="16"/>
      <c r="C92" s="134">
        <v>0</v>
      </c>
      <c r="D92" s="127"/>
      <c r="E92" s="105"/>
      <c r="F92" s="134">
        <f>IF(Table_6170328[[#This Row],[Item]]="",0,Table_6170328[[#This Row],[Amount]]*Table_6170328[[#This Row],[Purchase / Running costs]]/Table_6170328[[#This Row],[Depreciation period]])</f>
        <v>0</v>
      </c>
      <c r="G92" s="127"/>
      <c r="H92" s="558"/>
      <c r="I92" s="696"/>
      <c r="J92" s="559" t="s">
        <v>526</v>
      </c>
      <c r="K92" s="730"/>
      <c r="L92" s="16"/>
      <c r="M92" s="16"/>
      <c r="N92" s="16"/>
      <c r="O92" s="16"/>
      <c r="P92" s="16"/>
      <c r="Q92" s="133"/>
      <c r="R92" s="16"/>
      <c r="S92" s="16"/>
      <c r="T92" s="16"/>
      <c r="U92" s="16"/>
      <c r="V92" s="16"/>
      <c r="W92" s="16"/>
      <c r="X92" s="16"/>
      <c r="Y92" s="16"/>
      <c r="Z92" s="16"/>
      <c r="AA92" s="16"/>
      <c r="AB92" s="16"/>
    </row>
    <row r="93" spans="1:30" ht="15.75" customHeight="1">
      <c r="A93" s="16"/>
      <c r="C93" s="134">
        <v>0</v>
      </c>
      <c r="D93" s="127"/>
      <c r="E93" s="105"/>
      <c r="F93" s="134">
        <f>IF(Table_6170328[[#This Row],[Item]]="",0,Table_6170328[[#This Row],[Amount]]*Table_6170328[[#This Row],[Purchase / Running costs]]/Table_6170328[[#This Row],[Depreciation period]])</f>
        <v>0</v>
      </c>
      <c r="G93" s="127"/>
      <c r="H93" s="696"/>
      <c r="I93" s="696"/>
      <c r="J93" s="731"/>
      <c r="K93" s="732"/>
      <c r="L93" s="16"/>
      <c r="M93" s="16"/>
      <c r="N93" s="16"/>
      <c r="O93" s="16"/>
      <c r="P93" s="16"/>
      <c r="Q93" s="16"/>
      <c r="R93" s="16"/>
      <c r="S93" s="16"/>
      <c r="T93" s="16"/>
      <c r="U93" s="16"/>
      <c r="V93" s="16"/>
      <c r="W93" s="16"/>
      <c r="X93" s="16"/>
      <c r="Y93" s="16"/>
      <c r="Z93" s="16"/>
      <c r="AA93" s="16"/>
      <c r="AB93" s="16"/>
    </row>
    <row r="94" spans="1:30" ht="15.75" customHeight="1">
      <c r="A94" s="16"/>
      <c r="C94" s="134">
        <v>0</v>
      </c>
      <c r="D94" s="127"/>
      <c r="E94" s="105"/>
      <c r="F94" s="134">
        <f>IF(Table_6170328[[#This Row],[Item]]="",0,Table_6170328[[#This Row],[Amount]]*Table_6170328[[#This Row],[Purchase / Running costs]]/Table_6170328[[#This Row],[Depreciation period]])</f>
        <v>0</v>
      </c>
      <c r="G94" s="127"/>
      <c r="H94" s="696"/>
      <c r="I94" s="696"/>
      <c r="J94" s="731"/>
      <c r="K94" s="732"/>
      <c r="L94" s="16"/>
      <c r="M94" s="16"/>
      <c r="N94" s="16"/>
      <c r="O94" s="16"/>
      <c r="P94" s="16"/>
      <c r="Q94" s="16"/>
      <c r="R94" s="16"/>
      <c r="S94" s="16"/>
      <c r="T94" s="16"/>
      <c r="U94" s="16"/>
      <c r="V94" s="16"/>
      <c r="W94" s="16"/>
      <c r="X94" s="16"/>
      <c r="Y94" s="16"/>
      <c r="Z94" s="16"/>
      <c r="AA94" s="16"/>
      <c r="AB94" s="16"/>
    </row>
    <row r="95" spans="1:30" ht="15.75" customHeight="1">
      <c r="A95" s="16"/>
      <c r="C95" s="134">
        <v>0</v>
      </c>
      <c r="D95" s="127"/>
      <c r="E95" s="105"/>
      <c r="F95" s="134">
        <f>IF(Table_6170328[[#This Row],[Item]]="",0,Table_6170328[[#This Row],[Amount]]*Table_6170328[[#This Row],[Purchase / Running costs]]/Table_6170328[[#This Row],[Depreciation period]])</f>
        <v>0</v>
      </c>
      <c r="G95" s="127"/>
      <c r="H95" s="696"/>
      <c r="I95" s="696"/>
      <c r="J95" s="731"/>
      <c r="K95" s="732"/>
      <c r="L95" s="16"/>
      <c r="M95" s="16"/>
      <c r="N95" s="16"/>
      <c r="O95" s="16"/>
      <c r="P95" s="16"/>
      <c r="Q95" s="16"/>
      <c r="R95" s="16"/>
      <c r="S95" s="16"/>
      <c r="T95" s="16"/>
      <c r="U95" s="16"/>
      <c r="V95" s="16"/>
      <c r="W95" s="16"/>
      <c r="X95" s="16"/>
      <c r="Y95" s="16"/>
      <c r="Z95" s="16"/>
      <c r="AA95" s="16"/>
      <c r="AB95" s="16"/>
    </row>
    <row r="96" spans="1:30" ht="15.75" customHeight="1">
      <c r="A96" s="16"/>
      <c r="C96" s="134">
        <v>0</v>
      </c>
      <c r="D96" s="127"/>
      <c r="E96" s="105"/>
      <c r="F96" s="134">
        <f>IF(Table_6170328[[#This Row],[Item]]="",0,Table_6170328[[#This Row],[Amount]]*Table_6170328[[#This Row],[Purchase / Running costs]]/Table_6170328[[#This Row],[Depreciation period]])</f>
        <v>0</v>
      </c>
      <c r="G96" s="127"/>
      <c r="H96" s="696"/>
      <c r="I96" s="696"/>
      <c r="J96" s="731"/>
      <c r="K96" s="732"/>
      <c r="L96" s="16"/>
      <c r="M96" s="16"/>
      <c r="N96" s="16"/>
      <c r="O96" s="16"/>
      <c r="P96" s="16"/>
      <c r="Q96" s="16"/>
      <c r="R96" s="16"/>
      <c r="S96" s="16"/>
      <c r="T96" s="16"/>
      <c r="U96" s="16"/>
      <c r="V96" s="16"/>
      <c r="W96" s="16"/>
      <c r="X96" s="16"/>
      <c r="Y96" s="16"/>
      <c r="Z96" s="16"/>
      <c r="AA96" s="16"/>
      <c r="AB96" s="16"/>
    </row>
    <row r="97" spans="1:30" ht="15.75" customHeight="1">
      <c r="A97" s="16"/>
      <c r="C97" s="134">
        <v>0</v>
      </c>
      <c r="D97" s="127"/>
      <c r="E97" s="105"/>
      <c r="F97" s="134">
        <f>IF(Table_6170328[[#This Row],[Item]]="",0,Table_6170328[[#This Row],[Amount]]*Table_6170328[[#This Row],[Purchase / Running costs]]/Table_6170328[[#This Row],[Depreciation period]])</f>
        <v>0</v>
      </c>
      <c r="G97" s="127"/>
      <c r="H97" s="696"/>
      <c r="I97" s="696"/>
      <c r="J97" s="731"/>
      <c r="K97" s="732"/>
      <c r="L97" s="16"/>
      <c r="M97" s="16"/>
      <c r="N97" s="16"/>
      <c r="O97" s="16"/>
      <c r="P97" s="16"/>
      <c r="Q97" s="16"/>
      <c r="R97" s="16"/>
      <c r="S97" s="16"/>
      <c r="T97" s="16"/>
      <c r="U97" s="16"/>
      <c r="V97" s="16"/>
      <c r="W97" s="16"/>
      <c r="X97" s="16"/>
      <c r="Y97" s="16"/>
      <c r="Z97" s="16"/>
      <c r="AA97" s="16"/>
      <c r="AB97" s="16"/>
    </row>
    <row r="98" spans="1:30" ht="15.75" customHeight="1">
      <c r="A98" s="16"/>
      <c r="B98" s="131"/>
      <c r="C98" s="134">
        <v>0</v>
      </c>
      <c r="D98" s="127"/>
      <c r="E98" s="105"/>
      <c r="F98" s="134">
        <f>IF(Table_6170328[[#This Row],[Item]]="",0,Table_6170328[[#This Row],[Amount]]*Table_6170328[[#This Row],[Purchase / Running costs]]/Table_6170328[[#This Row],[Depreciation period]])</f>
        <v>0</v>
      </c>
      <c r="G98" s="127"/>
      <c r="H98" s="696"/>
      <c r="I98" s="696"/>
      <c r="J98" s="731"/>
      <c r="K98" s="732"/>
      <c r="L98" s="16"/>
      <c r="M98" s="16"/>
      <c r="N98" s="16"/>
      <c r="O98" s="16"/>
      <c r="P98" s="16"/>
      <c r="Q98" s="16"/>
      <c r="R98" s="16"/>
      <c r="S98" s="16"/>
      <c r="T98" s="16"/>
      <c r="U98" s="16"/>
      <c r="V98" s="16"/>
      <c r="W98" s="16"/>
      <c r="X98" s="16"/>
      <c r="Y98" s="16"/>
      <c r="Z98" s="16"/>
      <c r="AA98" s="16"/>
      <c r="AB98" s="16"/>
    </row>
    <row r="99" spans="1:30" ht="15.75" customHeight="1">
      <c r="A99" s="16"/>
      <c r="B99" s="131"/>
      <c r="C99" s="134">
        <v>0</v>
      </c>
      <c r="D99" s="127"/>
      <c r="E99" s="105"/>
      <c r="F99" s="134">
        <f>IF(Table_6170328[[#This Row],[Item]]="",0,Table_6170328[[#This Row],[Amount]]*Table_6170328[[#This Row],[Purchase / Running costs]]/Table_6170328[[#This Row],[Depreciation period]])</f>
        <v>0</v>
      </c>
      <c r="G99" s="127"/>
      <c r="H99" s="696"/>
      <c r="I99" s="696"/>
      <c r="J99" s="731"/>
      <c r="K99" s="732"/>
      <c r="L99" s="16"/>
      <c r="M99" s="16"/>
      <c r="N99" s="16"/>
      <c r="O99" s="16"/>
      <c r="P99" s="16"/>
      <c r="Q99" s="16"/>
      <c r="R99" s="16"/>
      <c r="S99" s="16"/>
      <c r="T99" s="16"/>
      <c r="U99" s="16"/>
      <c r="V99" s="16"/>
      <c r="W99" s="16"/>
      <c r="X99" s="16"/>
      <c r="Y99" s="16"/>
      <c r="Z99" s="16"/>
      <c r="AA99" s="16"/>
      <c r="AB99" s="16"/>
    </row>
    <row r="100" spans="1:30" ht="15.75" customHeight="1">
      <c r="A100" s="16"/>
      <c r="B100" s="131"/>
      <c r="C100" s="134">
        <v>0</v>
      </c>
      <c r="D100" s="127"/>
      <c r="E100" s="105"/>
      <c r="F100" s="134">
        <f>IF(Table_6170328[[#This Row],[Item]]="",0,Table_6170328[[#This Row],[Amount]]*Table_6170328[[#This Row],[Purchase / Running costs]]/Table_6170328[[#This Row],[Depreciation period]])</f>
        <v>0</v>
      </c>
      <c r="G100" s="127"/>
      <c r="H100" s="696"/>
      <c r="I100" s="696"/>
      <c r="J100" s="731"/>
      <c r="K100" s="732"/>
      <c r="L100" s="16"/>
      <c r="M100" s="16"/>
      <c r="N100" s="16"/>
      <c r="O100" s="16"/>
      <c r="P100" s="16"/>
      <c r="Q100" s="16"/>
      <c r="R100" s="16"/>
      <c r="S100" s="16"/>
      <c r="T100" s="16"/>
      <c r="U100" s="16"/>
      <c r="V100" s="16"/>
      <c r="W100" s="16"/>
      <c r="X100" s="16"/>
      <c r="Y100" s="16"/>
      <c r="Z100" s="16"/>
      <c r="AA100" s="16"/>
      <c r="AB100" s="16"/>
    </row>
    <row r="101" spans="1:30" ht="15.75" customHeight="1">
      <c r="A101" s="16"/>
      <c r="B101" s="131"/>
      <c r="C101" s="134">
        <v>0</v>
      </c>
      <c r="D101" s="127"/>
      <c r="E101" s="105"/>
      <c r="F101" s="134">
        <f>IF(Table_6170328[[#This Row],[Item]]="",0,Table_6170328[[#This Row],[Amount]]*Table_6170328[[#This Row],[Purchase / Running costs]]/Table_6170328[[#This Row],[Depreciation period]])</f>
        <v>0</v>
      </c>
      <c r="G101" s="127"/>
      <c r="H101" s="696"/>
      <c r="I101" s="696"/>
      <c r="J101" s="731"/>
      <c r="K101" s="732"/>
      <c r="L101" s="16"/>
      <c r="M101" s="16"/>
      <c r="N101" s="16"/>
      <c r="O101" s="16"/>
      <c r="P101" s="16"/>
      <c r="Q101" s="16"/>
      <c r="R101" s="16"/>
      <c r="S101" s="16"/>
      <c r="T101" s="16"/>
      <c r="U101" s="16"/>
      <c r="V101" s="16"/>
      <c r="W101" s="16"/>
      <c r="X101" s="16"/>
      <c r="Y101" s="16"/>
      <c r="Z101" s="16"/>
      <c r="AA101" s="16"/>
      <c r="AB101" s="16"/>
    </row>
    <row r="102" spans="1:30" ht="15.75" customHeight="1">
      <c r="A102" s="16"/>
      <c r="B102" s="131"/>
      <c r="C102" s="134">
        <v>0</v>
      </c>
      <c r="D102" s="127"/>
      <c r="E102" s="105"/>
      <c r="F102" s="134">
        <f>IF(Table_6170328[[#This Row],[Item]]="",0,Table_6170328[[#This Row],[Amount]]*Table_6170328[[#This Row],[Purchase / Running costs]]/Table_6170328[[#This Row],[Depreciation period]])</f>
        <v>0</v>
      </c>
      <c r="G102" s="127"/>
      <c r="H102" s="696"/>
      <c r="I102" s="696"/>
      <c r="J102" s="731"/>
      <c r="K102" s="732"/>
      <c r="L102" s="16"/>
      <c r="M102" s="16"/>
      <c r="N102" s="16"/>
      <c r="O102" s="16"/>
      <c r="P102" s="16"/>
      <c r="Q102" s="16"/>
      <c r="R102" s="16"/>
      <c r="S102" s="16"/>
      <c r="T102" s="16"/>
      <c r="U102" s="16"/>
      <c r="V102" s="16"/>
      <c r="W102" s="16"/>
      <c r="X102" s="16"/>
      <c r="Y102" s="16"/>
      <c r="Z102" s="16"/>
      <c r="AA102" s="16"/>
      <c r="AB102" s="16"/>
    </row>
    <row r="103" spans="1:30" ht="15.75" customHeight="1">
      <c r="A103" s="16"/>
      <c r="B103" s="131"/>
      <c r="C103" s="134">
        <v>0</v>
      </c>
      <c r="D103" s="127"/>
      <c r="E103" s="105"/>
      <c r="F103" s="134">
        <f>IF(Table_6170328[[#This Row],[Item]]="",0,Table_6170328[[#This Row],[Amount]]*Table_6170328[[#This Row],[Purchase / Running costs]]/Table_6170328[[#This Row],[Depreciation period]])</f>
        <v>0</v>
      </c>
      <c r="G103" s="127"/>
      <c r="H103" s="696"/>
      <c r="I103" s="696"/>
      <c r="J103" s="731"/>
      <c r="K103" s="732"/>
      <c r="L103" s="16"/>
      <c r="M103" s="16"/>
      <c r="N103" s="16"/>
      <c r="O103" s="16"/>
      <c r="P103" s="16"/>
      <c r="Q103" s="16"/>
      <c r="R103" s="16"/>
      <c r="S103" s="16"/>
      <c r="T103" s="16"/>
      <c r="U103" s="16"/>
      <c r="V103" s="16"/>
      <c r="W103" s="16"/>
      <c r="X103" s="16"/>
      <c r="Y103" s="16"/>
      <c r="Z103" s="16"/>
      <c r="AA103" s="16"/>
      <c r="AB103" s="16"/>
    </row>
    <row r="104" spans="1:30" ht="15.75" customHeight="1">
      <c r="A104" s="16"/>
      <c r="B104" s="131"/>
      <c r="C104" s="134">
        <v>0</v>
      </c>
      <c r="D104" s="127"/>
      <c r="E104" s="105"/>
      <c r="F104" s="134">
        <f>IF(Table_6170328[[#This Row],[Item]]="",0,Table_6170328[[#This Row],[Amount]]*Table_6170328[[#This Row],[Purchase / Running costs]]/Table_6170328[[#This Row],[Depreciation period]])</f>
        <v>0</v>
      </c>
      <c r="G104" s="127"/>
      <c r="H104" s="696"/>
      <c r="I104" s="696"/>
      <c r="J104" s="731"/>
      <c r="K104" s="732"/>
      <c r="L104" s="16"/>
      <c r="M104" s="16"/>
      <c r="N104" s="16"/>
      <c r="O104" s="16"/>
      <c r="P104" s="16"/>
      <c r="Q104" s="16"/>
      <c r="R104" s="16"/>
      <c r="S104" s="16"/>
      <c r="T104" s="16"/>
      <c r="U104" s="16"/>
      <c r="V104" s="16"/>
      <c r="W104" s="16"/>
      <c r="X104" s="16"/>
      <c r="Y104" s="16"/>
      <c r="Z104" s="16"/>
      <c r="AA104" s="16"/>
      <c r="AB104" s="16"/>
    </row>
    <row r="105" spans="1:30" ht="15.75" customHeight="1" thickBot="1">
      <c r="A105" s="16"/>
      <c r="B105" s="131"/>
      <c r="C105" s="134">
        <v>0</v>
      </c>
      <c r="D105" s="127"/>
      <c r="E105" s="105"/>
      <c r="F105" s="134">
        <f>IF(Table_6170328[[#This Row],[Item]]="",0,Table_6170328[[#This Row],[Amount]]*Table_6170328[[#This Row],[Purchase / Running costs]]/Table_6170328[[#This Row],[Depreciation period]])</f>
        <v>0</v>
      </c>
      <c r="G105" s="127"/>
      <c r="H105" s="724"/>
      <c r="I105" s="724"/>
      <c r="J105" s="733"/>
      <c r="K105" s="734"/>
      <c r="L105" s="16"/>
      <c r="M105" s="16"/>
      <c r="N105" s="16"/>
      <c r="O105" s="16"/>
      <c r="P105" s="16"/>
      <c r="Q105" s="16"/>
      <c r="R105" s="16"/>
      <c r="S105" s="16"/>
      <c r="T105" s="16"/>
      <c r="U105" s="16"/>
      <c r="V105" s="16"/>
      <c r="W105" s="16"/>
      <c r="X105" s="16"/>
      <c r="Y105" s="16"/>
      <c r="Z105" s="16"/>
      <c r="AA105" s="16"/>
      <c r="AB105" s="16"/>
    </row>
    <row r="106" spans="1:30" ht="15.75" customHeight="1" thickTop="1">
      <c r="A106" s="15"/>
      <c r="B106" s="131"/>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c r="AD106" s="16"/>
    </row>
    <row r="107" spans="1:30" ht="15.75" customHeight="1">
      <c r="A107" s="15"/>
      <c r="B107" s="131"/>
      <c r="C107" s="16"/>
      <c r="D107" s="16"/>
      <c r="E107" s="16"/>
      <c r="F107" s="16"/>
      <c r="G107" s="16"/>
      <c r="I107" s="16"/>
      <c r="J107" s="16"/>
      <c r="K107" s="16"/>
      <c r="L107" s="16"/>
      <c r="M107" s="16"/>
      <c r="N107" s="16"/>
      <c r="O107" s="16"/>
      <c r="P107" s="16"/>
      <c r="Q107" s="16"/>
      <c r="R107" s="16"/>
      <c r="S107" s="16"/>
      <c r="T107" s="16"/>
      <c r="U107" s="16"/>
      <c r="V107" s="16"/>
      <c r="W107" s="16"/>
      <c r="X107" s="16"/>
      <c r="Y107" s="16"/>
      <c r="Z107" s="16"/>
      <c r="AA107" s="16"/>
      <c r="AB107" s="16"/>
      <c r="AC107" s="16"/>
      <c r="AD107" s="16"/>
    </row>
    <row r="108" spans="1:30" ht="15.75" customHeight="1">
      <c r="H108" s="51"/>
      <c r="I108" s="51"/>
      <c r="J108" s="51"/>
      <c r="K108" s="51"/>
      <c r="L108" s="16"/>
      <c r="M108" s="16"/>
      <c r="N108" s="16"/>
      <c r="O108" s="16"/>
      <c r="P108" s="16"/>
      <c r="Q108" s="16"/>
      <c r="R108" s="16"/>
      <c r="S108" s="16"/>
      <c r="T108" s="16"/>
      <c r="U108" s="16"/>
      <c r="V108" s="16"/>
      <c r="W108" s="16"/>
      <c r="X108" s="16"/>
      <c r="Y108" s="16"/>
      <c r="Z108" s="16"/>
      <c r="AA108" s="16"/>
      <c r="AB108" s="16"/>
      <c r="AC108" s="16"/>
      <c r="AD108" s="16"/>
    </row>
    <row r="109" spans="1:30" ht="15.75" customHeight="1">
      <c r="L109" s="16"/>
      <c r="M109" s="16"/>
      <c r="N109" s="16"/>
      <c r="O109" s="16"/>
      <c r="P109" s="16"/>
      <c r="Q109" s="16"/>
      <c r="R109" s="16"/>
      <c r="S109" s="16"/>
      <c r="T109" s="16"/>
      <c r="U109" s="16"/>
      <c r="V109" s="16"/>
      <c r="W109" s="16"/>
      <c r="X109" s="16"/>
      <c r="Y109" s="16"/>
      <c r="Z109" s="16"/>
      <c r="AA109" s="16"/>
      <c r="AB109" s="16"/>
      <c r="AC109" s="16"/>
      <c r="AD109" s="16"/>
    </row>
    <row r="110" spans="1:30" ht="15.75" customHeight="1">
      <c r="L110" s="16"/>
      <c r="M110" s="16"/>
      <c r="N110" s="16"/>
      <c r="O110" s="16"/>
      <c r="P110" s="16"/>
      <c r="Q110" s="16"/>
      <c r="R110" s="16"/>
      <c r="S110" s="16"/>
      <c r="T110" s="16"/>
      <c r="U110" s="16"/>
      <c r="V110" s="16"/>
      <c r="W110" s="16"/>
      <c r="X110" s="16"/>
      <c r="Y110" s="16"/>
      <c r="Z110" s="16"/>
      <c r="AA110" s="16"/>
      <c r="AB110" s="16"/>
      <c r="AC110" s="16"/>
      <c r="AD110" s="16"/>
    </row>
    <row r="111" spans="1:30" ht="15.75" customHeight="1">
      <c r="L111" s="16"/>
      <c r="M111" s="16"/>
      <c r="N111" s="16"/>
      <c r="O111" s="16"/>
      <c r="P111" s="16"/>
      <c r="Q111" s="16"/>
      <c r="R111" s="16"/>
      <c r="S111" s="16"/>
      <c r="T111" s="16"/>
      <c r="U111" s="16"/>
      <c r="V111" s="16"/>
      <c r="W111" s="16"/>
      <c r="X111" s="16"/>
      <c r="Y111" s="16"/>
      <c r="Z111" s="16"/>
      <c r="AA111" s="16"/>
      <c r="AB111" s="16"/>
      <c r="AC111" s="16"/>
      <c r="AD111" s="16"/>
    </row>
    <row r="112" spans="1:30" ht="15.75" customHeight="1">
      <c r="L112" s="16"/>
      <c r="M112" s="16"/>
      <c r="N112" s="16"/>
      <c r="O112" s="16"/>
      <c r="P112" s="16"/>
      <c r="Q112" s="16"/>
      <c r="R112" s="16"/>
      <c r="S112" s="16"/>
      <c r="T112" s="16"/>
      <c r="U112" s="16"/>
      <c r="V112" s="16"/>
      <c r="W112" s="16"/>
      <c r="X112" s="16"/>
      <c r="Y112" s="16"/>
      <c r="Z112" s="16"/>
      <c r="AA112" s="16"/>
      <c r="AB112" s="16"/>
      <c r="AC112" s="16"/>
      <c r="AD112" s="16"/>
    </row>
    <row r="113" spans="1:30" ht="15.75" customHeight="1">
      <c r="L113" s="16"/>
      <c r="M113" s="16"/>
      <c r="N113" s="16"/>
      <c r="O113" s="16"/>
      <c r="P113" s="16"/>
      <c r="Q113" s="16"/>
      <c r="R113" s="16"/>
      <c r="S113" s="16"/>
      <c r="T113" s="16"/>
      <c r="U113" s="16"/>
      <c r="V113" s="16"/>
      <c r="W113" s="16"/>
      <c r="X113" s="16"/>
      <c r="Y113" s="16"/>
      <c r="Z113" s="16"/>
      <c r="AA113" s="16"/>
      <c r="AB113" s="16"/>
      <c r="AC113" s="16"/>
      <c r="AD113" s="16"/>
    </row>
    <row r="114" spans="1:30" ht="15.75" customHeight="1">
      <c r="L114" s="16"/>
      <c r="M114" s="16"/>
      <c r="N114" s="16"/>
      <c r="O114" s="16"/>
      <c r="P114" s="16"/>
      <c r="Q114" s="16"/>
      <c r="R114" s="16"/>
      <c r="S114" s="16"/>
      <c r="T114" s="16"/>
      <c r="U114" s="16"/>
      <c r="V114" s="16"/>
      <c r="W114" s="16"/>
      <c r="X114" s="16"/>
      <c r="Y114" s="16"/>
      <c r="Z114" s="16"/>
      <c r="AA114" s="16"/>
      <c r="AB114" s="16"/>
      <c r="AC114" s="16"/>
      <c r="AD114" s="16"/>
    </row>
    <row r="115" spans="1:30" ht="15.75" customHeight="1">
      <c r="L115" s="16"/>
      <c r="M115" s="16"/>
      <c r="N115" s="16"/>
      <c r="O115" s="16"/>
      <c r="P115" s="735"/>
      <c r="Q115" s="696"/>
      <c r="R115" s="696"/>
      <c r="S115" s="16"/>
      <c r="T115" s="16"/>
      <c r="U115" s="16"/>
      <c r="V115" s="16"/>
      <c r="W115" s="16"/>
      <c r="X115" s="16"/>
      <c r="Y115" s="16"/>
      <c r="Z115" s="16"/>
      <c r="AA115" s="16"/>
      <c r="AB115" s="16"/>
      <c r="AC115" s="16"/>
      <c r="AD115" s="16"/>
    </row>
    <row r="116" spans="1:30" ht="15.75" customHeight="1">
      <c r="L116" s="16"/>
      <c r="M116" s="16"/>
      <c r="N116" s="16"/>
      <c r="O116" s="16"/>
      <c r="P116" s="735"/>
      <c r="Q116" s="696"/>
      <c r="R116" s="696"/>
      <c r="S116" s="16"/>
      <c r="T116" s="16"/>
      <c r="U116" s="16"/>
      <c r="V116" s="16"/>
      <c r="W116" s="16"/>
      <c r="X116" s="16"/>
      <c r="Y116" s="16"/>
      <c r="Z116" s="16"/>
      <c r="AA116" s="16"/>
      <c r="AB116" s="16"/>
      <c r="AC116" s="16"/>
      <c r="AD116" s="16"/>
    </row>
    <row r="117" spans="1:30" ht="15.75" customHeight="1">
      <c r="L117" s="16"/>
      <c r="M117" s="16"/>
      <c r="N117" s="16"/>
      <c r="O117" s="16"/>
      <c r="P117" s="735"/>
      <c r="Q117" s="696"/>
      <c r="R117" s="696"/>
      <c r="S117" s="16"/>
      <c r="T117" s="16"/>
      <c r="U117" s="16"/>
      <c r="V117" s="16"/>
      <c r="W117" s="16"/>
      <c r="X117" s="16"/>
      <c r="Y117" s="16"/>
      <c r="Z117" s="16"/>
      <c r="AA117" s="16"/>
      <c r="AB117" s="16"/>
      <c r="AC117" s="16"/>
      <c r="AD117" s="16"/>
    </row>
    <row r="118" spans="1:30" ht="15.75" customHeight="1">
      <c r="L118" s="16"/>
      <c r="M118" s="16"/>
      <c r="N118" s="16"/>
      <c r="O118" s="16"/>
      <c r="P118" s="735"/>
      <c r="Q118" s="696"/>
      <c r="R118" s="696"/>
      <c r="S118" s="16"/>
      <c r="T118" s="16"/>
      <c r="U118" s="16"/>
      <c r="V118" s="16"/>
      <c r="W118" s="16"/>
      <c r="X118" s="16"/>
      <c r="Y118" s="16"/>
      <c r="Z118" s="16"/>
      <c r="AA118" s="16"/>
      <c r="AB118" s="16"/>
      <c r="AC118" s="16"/>
      <c r="AD118" s="16"/>
    </row>
    <row r="119" spans="1:30" ht="15.75" customHeight="1">
      <c r="L119" s="16"/>
      <c r="M119" s="16"/>
      <c r="N119" s="16"/>
      <c r="O119" s="16"/>
      <c r="P119" s="735"/>
      <c r="Q119" s="696"/>
      <c r="R119" s="696"/>
      <c r="S119" s="16"/>
      <c r="T119" s="16"/>
      <c r="U119" s="16"/>
      <c r="V119" s="16"/>
      <c r="W119" s="16"/>
      <c r="X119" s="16"/>
      <c r="Y119" s="16"/>
      <c r="Z119" s="16"/>
      <c r="AA119" s="16"/>
      <c r="AB119" s="16"/>
      <c r="AC119" s="16"/>
      <c r="AD119" s="16"/>
    </row>
    <row r="120" spans="1:30" ht="15.75" customHeight="1">
      <c r="L120" s="16"/>
      <c r="M120" s="16"/>
      <c r="N120" s="16"/>
      <c r="O120" s="16"/>
      <c r="P120" s="735"/>
      <c r="Q120" s="696"/>
      <c r="R120" s="696"/>
      <c r="S120" s="16"/>
      <c r="T120" s="16"/>
      <c r="U120" s="16"/>
      <c r="V120" s="16"/>
      <c r="W120" s="16"/>
      <c r="X120" s="16"/>
      <c r="Y120" s="16"/>
      <c r="Z120" s="16"/>
      <c r="AA120" s="16"/>
      <c r="AB120" s="16"/>
      <c r="AC120" s="16"/>
      <c r="AD120" s="16"/>
    </row>
    <row r="121" spans="1:30" ht="15.75" customHeight="1">
      <c r="H121" s="248"/>
      <c r="I121" s="248"/>
      <c r="J121" s="228"/>
      <c r="K121" s="228"/>
      <c r="L121" s="16"/>
      <c r="M121" s="16"/>
      <c r="N121" s="16"/>
      <c r="O121" s="16"/>
      <c r="P121" s="735"/>
      <c r="Q121" s="696"/>
      <c r="R121" s="696"/>
      <c r="S121" s="16"/>
      <c r="T121" s="16"/>
      <c r="U121" s="16"/>
      <c r="V121" s="16"/>
      <c r="W121" s="16"/>
      <c r="X121" s="16"/>
      <c r="Y121" s="16"/>
      <c r="Z121" s="16"/>
      <c r="AA121" s="16"/>
      <c r="AB121" s="16"/>
      <c r="AC121" s="16"/>
      <c r="AD121" s="16"/>
    </row>
    <row r="122" spans="1:30" ht="15.75" customHeight="1">
      <c r="H122" s="248"/>
      <c r="I122" s="248"/>
      <c r="J122" s="228"/>
      <c r="K122" s="228"/>
      <c r="L122" s="16"/>
      <c r="M122" s="16"/>
      <c r="N122" s="16"/>
      <c r="O122" s="16"/>
      <c r="P122" s="16"/>
      <c r="Q122" s="16"/>
      <c r="R122" s="16"/>
      <c r="S122" s="16"/>
      <c r="T122" s="16"/>
      <c r="U122" s="16"/>
      <c r="V122" s="16"/>
      <c r="W122" s="16"/>
      <c r="X122" s="16"/>
      <c r="Y122" s="16"/>
      <c r="Z122" s="16"/>
      <c r="AA122" s="16"/>
      <c r="AB122" s="16"/>
      <c r="AC122" s="16"/>
      <c r="AD122" s="16"/>
    </row>
    <row r="123" spans="1:30" ht="15.75" customHeight="1">
      <c r="H123" s="228"/>
      <c r="I123" s="228"/>
      <c r="J123" s="228"/>
      <c r="K123" s="228"/>
      <c r="L123" s="16"/>
      <c r="M123" s="735"/>
      <c r="N123" s="696"/>
      <c r="O123" s="696"/>
      <c r="P123" s="735"/>
      <c r="Q123" s="696"/>
      <c r="R123" s="696"/>
      <c r="S123" s="696"/>
      <c r="T123" s="696"/>
      <c r="U123" s="16"/>
      <c r="V123" s="16"/>
      <c r="W123" s="16"/>
      <c r="X123" s="16"/>
      <c r="Y123" s="16"/>
      <c r="Z123" s="16"/>
      <c r="AA123" s="16"/>
      <c r="AB123" s="16"/>
      <c r="AC123" s="16"/>
      <c r="AD123" s="16"/>
    </row>
    <row r="124" spans="1:30" ht="15.75" customHeight="1">
      <c r="H124" s="16"/>
      <c r="I124" s="16"/>
      <c r="J124" s="16"/>
      <c r="K124" s="16"/>
      <c r="L124" s="16"/>
      <c r="M124" s="735"/>
      <c r="N124" s="696"/>
      <c r="O124" s="696"/>
      <c r="P124" s="735"/>
      <c r="Q124" s="696"/>
      <c r="R124" s="696"/>
      <c r="S124" s="696"/>
      <c r="T124" s="696"/>
      <c r="U124" s="16"/>
      <c r="V124" s="16"/>
      <c r="W124" s="16"/>
      <c r="X124" s="16"/>
      <c r="Y124" s="16"/>
      <c r="Z124" s="16"/>
      <c r="AA124" s="16"/>
      <c r="AB124" s="16"/>
      <c r="AC124" s="16"/>
      <c r="AD124" s="16"/>
    </row>
    <row r="125" spans="1:30" ht="15.75" customHeight="1">
      <c r="A125" s="16"/>
      <c r="B125" s="16"/>
      <c r="C125" s="16"/>
      <c r="D125" s="16"/>
      <c r="E125" s="16"/>
      <c r="F125" s="16"/>
      <c r="G125" s="16"/>
      <c r="H125" s="16"/>
      <c r="I125" s="16"/>
      <c r="J125" s="16"/>
      <c r="K125" s="16"/>
      <c r="L125" s="16"/>
      <c r="M125" s="735"/>
      <c r="N125" s="696"/>
      <c r="O125" s="696"/>
      <c r="P125" s="696"/>
      <c r="Q125" s="696"/>
      <c r="R125" s="696"/>
      <c r="S125" s="696"/>
      <c r="T125" s="696"/>
      <c r="U125" s="16"/>
      <c r="V125" s="16"/>
      <c r="W125" s="16"/>
      <c r="X125" s="16"/>
      <c r="Y125" s="16"/>
      <c r="Z125" s="16"/>
      <c r="AA125" s="16"/>
      <c r="AB125" s="16"/>
      <c r="AC125" s="16"/>
      <c r="AD125" s="16"/>
    </row>
    <row r="126" spans="1:30" ht="15.75" customHeight="1">
      <c r="A126" s="16"/>
      <c r="B126" s="16"/>
      <c r="C126" s="16"/>
      <c r="D126" s="16"/>
      <c r="E126" s="16"/>
      <c r="F126" s="16"/>
      <c r="G126" s="16"/>
      <c r="H126" s="16"/>
      <c r="I126" s="16"/>
      <c r="J126" s="16"/>
      <c r="K126" s="16"/>
      <c r="L126" s="16"/>
      <c r="M126" s="735"/>
      <c r="N126" s="696"/>
      <c r="O126" s="696"/>
      <c r="P126" s="696"/>
      <c r="Q126" s="696"/>
      <c r="R126" s="696"/>
      <c r="S126" s="696"/>
      <c r="T126" s="696"/>
      <c r="U126" s="16"/>
      <c r="V126" s="16"/>
      <c r="W126" s="16"/>
      <c r="X126" s="16"/>
      <c r="Y126" s="16"/>
      <c r="Z126" s="16"/>
      <c r="AA126" s="16"/>
      <c r="AB126" s="16"/>
      <c r="AC126" s="16"/>
      <c r="AD126" s="16"/>
    </row>
    <row r="127" spans="1:30" ht="15.75" customHeight="1">
      <c r="A127" s="16"/>
      <c r="B127" s="16"/>
      <c r="C127" s="16"/>
      <c r="D127" s="16"/>
      <c r="E127" s="16"/>
      <c r="F127" s="16"/>
      <c r="G127" s="16"/>
      <c r="H127" s="16"/>
      <c r="I127" s="16"/>
      <c r="J127" s="16"/>
      <c r="K127" s="16"/>
      <c r="L127" s="16"/>
      <c r="M127" s="735"/>
      <c r="N127" s="696"/>
      <c r="O127" s="696"/>
      <c r="P127" s="696"/>
      <c r="Q127" s="696"/>
      <c r="R127" s="696"/>
      <c r="S127" s="696"/>
      <c r="T127" s="696"/>
      <c r="U127" s="16"/>
      <c r="V127" s="16"/>
      <c r="W127" s="16"/>
      <c r="X127" s="16"/>
      <c r="Y127" s="16"/>
      <c r="Z127" s="16"/>
      <c r="AA127" s="16"/>
      <c r="AB127" s="16"/>
      <c r="AC127" s="16"/>
      <c r="AD127" s="16"/>
    </row>
    <row r="128" spans="1:30" ht="15.75" customHeight="1">
      <c r="A128" s="16"/>
      <c r="B128" s="16"/>
      <c r="C128" s="16"/>
      <c r="D128" s="16"/>
      <c r="E128" s="16"/>
      <c r="F128" s="16"/>
      <c r="G128" s="16"/>
      <c r="H128" s="16"/>
      <c r="I128" s="16"/>
      <c r="J128" s="16"/>
      <c r="K128" s="16"/>
      <c r="L128" s="16"/>
      <c r="M128" s="735"/>
      <c r="N128" s="696"/>
      <c r="O128" s="696"/>
      <c r="P128" s="696"/>
      <c r="Q128" s="696"/>
      <c r="R128" s="696"/>
      <c r="S128" s="696"/>
      <c r="T128" s="696"/>
      <c r="U128" s="16"/>
      <c r="V128" s="16"/>
      <c r="W128" s="16"/>
      <c r="X128" s="16"/>
      <c r="Y128" s="16"/>
      <c r="Z128" s="16"/>
      <c r="AA128" s="16"/>
      <c r="AB128" s="16"/>
      <c r="AC128" s="16"/>
      <c r="AD128" s="16"/>
    </row>
    <row r="129" spans="1:30" ht="15.75" customHeight="1">
      <c r="A129" s="16"/>
      <c r="B129" s="16"/>
      <c r="C129" s="16"/>
      <c r="D129" s="16"/>
      <c r="E129" s="16"/>
      <c r="F129" s="16"/>
      <c r="G129" s="16"/>
      <c r="H129" s="16"/>
      <c r="I129" s="16"/>
      <c r="J129" s="16"/>
      <c r="K129" s="16"/>
      <c r="L129" s="16"/>
      <c r="M129" s="735"/>
      <c r="N129" s="696"/>
      <c r="O129" s="696"/>
      <c r="P129" s="696"/>
      <c r="Q129" s="696"/>
      <c r="R129" s="696"/>
      <c r="S129" s="696"/>
      <c r="T129" s="696"/>
      <c r="U129" s="16"/>
      <c r="V129" s="16"/>
      <c r="W129" s="16"/>
      <c r="X129" s="16"/>
      <c r="Y129" s="16"/>
      <c r="Z129" s="16"/>
      <c r="AA129" s="16"/>
      <c r="AB129" s="16"/>
      <c r="AC129" s="16"/>
      <c r="AD129" s="16"/>
    </row>
    <row r="130" spans="1:30" ht="15.75" customHeight="1">
      <c r="A130" s="16"/>
      <c r="B130" s="16"/>
      <c r="C130" s="16"/>
      <c r="D130" s="16"/>
      <c r="E130" s="16"/>
      <c r="F130" s="16"/>
      <c r="G130" s="16"/>
      <c r="H130" s="16"/>
      <c r="I130" s="16"/>
      <c r="J130" s="16"/>
      <c r="K130" s="16"/>
      <c r="L130" s="16"/>
      <c r="M130" s="735"/>
      <c r="N130" s="696"/>
      <c r="O130" s="696"/>
      <c r="P130" s="696"/>
      <c r="Q130" s="696"/>
      <c r="R130" s="696"/>
      <c r="S130" s="696"/>
      <c r="T130" s="696"/>
      <c r="U130" s="16"/>
      <c r="V130" s="16"/>
      <c r="W130" s="16"/>
      <c r="X130" s="16"/>
      <c r="Y130" s="16"/>
      <c r="Z130" s="16"/>
      <c r="AA130" s="16"/>
      <c r="AB130" s="16"/>
      <c r="AC130" s="16"/>
      <c r="AD130" s="16"/>
    </row>
    <row r="131" spans="1:30" ht="15.75" customHeight="1">
      <c r="A131" s="16"/>
      <c r="B131" s="16"/>
      <c r="C131" s="16"/>
      <c r="D131" s="16"/>
      <c r="E131" s="16"/>
      <c r="F131" s="16"/>
      <c r="G131" s="16"/>
      <c r="H131" s="16"/>
      <c r="I131" s="16"/>
      <c r="J131" s="16"/>
      <c r="K131" s="16"/>
      <c r="L131" s="16"/>
      <c r="M131" s="735"/>
      <c r="N131" s="696"/>
      <c r="O131" s="696"/>
      <c r="P131" s="696"/>
      <c r="Q131" s="696"/>
      <c r="R131" s="696"/>
      <c r="S131" s="696"/>
      <c r="T131" s="696"/>
      <c r="U131" s="16"/>
      <c r="V131" s="16"/>
      <c r="W131" s="16"/>
      <c r="X131" s="16"/>
      <c r="Y131" s="16"/>
      <c r="Z131" s="16"/>
      <c r="AA131" s="16"/>
      <c r="AB131" s="16"/>
      <c r="AC131" s="16"/>
      <c r="AD131" s="16"/>
    </row>
    <row r="132" spans="1:30" ht="15.75" customHeight="1">
      <c r="A132" s="16"/>
      <c r="B132" s="16"/>
      <c r="C132" s="16"/>
      <c r="D132" s="16"/>
      <c r="E132" s="16"/>
      <c r="F132" s="16"/>
      <c r="G132" s="16"/>
      <c r="H132" s="16"/>
      <c r="I132" s="16"/>
      <c r="J132" s="16"/>
      <c r="K132" s="16"/>
      <c r="L132" s="16"/>
      <c r="M132" s="735"/>
      <c r="N132" s="696"/>
      <c r="O132" s="696"/>
      <c r="P132" s="696"/>
      <c r="Q132" s="696"/>
      <c r="R132" s="696"/>
      <c r="S132" s="696"/>
      <c r="T132" s="696"/>
      <c r="U132" s="16"/>
      <c r="V132" s="16"/>
      <c r="W132" s="16"/>
      <c r="X132" s="16"/>
      <c r="Y132" s="16"/>
      <c r="Z132" s="16"/>
      <c r="AA132" s="16"/>
      <c r="AB132" s="16"/>
      <c r="AC132" s="16"/>
      <c r="AD132" s="16"/>
    </row>
    <row r="133" spans="1:30" ht="15.75" customHeight="1">
      <c r="A133" s="16"/>
      <c r="B133" s="16"/>
      <c r="C133" s="16"/>
      <c r="D133" s="16"/>
      <c r="E133" s="16"/>
      <c r="F133" s="16"/>
      <c r="G133" s="16"/>
      <c r="H133" s="16"/>
      <c r="I133" s="16"/>
      <c r="J133" s="16"/>
      <c r="K133" s="16"/>
      <c r="L133" s="16"/>
      <c r="M133" s="735"/>
      <c r="N133" s="696"/>
      <c r="O133" s="696"/>
      <c r="P133" s="696"/>
      <c r="Q133" s="696"/>
      <c r="R133" s="696"/>
      <c r="S133" s="696"/>
      <c r="T133" s="696"/>
      <c r="U133" s="16"/>
      <c r="V133" s="16"/>
      <c r="W133" s="16"/>
      <c r="X133" s="16"/>
      <c r="Y133" s="16"/>
      <c r="Z133" s="16"/>
      <c r="AA133" s="16"/>
      <c r="AB133" s="16"/>
      <c r="AC133" s="16"/>
      <c r="AD133" s="16"/>
    </row>
    <row r="134" spans="1:30" ht="15.75" customHeight="1">
      <c r="A134" s="16"/>
      <c r="B134" s="16"/>
      <c r="C134" s="16"/>
      <c r="D134" s="16"/>
      <c r="E134" s="16"/>
      <c r="F134" s="16"/>
      <c r="G134" s="16"/>
      <c r="H134" s="16"/>
      <c r="I134" s="16"/>
      <c r="J134" s="16"/>
      <c r="K134" s="16"/>
      <c r="L134" s="16"/>
      <c r="M134" s="735"/>
      <c r="N134" s="696"/>
      <c r="O134" s="696"/>
      <c r="P134" s="696"/>
      <c r="Q134" s="696"/>
      <c r="R134" s="696"/>
      <c r="S134" s="696"/>
      <c r="T134" s="696"/>
      <c r="U134" s="16"/>
      <c r="V134" s="16"/>
      <c r="W134" s="16"/>
      <c r="X134" s="16"/>
      <c r="Y134" s="16"/>
      <c r="Z134" s="16"/>
      <c r="AA134" s="16"/>
      <c r="AB134" s="16"/>
      <c r="AC134" s="16"/>
      <c r="AD134" s="16"/>
    </row>
    <row r="135" spans="1:30" ht="15.75" customHeight="1">
      <c r="A135" s="16"/>
      <c r="B135" s="16"/>
      <c r="C135" s="16"/>
      <c r="D135" s="16"/>
      <c r="E135" s="16"/>
      <c r="F135" s="16"/>
      <c r="G135" s="16"/>
      <c r="H135" s="16"/>
      <c r="I135" s="16"/>
      <c r="J135" s="16"/>
      <c r="K135" s="16"/>
      <c r="L135" s="16"/>
      <c r="M135" s="735"/>
      <c r="N135" s="696"/>
      <c r="O135" s="696"/>
      <c r="P135" s="696"/>
      <c r="Q135" s="696"/>
      <c r="R135" s="696"/>
      <c r="S135" s="696"/>
      <c r="T135" s="696"/>
      <c r="U135" s="16"/>
      <c r="V135" s="16"/>
      <c r="W135" s="16"/>
      <c r="X135" s="16"/>
      <c r="Y135" s="16"/>
      <c r="Z135" s="16"/>
      <c r="AA135" s="16"/>
      <c r="AB135" s="16"/>
      <c r="AC135" s="16"/>
      <c r="AD135" s="16"/>
    </row>
    <row r="136" spans="1:30" ht="15.75" customHeight="1">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c r="AA136" s="16"/>
      <c r="AB136" s="16"/>
      <c r="AC136" s="16"/>
      <c r="AD136" s="16"/>
    </row>
    <row r="137" spans="1:30" ht="15.75" customHeight="1">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c r="AA137" s="16"/>
      <c r="AB137" s="16"/>
      <c r="AC137" s="16"/>
      <c r="AD137" s="16"/>
    </row>
    <row r="138" spans="1:30" ht="15.75" customHeight="1">
      <c r="A138" s="16"/>
      <c r="B138" s="16"/>
      <c r="C138" s="16"/>
      <c r="D138" s="16"/>
      <c r="E138" s="16"/>
      <c r="F138" s="16"/>
      <c r="G138" s="16"/>
      <c r="H138" s="16"/>
      <c r="I138" s="16"/>
      <c r="J138" s="16"/>
      <c r="K138" s="16"/>
      <c r="L138" s="16"/>
      <c r="M138" s="735"/>
      <c r="N138" s="696"/>
      <c r="O138" s="696"/>
      <c r="P138" s="735"/>
      <c r="Q138" s="696"/>
      <c r="R138" s="696"/>
      <c r="S138" s="696"/>
      <c r="T138" s="696"/>
      <c r="U138" s="16"/>
      <c r="V138" s="16"/>
      <c r="W138" s="16"/>
      <c r="X138" s="16"/>
      <c r="Y138" s="16"/>
      <c r="Z138" s="16"/>
      <c r="AA138" s="16"/>
      <c r="AB138" s="16"/>
      <c r="AC138" s="16"/>
      <c r="AD138" s="16"/>
    </row>
    <row r="139" spans="1:30" ht="15.75" customHeight="1">
      <c r="A139" s="16"/>
      <c r="B139" s="16"/>
      <c r="C139" s="16"/>
      <c r="D139" s="16"/>
      <c r="E139" s="16"/>
      <c r="F139" s="16"/>
      <c r="G139" s="16"/>
      <c r="H139" s="16"/>
      <c r="I139" s="16"/>
      <c r="J139" s="16"/>
      <c r="K139" s="16"/>
      <c r="L139" s="16"/>
      <c r="M139" s="735"/>
      <c r="N139" s="696"/>
      <c r="O139" s="696"/>
      <c r="P139" s="735"/>
      <c r="Q139" s="696"/>
      <c r="R139" s="696"/>
      <c r="S139" s="696"/>
      <c r="T139" s="696"/>
      <c r="U139" s="16"/>
      <c r="V139" s="16"/>
      <c r="W139" s="16"/>
      <c r="X139" s="16"/>
      <c r="Y139" s="16"/>
      <c r="Z139" s="16"/>
      <c r="AA139" s="16"/>
      <c r="AB139" s="16"/>
      <c r="AC139" s="16"/>
      <c r="AD139" s="16"/>
    </row>
    <row r="140" spans="1:30" ht="15.75" customHeight="1">
      <c r="A140" s="16"/>
      <c r="B140" s="16"/>
      <c r="C140" s="16"/>
      <c r="D140" s="16"/>
      <c r="E140" s="16"/>
      <c r="F140" s="16"/>
      <c r="G140" s="16"/>
      <c r="H140" s="16"/>
      <c r="I140" s="16"/>
      <c r="J140" s="16"/>
      <c r="K140" s="16"/>
      <c r="L140" s="16"/>
      <c r="M140" s="735"/>
      <c r="N140" s="696"/>
      <c r="O140" s="696"/>
      <c r="P140" s="696"/>
      <c r="Q140" s="696"/>
      <c r="R140" s="696"/>
      <c r="S140" s="696"/>
      <c r="T140" s="696"/>
      <c r="U140" s="16"/>
      <c r="V140" s="16"/>
      <c r="W140" s="16"/>
      <c r="X140" s="16"/>
      <c r="Y140" s="16"/>
      <c r="Z140" s="16"/>
      <c r="AA140" s="16"/>
      <c r="AB140" s="16"/>
      <c r="AC140" s="16"/>
      <c r="AD140" s="16"/>
    </row>
    <row r="141" spans="1:30" ht="15.75" customHeight="1">
      <c r="A141" s="16"/>
      <c r="B141" s="16"/>
      <c r="C141" s="16"/>
      <c r="D141" s="16"/>
      <c r="E141" s="16"/>
      <c r="F141" s="16"/>
      <c r="G141" s="16"/>
      <c r="H141" s="16"/>
      <c r="I141" s="16"/>
      <c r="J141" s="16"/>
      <c r="K141" s="16"/>
      <c r="L141" s="16"/>
      <c r="M141" s="735"/>
      <c r="N141" s="696"/>
      <c r="O141" s="696"/>
      <c r="P141" s="696"/>
      <c r="Q141" s="696"/>
      <c r="R141" s="696"/>
      <c r="S141" s="696"/>
      <c r="T141" s="696"/>
      <c r="U141" s="16"/>
      <c r="V141" s="16"/>
      <c r="W141" s="16"/>
      <c r="X141" s="16"/>
      <c r="Y141" s="16"/>
      <c r="Z141" s="16"/>
      <c r="AA141" s="16"/>
      <c r="AB141" s="16"/>
      <c r="AC141" s="16"/>
      <c r="AD141" s="16"/>
    </row>
    <row r="142" spans="1:30" ht="15.75" customHeight="1">
      <c r="A142" s="16"/>
      <c r="B142" s="16"/>
      <c r="C142" s="16"/>
      <c r="D142" s="16"/>
      <c r="E142" s="16"/>
      <c r="F142" s="16"/>
      <c r="G142" s="16"/>
      <c r="H142" s="16"/>
      <c r="I142" s="16"/>
      <c r="J142" s="16"/>
      <c r="K142" s="16"/>
      <c r="L142" s="16"/>
      <c r="M142" s="735"/>
      <c r="N142" s="696"/>
      <c r="O142" s="696"/>
      <c r="P142" s="696"/>
      <c r="Q142" s="696"/>
      <c r="R142" s="696"/>
      <c r="S142" s="696"/>
      <c r="T142" s="696"/>
      <c r="U142" s="16"/>
      <c r="V142" s="16"/>
      <c r="W142" s="16"/>
      <c r="X142" s="16"/>
      <c r="Y142" s="16"/>
      <c r="Z142" s="16"/>
      <c r="AA142" s="16"/>
      <c r="AB142" s="16"/>
      <c r="AC142" s="16"/>
      <c r="AD142" s="16"/>
    </row>
    <row r="143" spans="1:30" ht="15.75" customHeight="1">
      <c r="A143" s="16"/>
      <c r="B143" s="16"/>
      <c r="C143" s="16"/>
      <c r="D143" s="16"/>
      <c r="E143" s="16"/>
      <c r="F143" s="16"/>
      <c r="G143" s="16"/>
      <c r="H143" s="16"/>
      <c r="I143" s="16"/>
      <c r="J143" s="16"/>
      <c r="K143" s="16"/>
      <c r="L143" s="16"/>
      <c r="M143" s="735"/>
      <c r="N143" s="696"/>
      <c r="O143" s="696"/>
      <c r="P143" s="696"/>
      <c r="Q143" s="696"/>
      <c r="R143" s="696"/>
      <c r="S143" s="696"/>
      <c r="T143" s="696"/>
      <c r="U143" s="16"/>
      <c r="V143" s="16"/>
      <c r="W143" s="16"/>
      <c r="X143" s="16"/>
      <c r="Y143" s="16"/>
      <c r="Z143" s="16"/>
      <c r="AA143" s="16"/>
      <c r="AB143" s="16"/>
      <c r="AC143" s="16"/>
      <c r="AD143" s="16"/>
    </row>
    <row r="144" spans="1:30" ht="15.75" customHeight="1">
      <c r="A144" s="16"/>
      <c r="B144" s="16"/>
      <c r="C144" s="16"/>
      <c r="D144" s="16"/>
      <c r="E144" s="16"/>
      <c r="F144" s="16"/>
      <c r="G144" s="16"/>
      <c r="H144" s="16"/>
      <c r="I144" s="16"/>
      <c r="J144" s="16"/>
      <c r="K144" s="16"/>
      <c r="L144" s="16"/>
      <c r="M144" s="735"/>
      <c r="N144" s="696"/>
      <c r="O144" s="696"/>
      <c r="P144" s="696"/>
      <c r="Q144" s="696"/>
      <c r="R144" s="696"/>
      <c r="S144" s="696"/>
      <c r="T144" s="696"/>
      <c r="U144" s="16"/>
      <c r="V144" s="16"/>
      <c r="W144" s="16"/>
      <c r="X144" s="16"/>
      <c r="Y144" s="16"/>
      <c r="Z144" s="16"/>
      <c r="AA144" s="16"/>
      <c r="AB144" s="16"/>
      <c r="AC144" s="16"/>
      <c r="AD144" s="16"/>
    </row>
    <row r="145" spans="1:30" ht="15.75" customHeight="1">
      <c r="A145" s="16"/>
      <c r="B145" s="16"/>
      <c r="C145" s="16"/>
      <c r="D145" s="16"/>
      <c r="E145" s="16"/>
      <c r="F145" s="16"/>
      <c r="G145" s="16"/>
      <c r="H145" s="16"/>
      <c r="I145" s="16"/>
      <c r="J145" s="16"/>
      <c r="K145" s="16"/>
      <c r="L145" s="16"/>
      <c r="M145" s="735"/>
      <c r="N145" s="696"/>
      <c r="O145" s="696"/>
      <c r="P145" s="696"/>
      <c r="Q145" s="696"/>
      <c r="R145" s="696"/>
      <c r="S145" s="696"/>
      <c r="T145" s="696"/>
      <c r="U145" s="16"/>
      <c r="V145" s="16"/>
      <c r="W145" s="16"/>
      <c r="X145" s="16"/>
      <c r="Y145" s="16"/>
      <c r="Z145" s="16"/>
      <c r="AA145" s="16"/>
      <c r="AB145" s="16"/>
      <c r="AC145" s="16"/>
      <c r="AD145" s="16"/>
    </row>
    <row r="146" spans="1:30" ht="15.75" customHeight="1">
      <c r="A146" s="16"/>
      <c r="B146" s="16"/>
      <c r="C146" s="16"/>
      <c r="D146" s="16"/>
      <c r="E146" s="16"/>
      <c r="F146" s="16"/>
      <c r="G146" s="16"/>
      <c r="H146" s="16"/>
      <c r="I146" s="16"/>
      <c r="J146" s="16"/>
      <c r="K146" s="16"/>
      <c r="L146" s="16"/>
      <c r="M146" s="735"/>
      <c r="N146" s="696"/>
      <c r="O146" s="696"/>
      <c r="P146" s="696"/>
      <c r="Q146" s="696"/>
      <c r="R146" s="696"/>
      <c r="S146" s="696"/>
      <c r="T146" s="696"/>
      <c r="U146" s="16"/>
      <c r="V146" s="16"/>
      <c r="W146" s="16"/>
      <c r="X146" s="16"/>
      <c r="Y146" s="16"/>
      <c r="Z146" s="16"/>
      <c r="AA146" s="16"/>
      <c r="AB146" s="16"/>
      <c r="AC146" s="16"/>
      <c r="AD146" s="16"/>
    </row>
    <row r="147" spans="1:30" ht="15.75" customHeight="1">
      <c r="A147" s="16"/>
      <c r="B147" s="16"/>
      <c r="C147" s="16"/>
      <c r="D147" s="16"/>
      <c r="E147" s="16"/>
      <c r="F147" s="16"/>
      <c r="G147" s="16"/>
      <c r="H147" s="16"/>
      <c r="I147" s="16"/>
      <c r="J147" s="16"/>
      <c r="K147" s="16"/>
      <c r="L147" s="16"/>
      <c r="M147" s="735"/>
      <c r="N147" s="696"/>
      <c r="O147" s="696"/>
      <c r="P147" s="696"/>
      <c r="Q147" s="696"/>
      <c r="R147" s="696"/>
      <c r="S147" s="696"/>
      <c r="T147" s="696"/>
      <c r="U147" s="16"/>
      <c r="V147" s="16"/>
      <c r="W147" s="16"/>
      <c r="X147" s="16"/>
      <c r="Y147" s="16"/>
      <c r="Z147" s="16"/>
      <c r="AA147" s="16"/>
      <c r="AB147" s="16"/>
      <c r="AC147" s="16"/>
      <c r="AD147" s="16"/>
    </row>
    <row r="148" spans="1:30" ht="15.75" customHeight="1">
      <c r="A148" s="16"/>
      <c r="B148" s="16"/>
      <c r="C148" s="16"/>
      <c r="D148" s="16"/>
      <c r="E148" s="16"/>
      <c r="F148" s="16"/>
      <c r="G148" s="16"/>
      <c r="H148" s="16"/>
      <c r="I148" s="16"/>
      <c r="J148" s="16"/>
      <c r="K148" s="16"/>
      <c r="L148" s="16"/>
      <c r="M148" s="735"/>
      <c r="N148" s="696"/>
      <c r="O148" s="696"/>
      <c r="P148" s="696"/>
      <c r="Q148" s="696"/>
      <c r="R148" s="696"/>
      <c r="S148" s="696"/>
      <c r="T148" s="696"/>
      <c r="U148" s="16"/>
      <c r="V148" s="16"/>
      <c r="W148" s="16"/>
      <c r="X148" s="16"/>
      <c r="Y148" s="16"/>
      <c r="Z148" s="16"/>
      <c r="AA148" s="16"/>
      <c r="AB148" s="16"/>
      <c r="AC148" s="16"/>
      <c r="AD148" s="16"/>
    </row>
    <row r="149" spans="1:30" ht="15.75" customHeight="1">
      <c r="A149" s="16"/>
      <c r="B149" s="16"/>
      <c r="C149" s="16"/>
      <c r="D149" s="16"/>
      <c r="E149" s="16"/>
      <c r="F149" s="16"/>
      <c r="G149" s="16"/>
      <c r="H149" s="16"/>
      <c r="I149" s="16"/>
      <c r="J149" s="16"/>
      <c r="K149" s="16"/>
      <c r="L149" s="16"/>
      <c r="M149" s="735"/>
      <c r="N149" s="696"/>
      <c r="O149" s="696"/>
      <c r="P149" s="696"/>
      <c r="Q149" s="696"/>
      <c r="R149" s="696"/>
      <c r="S149" s="696"/>
      <c r="T149" s="696"/>
      <c r="U149" s="16"/>
      <c r="V149" s="16"/>
      <c r="W149" s="16"/>
      <c r="X149" s="16"/>
      <c r="Y149" s="16"/>
      <c r="Z149" s="16"/>
      <c r="AA149" s="16"/>
      <c r="AB149" s="16"/>
      <c r="AC149" s="16"/>
      <c r="AD149" s="16"/>
    </row>
    <row r="150" spans="1:30" ht="15.75" customHeight="1">
      <c r="A150" s="16"/>
      <c r="B150" s="16"/>
      <c r="C150" s="16"/>
      <c r="D150" s="16"/>
      <c r="E150" s="16"/>
      <c r="F150" s="16"/>
      <c r="G150" s="16"/>
      <c r="H150" s="16"/>
      <c r="I150" s="16"/>
      <c r="J150" s="16"/>
      <c r="K150" s="16"/>
      <c r="L150" s="16"/>
      <c r="M150" s="735"/>
      <c r="N150" s="696"/>
      <c r="O150" s="696"/>
      <c r="P150" s="696"/>
      <c r="Q150" s="696"/>
      <c r="R150" s="696"/>
      <c r="S150" s="696"/>
      <c r="T150" s="696"/>
      <c r="U150" s="16"/>
      <c r="V150" s="16"/>
      <c r="W150" s="16"/>
      <c r="X150" s="16"/>
      <c r="Y150" s="16"/>
      <c r="Z150" s="16"/>
      <c r="AA150" s="16"/>
      <c r="AB150" s="16"/>
      <c r="AC150" s="16"/>
      <c r="AD150" s="16"/>
    </row>
    <row r="151" spans="1:30" ht="15.75" customHeight="1">
      <c r="A151" s="16"/>
      <c r="B151" s="16"/>
      <c r="C151" s="16"/>
      <c r="D151" s="16"/>
      <c r="E151" s="16"/>
      <c r="F151" s="16"/>
      <c r="G151" s="16"/>
      <c r="H151" s="16"/>
      <c r="I151" s="16"/>
      <c r="J151" s="16"/>
      <c r="K151" s="16"/>
      <c r="L151" s="16"/>
      <c r="M151" s="735"/>
      <c r="N151" s="696"/>
      <c r="O151" s="696"/>
      <c r="P151" s="696"/>
      <c r="Q151" s="696"/>
      <c r="R151" s="696"/>
      <c r="S151" s="696"/>
      <c r="T151" s="696"/>
      <c r="U151" s="16"/>
      <c r="V151" s="16"/>
      <c r="W151" s="16"/>
      <c r="X151" s="16"/>
      <c r="Y151" s="16"/>
      <c r="Z151" s="16"/>
      <c r="AA151" s="16"/>
      <c r="AB151" s="16"/>
      <c r="AC151" s="16"/>
      <c r="AD151" s="16"/>
    </row>
    <row r="152" spans="1:30" ht="15.75" customHeight="1">
      <c r="A152" s="16"/>
      <c r="B152" s="16"/>
      <c r="C152" s="16"/>
      <c r="D152" s="16"/>
      <c r="E152" s="16"/>
      <c r="F152" s="16"/>
      <c r="G152" s="16"/>
      <c r="H152" s="16"/>
      <c r="I152" s="16"/>
      <c r="J152" s="16"/>
      <c r="K152" s="16"/>
      <c r="L152" s="16"/>
      <c r="M152" s="735"/>
      <c r="N152" s="696"/>
      <c r="O152" s="696"/>
      <c r="P152" s="696"/>
      <c r="Q152" s="696"/>
      <c r="R152" s="696"/>
      <c r="S152" s="696"/>
      <c r="T152" s="696"/>
      <c r="U152" s="16"/>
      <c r="V152" s="16"/>
      <c r="W152" s="16"/>
      <c r="X152" s="16"/>
      <c r="Y152" s="16"/>
      <c r="Z152" s="16"/>
      <c r="AA152" s="16"/>
      <c r="AB152" s="16"/>
      <c r="AC152" s="16"/>
      <c r="AD152" s="16"/>
    </row>
    <row r="153" spans="1:30" ht="15.75" customHeight="1">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c r="AA153" s="16"/>
      <c r="AB153" s="16"/>
      <c r="AC153" s="16"/>
      <c r="AD153" s="16"/>
    </row>
    <row r="154" spans="1:30" ht="15.75" customHeight="1">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c r="AA154" s="16"/>
      <c r="AB154" s="16"/>
      <c r="AC154" s="16"/>
      <c r="AD154" s="16"/>
    </row>
    <row r="155" spans="1:30" ht="15.75" customHeight="1">
      <c r="A155" s="16"/>
      <c r="B155" s="735"/>
      <c r="C155" s="696"/>
      <c r="D155" s="16"/>
      <c r="E155" s="16"/>
      <c r="F155" s="16"/>
      <c r="G155" s="16"/>
      <c r="H155" s="16"/>
      <c r="I155" s="16"/>
      <c r="J155" s="16"/>
      <c r="K155" s="16"/>
      <c r="L155" s="16"/>
      <c r="M155" s="735"/>
      <c r="N155" s="696"/>
      <c r="O155" s="696"/>
      <c r="P155" s="735"/>
      <c r="Q155" s="696"/>
      <c r="R155" s="696"/>
      <c r="S155" s="696"/>
      <c r="T155" s="696"/>
      <c r="U155" s="16"/>
      <c r="V155" s="16"/>
      <c r="W155" s="16"/>
      <c r="X155" s="16"/>
      <c r="Y155" s="16"/>
      <c r="Z155" s="16"/>
      <c r="AA155" s="16"/>
      <c r="AB155" s="16"/>
      <c r="AC155" s="16"/>
      <c r="AD155" s="16"/>
    </row>
    <row r="156" spans="1:30" ht="15.75" customHeight="1">
      <c r="A156" s="16"/>
      <c r="B156" s="735"/>
      <c r="C156" s="696"/>
      <c r="D156" s="16"/>
      <c r="E156" s="16"/>
      <c r="F156" s="16"/>
      <c r="G156" s="16"/>
      <c r="H156" s="16"/>
      <c r="I156" s="16"/>
      <c r="J156" s="16"/>
      <c r="K156" s="16"/>
      <c r="L156" s="16"/>
      <c r="M156" s="735"/>
      <c r="N156" s="696"/>
      <c r="O156" s="696"/>
      <c r="P156" s="735"/>
      <c r="Q156" s="696"/>
      <c r="R156" s="696"/>
      <c r="S156" s="696"/>
      <c r="T156" s="696"/>
      <c r="U156" s="16"/>
      <c r="V156" s="16"/>
      <c r="W156" s="16"/>
      <c r="X156" s="16"/>
      <c r="Y156" s="16"/>
      <c r="Z156" s="16"/>
      <c r="AA156" s="16"/>
      <c r="AB156" s="16"/>
      <c r="AC156" s="16"/>
      <c r="AD156" s="16"/>
    </row>
    <row r="157" spans="1:30" ht="15.75" customHeight="1">
      <c r="A157" s="16"/>
      <c r="B157" s="735"/>
      <c r="C157" s="696"/>
      <c r="D157" s="16"/>
      <c r="E157" s="16"/>
      <c r="F157" s="16"/>
      <c r="G157" s="16"/>
      <c r="H157" s="16"/>
      <c r="I157" s="16"/>
      <c r="J157" s="16"/>
      <c r="K157" s="16"/>
      <c r="L157" s="16"/>
      <c r="M157" s="735"/>
      <c r="N157" s="696"/>
      <c r="O157" s="696"/>
      <c r="P157" s="696"/>
      <c r="Q157" s="696"/>
      <c r="R157" s="696"/>
      <c r="S157" s="696"/>
      <c r="T157" s="696"/>
      <c r="U157" s="16"/>
      <c r="V157" s="16"/>
      <c r="W157" s="16"/>
      <c r="X157" s="16"/>
      <c r="Y157" s="16"/>
      <c r="Z157" s="16"/>
      <c r="AA157" s="16"/>
      <c r="AB157" s="16"/>
      <c r="AC157" s="16"/>
      <c r="AD157" s="16"/>
    </row>
    <row r="158" spans="1:30" ht="15.75" customHeight="1">
      <c r="A158" s="16"/>
      <c r="B158" s="735"/>
      <c r="C158" s="696"/>
      <c r="D158" s="16"/>
      <c r="E158" s="16"/>
      <c r="F158" s="16"/>
      <c r="G158" s="16"/>
      <c r="H158" s="16"/>
      <c r="I158" s="16"/>
      <c r="J158" s="16"/>
      <c r="K158" s="16"/>
      <c r="L158" s="16"/>
      <c r="M158" s="735"/>
      <c r="N158" s="696"/>
      <c r="O158" s="696"/>
      <c r="P158" s="696"/>
      <c r="Q158" s="696"/>
      <c r="R158" s="696"/>
      <c r="S158" s="696"/>
      <c r="T158" s="696"/>
      <c r="U158" s="16"/>
      <c r="V158" s="16"/>
      <c r="W158" s="16"/>
      <c r="X158" s="16"/>
      <c r="Y158" s="16"/>
      <c r="Z158" s="16"/>
      <c r="AA158" s="16"/>
      <c r="AB158" s="16"/>
      <c r="AC158" s="16"/>
      <c r="AD158" s="16"/>
    </row>
    <row r="159" spans="1:30" ht="15.75" customHeight="1">
      <c r="A159" s="16"/>
      <c r="B159" s="735"/>
      <c r="C159" s="696"/>
      <c r="D159" s="16"/>
      <c r="E159" s="16"/>
      <c r="F159" s="16"/>
      <c r="G159" s="16"/>
      <c r="H159" s="16"/>
      <c r="I159" s="16"/>
      <c r="J159" s="16"/>
      <c r="K159" s="16"/>
      <c r="L159" s="16"/>
      <c r="M159" s="735"/>
      <c r="N159" s="696"/>
      <c r="O159" s="696"/>
      <c r="P159" s="696"/>
      <c r="Q159" s="696"/>
      <c r="R159" s="696"/>
      <c r="S159" s="696"/>
      <c r="T159" s="696"/>
      <c r="U159" s="16"/>
      <c r="V159" s="16"/>
      <c r="W159" s="16"/>
      <c r="X159" s="16"/>
      <c r="Y159" s="16"/>
      <c r="Z159" s="16"/>
      <c r="AA159" s="16"/>
      <c r="AB159" s="16"/>
      <c r="AC159" s="16"/>
      <c r="AD159" s="16"/>
    </row>
    <row r="160" spans="1:30" ht="15.75" customHeight="1">
      <c r="A160" s="16"/>
      <c r="B160" s="735"/>
      <c r="C160" s="696"/>
      <c r="D160" s="16"/>
      <c r="E160" s="16"/>
      <c r="F160" s="16"/>
      <c r="G160" s="16"/>
      <c r="H160" s="16"/>
      <c r="I160" s="16"/>
      <c r="J160" s="16"/>
      <c r="K160" s="16"/>
      <c r="L160" s="16"/>
      <c r="M160" s="735"/>
      <c r="N160" s="696"/>
      <c r="O160" s="696"/>
      <c r="P160" s="696"/>
      <c r="Q160" s="696"/>
      <c r="R160" s="696"/>
      <c r="S160" s="696"/>
      <c r="T160" s="696"/>
      <c r="U160" s="16"/>
      <c r="V160" s="16"/>
      <c r="W160" s="16"/>
      <c r="X160" s="16"/>
      <c r="Y160" s="16"/>
      <c r="Z160" s="16"/>
      <c r="AA160" s="16"/>
      <c r="AB160" s="16"/>
      <c r="AC160" s="16"/>
      <c r="AD160" s="16"/>
    </row>
    <row r="161" spans="1:30" ht="15.75" customHeight="1">
      <c r="A161" s="16"/>
      <c r="B161" s="735"/>
      <c r="C161" s="696"/>
      <c r="D161" s="16"/>
      <c r="E161" s="16"/>
      <c r="F161" s="16"/>
      <c r="G161" s="16"/>
      <c r="H161" s="16"/>
      <c r="I161" s="16"/>
      <c r="J161" s="16"/>
      <c r="K161" s="16"/>
      <c r="L161" s="16"/>
      <c r="M161" s="735"/>
      <c r="N161" s="696"/>
      <c r="O161" s="696"/>
      <c r="P161" s="696"/>
      <c r="Q161" s="696"/>
      <c r="R161" s="696"/>
      <c r="S161" s="696"/>
      <c r="T161" s="696"/>
      <c r="U161" s="16"/>
      <c r="V161" s="16"/>
      <c r="W161" s="16"/>
      <c r="X161" s="16"/>
      <c r="Y161" s="16"/>
      <c r="Z161" s="16"/>
      <c r="AA161" s="16"/>
      <c r="AB161" s="16"/>
      <c r="AC161" s="16"/>
      <c r="AD161" s="16"/>
    </row>
    <row r="162" spans="1:30" ht="15.75" customHeight="1">
      <c r="A162" s="16"/>
      <c r="B162" s="735"/>
      <c r="C162" s="696"/>
      <c r="D162" s="16"/>
      <c r="E162" s="16"/>
      <c r="F162" s="16"/>
      <c r="G162" s="16"/>
      <c r="H162" s="16"/>
      <c r="I162" s="16"/>
      <c r="J162" s="16"/>
      <c r="K162" s="16"/>
      <c r="L162" s="16"/>
      <c r="M162" s="735"/>
      <c r="N162" s="696"/>
      <c r="O162" s="696"/>
      <c r="P162" s="696"/>
      <c r="Q162" s="696"/>
      <c r="R162" s="696"/>
      <c r="S162" s="696"/>
      <c r="T162" s="696"/>
      <c r="U162" s="16"/>
      <c r="V162" s="16"/>
      <c r="W162" s="16"/>
      <c r="X162" s="16"/>
      <c r="Y162" s="16"/>
      <c r="Z162" s="16"/>
      <c r="AA162" s="16"/>
      <c r="AB162" s="16"/>
      <c r="AC162" s="16"/>
      <c r="AD162" s="16"/>
    </row>
    <row r="163" spans="1:30" ht="15.75" customHeight="1">
      <c r="A163" s="16"/>
      <c r="B163" s="735"/>
      <c r="C163" s="696"/>
      <c r="D163" s="16"/>
      <c r="E163" s="16"/>
      <c r="F163" s="16"/>
      <c r="G163" s="16"/>
      <c r="H163" s="16"/>
      <c r="I163" s="16"/>
      <c r="J163" s="16"/>
      <c r="K163" s="16"/>
      <c r="L163" s="16"/>
      <c r="M163" s="735"/>
      <c r="N163" s="696"/>
      <c r="O163" s="696"/>
      <c r="P163" s="696"/>
      <c r="Q163" s="696"/>
      <c r="R163" s="696"/>
      <c r="S163" s="696"/>
      <c r="T163" s="696"/>
      <c r="U163" s="16"/>
      <c r="V163" s="16"/>
      <c r="W163" s="16"/>
      <c r="X163" s="16"/>
      <c r="Y163" s="16"/>
      <c r="Z163" s="16"/>
      <c r="AA163" s="16"/>
      <c r="AB163" s="16"/>
      <c r="AC163" s="16"/>
      <c r="AD163" s="16"/>
    </row>
    <row r="164" spans="1:30" ht="15.75" customHeight="1">
      <c r="A164" s="16"/>
      <c r="B164" s="735"/>
      <c r="C164" s="696"/>
      <c r="D164" s="16"/>
      <c r="E164" s="16"/>
      <c r="F164" s="16"/>
      <c r="G164" s="16"/>
      <c r="H164" s="16"/>
      <c r="I164" s="16"/>
      <c r="J164" s="16"/>
      <c r="K164" s="16"/>
      <c r="L164" s="16"/>
      <c r="M164" s="735"/>
      <c r="N164" s="696"/>
      <c r="O164" s="696"/>
      <c r="P164" s="696"/>
      <c r="Q164" s="696"/>
      <c r="R164" s="696"/>
      <c r="S164" s="696"/>
      <c r="T164" s="696"/>
      <c r="U164" s="16"/>
      <c r="V164" s="16"/>
      <c r="W164" s="16"/>
      <c r="X164" s="16"/>
      <c r="Y164" s="16"/>
      <c r="Z164" s="16"/>
      <c r="AA164" s="16"/>
      <c r="AB164" s="16"/>
      <c r="AC164" s="16"/>
      <c r="AD164" s="16"/>
    </row>
    <row r="165" spans="1:30" ht="15.75" customHeight="1">
      <c r="A165" s="16"/>
      <c r="B165" s="735"/>
      <c r="C165" s="696"/>
      <c r="D165" s="16"/>
      <c r="E165" s="16"/>
      <c r="F165" s="16"/>
      <c r="G165" s="16"/>
      <c r="H165" s="16"/>
      <c r="I165" s="16"/>
      <c r="J165" s="16"/>
      <c r="K165" s="16"/>
      <c r="L165" s="16"/>
      <c r="M165" s="735"/>
      <c r="N165" s="696"/>
      <c r="O165" s="696"/>
      <c r="P165" s="696"/>
      <c r="Q165" s="696"/>
      <c r="R165" s="696"/>
      <c r="S165" s="696"/>
      <c r="T165" s="696"/>
      <c r="U165" s="16"/>
      <c r="V165" s="16"/>
      <c r="W165" s="16"/>
      <c r="X165" s="16"/>
      <c r="Y165" s="16"/>
      <c r="Z165" s="16"/>
      <c r="AA165" s="16"/>
      <c r="AB165" s="16"/>
      <c r="AC165" s="16"/>
      <c r="AD165" s="16"/>
    </row>
    <row r="166" spans="1:30" ht="15.75" customHeight="1">
      <c r="A166" s="16"/>
      <c r="B166" s="735"/>
      <c r="C166" s="696"/>
      <c r="D166" s="16"/>
      <c r="E166" s="16"/>
      <c r="F166" s="16"/>
      <c r="G166" s="16"/>
      <c r="H166" s="16"/>
      <c r="I166" s="16"/>
      <c r="J166" s="16"/>
      <c r="K166" s="16"/>
      <c r="L166" s="16"/>
      <c r="M166" s="735"/>
      <c r="N166" s="696"/>
      <c r="O166" s="696"/>
      <c r="P166" s="696"/>
      <c r="Q166" s="696"/>
      <c r="R166" s="696"/>
      <c r="S166" s="696"/>
      <c r="T166" s="696"/>
      <c r="U166" s="16"/>
      <c r="V166" s="16"/>
      <c r="W166" s="16"/>
      <c r="X166" s="16"/>
      <c r="Y166" s="16"/>
      <c r="Z166" s="16"/>
      <c r="AA166" s="16"/>
      <c r="AB166" s="16"/>
      <c r="AC166" s="16"/>
      <c r="AD166" s="16"/>
    </row>
    <row r="167" spans="1:30" ht="15.75" customHeight="1">
      <c r="A167" s="16"/>
      <c r="B167" s="735"/>
      <c r="C167" s="696"/>
      <c r="D167" s="16"/>
      <c r="E167" s="16"/>
      <c r="F167" s="16"/>
      <c r="G167" s="16"/>
      <c r="H167" s="16"/>
      <c r="I167" s="16"/>
      <c r="J167" s="16"/>
      <c r="K167" s="16"/>
      <c r="L167" s="16"/>
      <c r="M167" s="735"/>
      <c r="N167" s="696"/>
      <c r="O167" s="696"/>
      <c r="P167" s="696"/>
      <c r="Q167" s="696"/>
      <c r="R167" s="696"/>
      <c r="S167" s="696"/>
      <c r="T167" s="696"/>
      <c r="U167" s="16"/>
      <c r="V167" s="16"/>
      <c r="W167" s="16"/>
      <c r="X167" s="16"/>
      <c r="Y167" s="16"/>
      <c r="Z167" s="16"/>
      <c r="AA167" s="16"/>
      <c r="AB167" s="16"/>
      <c r="AC167" s="16"/>
      <c r="AD167" s="16"/>
    </row>
    <row r="168" spans="1:30" ht="15.75" customHeight="1">
      <c r="A168" s="16"/>
      <c r="B168" s="735"/>
      <c r="C168" s="696"/>
      <c r="D168" s="16"/>
      <c r="E168" s="16"/>
      <c r="F168" s="16"/>
      <c r="G168" s="16"/>
      <c r="H168" s="16"/>
      <c r="I168" s="16"/>
      <c r="J168" s="16"/>
      <c r="K168" s="16"/>
      <c r="L168" s="16"/>
      <c r="M168" s="735"/>
      <c r="N168" s="696"/>
      <c r="O168" s="696"/>
      <c r="P168" s="696"/>
      <c r="Q168" s="696"/>
      <c r="R168" s="696"/>
      <c r="S168" s="696"/>
      <c r="T168" s="696"/>
      <c r="U168" s="16"/>
      <c r="V168" s="16"/>
      <c r="W168" s="16"/>
      <c r="X168" s="16"/>
      <c r="Y168" s="16"/>
      <c r="Z168" s="16"/>
      <c r="AA168" s="16"/>
      <c r="AB168" s="16"/>
      <c r="AC168" s="16"/>
      <c r="AD168" s="16"/>
    </row>
    <row r="169" spans="1:30" ht="15.75" customHeight="1">
      <c r="A169" s="16"/>
      <c r="B169" s="735"/>
      <c r="C169" s="696"/>
      <c r="D169" s="16"/>
      <c r="E169" s="16"/>
      <c r="F169" s="16"/>
      <c r="G169" s="16"/>
      <c r="H169" s="16"/>
      <c r="I169" s="16"/>
      <c r="J169" s="16"/>
      <c r="K169" s="16"/>
      <c r="L169" s="16"/>
      <c r="M169" s="735"/>
      <c r="N169" s="696"/>
      <c r="O169" s="696"/>
      <c r="P169" s="696"/>
      <c r="Q169" s="696"/>
      <c r="R169" s="696"/>
      <c r="S169" s="696"/>
      <c r="T169" s="696"/>
      <c r="U169" s="16"/>
      <c r="V169" s="16"/>
      <c r="W169" s="16"/>
      <c r="X169" s="16"/>
      <c r="Y169" s="16"/>
      <c r="Z169" s="16"/>
      <c r="AA169" s="16"/>
      <c r="AB169" s="16"/>
      <c r="AC169" s="16"/>
      <c r="AD169" s="16"/>
    </row>
    <row r="170" spans="1:30" ht="15.75" customHeight="1">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c r="AA170" s="16"/>
      <c r="AB170" s="16"/>
      <c r="AC170" s="16"/>
      <c r="AD170" s="16"/>
    </row>
    <row r="171" spans="1:30" ht="15.75" customHeight="1">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c r="AA171" s="16"/>
      <c r="AB171" s="16"/>
      <c r="AC171" s="16"/>
      <c r="AD171" s="16"/>
    </row>
    <row r="172" spans="1:30" ht="15.75" customHeight="1">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row>
    <row r="173" spans="1:30" ht="15.75" customHeight="1">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c r="AC173" s="16"/>
      <c r="AD173" s="16"/>
    </row>
    <row r="174" spans="1:30" ht="15.75" customHeight="1">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c r="AC174" s="16"/>
      <c r="AD174" s="16"/>
    </row>
    <row r="175" spans="1:30" ht="15.75" customHeight="1">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c r="AA175" s="16"/>
      <c r="AB175" s="16"/>
      <c r="AC175" s="16"/>
      <c r="AD175" s="16"/>
    </row>
    <row r="176" spans="1:30" ht="15.75" customHeight="1">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c r="AD176" s="16"/>
    </row>
    <row r="177" spans="1:30" ht="15.75" customHeight="1">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c r="AD177" s="16"/>
    </row>
    <row r="178" spans="1:30" ht="15.75" customHeight="1">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c r="AA178" s="16"/>
      <c r="AB178" s="16"/>
      <c r="AC178" s="16"/>
      <c r="AD178" s="16"/>
    </row>
    <row r="179" spans="1:30" ht="15.75" customHeight="1">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c r="AD179" s="16"/>
    </row>
    <row r="180" spans="1:30" ht="15.75" customHeight="1">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c r="AD180" s="16"/>
    </row>
    <row r="181" spans="1:30" ht="15.75" customHeight="1">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c r="AD181" s="16"/>
    </row>
    <row r="182" spans="1:30" ht="15.75" customHeight="1">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c r="AD182" s="16"/>
    </row>
    <row r="183" spans="1:30" ht="15.75" customHeight="1">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c r="AD183" s="16"/>
    </row>
    <row r="184" spans="1:30" ht="15.75" customHeight="1">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c r="AD184" s="16"/>
    </row>
    <row r="185" spans="1:30" ht="15.75" customHeight="1">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c r="AD185" s="16"/>
    </row>
    <row r="186" spans="1:30" ht="15.75" customHeight="1">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c r="AD186" s="16"/>
    </row>
    <row r="187" spans="1:30" ht="15.75" customHeight="1">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16"/>
      <c r="AB187" s="16"/>
      <c r="AC187" s="16"/>
      <c r="AD187" s="16"/>
    </row>
    <row r="188" spans="1:30" ht="15.75" customHeight="1">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c r="AD188" s="16"/>
    </row>
    <row r="189" spans="1:30" ht="15.75" customHeight="1">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c r="AD189" s="16"/>
    </row>
    <row r="190" spans="1:30" ht="15.75" customHeight="1">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c r="AD190" s="16"/>
    </row>
    <row r="191" spans="1:30" ht="15.75" customHeight="1">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c r="AD191" s="16"/>
    </row>
    <row r="192" spans="1:30" ht="15.75" customHeight="1">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c r="AD192" s="16"/>
    </row>
    <row r="193" spans="1:30" ht="15.75" customHeight="1">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c r="AA193" s="16"/>
      <c r="AB193" s="16"/>
      <c r="AC193" s="16"/>
      <c r="AD193" s="16"/>
    </row>
    <row r="194" spans="1:30" ht="15.75" customHeight="1">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c r="AA194" s="16"/>
      <c r="AB194" s="16"/>
      <c r="AC194" s="16"/>
      <c r="AD194" s="16"/>
    </row>
    <row r="195" spans="1:30" ht="15.75" customHeight="1">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c r="AA195" s="16"/>
      <c r="AB195" s="16"/>
      <c r="AC195" s="16"/>
      <c r="AD195" s="16"/>
    </row>
    <row r="196" spans="1:30" ht="15.75" customHeight="1">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c r="AA196" s="16"/>
      <c r="AB196" s="16"/>
      <c r="AC196" s="16"/>
      <c r="AD196" s="16"/>
    </row>
    <row r="197" spans="1:30" ht="15.75" customHeight="1">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c r="AD197" s="16"/>
    </row>
    <row r="198" spans="1:30" ht="15.75" customHeight="1">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c r="AD198" s="16"/>
    </row>
    <row r="199" spans="1:30" ht="15.75" customHeight="1">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c r="AA199" s="16"/>
      <c r="AB199" s="16"/>
      <c r="AC199" s="16"/>
      <c r="AD199" s="16"/>
    </row>
    <row r="200" spans="1:30" ht="15.75" customHeight="1">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c r="AA200" s="16"/>
      <c r="AB200" s="16"/>
      <c r="AC200" s="16"/>
      <c r="AD200" s="16"/>
    </row>
    <row r="201" spans="1:30" ht="15.75" customHeight="1">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c r="AD201" s="16"/>
    </row>
    <row r="202" spans="1:30" ht="15.75" customHeight="1">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c r="AD202" s="16"/>
    </row>
    <row r="203" spans="1:30" ht="15.75" customHeight="1">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c r="AA203" s="16"/>
      <c r="AB203" s="16"/>
      <c r="AC203" s="16"/>
      <c r="AD203" s="16"/>
    </row>
    <row r="204" spans="1:30" ht="15.75" customHeight="1">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c r="AA204" s="16"/>
      <c r="AB204" s="16"/>
      <c r="AC204" s="16"/>
      <c r="AD204" s="16"/>
    </row>
    <row r="205" spans="1:30" ht="15.75" customHeight="1">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c r="AD205" s="16"/>
    </row>
    <row r="206" spans="1:30" ht="15.75" customHeight="1">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row>
    <row r="207" spans="1:30" ht="15.75" customHeight="1">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c r="AD207" s="16"/>
    </row>
    <row r="208" spans="1:30" ht="15.75" customHeight="1">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c r="AD208" s="16"/>
    </row>
    <row r="209" spans="1:30" ht="15.75" customHeight="1">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c r="AD209" s="16"/>
    </row>
    <row r="210" spans="1:30" ht="15.75" customHeight="1">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c r="AD210" s="16"/>
    </row>
    <row r="211" spans="1:30" ht="15.75" customHeight="1">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row>
    <row r="212" spans="1:30" ht="15.75" customHeight="1">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c r="AD212" s="16"/>
    </row>
    <row r="213" spans="1:30" ht="15.75" customHeight="1">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c r="AD213" s="16"/>
    </row>
    <row r="214" spans="1:30" ht="15.75" customHeight="1">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row>
    <row r="215" spans="1:30" ht="15.75" customHeight="1">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c r="AD215" s="16"/>
    </row>
    <row r="216" spans="1:30" ht="15.75" customHeight="1">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c r="AD216" s="16"/>
    </row>
    <row r="217" spans="1:30" ht="15.75" customHeight="1">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c r="AD217" s="16"/>
    </row>
    <row r="218" spans="1:30" ht="15.75" customHeight="1">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c r="AD218" s="16"/>
    </row>
    <row r="219" spans="1:30" ht="15.75" customHeight="1">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c r="AD219" s="16"/>
    </row>
    <row r="220" spans="1:30" ht="15.75" customHeight="1">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c r="AD220" s="16"/>
    </row>
    <row r="221" spans="1:30" ht="15.75" customHeight="1">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row>
    <row r="222" spans="1:30" ht="15.75" customHeight="1">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row>
    <row r="223" spans="1:30" ht="15.75" customHeight="1">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c r="AD223" s="16"/>
    </row>
    <row r="224" spans="1:30" ht="15.75" customHeight="1">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c r="AD224" s="16"/>
    </row>
    <row r="225" spans="1:30" ht="15.75" customHeight="1">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16"/>
    </row>
    <row r="226" spans="1:30" ht="15.75" customHeight="1">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row>
    <row r="227" spans="1:30" ht="15.75" customHeight="1">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16"/>
    </row>
    <row r="228" spans="1:30" ht="15.75" customHeight="1">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c r="AD228" s="16"/>
    </row>
    <row r="229" spans="1:30" ht="15.75" customHeight="1">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c r="AD229" s="16"/>
    </row>
    <row r="230" spans="1:30" ht="15.75" customHeight="1">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row>
    <row r="231" spans="1:30" ht="15.75" customHeight="1">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c r="AD231" s="16"/>
    </row>
    <row r="232" spans="1:30" ht="15.75" customHeight="1">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c r="AD232" s="16"/>
    </row>
    <row r="233" spans="1:30" ht="15.75" customHeight="1">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c r="AD233" s="16"/>
    </row>
    <row r="234" spans="1:30" ht="15.75" customHeight="1">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c r="AD234" s="16"/>
    </row>
    <row r="235" spans="1:30" ht="15.75" customHeight="1">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row>
    <row r="236" spans="1:30" ht="15.75" customHeight="1">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c r="AD236" s="16"/>
    </row>
    <row r="237" spans="1:30" ht="15.75" customHeight="1">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c r="AD237" s="16"/>
    </row>
    <row r="238" spans="1:30" ht="15.75" customHeight="1">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c r="AD238" s="16"/>
    </row>
    <row r="239" spans="1:30" ht="15.75" customHeight="1">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c r="AD239" s="16"/>
    </row>
    <row r="240" spans="1:30" ht="15.75" customHeight="1">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c r="AD240" s="16"/>
    </row>
    <row r="241" spans="1:30" ht="15.75" customHeight="1">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c r="AD241" s="16"/>
    </row>
    <row r="242" spans="1:30" ht="15.75" customHeight="1">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c r="AD242" s="16"/>
    </row>
    <row r="243" spans="1:30" ht="15.75" customHeight="1">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c r="AD243" s="16"/>
    </row>
    <row r="244" spans="1:30" ht="15.75" customHeight="1">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16"/>
    </row>
    <row r="245" spans="1:30" ht="15.75" customHeight="1">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c r="AD245" s="16"/>
    </row>
    <row r="246" spans="1:30" ht="15.75" customHeight="1">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row>
    <row r="247" spans="1:30" ht="15.75" customHeight="1">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c r="AD247" s="16"/>
    </row>
    <row r="248" spans="1:30" ht="15.75" customHeight="1">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row>
    <row r="249" spans="1:30" ht="15.75" customHeight="1">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row>
    <row r="250" spans="1:30" ht="15.75" customHeight="1">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c r="AD250" s="16"/>
    </row>
    <row r="251" spans="1:30" ht="15.75" customHeight="1">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row>
    <row r="252" spans="1:30" ht="15.75" customHeight="1">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16"/>
    </row>
    <row r="253" spans="1:30" ht="15.75" customHeight="1">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c r="AD253" s="16"/>
    </row>
    <row r="254" spans="1:30" ht="15.75" customHeight="1">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row>
    <row r="255" spans="1:30" ht="15.75" customHeight="1">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c r="AD255" s="16"/>
    </row>
    <row r="256" spans="1:30" ht="15.75" customHeight="1">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row>
    <row r="257" spans="1:30" ht="15.75" customHeight="1">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c r="AD257" s="16"/>
    </row>
    <row r="258" spans="1:30" ht="15.75" customHeight="1">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c r="AD258" s="16"/>
    </row>
    <row r="259" spans="1:30" ht="15.75" customHeight="1">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row>
    <row r="260" spans="1:30" ht="15.75" customHeight="1">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row>
    <row r="261" spans="1:30" ht="15.75" customHeight="1">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c r="AD261" s="16"/>
    </row>
    <row r="262" spans="1:30" ht="15.75" customHeight="1">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row>
    <row r="263" spans="1:30" ht="15.75" customHeight="1">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row>
    <row r="264" spans="1:30" ht="15.75" customHeight="1">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c r="AD264" s="16"/>
    </row>
    <row r="265" spans="1:30" ht="15.75" customHeight="1">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row>
    <row r="266" spans="1:30" ht="15.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row>
    <row r="267" spans="1:30" ht="15.75" customHeight="1">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row>
    <row r="268" spans="1:30" ht="15.75" customHeight="1">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c r="AD268" s="16"/>
    </row>
    <row r="269" spans="1:30" ht="15.75" customHeight="1">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row>
    <row r="270" spans="1:30" ht="15.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row>
    <row r="271" spans="1:30" ht="15.75" customHeight="1">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c r="AD271" s="16"/>
    </row>
    <row r="272" spans="1:30" ht="15.75" customHeight="1">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c r="AD272" s="16"/>
    </row>
    <row r="273" spans="1:30" ht="15.75" customHeight="1">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c r="AD273" s="16"/>
    </row>
    <row r="274" spans="1:30" ht="15.75" customHeight="1">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c r="AD274" s="16"/>
    </row>
    <row r="275" spans="1:30" ht="15.75" customHeight="1">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c r="AD275" s="16"/>
    </row>
    <row r="276" spans="1:30" ht="15.75" customHeight="1">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row>
    <row r="277" spans="1:30" ht="15.75" customHeight="1">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16"/>
    </row>
    <row r="278" spans="1:30" ht="15.75" customHeight="1">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row>
    <row r="279" spans="1:30" ht="15.75" customHeight="1">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16"/>
    </row>
    <row r="280" spans="1:30" ht="15.75" customHeight="1">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c r="AD280" s="16"/>
    </row>
    <row r="281" spans="1:30" ht="15.75" customHeight="1">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c r="AD281" s="16"/>
    </row>
    <row r="282" spans="1:30" ht="15.75" customHeight="1">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c r="AD282" s="16"/>
    </row>
    <row r="283" spans="1:30" ht="15.75" customHeight="1">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c r="AD283" s="16"/>
    </row>
    <row r="284" spans="1:30" ht="15.75" customHeight="1">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c r="AD284" s="16"/>
    </row>
    <row r="285" spans="1:30" ht="15.75" customHeight="1">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c r="AD285" s="16"/>
    </row>
    <row r="286" spans="1:30" ht="15.75" customHeight="1">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row>
    <row r="287" spans="1:30" ht="15.75" customHeight="1">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row>
    <row r="288" spans="1:30" ht="15.75" customHeight="1">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row>
    <row r="289" spans="1:30" ht="15.75" customHeight="1">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row>
    <row r="290" spans="1:30" ht="15.75" customHeight="1">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row>
    <row r="291" spans="1:30" ht="15.75" customHeight="1">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c r="AD291" s="16"/>
    </row>
    <row r="292" spans="1:30" ht="15.75" customHeight="1">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row>
    <row r="293" spans="1:30" ht="15.75" customHeight="1">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row>
    <row r="294" spans="1:30" ht="15.75" customHeight="1">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row>
    <row r="295" spans="1:30" ht="15.75" customHeight="1">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row>
    <row r="296" spans="1:30" ht="15.75" customHeight="1">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row>
    <row r="297" spans="1:30" ht="15.75" customHeight="1">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row>
    <row r="298" spans="1:30" ht="15.75" customHeight="1">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row>
    <row r="299" spans="1:30" ht="15.75" customHeight="1">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row>
    <row r="300" spans="1:30" ht="15.75" customHeight="1">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row>
    <row r="301" spans="1:30" ht="15.75" customHeight="1">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c r="AD301" s="16"/>
    </row>
    <row r="302" spans="1:30" ht="15.75" customHeight="1">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c r="AD302" s="16"/>
    </row>
    <row r="303" spans="1:30" ht="15.75" customHeight="1">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row>
    <row r="304" spans="1:30" ht="15.75" customHeight="1">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c r="AD304" s="16"/>
    </row>
    <row r="305" spans="1:30" ht="15.75" customHeight="1">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c r="AD305" s="16"/>
    </row>
    <row r="306" spans="1:30" ht="15.75" customHeight="1"/>
    <row r="307" spans="1:30" ht="15.75" customHeight="1"/>
    <row r="308" spans="1:30" ht="15.75" customHeight="1"/>
    <row r="309" spans="1:30" ht="15.75" customHeight="1"/>
    <row r="310" spans="1:30" ht="15.75" customHeight="1"/>
    <row r="311" spans="1:30" ht="15.75" customHeight="1"/>
    <row r="312" spans="1:30" ht="15.75" customHeight="1"/>
    <row r="313" spans="1:30" ht="15.75" customHeight="1"/>
    <row r="314" spans="1:30" ht="15.75" customHeight="1"/>
    <row r="315" spans="1:30" ht="15.75" customHeight="1"/>
    <row r="316" spans="1:30" ht="15.75" customHeight="1"/>
    <row r="317" spans="1:30" ht="15.75" customHeight="1"/>
    <row r="318" spans="1:30" ht="15.75" customHeight="1"/>
    <row r="319" spans="1:30" ht="15.75" customHeight="1"/>
    <row r="320" spans="1:3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99">
    <mergeCell ref="M164:O164"/>
    <mergeCell ref="B168:C168"/>
    <mergeCell ref="M168:O168"/>
    <mergeCell ref="B169:C169"/>
    <mergeCell ref="M169:O169"/>
    <mergeCell ref="B165:C165"/>
    <mergeCell ref="M165:O165"/>
    <mergeCell ref="B166:C166"/>
    <mergeCell ref="M166:O166"/>
    <mergeCell ref="B167:C167"/>
    <mergeCell ref="M167:O167"/>
    <mergeCell ref="M152:O152"/>
    <mergeCell ref="B155:C155"/>
    <mergeCell ref="M155:O155"/>
    <mergeCell ref="M158:O158"/>
    <mergeCell ref="B159:C159"/>
    <mergeCell ref="M159:O159"/>
    <mergeCell ref="P155:T155"/>
    <mergeCell ref="B156:C156"/>
    <mergeCell ref="M156:O156"/>
    <mergeCell ref="P156:T169"/>
    <mergeCell ref="B157:C157"/>
    <mergeCell ref="M157:O157"/>
    <mergeCell ref="B158:C158"/>
    <mergeCell ref="B161:C161"/>
    <mergeCell ref="M161:O161"/>
    <mergeCell ref="B160:C160"/>
    <mergeCell ref="M160:O160"/>
    <mergeCell ref="B162:C162"/>
    <mergeCell ref="M162:O162"/>
    <mergeCell ref="B163:C163"/>
    <mergeCell ref="M163:O163"/>
    <mergeCell ref="B164:C164"/>
    <mergeCell ref="M151:O151"/>
    <mergeCell ref="M138:O138"/>
    <mergeCell ref="P138:T138"/>
    <mergeCell ref="M139:O139"/>
    <mergeCell ref="P139:T152"/>
    <mergeCell ref="M140:O140"/>
    <mergeCell ref="M141:O141"/>
    <mergeCell ref="M142:O142"/>
    <mergeCell ref="M143:O143"/>
    <mergeCell ref="M144:O144"/>
    <mergeCell ref="M145:O145"/>
    <mergeCell ref="M146:O146"/>
    <mergeCell ref="M147:O147"/>
    <mergeCell ref="M148:O148"/>
    <mergeCell ref="M149:O149"/>
    <mergeCell ref="M150:O150"/>
    <mergeCell ref="M135:O135"/>
    <mergeCell ref="P121:R121"/>
    <mergeCell ref="M123:O123"/>
    <mergeCell ref="P123:T123"/>
    <mergeCell ref="M124:O124"/>
    <mergeCell ref="P124:T135"/>
    <mergeCell ref="M125:O125"/>
    <mergeCell ref="M126:O126"/>
    <mergeCell ref="M127:O127"/>
    <mergeCell ref="M128:O128"/>
    <mergeCell ref="M129:O129"/>
    <mergeCell ref="M130:O130"/>
    <mergeCell ref="M131:O131"/>
    <mergeCell ref="M132:O132"/>
    <mergeCell ref="M133:O133"/>
    <mergeCell ref="M134:O134"/>
    <mergeCell ref="P119:R119"/>
    <mergeCell ref="P120:R120"/>
    <mergeCell ref="AG29:AH29"/>
    <mergeCell ref="AI29:AJ29"/>
    <mergeCell ref="AG30:AH40"/>
    <mergeCell ref="AI30:AJ40"/>
    <mergeCell ref="P115:R115"/>
    <mergeCell ref="P70:Q70"/>
    <mergeCell ref="H92:I105"/>
    <mergeCell ref="J92:K105"/>
    <mergeCell ref="P116:R116"/>
    <mergeCell ref="P117:R117"/>
    <mergeCell ref="P118:R118"/>
    <mergeCell ref="H37:J37"/>
    <mergeCell ref="K71:O87"/>
    <mergeCell ref="P71:Q87"/>
    <mergeCell ref="H91:I91"/>
    <mergeCell ref="J91:K91"/>
    <mergeCell ref="K70:O70"/>
    <mergeCell ref="H38:J42"/>
    <mergeCell ref="I45:K45"/>
    <mergeCell ref="I46:K50"/>
    <mergeCell ref="K54:M54"/>
    <mergeCell ref="K55:M67"/>
    <mergeCell ref="A1:C1"/>
    <mergeCell ref="E1:H1"/>
    <mergeCell ref="D7:I7"/>
    <mergeCell ref="D8:I8"/>
    <mergeCell ref="A28:F28"/>
    <mergeCell ref="A30:F30"/>
    <mergeCell ref="A31:F31"/>
    <mergeCell ref="A32:F32"/>
    <mergeCell ref="A34:F34"/>
    <mergeCell ref="A29:F29"/>
  </mergeCells>
  <conditionalFormatting sqref="I55:I66">
    <cfRule type="containsText" dxfId="55" priority="1" operator="containsText" text="5">
      <formula>NOT(ISERROR(SEARCH(("5"),(I55))))</formula>
    </cfRule>
    <cfRule type="containsText" dxfId="54" priority="2" operator="containsText" text="42">
      <formula>NOT(ISERROR(SEARCH(("42"),(I55))))</formula>
    </cfRule>
    <cfRule type="containsText" dxfId="53" priority="3" operator="containsText" text="Please fill in">
      <formula>NOT(ISERROR(SEARCH(("Please fill in"),(I55))))</formula>
    </cfRule>
  </conditionalFormatting>
  <dataValidations count="3">
    <dataValidation type="list" allowBlank="1" showErrorMessage="1" sqref="D46:D50 H55:H67" xr:uid="{887222F5-278D-4433-A246-F4A770995A2A}">
      <formula1>Blueshell!TypesOfTrainers</formula1>
    </dataValidation>
    <dataValidation type="list" allowBlank="1" showErrorMessage="1" sqref="B9" xr:uid="{62B5D98F-ECEB-49BD-8C09-6515AD8FE0A4}">
      <formula1>"yes,no,partial"</formula1>
    </dataValidation>
    <dataValidation type="list" allowBlank="1" sqref="G46:G50" xr:uid="{41EAA1EE-47FC-4036-9401-4CB89DF53A35}">
      <formula1>"yes,no"</formula1>
    </dataValidation>
  </dataValidations>
  <pageMargins left="0.7" right="0.7" top="0.75" bottom="0.75" header="0" footer="0"/>
  <pageSetup paperSize="9" orientation="portrait"/>
  <drawing r:id="rId1"/>
  <legacyDrawing r:id="rId2"/>
  <tableParts count="6">
    <tablePart r:id="rId3"/>
    <tablePart r:id="rId4"/>
    <tablePart r:id="rId5"/>
    <tablePart r:id="rId6"/>
    <tablePart r:id="rId7"/>
    <tablePart r:id="rId8"/>
  </tableParts>
  <extLst>
    <ext xmlns:x14="http://schemas.microsoft.com/office/spreadsheetml/2009/9/main" uri="{CCE6A557-97BC-4b89-ADB6-D9C93CAAB3DF}">
      <x14:dataValidations xmlns:xm="http://schemas.microsoft.com/office/excel/2006/main" count="4">
        <x14:dataValidation type="list" allowBlank="1" showInputMessage="1" showErrorMessage="1" xr:uid="{B83FCEFB-C455-49CA-AAFF-44CC8BD36E2E}">
          <x14:formula1>
            <xm:f>Constants!$M$6:$M$7</xm:f>
          </x14:formula1>
          <xm:sqref>B92:B107</xm:sqref>
        </x14:dataValidation>
        <x14:dataValidation type="list" allowBlank="1" showInputMessage="1" showErrorMessage="1" xr:uid="{1C134E4F-7A4E-4BF4-8A89-41263DA28B11}">
          <x14:formula1>
            <xm:f>Constants!$C$55:$C$56</xm:f>
          </x14:formula1>
          <xm:sqref>B12</xm:sqref>
        </x14:dataValidation>
        <x14:dataValidation type="list" allowBlank="1" showErrorMessage="1" xr:uid="{D9221B6B-299C-4E47-98B7-9CE1B9200A3F}">
          <x14:formula1>
            <xm:f>Constants!$H$6:$H$13</xm:f>
          </x14:formula1>
          <xm:sqref>B55:B67</xm:sqref>
        </x14:dataValidation>
        <x14:dataValidation type="list" allowBlank="1" showErrorMessage="1" xr:uid="{E6BCF45F-EDE1-4A6E-8A93-1B0ED0D0AB31}">
          <x14:formula1>
            <xm:f>Constants!$A$2:$AD$2</xm:f>
          </x14:formula1>
          <xm:sqref>B71:B87</xm:sqref>
        </x14:dataValidation>
      </x14:dataValidations>
    </ext>
  </extLs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14BB4-315C-42A2-AC58-82B6579B7590}">
  <dimension ref="A1:BG1003"/>
  <sheetViews>
    <sheetView topLeftCell="AB28" workbookViewId="0">
      <selection activeCell="AF30" sqref="AF30"/>
    </sheetView>
  </sheetViews>
  <sheetFormatPr defaultColWidth="12.625" defaultRowHeight="15" customHeight="1"/>
  <cols>
    <col min="1" max="1" width="36.625" customWidth="1"/>
    <col min="2" max="2" width="28.125" customWidth="1"/>
    <col min="3" max="3" width="21" customWidth="1"/>
    <col min="4" max="4" width="17.5" customWidth="1"/>
    <col min="5" max="5" width="16.125" customWidth="1"/>
    <col min="6" max="6" width="21.5" customWidth="1"/>
    <col min="7" max="7" width="22.625" customWidth="1"/>
    <col min="8" max="8" width="18.625" customWidth="1"/>
    <col min="9" max="9" width="19.625" customWidth="1"/>
    <col min="10" max="10" width="18.875" customWidth="1"/>
    <col min="11" max="11" width="21.625" customWidth="1"/>
    <col min="12" max="12" width="17.375" customWidth="1"/>
    <col min="13" max="13" width="15.125" customWidth="1"/>
    <col min="14" max="14" width="15.625" customWidth="1"/>
    <col min="15" max="15" width="28.5" customWidth="1"/>
    <col min="16" max="16" width="13.125" customWidth="1"/>
    <col min="17" max="17" width="21.875" customWidth="1"/>
    <col min="18" max="18" width="27" customWidth="1"/>
    <col min="19" max="19" width="20.5" customWidth="1"/>
    <col min="20" max="22" width="7.625" customWidth="1"/>
    <col min="23" max="23" width="31.875" customWidth="1"/>
    <col min="24" max="24" width="7.625" customWidth="1"/>
    <col min="25" max="25" width="8.375" customWidth="1"/>
    <col min="26" max="26" width="21.625" customWidth="1"/>
    <col min="27" max="27" width="12" customWidth="1"/>
    <col min="28" max="28" width="16.5" customWidth="1"/>
    <col min="29" max="29" width="6" customWidth="1"/>
    <col min="30" max="30" width="13.625" customWidth="1"/>
  </cols>
  <sheetData>
    <row r="1" spans="1:59" ht="171" customHeight="1">
      <c r="A1" s="703"/>
      <c r="B1" s="704"/>
      <c r="C1" s="705"/>
      <c r="D1" s="16"/>
      <c r="E1" s="572"/>
      <c r="F1" s="704"/>
      <c r="G1" s="704"/>
      <c r="H1" s="705"/>
      <c r="I1" s="16"/>
      <c r="J1" s="16"/>
      <c r="K1" s="16"/>
      <c r="L1" s="16"/>
      <c r="M1" s="16"/>
      <c r="N1" s="16"/>
      <c r="O1" s="16"/>
      <c r="P1" s="16"/>
      <c r="Q1" s="16"/>
      <c r="R1" s="16"/>
      <c r="S1" s="16"/>
      <c r="T1" s="16"/>
      <c r="U1" s="16"/>
      <c r="V1" s="16"/>
      <c r="W1" s="16"/>
      <c r="X1" s="16"/>
      <c r="Y1" s="16"/>
      <c r="Z1" s="16"/>
      <c r="AA1" s="16"/>
      <c r="AB1" s="16"/>
      <c r="AC1" s="16"/>
      <c r="AD1" s="16"/>
    </row>
    <row r="2" spans="1:59">
      <c r="A2" s="58" t="s">
        <v>404</v>
      </c>
      <c r="B2" s="152" t="s">
        <v>532</v>
      </c>
      <c r="C2" s="59"/>
      <c r="D2" s="16"/>
      <c r="E2" s="60" t="s">
        <v>406</v>
      </c>
      <c r="F2" s="153" t="s">
        <v>1941</v>
      </c>
      <c r="G2" s="154"/>
      <c r="H2" s="61"/>
      <c r="I2" s="16"/>
      <c r="J2" s="16"/>
      <c r="K2" s="16"/>
      <c r="L2" s="16"/>
      <c r="M2" s="16"/>
      <c r="N2" s="16"/>
      <c r="O2" s="16"/>
      <c r="P2" s="16"/>
      <c r="Q2" s="16"/>
      <c r="R2" s="16"/>
      <c r="S2" s="16"/>
      <c r="T2" s="16"/>
      <c r="U2" s="16"/>
      <c r="V2" s="16"/>
      <c r="W2" s="16"/>
      <c r="X2" s="16"/>
      <c r="Y2" s="16"/>
      <c r="Z2" s="15"/>
      <c r="AA2" s="15"/>
      <c r="AB2" s="15"/>
      <c r="AC2" s="15"/>
      <c r="AD2" s="16"/>
      <c r="AE2" s="16"/>
      <c r="AF2" s="16"/>
      <c r="AG2" s="16"/>
      <c r="AH2" s="16"/>
      <c r="AI2" s="17"/>
      <c r="AJ2" s="17"/>
      <c r="AK2" s="17"/>
      <c r="AL2" s="17"/>
      <c r="AM2" s="17"/>
      <c r="AN2" s="17"/>
      <c r="AO2" s="17"/>
      <c r="AP2" s="17"/>
      <c r="AQ2" s="17"/>
      <c r="AR2" s="18"/>
      <c r="AS2" s="17"/>
      <c r="AT2" s="17"/>
      <c r="AU2" s="16"/>
      <c r="AV2" s="16"/>
      <c r="AW2" s="16"/>
      <c r="AX2" s="16"/>
      <c r="AY2" s="16"/>
      <c r="AZ2" s="16"/>
      <c r="BA2" s="16"/>
    </row>
    <row r="3" spans="1:59">
      <c r="A3" s="62" t="s">
        <v>408</v>
      </c>
      <c r="B3" s="155">
        <v>7</v>
      </c>
      <c r="C3" s="156"/>
      <c r="D3" s="16"/>
      <c r="E3" s="63" t="s">
        <v>409</v>
      </c>
      <c r="F3" s="189">
        <v>45800</v>
      </c>
      <c r="G3" s="158"/>
      <c r="H3" s="159"/>
      <c r="I3" s="16"/>
      <c r="J3" s="16"/>
      <c r="K3" s="16"/>
      <c r="L3" s="16"/>
      <c r="M3" s="16"/>
      <c r="N3" s="16"/>
      <c r="O3" s="16"/>
      <c r="P3" s="16"/>
      <c r="Q3" s="16"/>
      <c r="R3" s="16"/>
      <c r="S3" s="16"/>
      <c r="T3" s="16"/>
      <c r="U3" s="16"/>
      <c r="V3" s="16"/>
      <c r="W3" s="16"/>
      <c r="X3" s="16"/>
      <c r="Y3" s="16"/>
      <c r="Z3" s="16"/>
      <c r="AA3" s="16"/>
      <c r="AB3" s="16"/>
      <c r="AC3" s="16"/>
      <c r="AD3" s="16"/>
    </row>
    <row r="4" spans="1:59">
      <c r="A4" s="160" t="s">
        <v>410</v>
      </c>
      <c r="B4" s="161"/>
      <c r="C4" s="162"/>
      <c r="D4" s="16"/>
      <c r="E4" s="163"/>
      <c r="F4" s="164"/>
      <c r="G4" s="165"/>
      <c r="H4" s="166"/>
      <c r="I4" s="16"/>
      <c r="J4" s="16"/>
      <c r="K4" s="16"/>
      <c r="L4" s="16"/>
      <c r="M4" s="16"/>
      <c r="N4" s="16"/>
      <c r="O4" s="16"/>
      <c r="P4" s="16"/>
      <c r="Q4" s="16"/>
      <c r="R4" s="16"/>
      <c r="S4" s="16"/>
      <c r="T4" s="16"/>
      <c r="U4" s="16"/>
      <c r="V4" s="16"/>
      <c r="W4" s="16"/>
      <c r="X4" s="16"/>
      <c r="Y4" s="16"/>
      <c r="Z4" s="16"/>
      <c r="AA4" s="16"/>
      <c r="AB4" s="16"/>
      <c r="AC4" s="16"/>
      <c r="AD4" s="16"/>
    </row>
    <row r="5" spans="1:59">
      <c r="A5" s="167" t="s">
        <v>411</v>
      </c>
      <c r="B5" s="168"/>
      <c r="C5" s="167"/>
      <c r="D5" s="16"/>
      <c r="E5" s="169" t="s">
        <v>412</v>
      </c>
      <c r="F5" s="169"/>
      <c r="G5" s="158"/>
      <c r="H5" s="169"/>
      <c r="I5" s="16"/>
      <c r="J5" s="16"/>
      <c r="K5" s="16"/>
      <c r="L5" s="16"/>
      <c r="M5" s="16"/>
      <c r="N5" s="16"/>
      <c r="O5" s="16"/>
      <c r="P5" s="16"/>
      <c r="Q5" s="16"/>
      <c r="R5" s="16"/>
      <c r="S5" s="16"/>
      <c r="T5" s="16"/>
      <c r="U5" s="16"/>
      <c r="V5" s="16"/>
      <c r="W5" s="16"/>
      <c r="X5" s="16"/>
      <c r="Y5" s="16"/>
      <c r="Z5" s="16"/>
      <c r="AA5" s="16"/>
      <c r="AB5" s="16"/>
      <c r="AC5" s="16"/>
      <c r="AD5" s="16"/>
    </row>
    <row r="6" spans="1:59">
      <c r="A6" s="15"/>
      <c r="B6" s="64"/>
      <c r="C6" s="16"/>
      <c r="D6" s="16"/>
      <c r="E6" s="16"/>
      <c r="F6" s="16"/>
      <c r="G6" s="16"/>
      <c r="H6" s="16"/>
      <c r="I6" s="16"/>
      <c r="J6" s="64"/>
      <c r="K6" s="16"/>
      <c r="L6" s="16"/>
      <c r="M6" s="16"/>
      <c r="N6" s="16"/>
      <c r="O6" s="16"/>
      <c r="P6" s="16"/>
      <c r="Q6" s="16"/>
      <c r="R6" s="16"/>
      <c r="S6" s="16"/>
      <c r="T6" s="16"/>
      <c r="U6" s="16"/>
      <c r="V6" s="16"/>
      <c r="W6" s="16"/>
      <c r="X6" s="16"/>
      <c r="Y6" s="16"/>
      <c r="Z6" s="16"/>
      <c r="AA6" s="16"/>
      <c r="AB6" s="16"/>
      <c r="AC6" s="16"/>
      <c r="AD6" s="16"/>
    </row>
    <row r="7" spans="1:59">
      <c r="A7" s="170" t="s">
        <v>413</v>
      </c>
      <c r="B7" s="59">
        <v>78</v>
      </c>
      <c r="C7" s="16"/>
      <c r="D7" s="573" t="s">
        <v>414</v>
      </c>
      <c r="E7" s="701"/>
      <c r="F7" s="701"/>
      <c r="G7" s="701"/>
      <c r="H7" s="701"/>
      <c r="I7" s="701"/>
      <c r="J7" s="16"/>
      <c r="K7" s="16"/>
      <c r="L7" s="16"/>
      <c r="M7" s="16"/>
      <c r="N7" s="16"/>
      <c r="O7" s="16"/>
      <c r="P7" s="16"/>
      <c r="Q7" s="16"/>
      <c r="R7" s="16"/>
      <c r="S7" s="16"/>
      <c r="T7" s="16"/>
      <c r="U7" s="16"/>
      <c r="V7" s="16"/>
      <c r="W7" s="16"/>
      <c r="X7" s="16"/>
      <c r="Y7" s="16"/>
      <c r="Z7" s="16"/>
      <c r="AA7" s="16"/>
      <c r="AB7" s="16"/>
      <c r="AC7" s="16"/>
      <c r="AD7" s="16"/>
    </row>
    <row r="8" spans="1:59" ht="14.25" customHeight="1">
      <c r="A8" s="171" t="s">
        <v>415</v>
      </c>
      <c r="B8" s="172">
        <f>M21</f>
        <v>0</v>
      </c>
      <c r="C8" s="16" t="s">
        <v>416</v>
      </c>
      <c r="D8" s="574" t="s">
        <v>417</v>
      </c>
      <c r="E8" s="704"/>
      <c r="F8" s="704"/>
      <c r="G8" s="704"/>
      <c r="H8" s="704"/>
      <c r="I8" s="704"/>
      <c r="J8" s="16"/>
      <c r="K8" s="16"/>
      <c r="L8" s="16"/>
      <c r="M8" s="16"/>
      <c r="N8" s="16"/>
      <c r="O8" s="16"/>
      <c r="P8" s="16"/>
      <c r="Q8" s="16"/>
      <c r="R8" s="16"/>
      <c r="S8" s="16"/>
      <c r="T8" s="16"/>
      <c r="U8" s="16"/>
      <c r="V8" s="16"/>
      <c r="W8" s="16"/>
      <c r="X8" s="16"/>
      <c r="Y8" s="16"/>
      <c r="Z8" s="16"/>
      <c r="AA8" s="16"/>
      <c r="AB8" s="16"/>
      <c r="AC8" s="16"/>
    </row>
    <row r="9" spans="1:59">
      <c r="A9" s="65" t="s">
        <v>418</v>
      </c>
      <c r="B9" s="173" t="s">
        <v>419</v>
      </c>
      <c r="C9" s="16"/>
      <c r="D9" s="16"/>
      <c r="E9" s="17"/>
      <c r="F9" s="17"/>
      <c r="G9" s="17"/>
      <c r="H9" s="17"/>
      <c r="I9" s="17"/>
      <c r="J9" s="17"/>
      <c r="K9" s="17"/>
      <c r="L9" s="17"/>
      <c r="M9" s="17"/>
      <c r="N9" s="17"/>
      <c r="O9" s="17"/>
      <c r="P9" s="17"/>
      <c r="Q9" s="16"/>
      <c r="R9" s="17"/>
      <c r="S9" s="17"/>
      <c r="T9" s="17"/>
      <c r="U9" s="17"/>
      <c r="V9" s="17"/>
      <c r="W9" s="17"/>
      <c r="X9" s="17"/>
      <c r="Y9" s="17"/>
      <c r="Z9" s="17"/>
      <c r="AA9" s="17"/>
      <c r="AB9" s="17"/>
      <c r="AC9" s="17"/>
      <c r="AD9" s="18" t="s">
        <v>242</v>
      </c>
    </row>
    <row r="10" spans="1:59">
      <c r="A10" s="174" t="s">
        <v>420</v>
      </c>
      <c r="B10" s="66">
        <f>COUNTA(A38:A42)</f>
        <v>0</v>
      </c>
      <c r="C10" s="16"/>
      <c r="D10" s="16"/>
      <c r="E10" s="17"/>
      <c r="F10" s="17"/>
      <c r="G10" s="17"/>
      <c r="H10" s="17"/>
      <c r="I10" s="17"/>
      <c r="J10" s="17"/>
      <c r="K10" s="17"/>
      <c r="L10" s="17"/>
      <c r="M10" s="17"/>
      <c r="N10" s="17"/>
      <c r="O10" s="17"/>
      <c r="P10" s="17"/>
      <c r="Q10" s="16"/>
      <c r="R10" s="17"/>
      <c r="S10" s="17"/>
      <c r="T10" s="17"/>
      <c r="U10" s="17"/>
      <c r="V10" s="17"/>
      <c r="W10" s="17"/>
      <c r="X10" s="17"/>
      <c r="Y10" s="17"/>
      <c r="Z10" s="17"/>
      <c r="AA10" s="17"/>
      <c r="AB10" s="17"/>
      <c r="AC10" s="17"/>
      <c r="AD10" s="18"/>
    </row>
    <row r="11" spans="1:59">
      <c r="A11" s="171" t="s">
        <v>421</v>
      </c>
      <c r="B11" s="238">
        <f>SUM(B38:B42)</f>
        <v>0</v>
      </c>
      <c r="C11" s="16"/>
      <c r="D11" s="16"/>
      <c r="E11" s="17"/>
      <c r="F11" s="17"/>
      <c r="G11" s="17"/>
      <c r="H11" s="17"/>
      <c r="I11" s="17"/>
      <c r="J11" s="17"/>
      <c r="K11" s="17"/>
      <c r="L11" s="17"/>
      <c r="M11" s="17"/>
      <c r="N11" s="17"/>
      <c r="O11" s="17"/>
      <c r="P11" s="17"/>
      <c r="Q11" s="16"/>
      <c r="R11" s="17"/>
      <c r="S11" s="17"/>
      <c r="T11" s="17"/>
      <c r="U11" s="17"/>
      <c r="V11" s="17"/>
      <c r="W11" s="17"/>
      <c r="X11" s="17"/>
      <c r="Y11" s="17"/>
      <c r="Z11" s="17"/>
      <c r="AA11" s="17"/>
      <c r="AB11" s="17"/>
      <c r="AC11" s="17"/>
      <c r="AD11" s="18"/>
    </row>
    <row r="12" spans="1:59">
      <c r="A12" s="239" t="s">
        <v>422</v>
      </c>
      <c r="B12" s="240" t="s">
        <v>317</v>
      </c>
      <c r="C12" s="16"/>
      <c r="D12" s="16"/>
      <c r="E12" s="17"/>
      <c r="F12" s="17"/>
      <c r="G12" s="17"/>
      <c r="H12" s="17"/>
      <c r="I12" s="17"/>
      <c r="J12" s="17"/>
      <c r="K12" s="17"/>
      <c r="L12" s="17"/>
      <c r="M12" s="17"/>
      <c r="N12" s="17"/>
      <c r="O12" s="17"/>
      <c r="P12" s="17"/>
      <c r="Q12" s="16"/>
      <c r="R12" s="17"/>
      <c r="S12" s="17"/>
      <c r="T12" s="17"/>
      <c r="U12" s="17"/>
      <c r="V12" s="17"/>
      <c r="W12" s="17"/>
      <c r="X12" s="17"/>
      <c r="Y12" s="17"/>
      <c r="Z12" s="17"/>
      <c r="AA12" s="17"/>
      <c r="AB12" s="17"/>
      <c r="AC12" s="17"/>
      <c r="AD12" s="18"/>
    </row>
    <row r="13" spans="1:59">
      <c r="A13" s="16"/>
      <c r="B13" s="16"/>
      <c r="C13" s="16"/>
      <c r="D13" s="16"/>
      <c r="E13" s="17"/>
      <c r="F13" s="17"/>
      <c r="G13" s="17"/>
      <c r="H13" s="17"/>
      <c r="I13" s="17"/>
      <c r="J13" s="17"/>
      <c r="K13" s="17"/>
      <c r="L13" s="17"/>
      <c r="M13" s="17"/>
      <c r="N13" s="17"/>
      <c r="O13" s="17"/>
      <c r="P13" s="17"/>
      <c r="Q13" s="16"/>
      <c r="R13" s="17"/>
      <c r="S13" s="17"/>
      <c r="T13" s="17"/>
      <c r="U13" s="17"/>
      <c r="V13" s="17"/>
      <c r="W13" s="17"/>
      <c r="X13" s="17"/>
      <c r="Y13" s="17"/>
      <c r="Z13" s="17"/>
      <c r="AA13" s="17"/>
      <c r="AB13" s="17"/>
      <c r="AC13" s="17"/>
      <c r="AD13" s="17" t="str">
        <f t="array" ref="AD13:BF13">[0]!LocationNames</f>
        <v>SC1</v>
      </c>
      <c r="AE13" s="17" t="str">
        <v>SC1 - Half</v>
      </c>
      <c r="AF13" s="17" t="str">
        <v>SC2</v>
      </c>
      <c r="AG13" s="17" t="e">
        <v>#N/A</v>
      </c>
      <c r="AH13" s="17" t="e">
        <v>#N/A</v>
      </c>
      <c r="AI13" s="17" t="e">
        <v>#N/A</v>
      </c>
      <c r="AJ13" s="17" t="e">
        <v>#N/A</v>
      </c>
      <c r="AK13" s="17" t="e">
        <v>#N/A</v>
      </c>
      <c r="AL13" s="17" t="e">
        <v>#N/A</v>
      </c>
      <c r="AM13" s="17" t="e">
        <v>#N/A</v>
      </c>
      <c r="AN13" s="17" t="e">
        <v>#N/A</v>
      </c>
      <c r="AO13" s="17" t="e">
        <v>#N/A</v>
      </c>
      <c r="AP13" s="17" t="e">
        <v>#N/A</v>
      </c>
      <c r="AQ13" s="17" t="e">
        <v>#N/A</v>
      </c>
      <c r="AR13" s="17" t="e">
        <v>#N/A</v>
      </c>
      <c r="AS13" s="17" t="e">
        <v>#N/A</v>
      </c>
      <c r="AT13" s="17" t="e">
        <v>#N/A</v>
      </c>
      <c r="AU13" s="17" t="e">
        <v>#N/A</v>
      </c>
      <c r="AV13" s="17" t="e">
        <v>#N/A</v>
      </c>
      <c r="AW13" s="17" t="e">
        <v>#N/A</v>
      </c>
      <c r="AX13" s="17" t="e">
        <v>#N/A</v>
      </c>
      <c r="AY13" s="17" t="e">
        <v>#N/A</v>
      </c>
      <c r="AZ13" s="17" t="e">
        <v>#N/A</v>
      </c>
      <c r="BA13" s="17" t="e">
        <v>#N/A</v>
      </c>
      <c r="BB13" s="17" t="e">
        <v>#N/A</v>
      </c>
      <c r="BC13" s="22" t="e">
        <v>#N/A</v>
      </c>
      <c r="BD13" s="22" t="e">
        <v>#N/A</v>
      </c>
      <c r="BE13" s="22" t="e">
        <v>#N/A</v>
      </c>
      <c r="BF13" s="22" t="e">
        <v>#N/A</v>
      </c>
      <c r="BG13" s="22" t="s">
        <v>270</v>
      </c>
    </row>
    <row r="14" spans="1:59" ht="15.95" thickBot="1">
      <c r="A14" s="175" t="s">
        <v>423</v>
      </c>
      <c r="B14" s="16"/>
      <c r="C14" s="16"/>
      <c r="D14" s="16"/>
      <c r="E14" s="16"/>
      <c r="F14" s="16"/>
      <c r="G14" s="175" t="s">
        <v>424</v>
      </c>
      <c r="I14" s="17"/>
      <c r="J14" s="17"/>
      <c r="K14" s="176" t="s">
        <v>425</v>
      </c>
      <c r="L14" s="17"/>
      <c r="M14" s="176" t="s">
        <v>426</v>
      </c>
      <c r="N14" s="17"/>
      <c r="O14" s="17"/>
      <c r="P14" s="17"/>
      <c r="Q14" s="17"/>
      <c r="R14" s="17"/>
      <c r="S14" s="16"/>
      <c r="T14" s="17"/>
      <c r="U14" s="17"/>
      <c r="V14" s="17"/>
      <c r="W14" s="17"/>
      <c r="X14" s="17"/>
      <c r="Y14" s="17"/>
      <c r="Z14" s="17"/>
      <c r="AA14" s="17"/>
      <c r="AB14" s="17"/>
      <c r="AC14" s="17"/>
      <c r="AD14" s="19">
        <f t="array" ref="AD14:BF14">Constants!A3:AC3</f>
        <v>67.5</v>
      </c>
      <c r="AE14" s="19">
        <v>35</v>
      </c>
      <c r="AF14" s="19">
        <v>67.5</v>
      </c>
      <c r="AG14" s="19">
        <v>35</v>
      </c>
      <c r="AH14" s="19">
        <v>40</v>
      </c>
      <c r="AI14" s="19">
        <v>40</v>
      </c>
      <c r="AJ14" s="19">
        <v>35</v>
      </c>
      <c r="AK14" s="19">
        <v>35</v>
      </c>
      <c r="AL14" s="19">
        <v>40</v>
      </c>
      <c r="AM14" s="19">
        <v>27.5</v>
      </c>
      <c r="AN14" s="19">
        <v>45</v>
      </c>
      <c r="AO14" s="19">
        <v>75</v>
      </c>
      <c r="AP14" s="19">
        <v>40</v>
      </c>
      <c r="AQ14" s="19">
        <v>75</v>
      </c>
      <c r="AR14" s="19">
        <v>40</v>
      </c>
      <c r="AS14" s="19">
        <v>30</v>
      </c>
      <c r="AT14" s="19">
        <v>50</v>
      </c>
      <c r="AU14" s="19">
        <v>75</v>
      </c>
      <c r="AV14" s="19">
        <v>40</v>
      </c>
      <c r="AW14" s="19">
        <v>75</v>
      </c>
      <c r="AX14" s="19">
        <v>40</v>
      </c>
      <c r="AY14" s="19">
        <v>50</v>
      </c>
      <c r="AZ14" s="19">
        <v>65</v>
      </c>
      <c r="BA14" s="19">
        <v>35</v>
      </c>
      <c r="BB14" s="19">
        <v>45</v>
      </c>
      <c r="BC14" s="19">
        <v>50</v>
      </c>
      <c r="BD14" s="19">
        <v>0</v>
      </c>
      <c r="BE14" s="19">
        <v>65</v>
      </c>
      <c r="BF14" s="20">
        <v>70</v>
      </c>
      <c r="BG14" s="20"/>
    </row>
    <row r="15" spans="1:59" ht="15.95" thickTop="1">
      <c r="A15" s="67"/>
      <c r="B15" s="68" t="str">
        <f>Constants!H6</f>
        <v>Performance training</v>
      </c>
      <c r="C15" s="68" t="str">
        <f>Constants!H7</f>
        <v>Performance coaching</v>
      </c>
      <c r="D15" s="68" t="str">
        <f>Constants!H8</f>
        <v>Dangerous</v>
      </c>
      <c r="E15" s="69" t="str">
        <f>Constants!H9</f>
        <v>Recreational</v>
      </c>
      <c r="F15" s="69" t="s">
        <v>290</v>
      </c>
      <c r="G15" s="70"/>
      <c r="H15" s="71" t="s">
        <v>427</v>
      </c>
      <c r="I15" s="72" t="s">
        <v>272</v>
      </c>
      <c r="J15" s="70" t="s">
        <v>5</v>
      </c>
      <c r="K15" s="72" t="s">
        <v>428</v>
      </c>
      <c r="L15" s="70" t="s">
        <v>429</v>
      </c>
      <c r="M15" s="73" cm="1">
        <f t="array" ref="M15">(SUM(IF($D$46:$D$50="PT",($F$46:$F$50)/1.5+IF($G$46:$G$50="yes",1)))+SUM(IF($D$46:$D$50="Extern",($F$46:$F$50)/1.5+IF($G$46:$G$50="yes",1)))+SUM(IF($D$46:$D$50="PT-ZZP",($F$46:$F$50)/1.5+IF($G$46:$G$50="yes",1))))*Constants!B10</f>
        <v>0</v>
      </c>
      <c r="N15" s="17"/>
      <c r="O15" s="17"/>
      <c r="P15" s="17"/>
      <c r="Q15" s="17"/>
      <c r="R15" s="16"/>
      <c r="S15" s="17"/>
      <c r="T15" s="17"/>
      <c r="U15" s="17"/>
      <c r="V15" s="17"/>
      <c r="W15" s="17"/>
      <c r="X15" s="17"/>
      <c r="Y15" s="17"/>
      <c r="Z15" s="17"/>
      <c r="AA15" s="17"/>
      <c r="AB15" s="17"/>
      <c r="AC15" s="17"/>
      <c r="AD15" s="16">
        <f t="shared" ref="AD15:BF15" si="0">SUMIF($B$71:$B$88,AD13,$F$71:$F$88)</f>
        <v>0</v>
      </c>
      <c r="AE15" s="16">
        <f t="shared" si="0"/>
        <v>0</v>
      </c>
      <c r="AF15" s="16">
        <f t="shared" si="0"/>
        <v>0</v>
      </c>
      <c r="AG15" s="16">
        <f t="shared" si="0"/>
        <v>0</v>
      </c>
      <c r="AH15" s="16">
        <f t="shared" si="0"/>
        <v>0</v>
      </c>
      <c r="AI15" s="16">
        <f t="shared" si="0"/>
        <v>0</v>
      </c>
      <c r="AJ15" s="16">
        <f t="shared" si="0"/>
        <v>0</v>
      </c>
      <c r="AK15" s="16">
        <f t="shared" si="0"/>
        <v>0</v>
      </c>
      <c r="AL15" s="16">
        <f t="shared" si="0"/>
        <v>0</v>
      </c>
      <c r="AM15" s="16">
        <f t="shared" si="0"/>
        <v>0</v>
      </c>
      <c r="AN15" s="16">
        <f t="shared" si="0"/>
        <v>0</v>
      </c>
      <c r="AO15" s="16">
        <f t="shared" si="0"/>
        <v>0</v>
      </c>
      <c r="AP15" s="16">
        <f t="shared" si="0"/>
        <v>0</v>
      </c>
      <c r="AQ15" s="16">
        <f t="shared" si="0"/>
        <v>0</v>
      </c>
      <c r="AR15" s="16">
        <f t="shared" si="0"/>
        <v>0</v>
      </c>
      <c r="AS15" s="16">
        <f t="shared" si="0"/>
        <v>0</v>
      </c>
      <c r="AT15" s="16">
        <f t="shared" si="0"/>
        <v>0</v>
      </c>
      <c r="AU15" s="16">
        <f t="shared" si="0"/>
        <v>0</v>
      </c>
      <c r="AV15" s="16">
        <f t="shared" si="0"/>
        <v>0</v>
      </c>
      <c r="AW15" s="16">
        <f t="shared" si="0"/>
        <v>0</v>
      </c>
      <c r="AX15" s="16">
        <f t="shared" si="0"/>
        <v>0</v>
      </c>
      <c r="AY15" s="16">
        <f t="shared" si="0"/>
        <v>0</v>
      </c>
      <c r="AZ15" s="16">
        <f t="shared" si="0"/>
        <v>0</v>
      </c>
      <c r="BA15" s="16">
        <f t="shared" si="0"/>
        <v>0</v>
      </c>
      <c r="BB15" s="16">
        <f t="shared" si="0"/>
        <v>0</v>
      </c>
      <c r="BC15" s="16">
        <f t="shared" si="0"/>
        <v>0</v>
      </c>
      <c r="BD15" s="16">
        <f t="shared" si="0"/>
        <v>0</v>
      </c>
      <c r="BE15" s="16">
        <f t="shared" si="0"/>
        <v>0</v>
      </c>
      <c r="BF15" s="16">
        <f t="shared" si="0"/>
        <v>0</v>
      </c>
    </row>
    <row r="16" spans="1:59">
      <c r="A16" s="74" t="str">
        <f>Constants!E6</f>
        <v>PT</v>
      </c>
      <c r="B16" s="16">
        <f>SUMIFS(Klokus!$F$55:$F$67,Klokus!$B$55:$B$67, B$15,Klokus!$H$55:$H$67,$A16)*(1+Constants!$B$7)</f>
        <v>0</v>
      </c>
      <c r="C16" s="16">
        <f>SUMIFS(Klokus!$F$55:$F$67,Klokus!$B$55:$B$67, C$15,Klokus!$H$55:$H$67,$A16)</f>
        <v>0</v>
      </c>
      <c r="D16" s="16">
        <f>SUMIFS(Klokus!$F$55:$F$67,Klokus!$B$55:$B$67, D$15,Klokus!$H$55:$H$67,$A16)*(1+Constants!$B$7)</f>
        <v>0</v>
      </c>
      <c r="E16" s="16">
        <f>SUMIFS(Klokus!$F$55:$F$67,Klokus!$B$55:$B$67, E$15,Klokus!$H$55:$H$67,$A16)*(1+Constants!$B$7)</f>
        <v>0</v>
      </c>
      <c r="F16" s="16">
        <f>SUMIFS(Klokus!$F$55:$F$67,Klokus!$B$55:$B$67, F$15,Klokus!$H$55:$H$67,$A16)*(1+Constants!$B$7)</f>
        <v>0</v>
      </c>
      <c r="G16" s="74" t="s">
        <v>430</v>
      </c>
      <c r="H16" s="16">
        <f>SUMIF(Klokus!$B$73:$B$89,"&lt;&gt;External",Klokus!$F$73:$F$89)</f>
        <v>0</v>
      </c>
      <c r="I16" s="75">
        <f>SUMIF(Klokus!$B$73:$B$89,"External",Klokus!$F$73:$F$89)</f>
        <v>0</v>
      </c>
      <c r="J16" s="234">
        <f>SUM($F$92:$F$105)</f>
        <v>0</v>
      </c>
      <c r="K16" s="76">
        <f>IF(OR(ISBLANK(B7),ISBLANK(B9)), "ERROR",MAX(MIN(J16,B7*Constants!B15)-Constants!B14*B7,0)*IF(B9="yes",Constants!B16,IF(B9="no",Constants!B17,0)))</f>
        <v>0</v>
      </c>
      <c r="L16" s="77" t="s">
        <v>360</v>
      </c>
      <c r="M16" s="76">
        <f>E16*Constants!B6+E17*Constants!B8+E22+E21</f>
        <v>0</v>
      </c>
      <c r="N16" s="17"/>
      <c r="O16" s="17"/>
      <c r="P16" s="17"/>
      <c r="Q16" s="17"/>
      <c r="R16" s="16"/>
      <c r="S16" s="17"/>
      <c r="T16" s="17"/>
      <c r="U16" s="17"/>
      <c r="V16" s="17"/>
      <c r="W16" s="17"/>
      <c r="X16" s="17"/>
      <c r="Y16" s="17"/>
      <c r="Z16" s="17"/>
      <c r="AA16" s="17"/>
      <c r="AB16" s="17"/>
      <c r="AC16" s="17"/>
      <c r="AD16" s="19">
        <f t="shared" ref="AD16:BF16" si="1">AD14*AD15</f>
        <v>0</v>
      </c>
      <c r="AE16" s="19">
        <f t="shared" si="1"/>
        <v>0</v>
      </c>
      <c r="AF16" s="19">
        <f t="shared" si="1"/>
        <v>0</v>
      </c>
      <c r="AG16" s="19">
        <f t="shared" si="1"/>
        <v>0</v>
      </c>
      <c r="AH16" s="19">
        <f t="shared" si="1"/>
        <v>0</v>
      </c>
      <c r="AI16" s="19">
        <f t="shared" si="1"/>
        <v>0</v>
      </c>
      <c r="AJ16" s="19">
        <f t="shared" si="1"/>
        <v>0</v>
      </c>
      <c r="AK16" s="19">
        <f t="shared" si="1"/>
        <v>0</v>
      </c>
      <c r="AL16" s="19">
        <f t="shared" si="1"/>
        <v>0</v>
      </c>
      <c r="AM16" s="19">
        <f t="shared" si="1"/>
        <v>0</v>
      </c>
      <c r="AN16" s="19">
        <f t="shared" si="1"/>
        <v>0</v>
      </c>
      <c r="AO16" s="19">
        <f t="shared" si="1"/>
        <v>0</v>
      </c>
      <c r="AP16" s="19">
        <f t="shared" si="1"/>
        <v>0</v>
      </c>
      <c r="AQ16" s="19">
        <f t="shared" si="1"/>
        <v>0</v>
      </c>
      <c r="AR16" s="19">
        <f t="shared" si="1"/>
        <v>0</v>
      </c>
      <c r="AS16" s="19">
        <f t="shared" si="1"/>
        <v>0</v>
      </c>
      <c r="AT16" s="19">
        <f t="shared" si="1"/>
        <v>0</v>
      </c>
      <c r="AU16" s="19">
        <f t="shared" si="1"/>
        <v>0</v>
      </c>
      <c r="AV16" s="19">
        <f t="shared" si="1"/>
        <v>0</v>
      </c>
      <c r="AW16" s="19">
        <f t="shared" si="1"/>
        <v>0</v>
      </c>
      <c r="AX16" s="19">
        <f t="shared" si="1"/>
        <v>0</v>
      </c>
      <c r="AY16" s="19">
        <f t="shared" si="1"/>
        <v>0</v>
      </c>
      <c r="AZ16" s="19">
        <f t="shared" si="1"/>
        <v>0</v>
      </c>
      <c r="BA16" s="19">
        <f t="shared" si="1"/>
        <v>0</v>
      </c>
      <c r="BB16" s="19">
        <f t="shared" si="1"/>
        <v>0</v>
      </c>
      <c r="BC16" s="19">
        <f t="shared" si="1"/>
        <v>0</v>
      </c>
      <c r="BD16" s="19">
        <f t="shared" si="1"/>
        <v>0</v>
      </c>
      <c r="BE16" s="19">
        <f t="shared" si="1"/>
        <v>0</v>
      </c>
      <c r="BF16" s="19">
        <f t="shared" si="1"/>
        <v>0</v>
      </c>
    </row>
    <row r="17" spans="1:36">
      <c r="A17" s="74" t="str">
        <f>Constants!E7</f>
        <v>PT-V</v>
      </c>
      <c r="B17" s="16">
        <f>SUMIFS(Klokus!$F$55:$F$67,Klokus!$B$55:$B$67, B$15,Klokus!$H$55:$H$67,$A17)*(1+Constants!$B$9)</f>
        <v>0</v>
      </c>
      <c r="C17" s="16">
        <f>SUMIFS(Klokus!$F$55:$F$67,Klokus!$B$55:$B$67, C$15,Klokus!$H$55:$H$67,$A17)</f>
        <v>0</v>
      </c>
      <c r="D17" s="16">
        <f>SUMIFS(Klokus!$F$55:$F$67,Klokus!$B$55:$B$67, D$15,Klokus!$H$55:$H$67,$A17)*(1+Constants!$B$9)</f>
        <v>0</v>
      </c>
      <c r="E17" s="16">
        <f>SUMIFS(Klokus!$F$55:$F$67,Klokus!$B$55:$B$67, E$15,Klokus!$H$55:$H$67,$A17)*(1+Constants!$B$9)</f>
        <v>0</v>
      </c>
      <c r="F17" s="16">
        <f>SUMIFS(Klokus!$F$55:$F$67,Klokus!$B$55:$B$67, F$15,Klokus!$H$55:$H$67,$A17)</f>
        <v>0</v>
      </c>
      <c r="G17" s="74" t="s">
        <v>38</v>
      </c>
      <c r="H17" s="78">
        <f>SUM(AD16:BZ16)</f>
        <v>0</v>
      </c>
      <c r="I17" s="76" cm="1">
        <f t="array" ref="I17">SUM(IF($B$71:$B$87="External",$F$71:$F$87*$H$71:$H$87,0))</f>
        <v>0</v>
      </c>
      <c r="J17" s="79"/>
      <c r="K17" s="80"/>
      <c r="L17" s="77" t="s">
        <v>63</v>
      </c>
      <c r="M17" s="76">
        <f>J16-K16</f>
        <v>0</v>
      </c>
      <c r="N17" s="17"/>
      <c r="O17" s="17"/>
      <c r="P17" s="17"/>
      <c r="Q17" s="17"/>
      <c r="R17" s="16"/>
      <c r="S17" s="17"/>
      <c r="T17" s="17"/>
      <c r="U17" s="17"/>
      <c r="V17" s="17"/>
      <c r="W17" s="17"/>
      <c r="X17" s="17"/>
      <c r="Y17" s="17"/>
      <c r="Z17" s="17"/>
      <c r="AA17" s="17"/>
      <c r="AB17" s="17"/>
      <c r="AC17" s="17"/>
      <c r="AD17" s="17"/>
      <c r="AE17" s="17"/>
    </row>
    <row r="18" spans="1:36">
      <c r="A18" s="74" t="str">
        <f>Constants!E8</f>
        <v>PT-ZZP</v>
      </c>
      <c r="B18" s="16">
        <f>SUMIFS(Klokus!$F$55:$F$67,Klokus!$B$55:$B$67, B$15,Klokus!$H$55:$H$67,$A18)*(1+Constants!$B$7)</f>
        <v>0</v>
      </c>
      <c r="C18" s="16">
        <f>SUMIFS(Klokus!$F$55:$F$67,Klokus!$B$55:$B$67, C$15,Klokus!$H$55:$H$67,$A18)</f>
        <v>0</v>
      </c>
      <c r="D18" s="16">
        <f>SUMIFS(Klokus!$F$55:$F$67,Klokus!$B$55:$B$67, D$15,Klokus!$H$55:$H$67,$A18)*(1+Constants!$B$7)</f>
        <v>0</v>
      </c>
      <c r="E18" s="16">
        <f>SUMIFS(Klokus!$F$55:$F$67,Klokus!$B$55:$B$67, E$15,Klokus!$H$55:$H$67,$A18)*(1+Constants!$B$7)</f>
        <v>0</v>
      </c>
      <c r="F18" s="16">
        <f>SUMIFS(Klokus!$F$55:$F$67,Klokus!$B$55:$B$67, F$15,Klokus!$H$55:$H$67,$A18)*(1+Constants!$B$7)</f>
        <v>0</v>
      </c>
      <c r="G18" s="74"/>
      <c r="H18" s="78"/>
      <c r="I18" s="76"/>
      <c r="J18" s="79"/>
      <c r="K18" s="80"/>
      <c r="L18" s="77" t="s">
        <v>60</v>
      </c>
      <c r="M18" s="76" t="str">
        <f>IF(I17-Constants!I17*$B$7&gt;0,$I$17-Constants!I17*$B$7,"-")</f>
        <v>-</v>
      </c>
      <c r="N18" s="17"/>
      <c r="O18" s="17"/>
      <c r="P18" s="17"/>
      <c r="Q18" s="17"/>
      <c r="R18" s="16"/>
      <c r="S18" s="17"/>
      <c r="T18" s="17"/>
      <c r="U18" s="17"/>
      <c r="V18" s="17"/>
      <c r="W18" s="17"/>
      <c r="X18" s="17"/>
      <c r="Y18" s="17"/>
      <c r="Z18" s="17"/>
      <c r="AA18" s="17"/>
      <c r="AB18" s="17"/>
      <c r="AC18" s="17"/>
      <c r="AD18" s="17"/>
      <c r="AE18" s="17"/>
    </row>
    <row r="19" spans="1:36">
      <c r="A19" s="74" t="str">
        <f>Constants!E9</f>
        <v>RT</v>
      </c>
      <c r="B19" s="16">
        <f>SUMIFS(Klokus!$F$55:$F$67,Klokus!$B$55:$B$67, B$15,Klokus!$H$55:$H$67,$A19)</f>
        <v>0</v>
      </c>
      <c r="C19" s="16">
        <f>SUMIFS(Klokus!$F$55:$F$67,Klokus!$B$55:$B$67, C$15,Klokus!$H$55:$H$67,$A19)</f>
        <v>0</v>
      </c>
      <c r="D19" s="16">
        <f>SUMIFS(Klokus!$F$55:$F$67,Klokus!$B$55:$B$67, D$15,Klokus!$H$55:$H$67,$A19)</f>
        <v>0</v>
      </c>
      <c r="E19" s="16">
        <f>SUMIFS(Klokus!$F$55:$F$67,Klokus!$B$55:$B$67, E$15,Klokus!$H$55:$H$67,$A19)</f>
        <v>0</v>
      </c>
      <c r="F19" s="16">
        <f>SUMIFS(Klokus!$F$55:$F$67,Klokus!$B$55:$B$67, F$15,Klokus!$H$55:$H$67,$A19)</f>
        <v>0</v>
      </c>
      <c r="G19" s="74" t="s">
        <v>396</v>
      </c>
      <c r="H19" s="78"/>
      <c r="I19" s="76">
        <f>IF(B7*Constants!I17&lt;I17,B7*Constants!I17,I17)</f>
        <v>0</v>
      </c>
      <c r="J19" s="79"/>
      <c r="K19" s="80"/>
      <c r="L19" s="77" t="s">
        <v>431</v>
      </c>
      <c r="M19" s="255"/>
      <c r="N19" s="17"/>
      <c r="O19" s="17"/>
      <c r="P19" s="17"/>
      <c r="Q19" s="17"/>
      <c r="R19" s="16"/>
      <c r="S19" s="17"/>
      <c r="T19" s="17"/>
      <c r="U19" s="17"/>
      <c r="V19" s="17"/>
      <c r="W19" s="17"/>
      <c r="X19" s="17"/>
      <c r="Y19" s="17"/>
      <c r="Z19" s="17"/>
      <c r="AA19" s="17"/>
      <c r="AB19" s="17"/>
      <c r="AC19" s="17"/>
      <c r="AD19" s="17"/>
      <c r="AE19" s="17"/>
    </row>
    <row r="20" spans="1:36">
      <c r="A20" s="74" t="str">
        <f>Constants!E10</f>
        <v>Extern</v>
      </c>
      <c r="B20" s="16">
        <f>SUMIFS(Klokus!$F$55:$F$67,Klokus!$B$55:$B$67, B$15,Klokus!$H$55:$H$67,$A20)</f>
        <v>0</v>
      </c>
      <c r="C20" s="16">
        <f>SUMIFS(Klokus!$F$55:$F$67,Klokus!$B$55:$B$67, C$15,Klokus!$H$55:$H$67,$A20)</f>
        <v>0</v>
      </c>
      <c r="D20" s="16">
        <f>SUMIFS(Klokus!$F$55:$F$67,Klokus!$B$55:$B$67, D$15,Klokus!$H$55:$H$67,$A20)</f>
        <v>0</v>
      </c>
      <c r="E20" s="16">
        <f>SUMIFS(Klokus!$F$55:$F$67,Klokus!$B$55:$B$67, E$15,Klokus!$H$55:$H$67,$A20)</f>
        <v>0</v>
      </c>
      <c r="F20" s="16">
        <f>SUMIFS(Klokus!$F$55:$F$67,Klokus!$B$55:$B$67, F$15,Klokus!$H$55:$H$67,$A20)</f>
        <v>0</v>
      </c>
      <c r="G20" s="81"/>
      <c r="H20" s="16"/>
      <c r="I20" s="75"/>
      <c r="J20" s="79"/>
      <c r="K20" s="82"/>
      <c r="L20" s="83"/>
      <c r="M20" s="84"/>
      <c r="N20" s="17"/>
      <c r="O20" s="17"/>
      <c r="P20" s="17"/>
      <c r="Q20" s="17"/>
      <c r="R20" s="16"/>
      <c r="S20" s="17"/>
      <c r="T20" s="17"/>
      <c r="U20" s="17"/>
      <c r="V20" s="17"/>
      <c r="W20" s="17"/>
      <c r="X20" s="17"/>
      <c r="Y20" s="17"/>
      <c r="Z20" s="17"/>
      <c r="AA20" s="17"/>
      <c r="AB20" s="17"/>
      <c r="AC20" s="17"/>
      <c r="AD20" s="17"/>
      <c r="AE20" s="17"/>
    </row>
    <row r="21" spans="1:36">
      <c r="A21" s="74" t="str">
        <f>CONCATENATE(A18," Costs")</f>
        <v>PT-ZZP Costs</v>
      </c>
      <c r="B21" s="78">
        <f t="array" ref="B21">SUM(IF(Klokus!$B$55:$B$67=B$15,IF(Klokus!$H$55:$H$67="PT-ZZP",Klokus!$F$55:$F$67*Klokus!$I$55:$I$67*(1+Constants!$B$7),0),0))</f>
        <v>0</v>
      </c>
      <c r="C21" s="78">
        <f t="array" ref="C21">SUM(IF(Klokus!$B$55:$B$67=C$15,IF(Klokus!$H$55:$H$67="PT-ZZP",Klokus!$F$55:$F$67*Klokus!$I$55:$I$67,0),0))</f>
        <v>0</v>
      </c>
      <c r="D21" s="78">
        <f t="array" ref="D21">SUM(IF(Klokus!$B$55:$B$67=D$15,IF(Klokus!$H$55:$H$67="PT-ZZP",Klokus!$F$55:$F$67*Klokus!$I$55:$I$67*(1+Constants!$B$7),0),0))</f>
        <v>0</v>
      </c>
      <c r="E21" s="78">
        <f t="array" ref="E21">SUM(IF(Klokus!$B$55:$B$67=E$15,IF(Klokus!$H$55:$H$67="PT-ZZP",Klokus!$F$55:$F$67*Klokus!$I$55:$I$67*(1+Constants!$B$7),0),0))</f>
        <v>0</v>
      </c>
      <c r="F21" s="78">
        <f t="array" ref="F21">SUM(IF(Klokus!$B$55:$B$67=F$15,IF(Klokus!$H$55:$H$67="PT-ZZP",Klokus!$F$55:$F$67*Klokus!$I$55:$I$67*(1+Constants!$B$7),0),0))</f>
        <v>0</v>
      </c>
      <c r="G21" s="81"/>
      <c r="H21" s="16"/>
      <c r="I21" s="75"/>
      <c r="J21" s="79"/>
      <c r="K21" s="82"/>
      <c r="L21" s="77" t="s">
        <v>5</v>
      </c>
      <c r="M21" s="76">
        <f>SUM(M15:M20)</f>
        <v>0</v>
      </c>
      <c r="N21" s="17"/>
      <c r="O21" s="17"/>
      <c r="P21" s="17"/>
      <c r="Q21" s="17"/>
      <c r="R21" s="16"/>
      <c r="S21" s="17"/>
      <c r="T21" s="17"/>
      <c r="U21" s="17"/>
      <c r="V21" s="17"/>
      <c r="W21" s="17"/>
      <c r="X21" s="17"/>
      <c r="Y21" s="17"/>
      <c r="Z21" s="17"/>
      <c r="AA21" s="17"/>
      <c r="AB21" s="17"/>
      <c r="AC21" s="17"/>
      <c r="AD21" s="17"/>
      <c r="AE21" s="17"/>
    </row>
    <row r="22" spans="1:36" ht="15.75" customHeight="1" thickBot="1">
      <c r="A22" s="74" t="str">
        <f>CONCATENATE(A20," Costs")</f>
        <v>Extern Costs</v>
      </c>
      <c r="B22" s="78">
        <f t="array" ref="B22">SUM(IF(Klokus!$B$55:$B$67=B$15,IF(Klokus!$H$55:$H$67="Extern",Klokus!$F$55:$F$67*Klokus!$I$55:$I$67,0),0))</f>
        <v>0</v>
      </c>
      <c r="C22" s="78">
        <f t="array" ref="C22">SUM(IF(Klokus!$B$55:$B$67=C$15,IF(Klokus!$H$55:$H$67="Extern",Klokus!$F$55:$F$67*Klokus!$I$55:$I$67,0),0))</f>
        <v>0</v>
      </c>
      <c r="D22" s="78">
        <f t="array" ref="D22">SUM(IF(Klokus!$B$55:$B$67=D$15,IF(Klokus!$H$55:$H$67="Extern",Klokus!$F$55:$F$67*Klokus!$I$55:$I$67,0),0))</f>
        <v>0</v>
      </c>
      <c r="E22" s="78">
        <f t="array" ref="E22">SUM(IF(Klokus!$B$55:$B$67=E$15,IF(Klokus!$H$55:$H$67="Extern",Klokus!$F$55:$F$67*Klokus!$I$55:$I$67,0),0))</f>
        <v>0</v>
      </c>
      <c r="F22" s="76">
        <f t="array" ref="F22">SUM(IF(Klokus!$B$55:$B$67=F$15,IF(Klokus!$H$55:$H$67="Extern",Klokus!$F$55:$F$67*Klokus!$I$55:$I$67,0),0))</f>
        <v>0</v>
      </c>
      <c r="G22" s="85"/>
      <c r="H22" s="177"/>
      <c r="I22" s="86"/>
      <c r="J22" s="87"/>
      <c r="K22" s="88"/>
      <c r="L22" s="87"/>
      <c r="M22" s="88"/>
      <c r="N22" s="17"/>
      <c r="O22" s="17"/>
      <c r="P22" s="17"/>
      <c r="Q22" s="17"/>
      <c r="R22" s="16"/>
      <c r="S22" s="17"/>
      <c r="T22" s="17"/>
      <c r="U22" s="17"/>
      <c r="V22" s="17"/>
      <c r="W22" s="17"/>
      <c r="X22" s="17"/>
      <c r="Y22" s="17"/>
      <c r="Z22" s="17"/>
      <c r="AA22" s="17"/>
      <c r="AB22" s="17"/>
      <c r="AC22" s="17"/>
      <c r="AD22" s="17"/>
      <c r="AE22" s="17"/>
    </row>
    <row r="23" spans="1:36" ht="15" customHeight="1" thickTop="1">
      <c r="A23" s="74" t="s">
        <v>432</v>
      </c>
      <c r="B23" s="78"/>
      <c r="C23" s="78"/>
      <c r="D23" s="78"/>
      <c r="E23" s="78"/>
      <c r="F23" s="76">
        <f t="array" ref="F23">SUMIFS(Klokus!$F$55:$F$67,Klokus!$B$55:$B$67,"Mentorship",Klokus!$H$55:$H$67,"PT-V")*Constants!B8+SUMIFS(Klokus!$F$55:$F$67,Klokus!$B$55:$B$67,"Mentorship",Klokus!$H$55:$H$67,"PT")*Constants!B6+SUMPRODUCT(IF(Klokus!$B$55:$B$67="Mentorship",IF(Klokus!$H$55:$H$67="PT-ZZP",Klokus!$F$55:$F$67*Klokus!$I$55:$I$67,0)))</f>
        <v>0</v>
      </c>
    </row>
    <row r="24" spans="1:36" ht="15" customHeight="1" thickBot="1">
      <c r="A24" s="89" t="s">
        <v>433</v>
      </c>
      <c r="B24" s="178"/>
      <c r="C24" s="178"/>
      <c r="D24" s="178"/>
      <c r="E24" s="178">
        <f>SUMIF(Klokus!$B$55:$B$67,"External Trainer Course",Klokus!$I$55:$I$67)</f>
        <v>0</v>
      </c>
      <c r="F24" s="90"/>
    </row>
    <row r="25" spans="1:36" ht="15.75" customHeight="1" thickTop="1">
      <c r="A25" s="16"/>
      <c r="B25" s="16"/>
      <c r="C25" s="16"/>
      <c r="D25" s="16"/>
      <c r="E25" s="17"/>
      <c r="F25" s="17"/>
      <c r="G25" s="17"/>
      <c r="H25" s="17"/>
      <c r="I25" s="17"/>
      <c r="J25" s="17"/>
      <c r="K25" s="17"/>
      <c r="L25" s="17"/>
      <c r="M25" s="17"/>
      <c r="N25" s="17"/>
      <c r="O25" s="17"/>
      <c r="P25" s="17"/>
      <c r="Q25" s="16"/>
      <c r="R25" s="17"/>
      <c r="S25" s="17"/>
      <c r="T25" s="17"/>
      <c r="U25" s="17"/>
      <c r="V25" s="17"/>
      <c r="W25" s="17"/>
      <c r="X25" s="17"/>
      <c r="Y25" s="17"/>
      <c r="Z25" s="17"/>
      <c r="AA25" s="17"/>
      <c r="AB25" s="17"/>
      <c r="AC25" s="17"/>
      <c r="AD25" s="17"/>
    </row>
    <row r="26" spans="1:36" ht="15.75" customHeight="1">
      <c r="A26" s="16"/>
      <c r="B26" s="16"/>
      <c r="C26" s="16"/>
      <c r="D26" s="16"/>
      <c r="E26" s="17"/>
      <c r="F26" s="17"/>
      <c r="G26" s="17"/>
      <c r="H26" s="17"/>
      <c r="I26" s="17"/>
      <c r="J26" s="17"/>
      <c r="K26" s="17"/>
      <c r="L26" s="17"/>
      <c r="M26" s="17"/>
      <c r="N26" s="17"/>
      <c r="O26" s="17"/>
      <c r="P26" s="17"/>
      <c r="Q26" s="16"/>
      <c r="R26" s="17"/>
      <c r="S26" s="17"/>
      <c r="T26" s="17"/>
      <c r="U26" s="17"/>
      <c r="V26" s="17"/>
      <c r="W26" s="17"/>
      <c r="X26" s="17"/>
      <c r="Y26" s="17"/>
      <c r="Z26" s="17"/>
      <c r="AA26" s="17"/>
      <c r="AB26" s="17"/>
      <c r="AC26" s="17"/>
      <c r="AD26" s="17"/>
    </row>
    <row r="27" spans="1:36" ht="15.75" customHeight="1" thickBot="1">
      <c r="A27" s="91" t="s">
        <v>434</v>
      </c>
      <c r="B27" s="17"/>
      <c r="C27" s="17"/>
      <c r="D27" s="17"/>
      <c r="E27" s="17"/>
      <c r="F27" s="17"/>
      <c r="G27" s="92"/>
      <c r="H27" s="19"/>
      <c r="I27" s="17"/>
      <c r="J27" s="17"/>
      <c r="K27" s="17"/>
      <c r="L27" s="17"/>
      <c r="M27" s="17"/>
      <c r="N27" s="17"/>
      <c r="O27" s="17"/>
      <c r="P27" s="17"/>
      <c r="Q27" s="16"/>
      <c r="R27" s="17"/>
      <c r="S27" s="17"/>
      <c r="T27" s="17"/>
      <c r="U27" s="17"/>
      <c r="V27" s="17"/>
      <c r="W27" s="17"/>
      <c r="X27" s="17"/>
      <c r="Y27" s="17"/>
      <c r="Z27" s="17"/>
      <c r="AA27" s="17"/>
      <c r="AB27" s="17"/>
      <c r="AC27" s="17"/>
      <c r="AD27" s="17"/>
    </row>
    <row r="28" spans="1:36" ht="15.75" customHeight="1" thickTop="1" thickBot="1">
      <c r="A28" s="706" t="s">
        <v>435</v>
      </c>
      <c r="B28" s="707"/>
      <c r="C28" s="707"/>
      <c r="D28" s="707"/>
      <c r="E28" s="707"/>
      <c r="F28" s="708"/>
      <c r="G28" s="15"/>
      <c r="H28" s="17"/>
      <c r="I28" s="17"/>
      <c r="J28" s="17"/>
      <c r="K28" s="17"/>
      <c r="L28" s="17"/>
      <c r="M28" s="17"/>
      <c r="N28" s="17"/>
      <c r="O28" s="17"/>
      <c r="P28" s="17"/>
      <c r="Q28" s="16"/>
      <c r="R28" s="17"/>
      <c r="S28" s="17"/>
      <c r="T28" s="17"/>
      <c r="U28" s="17"/>
      <c r="V28" s="17"/>
      <c r="W28" s="17"/>
      <c r="X28" s="17"/>
      <c r="Y28" s="17"/>
      <c r="Z28" s="17"/>
      <c r="AA28" s="17"/>
      <c r="AB28" s="17"/>
      <c r="AC28" s="17"/>
      <c r="AD28" s="242" t="s">
        <v>436</v>
      </c>
      <c r="AE28" s="16"/>
      <c r="AF28" s="128"/>
      <c r="AG28" s="51"/>
      <c r="AH28" s="51"/>
      <c r="AI28" s="51"/>
      <c r="AJ28" s="51"/>
    </row>
    <row r="29" spans="1:36" ht="15.75" customHeight="1" thickBot="1">
      <c r="A29" s="709" t="s">
        <v>437</v>
      </c>
      <c r="B29" s="696"/>
      <c r="C29" s="696"/>
      <c r="D29" s="696"/>
      <c r="E29" s="696"/>
      <c r="F29" s="710"/>
      <c r="G29" s="17"/>
      <c r="H29" s="17"/>
      <c r="I29" s="17"/>
      <c r="J29" s="17"/>
      <c r="K29" s="17"/>
      <c r="L29" s="17"/>
      <c r="M29" s="17"/>
      <c r="N29" s="17"/>
      <c r="O29" s="17"/>
      <c r="P29" s="17"/>
      <c r="Q29" s="16"/>
      <c r="R29" s="17"/>
      <c r="S29" s="17"/>
      <c r="T29" s="17"/>
      <c r="U29" s="17"/>
      <c r="V29" s="17"/>
      <c r="W29" s="17"/>
      <c r="X29" s="17"/>
      <c r="Y29" s="17"/>
      <c r="Z29" s="17"/>
      <c r="AA29" s="17"/>
      <c r="AB29" s="17"/>
      <c r="AC29" s="17"/>
      <c r="AD29" s="243" t="s">
        <v>438</v>
      </c>
      <c r="AE29" s="243" t="s">
        <v>439</v>
      </c>
      <c r="AF29" s="243" t="s">
        <v>440</v>
      </c>
      <c r="AG29" s="711" t="s">
        <v>441</v>
      </c>
      <c r="AH29" s="712"/>
      <c r="AI29" s="711" t="s">
        <v>434</v>
      </c>
      <c r="AJ29" s="712"/>
    </row>
    <row r="30" spans="1:36" ht="15.75" customHeight="1" thickBot="1">
      <c r="A30" s="709" t="s">
        <v>442</v>
      </c>
      <c r="B30" s="696"/>
      <c r="C30" s="696"/>
      <c r="D30" s="696"/>
      <c r="E30" s="696"/>
      <c r="F30" s="710"/>
      <c r="G30" s="17"/>
      <c r="H30" s="17"/>
      <c r="I30" s="17"/>
      <c r="J30" s="17"/>
      <c r="K30" s="17"/>
      <c r="L30" s="17"/>
      <c r="M30" s="17"/>
      <c r="N30" s="17"/>
      <c r="O30" s="17"/>
      <c r="P30" s="17"/>
      <c r="Q30" s="16"/>
      <c r="R30" s="17"/>
      <c r="S30" s="17"/>
      <c r="T30" s="17"/>
      <c r="U30" s="17"/>
      <c r="V30" s="17"/>
      <c r="W30" s="17"/>
      <c r="X30" s="17"/>
      <c r="Y30" s="17"/>
      <c r="Z30" s="17"/>
      <c r="AA30" s="17"/>
      <c r="AB30" s="17"/>
      <c r="AC30" s="17"/>
      <c r="AD30" s="244" t="str">
        <f>IF($B$12="individual",Constants!F55,Constants!L55)</f>
        <v>member count</v>
      </c>
      <c r="AE30" s="244">
        <f>B7</f>
        <v>78</v>
      </c>
      <c r="AF30" s="269">
        <f>IF(AE30&gt;=301,5,IF(AE30&gt;=176,4,IF(AE30&gt;=101,3,IF(AE30&gt;=51,2,1))))</f>
        <v>2</v>
      </c>
      <c r="AG30" s="560"/>
      <c r="AH30" s="560"/>
      <c r="AI30" s="560" t="s">
        <v>443</v>
      </c>
      <c r="AJ30" s="560"/>
    </row>
    <row r="31" spans="1:36" ht="15" customHeight="1" thickBot="1">
      <c r="A31" s="709" t="s">
        <v>444</v>
      </c>
      <c r="B31" s="696"/>
      <c r="C31" s="696"/>
      <c r="D31" s="696"/>
      <c r="E31" s="696"/>
      <c r="F31" s="710"/>
      <c r="G31" s="17"/>
      <c r="H31" s="17"/>
      <c r="I31" s="17"/>
      <c r="J31" s="17"/>
      <c r="K31" s="17"/>
      <c r="L31" s="17"/>
      <c r="M31" s="17"/>
      <c r="N31" s="17"/>
      <c r="O31" s="17"/>
      <c r="P31" s="17"/>
      <c r="Q31" s="16"/>
      <c r="R31" s="17"/>
      <c r="S31" s="17"/>
      <c r="T31" s="17"/>
      <c r="U31" s="17"/>
      <c r="V31" s="17"/>
      <c r="W31" s="17"/>
      <c r="X31" s="17"/>
      <c r="Y31" s="17"/>
      <c r="Z31" s="17"/>
      <c r="AA31" s="17"/>
      <c r="AB31" s="17"/>
      <c r="AC31" s="17"/>
      <c r="AD31" s="244" t="str">
        <f>IF($B$12="individual",Constants!F56,Constants!L56)</f>
        <v>number of trainings per week</v>
      </c>
      <c r="AE31" s="310">
        <v>1</v>
      </c>
      <c r="AF31" s="270">
        <f>IF(AE31&gt;=4,3,IF(AE31&gt;=3,2,IF(AE31&gt;=2,1,0)))</f>
        <v>0</v>
      </c>
      <c r="AG31" s="560"/>
      <c r="AH31" s="560"/>
      <c r="AI31" s="560"/>
      <c r="AJ31" s="560"/>
    </row>
    <row r="32" spans="1:36" ht="15.75" customHeight="1" thickBot="1">
      <c r="A32" s="709" t="s">
        <v>445</v>
      </c>
      <c r="B32" s="696"/>
      <c r="C32" s="696"/>
      <c r="D32" s="696"/>
      <c r="E32" s="696"/>
      <c r="F32" s="710"/>
      <c r="G32" s="17"/>
      <c r="H32" s="16"/>
      <c r="I32" s="16"/>
      <c r="J32" s="16"/>
      <c r="K32" s="17"/>
      <c r="L32" s="17"/>
      <c r="M32" s="17"/>
      <c r="N32" s="17"/>
      <c r="O32" s="17"/>
      <c r="P32" s="17"/>
      <c r="Q32" s="16"/>
      <c r="R32" s="17"/>
      <c r="S32" s="17"/>
      <c r="T32" s="17"/>
      <c r="U32" s="17"/>
      <c r="V32" s="17"/>
      <c r="W32" s="17"/>
      <c r="X32" s="17"/>
      <c r="Y32" s="17"/>
      <c r="Z32" s="17"/>
      <c r="AA32" s="17"/>
      <c r="AB32" s="17"/>
      <c r="AC32" s="17"/>
      <c r="AD32" s="244" t="str">
        <f>IF($B$12="individual",Constants!F57,Constants!L57)</f>
        <v>number of trainings weeks per year</v>
      </c>
      <c r="AE32" s="252">
        <v>10</v>
      </c>
      <c r="AF32" s="250">
        <f>IF(AE32&gt;=40,3,IF(AE32&gt;=35,2,1))</f>
        <v>1</v>
      </c>
      <c r="AG32" s="560"/>
      <c r="AH32" s="560"/>
      <c r="AI32" s="560"/>
      <c r="AJ32" s="560"/>
    </row>
    <row r="33" spans="1:58" ht="15.75" customHeight="1" thickBot="1">
      <c r="A33" s="93" t="s">
        <v>446</v>
      </c>
      <c r="F33" s="94"/>
      <c r="G33" s="17"/>
      <c r="H33" s="16"/>
      <c r="I33" s="16"/>
      <c r="J33" s="16"/>
      <c r="K33" s="17"/>
      <c r="L33" s="17"/>
      <c r="M33" s="17"/>
      <c r="N33" s="17"/>
      <c r="O33" s="17"/>
      <c r="P33" s="17"/>
      <c r="Q33" s="16"/>
      <c r="R33" s="17"/>
      <c r="S33" s="17"/>
      <c r="T33" s="17"/>
      <c r="U33" s="17"/>
      <c r="V33" s="17"/>
      <c r="W33" s="17"/>
      <c r="X33" s="17"/>
      <c r="Y33" s="17"/>
      <c r="Z33" s="17"/>
      <c r="AA33" s="17"/>
      <c r="AB33" s="17"/>
      <c r="AC33" s="17"/>
      <c r="AD33" s="244" t="str">
        <f>IF($B$12="individual",Constants!F58,Constants!L58)</f>
        <v>number of training hours by RT / PT-V</v>
      </c>
      <c r="AE33" s="251">
        <v>0</v>
      </c>
      <c r="AF33" s="270">
        <f>IF(AE33&gt;0.9,3,IF(AE33&gt;0.6,2,IF(AE33&gt;0.3,1,0)))</f>
        <v>0</v>
      </c>
      <c r="AG33" s="560"/>
      <c r="AH33" s="560"/>
      <c r="AI33" s="560"/>
      <c r="AJ33" s="560"/>
    </row>
    <row r="34" spans="1:58" ht="15.75" customHeight="1" thickBot="1">
      <c r="A34" s="713" t="s">
        <v>447</v>
      </c>
      <c r="B34" s="714"/>
      <c r="C34" s="714"/>
      <c r="D34" s="714"/>
      <c r="E34" s="714"/>
      <c r="F34" s="715"/>
      <c r="G34" s="17"/>
      <c r="H34" s="16"/>
      <c r="I34" s="16"/>
      <c r="J34" s="16"/>
      <c r="K34" s="17"/>
      <c r="L34" s="17"/>
      <c r="M34" s="17"/>
      <c r="N34" s="17"/>
      <c r="O34" s="17"/>
      <c r="P34" s="17"/>
      <c r="Q34" s="16"/>
      <c r="R34" s="17"/>
      <c r="S34" s="17"/>
      <c r="T34" s="17"/>
      <c r="U34" s="17"/>
      <c r="V34" s="17"/>
      <c r="W34" s="17"/>
      <c r="X34" s="17"/>
      <c r="Y34" s="17"/>
      <c r="Z34" s="17"/>
      <c r="AA34" s="17"/>
      <c r="AB34" s="17"/>
      <c r="AC34" s="17"/>
      <c r="AD34" s="244" t="str">
        <f>IF($B$12="individual",Constants!F59,Constants!L59)</f>
        <v>number of training groups / teams</v>
      </c>
      <c r="AE34" s="244">
        <v>1</v>
      </c>
      <c r="AF34" s="271">
        <f>IF(AE34&gt;9,3,IF(AE34&gt;4,2,IF(AE34&gt;2,1,0)))</f>
        <v>0</v>
      </c>
      <c r="AG34" s="560"/>
      <c r="AH34" s="560"/>
      <c r="AI34" s="560"/>
      <c r="AJ34" s="560"/>
    </row>
    <row r="35" spans="1:58" ht="15.75" customHeight="1" thickTop="1" thickBot="1">
      <c r="A35" s="16"/>
      <c r="G35" s="17"/>
      <c r="H35" s="16"/>
      <c r="I35" s="16"/>
      <c r="J35" s="16"/>
      <c r="K35" s="17"/>
      <c r="L35" s="17"/>
      <c r="M35" s="17"/>
      <c r="N35" s="17"/>
      <c r="O35" s="17"/>
      <c r="P35" s="17"/>
      <c r="Q35" s="16"/>
      <c r="R35" s="17"/>
      <c r="S35" s="17"/>
      <c r="T35" s="17"/>
      <c r="U35" s="17"/>
      <c r="V35" s="17"/>
      <c r="W35" s="17"/>
      <c r="X35" s="17"/>
      <c r="Y35" s="17"/>
      <c r="Z35" s="17"/>
      <c r="AA35" s="17"/>
      <c r="AB35" s="17"/>
      <c r="AC35" s="17"/>
      <c r="AD35" s="244" t="str">
        <f>IF($B$12="individual",Constants!F60,Constants!L60)</f>
        <v>number of competitions organised</v>
      </c>
      <c r="AE35" s="249">
        <v>2</v>
      </c>
      <c r="AF35" s="271">
        <f>IF(AE35&gt;=4,5,IF(AE35&gt;=2,3,IF(AE35&gt;=1,1,0)))</f>
        <v>3</v>
      </c>
      <c r="AG35" s="560"/>
      <c r="AH35" s="560"/>
      <c r="AI35" s="560"/>
      <c r="AJ35" s="560"/>
    </row>
    <row r="36" spans="1:58" ht="15.75" customHeight="1" thickBot="1">
      <c r="A36" s="179" t="s">
        <v>448</v>
      </c>
      <c r="B36" s="16"/>
      <c r="C36" s="16"/>
      <c r="D36" s="16"/>
      <c r="E36" s="16"/>
      <c r="F36" s="16"/>
      <c r="G36" s="16"/>
      <c r="H36" s="16"/>
      <c r="I36" s="16"/>
      <c r="J36" s="16"/>
      <c r="K36" s="16"/>
      <c r="L36" s="16"/>
      <c r="M36" s="16"/>
      <c r="N36" s="16"/>
      <c r="O36" s="16"/>
      <c r="P36" s="16"/>
      <c r="Q36" s="16"/>
      <c r="R36" s="16"/>
      <c r="S36" s="16"/>
      <c r="T36" s="16"/>
      <c r="U36" s="16"/>
      <c r="V36" s="16"/>
      <c r="W36" s="16"/>
      <c r="X36" s="16"/>
      <c r="Y36" s="16"/>
      <c r="Z36" s="16"/>
      <c r="AA36" s="16"/>
      <c r="AB36" s="18"/>
      <c r="AC36" s="16"/>
      <c r="AD36" s="244" t="str">
        <f>IF($B$12="individual",Constants!F61,Constants!L61)</f>
        <v>number of social activities</v>
      </c>
      <c r="AE36" s="249">
        <v>2</v>
      </c>
      <c r="AF36" s="271">
        <f>IF(AE36&gt;=20,2,IF(AE36&gt;=10,1,0))</f>
        <v>0</v>
      </c>
      <c r="AG36" s="560"/>
      <c r="AH36" s="560"/>
      <c r="AI36" s="560"/>
      <c r="AJ36" s="560"/>
    </row>
    <row r="37" spans="1:58" ht="15" customHeight="1" thickTop="1" thickBot="1">
      <c r="A37" s="95" t="s">
        <v>449</v>
      </c>
      <c r="B37" s="96" t="s">
        <v>450</v>
      </c>
      <c r="C37" s="95" t="s">
        <v>451</v>
      </c>
      <c r="D37" s="95" t="s">
        <v>452</v>
      </c>
      <c r="E37" s="95" t="s">
        <v>453</v>
      </c>
      <c r="F37" s="95" t="s">
        <v>454</v>
      </c>
      <c r="G37" s="97" t="s">
        <v>455</v>
      </c>
      <c r="H37" s="561" t="s">
        <v>456</v>
      </c>
      <c r="I37" s="716"/>
      <c r="J37" s="717"/>
      <c r="K37" s="98"/>
      <c r="L37" s="98"/>
      <c r="M37" s="98"/>
      <c r="N37" s="98"/>
      <c r="O37" s="98"/>
      <c r="P37" s="98"/>
      <c r="Q37" s="98"/>
      <c r="R37" s="98"/>
      <c r="S37" s="98"/>
      <c r="T37" s="98"/>
      <c r="U37" s="96"/>
      <c r="V37" s="96"/>
      <c r="W37" s="96"/>
      <c r="X37" s="96"/>
      <c r="Y37" s="99"/>
      <c r="Z37" s="96"/>
      <c r="AA37" s="96"/>
      <c r="AB37" s="100"/>
      <c r="AC37" s="100"/>
      <c r="AD37" s="244" t="str">
        <f>IF($B$12="individual",Constants!F62,Constants!L62)</f>
        <v>number of bar days</v>
      </c>
      <c r="AE37" s="249">
        <v>0</v>
      </c>
      <c r="AF37" s="271">
        <f>IF(AE37&gt;=15,2,IF(AE37&gt;=8,1,0))</f>
        <v>0</v>
      </c>
      <c r="AG37" s="560"/>
      <c r="AH37" s="560"/>
      <c r="AI37" s="560"/>
      <c r="AJ37" s="560"/>
      <c r="AK37" s="100"/>
      <c r="AL37" s="100"/>
      <c r="AM37" s="100"/>
      <c r="AN37" s="100"/>
      <c r="AO37" s="100"/>
      <c r="AP37" s="100"/>
      <c r="AQ37" s="100"/>
      <c r="AR37" s="100"/>
      <c r="AS37" s="100"/>
      <c r="AT37" s="100"/>
      <c r="AU37" s="100"/>
      <c r="AV37" s="100"/>
      <c r="AW37" s="100"/>
      <c r="AX37" s="100"/>
      <c r="AY37" s="100"/>
      <c r="AZ37" s="100"/>
      <c r="BA37" s="100"/>
      <c r="BB37" s="100"/>
      <c r="BC37" s="100"/>
      <c r="BD37" s="100"/>
      <c r="BE37" s="100"/>
      <c r="BF37" s="100"/>
    </row>
    <row r="38" spans="1:58" ht="14.25" customHeight="1" thickBot="1">
      <c r="A38" s="101"/>
      <c r="B38" s="51"/>
      <c r="C38" s="101"/>
      <c r="D38" s="136"/>
      <c r="E38" s="101"/>
      <c r="F38" s="103"/>
      <c r="G38" s="102"/>
      <c r="H38" s="571"/>
      <c r="I38" s="696"/>
      <c r="J38" s="718"/>
      <c r="K38" s="16"/>
      <c r="L38" s="16"/>
      <c r="M38" s="16"/>
      <c r="N38" s="16"/>
      <c r="O38" s="16"/>
      <c r="P38" s="16"/>
      <c r="Q38" s="16"/>
      <c r="R38" s="16"/>
      <c r="S38" s="16"/>
      <c r="T38" s="16"/>
      <c r="U38" s="16"/>
      <c r="V38" s="16"/>
      <c r="W38" s="16"/>
      <c r="X38" s="16"/>
      <c r="Y38" s="17"/>
      <c r="Z38" s="16"/>
      <c r="AA38" s="16"/>
      <c r="AD38" s="244" t="str">
        <f>IF($B$12="individual",Constants!F63,Constants!L63)</f>
        <v>own bar / extra location</v>
      </c>
      <c r="AE38" s="249">
        <v>0</v>
      </c>
      <c r="AF38" s="271">
        <f>IF(AE38&gt;=15,2,IF(AE38&gt;=8,1,0))</f>
        <v>0</v>
      </c>
      <c r="AG38" s="560"/>
      <c r="AH38" s="560"/>
      <c r="AI38" s="560"/>
      <c r="AJ38" s="560"/>
    </row>
    <row r="39" spans="1:58" ht="14.25" customHeight="1" thickBot="1">
      <c r="A39" s="101"/>
      <c r="B39" s="51"/>
      <c r="C39" s="104"/>
      <c r="D39" s="136"/>
      <c r="E39" s="105"/>
      <c r="F39" s="106"/>
      <c r="G39" s="107"/>
      <c r="H39" s="696"/>
      <c r="I39" s="696"/>
      <c r="J39" s="718"/>
      <c r="K39" s="16"/>
      <c r="L39" s="16"/>
      <c r="M39" s="16"/>
      <c r="N39" s="16"/>
      <c r="O39" s="16"/>
      <c r="P39" s="16"/>
      <c r="Q39" s="16"/>
      <c r="R39" s="16"/>
      <c r="S39" s="16"/>
      <c r="T39" s="16"/>
      <c r="U39" s="16"/>
      <c r="V39" s="16"/>
      <c r="W39" s="16"/>
      <c r="X39" s="16"/>
      <c r="Y39" s="17"/>
      <c r="Z39" s="16"/>
      <c r="AA39" s="16"/>
      <c r="AD39" s="244" t="str">
        <f>IF($B$12="individual",Constants!F65,Constants!L64)</f>
        <v>number of competitions attended</v>
      </c>
      <c r="AE39" s="249">
        <v>2</v>
      </c>
      <c r="AF39" s="273">
        <f>IF(B12="individual", IF(AE39&gt;10, 5, IF(AE39&gt;6, 3, IF(AE39&gt;2, 1, 0))), IF(AE39&gt;3, 3, IF(AE39&gt;1, 2, 1)))</f>
        <v>0</v>
      </c>
      <c r="AG39" s="560"/>
      <c r="AH39" s="560"/>
      <c r="AI39" s="560"/>
      <c r="AJ39" s="560"/>
    </row>
    <row r="40" spans="1:58" ht="15.75" customHeight="1" thickBot="1">
      <c r="A40" s="16"/>
      <c r="B40" s="51"/>
      <c r="C40" s="16"/>
      <c r="D40" s="51"/>
      <c r="E40" s="105"/>
      <c r="F40" s="106"/>
      <c r="G40" s="16"/>
      <c r="H40" s="696"/>
      <c r="I40" s="696"/>
      <c r="J40" s="718"/>
      <c r="K40" s="16"/>
      <c r="L40" s="16"/>
      <c r="M40" s="16"/>
      <c r="N40" s="16"/>
      <c r="O40" s="16"/>
      <c r="P40" s="16"/>
      <c r="Q40" s="16"/>
      <c r="R40" s="16"/>
      <c r="S40" s="16"/>
      <c r="T40" s="16"/>
      <c r="U40" s="16"/>
      <c r="V40" s="16"/>
      <c r="W40" s="16"/>
      <c r="X40" s="16"/>
      <c r="Y40" s="16"/>
      <c r="Z40" s="16"/>
      <c r="AA40" s="16"/>
      <c r="AD40" s="231" t="str">
        <f>IF($B$12="individual",Constants!F64,Constants!L65)</f>
        <v>n/a</v>
      </c>
      <c r="AE40" s="231" t="str">
        <f>IF(AD40="n/a","",COUNTA(A46:A50)/COUNTA(A38:A42))</f>
        <v/>
      </c>
      <c r="AF40" s="272" t="str">
        <f>IF(B12="group", IF(AE40&gt;0.15, 5, IF(AE40&gt;0.1, 3, IF(AE40&gt;0.05, 1, 0))), " ")</f>
        <v xml:space="preserve"> </v>
      </c>
      <c r="AG40" s="560"/>
      <c r="AH40" s="560"/>
      <c r="AI40" s="560"/>
      <c r="AJ40" s="560"/>
    </row>
    <row r="41" spans="1:58" ht="15.75" customHeight="1" thickBot="1">
      <c r="A41" s="16"/>
      <c r="B41" s="51"/>
      <c r="C41" s="16"/>
      <c r="D41" s="51"/>
      <c r="E41" s="105"/>
      <c r="F41" s="106"/>
      <c r="G41" s="16"/>
      <c r="H41" s="696"/>
      <c r="I41" s="696"/>
      <c r="J41" s="718"/>
      <c r="K41" s="16"/>
      <c r="L41" s="16"/>
      <c r="M41" s="16"/>
      <c r="N41" s="16"/>
      <c r="O41" s="16"/>
      <c r="P41" s="16"/>
      <c r="Q41" s="16"/>
      <c r="R41" s="16"/>
      <c r="S41" s="16"/>
      <c r="T41" s="16"/>
      <c r="U41" s="16"/>
      <c r="V41" s="16"/>
      <c r="W41" s="16"/>
      <c r="X41" s="16"/>
      <c r="Y41" s="16"/>
      <c r="Z41" s="16"/>
      <c r="AA41" s="16"/>
      <c r="AD41" s="16"/>
      <c r="AE41" s="275" t="s">
        <v>461</v>
      </c>
      <c r="AF41" s="277">
        <f>SUM(AF30:AF40)</f>
        <v>6</v>
      </c>
      <c r="AG41" s="247"/>
      <c r="AH41" s="245"/>
      <c r="AI41" s="246"/>
      <c r="AJ41" s="247"/>
    </row>
    <row r="42" spans="1:58" ht="15.75" customHeight="1" thickBot="1">
      <c r="A42" s="180"/>
      <c r="B42" s="181"/>
      <c r="C42" s="182"/>
      <c r="D42" s="183"/>
      <c r="E42" s="184"/>
      <c r="F42" s="184"/>
      <c r="G42" s="180"/>
      <c r="H42" s="719"/>
      <c r="I42" s="719"/>
      <c r="J42" s="720"/>
      <c r="K42" s="16"/>
      <c r="L42" s="16"/>
      <c r="M42" s="16"/>
      <c r="N42" s="16"/>
      <c r="O42" s="16"/>
      <c r="P42" s="16"/>
      <c r="Q42" s="16"/>
      <c r="R42" s="16"/>
      <c r="S42" s="16"/>
      <c r="T42" s="16"/>
      <c r="U42" s="16"/>
      <c r="V42" s="16"/>
      <c r="W42" s="16"/>
      <c r="X42" s="16"/>
      <c r="Y42" s="16"/>
      <c r="Z42" s="16"/>
      <c r="AA42" s="16"/>
    </row>
    <row r="43" spans="1:58" ht="15.75" customHeight="1" thickTop="1">
      <c r="A43" s="18"/>
      <c r="B43" s="18"/>
      <c r="C43" s="18"/>
      <c r="D43" s="18"/>
      <c r="E43" s="18"/>
      <c r="F43" s="18"/>
      <c r="G43" s="17"/>
      <c r="H43" s="17"/>
      <c r="I43" s="17"/>
      <c r="J43" s="17"/>
      <c r="K43" s="17"/>
      <c r="L43" s="17"/>
      <c r="M43" s="17"/>
      <c r="N43" s="17"/>
      <c r="O43" s="17"/>
      <c r="P43" s="17"/>
      <c r="Q43" s="16"/>
      <c r="R43" s="17"/>
      <c r="S43" s="17"/>
      <c r="T43" s="17"/>
      <c r="U43" s="17"/>
      <c r="V43" s="17"/>
      <c r="W43" s="17"/>
      <c r="X43" s="17"/>
      <c r="Y43" s="17"/>
      <c r="Z43" s="17"/>
      <c r="AA43" s="17"/>
      <c r="AB43" s="17"/>
      <c r="AC43" s="17"/>
      <c r="AD43" s="17"/>
    </row>
    <row r="44" spans="1:58" ht="15.75" customHeight="1" thickBot="1">
      <c r="A44" s="179" t="s">
        <v>462</v>
      </c>
      <c r="B44" s="169"/>
      <c r="C44" s="16"/>
      <c r="D44" s="16"/>
      <c r="E44" s="16"/>
      <c r="F44" s="16"/>
      <c r="G44" s="16"/>
      <c r="H44" s="16"/>
      <c r="I44" s="16"/>
      <c r="J44" s="16"/>
      <c r="K44" s="16"/>
      <c r="L44" s="16"/>
      <c r="M44" s="16"/>
      <c r="N44" s="16"/>
      <c r="O44" s="16"/>
      <c r="P44" s="16"/>
      <c r="Q44" s="16"/>
      <c r="R44" s="16"/>
      <c r="S44" s="16"/>
      <c r="T44" s="16"/>
      <c r="U44" s="16"/>
      <c r="V44" s="16"/>
      <c r="W44" s="16"/>
      <c r="X44" s="16"/>
      <c r="Y44" s="16"/>
      <c r="Z44" s="16"/>
      <c r="AA44" s="16"/>
      <c r="AB44" s="18"/>
      <c r="AC44" s="16"/>
      <c r="AD44" s="16"/>
    </row>
    <row r="45" spans="1:58" ht="15" customHeight="1" thickTop="1">
      <c r="A45" s="95" t="s">
        <v>449</v>
      </c>
      <c r="B45" s="96" t="s">
        <v>450</v>
      </c>
      <c r="C45" s="95" t="s">
        <v>463</v>
      </c>
      <c r="D45" s="95" t="s">
        <v>464</v>
      </c>
      <c r="E45" s="95" t="s">
        <v>465</v>
      </c>
      <c r="F45" s="95" t="s">
        <v>466</v>
      </c>
      <c r="G45" s="95" t="s">
        <v>467</v>
      </c>
      <c r="H45" s="97" t="s">
        <v>455</v>
      </c>
      <c r="I45" s="561" t="s">
        <v>456</v>
      </c>
      <c r="J45" s="716"/>
      <c r="K45" s="717"/>
      <c r="L45" s="98"/>
      <c r="M45" s="98"/>
      <c r="N45" s="98"/>
      <c r="O45" s="98"/>
      <c r="P45" s="98"/>
      <c r="Q45" s="98"/>
      <c r="R45" s="98"/>
      <c r="S45" s="98"/>
      <c r="T45" s="98"/>
      <c r="U45" s="98"/>
      <c r="V45" s="96"/>
      <c r="W45" s="96"/>
      <c r="X45" s="96"/>
      <c r="Y45" s="96"/>
      <c r="Z45" s="99"/>
      <c r="AA45" s="96"/>
      <c r="AB45" s="96"/>
      <c r="AC45" s="100"/>
      <c r="AD45" s="100"/>
      <c r="AE45" s="100"/>
      <c r="AF45" s="100"/>
      <c r="AG45" s="100"/>
      <c r="AH45" s="100"/>
      <c r="AI45" s="100"/>
      <c r="AJ45" s="100"/>
      <c r="AK45" s="100"/>
      <c r="AL45" s="100"/>
      <c r="AM45" s="100"/>
      <c r="AN45" s="100"/>
      <c r="AO45" s="100"/>
      <c r="AP45" s="100"/>
      <c r="AQ45" s="100"/>
      <c r="AR45" s="100"/>
      <c r="AS45" s="100"/>
      <c r="AT45" s="100"/>
      <c r="AU45" s="100"/>
      <c r="AV45" s="100"/>
      <c r="AW45" s="100"/>
      <c r="AX45" s="100"/>
      <c r="AY45" s="100"/>
      <c r="AZ45" s="100"/>
      <c r="BA45" s="100"/>
      <c r="BB45" s="100"/>
      <c r="BC45" s="100"/>
      <c r="BD45" s="100"/>
      <c r="BE45" s="100"/>
      <c r="BF45" s="100"/>
    </row>
    <row r="46" spans="1:58" ht="14.25" customHeight="1">
      <c r="A46" s="101"/>
      <c r="B46" s="102"/>
      <c r="C46" s="101"/>
      <c r="D46" s="101"/>
      <c r="E46" s="108"/>
      <c r="F46" s="108"/>
      <c r="G46" s="102"/>
      <c r="H46" s="102"/>
      <c r="I46" s="571"/>
      <c r="J46" s="696"/>
      <c r="K46" s="718"/>
      <c r="L46" s="16"/>
      <c r="M46" s="16"/>
      <c r="N46" s="16"/>
      <c r="O46" s="16"/>
      <c r="P46" s="16"/>
      <c r="Q46" s="16"/>
      <c r="R46" s="16"/>
      <c r="S46" s="16"/>
      <c r="T46" s="16"/>
      <c r="U46" s="16"/>
      <c r="V46" s="16"/>
      <c r="W46" s="16"/>
      <c r="X46" s="16"/>
      <c r="Y46" s="16"/>
      <c r="Z46" s="17"/>
      <c r="AA46" s="16"/>
      <c r="AB46" s="16"/>
    </row>
    <row r="47" spans="1:58" ht="14.25" customHeight="1">
      <c r="A47" s="101"/>
      <c r="B47" s="102"/>
      <c r="C47" s="101"/>
      <c r="D47" s="101"/>
      <c r="E47" s="109"/>
      <c r="F47" s="108"/>
      <c r="G47" s="102"/>
      <c r="H47" s="102"/>
      <c r="I47" s="696"/>
      <c r="J47" s="696"/>
      <c r="K47" s="718"/>
      <c r="L47" s="16"/>
      <c r="M47" s="16"/>
      <c r="N47" s="16"/>
      <c r="O47" s="16"/>
      <c r="P47" s="16"/>
      <c r="Q47" s="16"/>
      <c r="R47" s="16"/>
      <c r="S47" s="16"/>
      <c r="T47" s="16"/>
      <c r="U47" s="16"/>
      <c r="V47" s="16"/>
      <c r="W47" s="16"/>
      <c r="X47" s="16"/>
      <c r="Y47" s="16"/>
      <c r="Z47" s="17"/>
      <c r="AA47" s="16"/>
      <c r="AB47" s="16"/>
    </row>
    <row r="48" spans="1:58" ht="15.75" customHeight="1">
      <c r="A48" s="102"/>
      <c r="B48" s="102"/>
      <c r="C48" s="102"/>
      <c r="D48" s="101"/>
      <c r="E48" s="109"/>
      <c r="F48" s="108"/>
      <c r="G48" s="110"/>
      <c r="H48" s="102"/>
      <c r="I48" s="696"/>
      <c r="J48" s="696"/>
      <c r="K48" s="718"/>
      <c r="L48" s="16"/>
      <c r="M48" s="16"/>
      <c r="N48" s="16"/>
      <c r="O48" s="16"/>
      <c r="P48" s="16"/>
      <c r="Q48" s="16"/>
      <c r="R48" s="16"/>
      <c r="S48" s="16"/>
      <c r="T48" s="16"/>
      <c r="U48" s="16"/>
      <c r="V48" s="16"/>
      <c r="W48" s="16"/>
      <c r="X48" s="16"/>
      <c r="Y48" s="16"/>
      <c r="Z48" s="16"/>
      <c r="AA48" s="16"/>
      <c r="AB48" s="16"/>
    </row>
    <row r="49" spans="1:30" ht="15.75" customHeight="1">
      <c r="A49" s="16"/>
      <c r="B49" s="51"/>
      <c r="C49" s="16"/>
      <c r="D49" s="104"/>
      <c r="E49" s="105"/>
      <c r="F49" s="106"/>
      <c r="G49" s="111"/>
      <c r="H49" s="16"/>
      <c r="I49" s="696"/>
      <c r="J49" s="696"/>
      <c r="K49" s="718"/>
      <c r="L49" s="16"/>
      <c r="M49" s="16"/>
      <c r="N49" s="16"/>
      <c r="O49" s="16"/>
      <c r="P49" s="16"/>
      <c r="Q49" s="16"/>
      <c r="R49" s="16"/>
      <c r="S49" s="16"/>
      <c r="T49" s="16"/>
      <c r="U49" s="16"/>
      <c r="V49" s="16"/>
      <c r="W49" s="16"/>
      <c r="X49" s="16"/>
      <c r="Y49" s="16"/>
      <c r="Z49" s="16"/>
      <c r="AA49" s="16"/>
      <c r="AB49" s="16"/>
    </row>
    <row r="50" spans="1:30" ht="15.75" customHeight="1" thickBot="1">
      <c r="A50" s="180"/>
      <c r="B50" s="181"/>
      <c r="C50" s="182"/>
      <c r="D50" s="182"/>
      <c r="E50" s="184"/>
      <c r="F50" s="184"/>
      <c r="G50" s="112"/>
      <c r="H50" s="180"/>
      <c r="I50" s="719"/>
      <c r="J50" s="719"/>
      <c r="K50" s="720"/>
      <c r="L50" s="16"/>
      <c r="M50" s="16"/>
      <c r="N50" s="16"/>
      <c r="O50" s="16"/>
      <c r="P50" s="16"/>
      <c r="Q50" s="16"/>
      <c r="R50" s="16"/>
      <c r="S50" s="16"/>
      <c r="T50" s="16"/>
      <c r="U50" s="16"/>
      <c r="V50" s="16"/>
      <c r="W50" s="16"/>
      <c r="X50" s="16"/>
      <c r="Y50" s="16"/>
      <c r="Z50" s="16"/>
      <c r="AA50" s="16"/>
      <c r="AB50" s="16"/>
    </row>
    <row r="51" spans="1:30" ht="15.75" customHeight="1" thickTop="1">
      <c r="A51" s="15"/>
      <c r="B51" s="16"/>
      <c r="C51" s="16"/>
      <c r="D51" s="16"/>
      <c r="E51" s="16"/>
      <c r="F51" s="16"/>
      <c r="G51" s="16"/>
      <c r="H51" s="16"/>
      <c r="I51" s="16"/>
      <c r="J51" s="16"/>
      <c r="K51" s="16"/>
      <c r="L51" s="16"/>
      <c r="M51" s="16"/>
      <c r="N51" s="16"/>
      <c r="O51" s="16"/>
      <c r="P51" s="16"/>
      <c r="Q51" s="16"/>
      <c r="R51" s="16"/>
      <c r="S51" s="16"/>
      <c r="T51" s="16"/>
      <c r="U51" s="16"/>
      <c r="V51" s="16"/>
      <c r="W51" s="16"/>
      <c r="X51" s="16"/>
      <c r="Y51" s="16"/>
      <c r="Z51" s="16"/>
      <c r="AA51" s="16"/>
      <c r="AB51" s="16"/>
      <c r="AC51" s="16"/>
      <c r="AD51" s="16"/>
    </row>
    <row r="52" spans="1:30" ht="15.75" customHeight="1">
      <c r="A52" s="15"/>
      <c r="B52" s="16"/>
      <c r="C52" s="16"/>
      <c r="D52" s="16"/>
      <c r="E52" s="16"/>
      <c r="F52" s="16"/>
      <c r="G52" s="16"/>
      <c r="H52" s="16"/>
      <c r="I52" s="16"/>
      <c r="J52" s="16"/>
      <c r="K52" s="16"/>
      <c r="L52" s="16"/>
      <c r="M52" s="16"/>
      <c r="N52" s="16"/>
      <c r="O52" s="16"/>
      <c r="P52" s="16"/>
      <c r="Q52" s="16"/>
      <c r="W52" s="16"/>
      <c r="X52" s="16"/>
      <c r="Y52" s="16"/>
      <c r="Z52" s="16"/>
      <c r="AA52" s="16"/>
      <c r="AB52" s="16"/>
      <c r="AC52" s="16"/>
      <c r="AD52" s="16"/>
    </row>
    <row r="53" spans="1:30" ht="15.75" customHeight="1" thickBot="1">
      <c r="A53" s="113" t="s">
        <v>475</v>
      </c>
      <c r="B53" s="180"/>
      <c r="C53" s="180"/>
      <c r="D53" s="180"/>
      <c r="E53" s="180"/>
      <c r="F53" s="180"/>
      <c r="G53" s="180"/>
      <c r="H53" s="180"/>
      <c r="I53" s="180"/>
      <c r="J53" s="16"/>
      <c r="K53" s="16"/>
      <c r="L53" s="16"/>
      <c r="M53" s="16"/>
      <c r="N53" s="16"/>
      <c r="O53" s="16"/>
      <c r="P53" s="16"/>
      <c r="Q53" s="16"/>
      <c r="W53" s="16"/>
      <c r="X53" s="16"/>
      <c r="Y53" s="16"/>
      <c r="Z53" s="16"/>
      <c r="AA53" s="16"/>
      <c r="AB53" s="16"/>
      <c r="AC53" s="16"/>
      <c r="AD53" s="16"/>
    </row>
    <row r="54" spans="1:30" ht="15.75" customHeight="1" thickTop="1">
      <c r="A54" s="114" t="s">
        <v>476</v>
      </c>
      <c r="B54" s="15" t="s">
        <v>477</v>
      </c>
      <c r="C54" s="15" t="s">
        <v>478</v>
      </c>
      <c r="D54" s="15" t="s">
        <v>479</v>
      </c>
      <c r="E54" s="15" t="s">
        <v>480</v>
      </c>
      <c r="F54" s="15" t="s">
        <v>481</v>
      </c>
      <c r="G54" s="15" t="s">
        <v>482</v>
      </c>
      <c r="H54" s="15" t="s">
        <v>453</v>
      </c>
      <c r="I54" s="15" t="s">
        <v>483</v>
      </c>
      <c r="J54" s="15" t="s">
        <v>484</v>
      </c>
      <c r="K54" s="721" t="s">
        <v>485</v>
      </c>
      <c r="L54" s="716"/>
      <c r="M54" s="722"/>
      <c r="N54" s="15"/>
      <c r="O54" s="16"/>
      <c r="P54" s="16"/>
      <c r="Q54" s="16"/>
      <c r="W54" s="16"/>
      <c r="X54" s="16"/>
      <c r="Y54" s="16"/>
      <c r="Z54" s="16"/>
      <c r="AA54" s="16"/>
      <c r="AB54" s="16"/>
    </row>
    <row r="55" spans="1:30" ht="15" customHeight="1">
      <c r="A55" s="116"/>
      <c r="B55" s="117"/>
      <c r="C55" s="16"/>
      <c r="D55" s="16"/>
      <c r="E55" s="16"/>
      <c r="F55" s="16"/>
      <c r="G55" s="118"/>
      <c r="H55" s="117"/>
      <c r="I55" s="119"/>
      <c r="J55" s="16"/>
      <c r="K55" s="588"/>
      <c r="L55" s="696"/>
      <c r="M55" s="723"/>
      <c r="N55" s="16"/>
      <c r="O55" s="16"/>
      <c r="P55" s="16"/>
      <c r="Q55" s="16"/>
      <c r="W55" s="16"/>
      <c r="X55" s="16"/>
      <c r="Y55" s="16"/>
      <c r="Z55" s="16"/>
      <c r="AA55" s="16"/>
      <c r="AB55" s="16"/>
    </row>
    <row r="56" spans="1:30" ht="15.75" customHeight="1">
      <c r="A56" s="16"/>
      <c r="B56" s="117"/>
      <c r="C56" s="16"/>
      <c r="D56" s="16"/>
      <c r="E56" s="16"/>
      <c r="F56" s="16"/>
      <c r="G56" s="16"/>
      <c r="H56" s="117"/>
      <c r="I56" s="119"/>
      <c r="J56" s="16"/>
      <c r="K56" s="738"/>
      <c r="L56" s="696"/>
      <c r="M56" s="723"/>
      <c r="N56" s="16"/>
      <c r="O56" s="16"/>
      <c r="P56" s="16"/>
      <c r="Q56" s="16"/>
      <c r="W56" s="16"/>
      <c r="X56" s="16"/>
      <c r="Y56" s="16"/>
      <c r="Z56" s="16"/>
      <c r="AA56" s="16"/>
      <c r="AB56" s="16"/>
    </row>
    <row r="57" spans="1:30" ht="14.25" customHeight="1">
      <c r="A57" s="16"/>
      <c r="B57" s="117"/>
      <c r="C57" s="16"/>
      <c r="D57" s="16"/>
      <c r="E57" s="16"/>
      <c r="F57" s="16"/>
      <c r="H57" s="117"/>
      <c r="I57" s="119"/>
      <c r="J57" s="16"/>
      <c r="K57" s="738"/>
      <c r="L57" s="696"/>
      <c r="M57" s="723"/>
      <c r="N57" s="16"/>
      <c r="O57" s="16"/>
      <c r="P57" s="16"/>
      <c r="Q57" s="16"/>
      <c r="W57" s="16"/>
      <c r="X57" s="16"/>
      <c r="Y57" s="16"/>
      <c r="Z57" s="16"/>
      <c r="AA57" s="16"/>
      <c r="AB57" s="16"/>
    </row>
    <row r="58" spans="1:30" ht="15.75" customHeight="1">
      <c r="A58" s="116"/>
      <c r="B58" s="117"/>
      <c r="C58" s="16"/>
      <c r="D58" s="16"/>
      <c r="E58" s="16"/>
      <c r="F58" s="16"/>
      <c r="G58" s="16"/>
      <c r="H58" s="117"/>
      <c r="I58" s="119"/>
      <c r="J58" s="16"/>
      <c r="K58" s="738"/>
      <c r="L58" s="696"/>
      <c r="M58" s="723"/>
      <c r="N58" s="16"/>
      <c r="O58" s="16"/>
      <c r="P58" s="16"/>
      <c r="Q58" s="16"/>
      <c r="W58" s="16"/>
      <c r="X58" s="16"/>
      <c r="Y58" s="16"/>
      <c r="Z58" s="16"/>
      <c r="AA58" s="16"/>
      <c r="AB58" s="16"/>
    </row>
    <row r="59" spans="1:30" ht="15.75" customHeight="1">
      <c r="A59" s="116"/>
      <c r="B59" s="117"/>
      <c r="C59" s="16"/>
      <c r="D59" s="16"/>
      <c r="E59" s="16"/>
      <c r="F59" s="16"/>
      <c r="G59" s="16"/>
      <c r="H59" s="117"/>
      <c r="I59" s="119"/>
      <c r="J59" s="16"/>
      <c r="K59" s="738"/>
      <c r="L59" s="696"/>
      <c r="M59" s="723"/>
      <c r="N59" s="16"/>
      <c r="O59" s="16"/>
      <c r="P59" s="16"/>
      <c r="Q59" s="16"/>
      <c r="W59" s="16"/>
      <c r="X59" s="16"/>
      <c r="Y59" s="16"/>
      <c r="Z59" s="16"/>
      <c r="AA59" s="16"/>
      <c r="AB59" s="16"/>
    </row>
    <row r="60" spans="1:30" ht="15.75" customHeight="1">
      <c r="A60" s="116"/>
      <c r="B60" s="117"/>
      <c r="C60" s="16"/>
      <c r="D60" s="16"/>
      <c r="E60" s="16"/>
      <c r="F60" s="16"/>
      <c r="G60" s="117"/>
      <c r="H60" s="117"/>
      <c r="I60" s="119"/>
      <c r="J60" s="16"/>
      <c r="K60" s="738"/>
      <c r="L60" s="696"/>
      <c r="M60" s="723"/>
      <c r="N60" s="16"/>
      <c r="O60" s="16"/>
      <c r="P60" s="16"/>
      <c r="Q60" s="16"/>
      <c r="W60" s="16"/>
      <c r="X60" s="16"/>
      <c r="Y60" s="16"/>
      <c r="Z60" s="16"/>
      <c r="AA60" s="16"/>
      <c r="AB60" s="16"/>
    </row>
    <row r="61" spans="1:30" ht="15.75" customHeight="1">
      <c r="A61" s="116"/>
      <c r="B61" s="117"/>
      <c r="C61" s="16"/>
      <c r="D61" s="16"/>
      <c r="E61" s="16"/>
      <c r="F61" s="16"/>
      <c r="G61" s="117"/>
      <c r="H61" s="117"/>
      <c r="I61" s="119"/>
      <c r="J61" s="16"/>
      <c r="K61" s="738"/>
      <c r="L61" s="696"/>
      <c r="M61" s="723"/>
      <c r="N61" s="16"/>
      <c r="O61" s="16"/>
      <c r="P61" s="16"/>
      <c r="Q61" s="16"/>
      <c r="W61" s="16"/>
      <c r="X61" s="16"/>
      <c r="Y61" s="16"/>
      <c r="Z61" s="16"/>
      <c r="AA61" s="16"/>
      <c r="AB61" s="16"/>
    </row>
    <row r="62" spans="1:30" ht="15.75" customHeight="1">
      <c r="A62" s="116"/>
      <c r="B62" s="117"/>
      <c r="C62" s="106"/>
      <c r="D62" s="106"/>
      <c r="E62" s="106"/>
      <c r="F62" s="120"/>
      <c r="G62" s="117"/>
      <c r="H62" s="117"/>
      <c r="I62" s="119"/>
      <c r="J62" s="16"/>
      <c r="K62" s="738"/>
      <c r="L62" s="696"/>
      <c r="M62" s="723"/>
      <c r="N62" s="16"/>
      <c r="O62" s="16"/>
      <c r="P62" s="16"/>
      <c r="Q62" s="16"/>
      <c r="W62" s="16"/>
      <c r="X62" s="16"/>
      <c r="Y62" s="16"/>
      <c r="Z62" s="16"/>
      <c r="AA62" s="16"/>
      <c r="AB62" s="16"/>
    </row>
    <row r="63" spans="1:30" ht="15.75" customHeight="1">
      <c r="A63" s="116"/>
      <c r="B63" s="117"/>
      <c r="C63" s="106"/>
      <c r="D63" s="106"/>
      <c r="E63" s="106"/>
      <c r="F63" s="120"/>
      <c r="G63" s="117"/>
      <c r="H63" s="117"/>
      <c r="I63" s="119"/>
      <c r="J63" s="16"/>
      <c r="K63" s="738"/>
      <c r="L63" s="696"/>
      <c r="M63" s="723"/>
      <c r="N63" s="16"/>
      <c r="O63" s="16"/>
      <c r="P63" s="16"/>
      <c r="Q63" s="16"/>
      <c r="W63" s="16"/>
      <c r="X63" s="16"/>
      <c r="Y63" s="16"/>
      <c r="Z63" s="16"/>
      <c r="AA63" s="16"/>
      <c r="AB63" s="16"/>
    </row>
    <row r="64" spans="1:30" ht="15.75" customHeight="1">
      <c r="A64" s="16"/>
      <c r="B64" s="117"/>
      <c r="C64" s="51"/>
      <c r="D64" s="51"/>
      <c r="E64" s="106"/>
      <c r="F64" s="120"/>
      <c r="G64" s="16"/>
      <c r="H64" s="117"/>
      <c r="I64" s="119"/>
      <c r="J64" s="16"/>
      <c r="K64" s="738"/>
      <c r="L64" s="696"/>
      <c r="M64" s="723"/>
      <c r="N64" s="16"/>
      <c r="O64" s="16"/>
      <c r="P64" s="16"/>
      <c r="Q64" s="16"/>
      <c r="W64" s="16"/>
      <c r="X64" s="16"/>
      <c r="Y64" s="16"/>
      <c r="Z64" s="16"/>
      <c r="AA64" s="16"/>
      <c r="AB64" s="16"/>
    </row>
    <row r="65" spans="1:30" ht="15.75" customHeight="1">
      <c r="A65" s="16"/>
      <c r="B65" s="117"/>
      <c r="C65" s="51"/>
      <c r="D65" s="51"/>
      <c r="E65" s="106"/>
      <c r="F65" s="120"/>
      <c r="G65" s="16"/>
      <c r="H65" s="117"/>
      <c r="I65" s="119"/>
      <c r="J65" s="16"/>
      <c r="K65" s="738"/>
      <c r="L65" s="696"/>
      <c r="M65" s="723"/>
      <c r="N65" s="16"/>
      <c r="O65" s="16"/>
      <c r="P65" s="16"/>
      <c r="Q65" s="16"/>
      <c r="W65" s="16"/>
      <c r="X65" s="16"/>
      <c r="Y65" s="16"/>
      <c r="Z65" s="16"/>
      <c r="AA65" s="16"/>
      <c r="AB65" s="16"/>
    </row>
    <row r="66" spans="1:30" ht="15.75" customHeight="1">
      <c r="A66" s="16"/>
      <c r="B66" s="117"/>
      <c r="C66" s="51"/>
      <c r="D66" s="51"/>
      <c r="E66" s="106"/>
      <c r="F66" s="120"/>
      <c r="G66" s="16"/>
      <c r="H66" s="117"/>
      <c r="I66" s="119"/>
      <c r="J66" s="16"/>
      <c r="K66" s="738"/>
      <c r="L66" s="696"/>
      <c r="M66" s="723"/>
      <c r="N66" s="16"/>
      <c r="O66" s="16"/>
      <c r="P66" s="16"/>
      <c r="Q66" s="16"/>
      <c r="W66" s="16"/>
      <c r="X66" s="16"/>
      <c r="Y66" s="16"/>
      <c r="Z66" s="16"/>
      <c r="AA66" s="16"/>
      <c r="AB66" s="16"/>
    </row>
    <row r="67" spans="1:30" ht="15.75" customHeight="1" thickBot="1">
      <c r="A67" s="121"/>
      <c r="B67" s="117"/>
      <c r="C67" s="182"/>
      <c r="D67" s="183"/>
      <c r="E67" s="184"/>
      <c r="F67" s="185"/>
      <c r="G67" s="112"/>
      <c r="H67" s="112"/>
      <c r="I67" s="122"/>
      <c r="J67" s="180"/>
      <c r="K67" s="739"/>
      <c r="L67" s="724"/>
      <c r="M67" s="725"/>
      <c r="N67" s="16"/>
      <c r="O67" s="16"/>
      <c r="P67" s="16"/>
      <c r="Q67" s="16"/>
      <c r="W67" s="16"/>
      <c r="X67" s="16"/>
      <c r="Y67" s="16"/>
      <c r="Z67" s="16"/>
      <c r="AA67" s="16"/>
      <c r="AB67" s="16"/>
    </row>
    <row r="68" spans="1:30" ht="15.75" customHeight="1" thickTop="1">
      <c r="A68" s="16"/>
      <c r="B68" s="16"/>
      <c r="C68" s="16"/>
      <c r="D68" s="16"/>
      <c r="E68" s="16"/>
      <c r="F68" s="16"/>
      <c r="G68" s="16"/>
      <c r="H68" s="16"/>
      <c r="I68" s="16"/>
      <c r="J68" s="16"/>
      <c r="K68" s="16"/>
      <c r="L68" s="16"/>
      <c r="M68" s="16"/>
      <c r="N68" s="16"/>
      <c r="O68" s="16"/>
      <c r="P68" s="16"/>
      <c r="Q68" s="16"/>
      <c r="W68" s="16"/>
      <c r="X68" s="16"/>
      <c r="Y68" s="16"/>
      <c r="Z68" s="16"/>
      <c r="AA68" s="16"/>
      <c r="AB68" s="16"/>
      <c r="AC68" s="16"/>
      <c r="AD68" s="16"/>
    </row>
    <row r="69" spans="1:30" ht="15.75" customHeight="1" thickBot="1">
      <c r="A69" s="186" t="s">
        <v>499</v>
      </c>
      <c r="B69" s="16"/>
      <c r="C69" s="16"/>
      <c r="D69" s="16"/>
      <c r="E69" s="16"/>
      <c r="F69" s="16"/>
      <c r="G69" s="16"/>
      <c r="H69" s="16"/>
      <c r="I69" s="123"/>
      <c r="J69" s="123"/>
      <c r="K69" s="123"/>
      <c r="L69" s="123"/>
      <c r="M69" s="16"/>
      <c r="N69" s="16"/>
      <c r="O69" s="16"/>
      <c r="P69" s="16"/>
      <c r="Q69" s="16"/>
      <c r="W69" s="16"/>
      <c r="X69" s="16"/>
      <c r="Y69" s="16"/>
      <c r="Z69" s="16"/>
      <c r="AA69" s="16"/>
      <c r="AB69" s="16"/>
      <c r="AC69" s="16"/>
      <c r="AD69" s="16"/>
    </row>
    <row r="70" spans="1:30" ht="15.75" customHeight="1" thickTop="1" thickBot="1">
      <c r="A70" s="124" t="s">
        <v>476</v>
      </c>
      <c r="B70" s="115" t="s">
        <v>500</v>
      </c>
      <c r="C70" s="115" t="s">
        <v>501</v>
      </c>
      <c r="D70" s="115" t="s">
        <v>502</v>
      </c>
      <c r="E70" s="115" t="s">
        <v>503</v>
      </c>
      <c r="F70" s="115" t="s">
        <v>504</v>
      </c>
      <c r="G70" s="115" t="s">
        <v>505</v>
      </c>
      <c r="H70" s="115" t="s">
        <v>506</v>
      </c>
      <c r="I70" s="15" t="s">
        <v>507</v>
      </c>
      <c r="J70" s="15" t="s">
        <v>508</v>
      </c>
      <c r="K70" s="691" t="s">
        <v>441</v>
      </c>
      <c r="L70" s="561"/>
      <c r="M70" s="561"/>
      <c r="N70" s="561"/>
      <c r="O70" s="570"/>
      <c r="P70" s="758" t="s">
        <v>434</v>
      </c>
      <c r="Q70" s="759"/>
      <c r="R70" s="16"/>
      <c r="S70" s="16"/>
      <c r="V70" s="16"/>
      <c r="W70" s="16"/>
      <c r="X70" s="16"/>
      <c r="Y70" s="16"/>
      <c r="Z70" s="16"/>
      <c r="AA70" s="16"/>
    </row>
    <row r="71" spans="1:30" ht="15.75" customHeight="1" thickTop="1">
      <c r="A71" s="16"/>
      <c r="B71" s="16"/>
      <c r="C71" s="51"/>
      <c r="D71" s="106"/>
      <c r="E71" s="105"/>
      <c r="F71" s="128">
        <f>Klokus!$D71*Klokus!$E71</f>
        <v>0</v>
      </c>
      <c r="G71" s="105"/>
      <c r="H71" s="126" t="str">
        <f>IF($B71= "","-",IF($B71= "External","Specify location tariff", INDEX(Constants!$3:$3,MATCH($B71,Constants!$2:$2,0))))</f>
        <v>-</v>
      </c>
      <c r="I71" s="236" t="str">
        <f t="shared" ref="I71:I87" si="2">IF($H71="-","-",IF($H71="Specify location tariff","-",$H71*$F71))</f>
        <v>-</v>
      </c>
      <c r="J71" s="127"/>
      <c r="K71" s="686"/>
      <c r="L71" s="562"/>
      <c r="M71" s="562"/>
      <c r="N71" s="562"/>
      <c r="O71" s="687"/>
      <c r="P71" s="690" t="s">
        <v>511</v>
      </c>
      <c r="Q71" s="628"/>
      <c r="R71" s="16"/>
      <c r="S71" s="16"/>
      <c r="V71" s="16"/>
      <c r="W71" s="16"/>
      <c r="X71" s="16"/>
      <c r="Y71" s="16"/>
      <c r="Z71" s="16"/>
      <c r="AA71" s="16"/>
    </row>
    <row r="72" spans="1:30" ht="15.75" customHeight="1">
      <c r="A72" s="16"/>
      <c r="B72" s="16"/>
      <c r="C72" s="51"/>
      <c r="D72" s="106"/>
      <c r="E72" s="105"/>
      <c r="F72" s="128">
        <f>Klokus!$D72*Klokus!$E72</f>
        <v>0</v>
      </c>
      <c r="G72" s="105"/>
      <c r="H72" s="126" t="str">
        <f>IF($B72= "","-",IF($B72= "External","Specify location tariff", INDEX(Constants!$3:$3,MATCH($B72,Constants!$2:$2,0))))</f>
        <v>-</v>
      </c>
      <c r="I72" s="236" t="str">
        <f t="shared" si="2"/>
        <v>-</v>
      </c>
      <c r="J72" s="127"/>
      <c r="K72" s="686"/>
      <c r="L72" s="562"/>
      <c r="M72" s="562"/>
      <c r="N72" s="562"/>
      <c r="O72" s="687"/>
      <c r="P72" s="588"/>
      <c r="Q72" s="575"/>
      <c r="R72" s="16"/>
      <c r="S72" s="16"/>
      <c r="V72" s="16"/>
      <c r="W72" s="16"/>
      <c r="X72" s="16"/>
      <c r="Y72" s="16"/>
      <c r="Z72" s="16"/>
      <c r="AA72" s="16"/>
    </row>
    <row r="73" spans="1:30" ht="15.75" customHeight="1">
      <c r="A73" s="16"/>
      <c r="B73" s="16"/>
      <c r="C73" s="51"/>
      <c r="D73" s="106"/>
      <c r="E73" s="105"/>
      <c r="F73" s="128">
        <f>Klokus!$D73*Klokus!$E73</f>
        <v>0</v>
      </c>
      <c r="G73" s="105"/>
      <c r="H73" s="126" t="str">
        <f>IF($B73= "","-",IF($B73= "External","Specify location tariff", INDEX(Constants!$3:$3,MATCH($B73,Constants!$2:$2,0))))</f>
        <v>-</v>
      </c>
      <c r="I73" s="236" t="str">
        <f t="shared" si="2"/>
        <v>-</v>
      </c>
      <c r="J73" s="127"/>
      <c r="K73" s="686"/>
      <c r="L73" s="562"/>
      <c r="M73" s="562"/>
      <c r="N73" s="562"/>
      <c r="O73" s="687"/>
      <c r="P73" s="588"/>
      <c r="Q73" s="575"/>
      <c r="R73" s="16"/>
      <c r="S73" s="16"/>
      <c r="V73" s="16"/>
      <c r="W73" s="16"/>
      <c r="X73" s="16"/>
      <c r="Y73" s="16"/>
      <c r="Z73" s="16"/>
      <c r="AA73" s="16"/>
    </row>
    <row r="74" spans="1:30" ht="15.75" customHeight="1">
      <c r="A74" s="16"/>
      <c r="B74" s="16"/>
      <c r="C74" s="51"/>
      <c r="D74" s="106"/>
      <c r="E74" s="105"/>
      <c r="F74" s="128">
        <f>Klokus!$D74*Klokus!$E74</f>
        <v>0</v>
      </c>
      <c r="G74" s="105"/>
      <c r="H74" s="126" t="str">
        <f>IF($B74= "","-",IF($B74= "External","Specify location tariff", INDEX(Constants!$3:$3,MATCH($B74,Constants!$2:$2,0))))</f>
        <v>-</v>
      </c>
      <c r="I74" s="236" t="str">
        <f t="shared" si="2"/>
        <v>-</v>
      </c>
      <c r="J74" s="127"/>
      <c r="K74" s="686"/>
      <c r="L74" s="562"/>
      <c r="M74" s="562"/>
      <c r="N74" s="562"/>
      <c r="O74" s="687"/>
      <c r="P74" s="588"/>
      <c r="Q74" s="575"/>
      <c r="R74" s="16"/>
      <c r="S74" s="16"/>
      <c r="V74" s="16"/>
      <c r="W74" s="16"/>
      <c r="X74" s="16"/>
      <c r="Y74" s="16"/>
      <c r="Z74" s="16"/>
      <c r="AA74" s="16"/>
    </row>
    <row r="75" spans="1:30" ht="15.75" customHeight="1">
      <c r="A75" s="16"/>
      <c r="B75" s="16"/>
      <c r="C75" s="51"/>
      <c r="D75" s="106"/>
      <c r="E75" s="105"/>
      <c r="F75" s="128">
        <f>Klokus!$D75*Klokus!$E75</f>
        <v>0</v>
      </c>
      <c r="G75" s="105"/>
      <c r="H75" s="126" t="str">
        <f>IF($B75= "","-",IF($B75= "External","Specify location tariff", INDEX(Constants!$3:$3,MATCH($B75,Constants!$2:$2,0))))</f>
        <v>-</v>
      </c>
      <c r="I75" s="236" t="str">
        <f t="shared" si="2"/>
        <v>-</v>
      </c>
      <c r="J75" s="127"/>
      <c r="K75" s="686"/>
      <c r="L75" s="562"/>
      <c r="M75" s="562"/>
      <c r="N75" s="562"/>
      <c r="O75" s="687"/>
      <c r="P75" s="588"/>
      <c r="Q75" s="575"/>
      <c r="R75" s="16"/>
      <c r="S75" s="16"/>
      <c r="V75" s="16"/>
      <c r="W75" s="16"/>
      <c r="X75" s="16"/>
      <c r="Y75" s="16"/>
      <c r="Z75" s="16"/>
      <c r="AA75" s="16"/>
    </row>
    <row r="76" spans="1:30" ht="15.75" customHeight="1">
      <c r="A76" s="16"/>
      <c r="B76" s="16"/>
      <c r="C76" s="51"/>
      <c r="D76" s="106"/>
      <c r="E76" s="105"/>
      <c r="F76" s="128">
        <f>Klokus!$D76*Klokus!$E76</f>
        <v>0</v>
      </c>
      <c r="G76" s="105"/>
      <c r="H76" s="126" t="str">
        <f>IF($B76= "","-",IF($B76= "External","Specify location tariff", INDEX(Constants!$3:$3,MATCH($B76,Constants!$2:$2,0))))</f>
        <v>-</v>
      </c>
      <c r="I76" s="236" t="str">
        <f t="shared" si="2"/>
        <v>-</v>
      </c>
      <c r="J76" s="127"/>
      <c r="K76" s="686"/>
      <c r="L76" s="562"/>
      <c r="M76" s="562"/>
      <c r="N76" s="562"/>
      <c r="O76" s="687"/>
      <c r="P76" s="588"/>
      <c r="Q76" s="575"/>
      <c r="R76" s="16"/>
      <c r="S76" s="16"/>
      <c r="V76" s="16"/>
      <c r="W76" s="16"/>
      <c r="X76" s="16"/>
      <c r="Y76" s="16"/>
      <c r="Z76" s="16"/>
      <c r="AA76" s="16"/>
    </row>
    <row r="77" spans="1:30" ht="15.75" customHeight="1">
      <c r="A77" s="16"/>
      <c r="B77" s="16"/>
      <c r="C77" s="51"/>
      <c r="D77" s="106"/>
      <c r="E77" s="105"/>
      <c r="F77" s="128">
        <f>Klokus!$D77*Klokus!$E77</f>
        <v>0</v>
      </c>
      <c r="G77" s="105"/>
      <c r="H77" s="126" t="str">
        <f>IF($B77= "","-",IF($B77= "External","Specify location tariff", INDEX(Constants!$3:$3,MATCH($B77,Constants!$2:$2,0))))</f>
        <v>-</v>
      </c>
      <c r="I77" s="236" t="str">
        <f t="shared" si="2"/>
        <v>-</v>
      </c>
      <c r="J77" s="127"/>
      <c r="K77" s="686"/>
      <c r="L77" s="562"/>
      <c r="M77" s="562"/>
      <c r="N77" s="562"/>
      <c r="O77" s="687"/>
      <c r="P77" s="588"/>
      <c r="Q77" s="575"/>
      <c r="R77" s="16"/>
      <c r="S77" s="16"/>
      <c r="V77" s="16"/>
      <c r="W77" s="16"/>
      <c r="X77" s="16"/>
      <c r="Y77" s="16"/>
      <c r="Z77" s="16"/>
      <c r="AA77" s="16"/>
    </row>
    <row r="78" spans="1:30" ht="15.75" customHeight="1">
      <c r="A78" s="16"/>
      <c r="B78" s="16"/>
      <c r="C78" s="51"/>
      <c r="D78" s="106"/>
      <c r="E78" s="105"/>
      <c r="F78" s="128">
        <f>Klokus!$D78*Klokus!$E78</f>
        <v>0</v>
      </c>
      <c r="G78" s="105"/>
      <c r="H78" s="126" t="str">
        <f>IF($B78= "","-",IF($B78= "External","Specify location tariff", INDEX(Constants!$3:$3,MATCH($B78,Constants!$2:$2,0))))</f>
        <v>-</v>
      </c>
      <c r="I78" s="236" t="str">
        <f t="shared" si="2"/>
        <v>-</v>
      </c>
      <c r="J78" s="127"/>
      <c r="K78" s="686"/>
      <c r="L78" s="562"/>
      <c r="M78" s="562"/>
      <c r="N78" s="562"/>
      <c r="O78" s="687"/>
      <c r="P78" s="588"/>
      <c r="Q78" s="575"/>
      <c r="R78" s="16"/>
      <c r="S78" s="16"/>
      <c r="V78" s="16"/>
      <c r="W78" s="16"/>
      <c r="X78" s="16"/>
      <c r="Y78" s="16"/>
      <c r="Z78" s="16"/>
      <c r="AA78" s="16"/>
    </row>
    <row r="79" spans="1:30" ht="15.75" customHeight="1">
      <c r="A79" s="16"/>
      <c r="B79" s="16"/>
      <c r="C79" s="51"/>
      <c r="D79" s="106"/>
      <c r="E79" s="105"/>
      <c r="F79" s="128">
        <f>Klokus!$D79*Klokus!$E79</f>
        <v>0</v>
      </c>
      <c r="G79" s="105"/>
      <c r="H79" s="126" t="str">
        <f>IF($B79= "","-",IF($B79= "External","Specify location tariff", INDEX(Constants!$3:$3,MATCH($B79,Constants!$2:$2,0))))</f>
        <v>-</v>
      </c>
      <c r="I79" s="236" t="str">
        <f t="shared" si="2"/>
        <v>-</v>
      </c>
      <c r="J79" s="127"/>
      <c r="K79" s="686"/>
      <c r="L79" s="562"/>
      <c r="M79" s="562"/>
      <c r="N79" s="562"/>
      <c r="O79" s="687"/>
      <c r="P79" s="588"/>
      <c r="Q79" s="575"/>
      <c r="R79" s="16"/>
      <c r="S79" s="16"/>
      <c r="V79" s="16"/>
      <c r="W79" s="16"/>
      <c r="X79" s="16"/>
      <c r="Y79" s="16"/>
      <c r="Z79" s="16"/>
      <c r="AA79" s="16"/>
    </row>
    <row r="80" spans="1:30" ht="15.75" customHeight="1">
      <c r="A80" s="16"/>
      <c r="B80" s="16"/>
      <c r="C80" s="51"/>
      <c r="D80" s="106"/>
      <c r="E80" s="105"/>
      <c r="F80" s="128">
        <f>Klokus!$D80*Klokus!$E80</f>
        <v>0</v>
      </c>
      <c r="G80" s="105"/>
      <c r="H80" s="126" t="str">
        <f>IF($B80= "","-",IF($B80= "External","Specify location tariff", INDEX(Constants!$3:$3,MATCH($B80,Constants!$2:$2,0))))</f>
        <v>-</v>
      </c>
      <c r="I80" s="236" t="str">
        <f t="shared" si="2"/>
        <v>-</v>
      </c>
      <c r="J80" s="127"/>
      <c r="K80" s="686"/>
      <c r="L80" s="562"/>
      <c r="M80" s="562"/>
      <c r="N80" s="562"/>
      <c r="O80" s="687"/>
      <c r="P80" s="588"/>
      <c r="Q80" s="575"/>
      <c r="R80" s="16"/>
      <c r="S80" s="16"/>
      <c r="V80" s="16"/>
      <c r="W80" s="16"/>
      <c r="X80" s="16"/>
      <c r="Y80" s="16"/>
      <c r="Z80" s="16"/>
      <c r="AA80" s="16"/>
    </row>
    <row r="81" spans="1:30" ht="15.75" customHeight="1">
      <c r="A81" s="16"/>
      <c r="B81" s="16"/>
      <c r="C81" s="51"/>
      <c r="D81" s="106"/>
      <c r="E81" s="105"/>
      <c r="F81" s="128">
        <f>Klokus!$D81*Klokus!$E81</f>
        <v>0</v>
      </c>
      <c r="G81" s="105"/>
      <c r="H81" s="126" t="str">
        <f>IF($B81= "","-",IF($B81= "External","Specify location tariff", INDEX(Constants!$3:$3,MATCH($B81,Constants!$2:$2,0))))</f>
        <v>-</v>
      </c>
      <c r="I81" s="236" t="str">
        <f t="shared" si="2"/>
        <v>-</v>
      </c>
      <c r="J81" s="127"/>
      <c r="K81" s="686"/>
      <c r="L81" s="562"/>
      <c r="M81" s="562"/>
      <c r="N81" s="562"/>
      <c r="O81" s="687"/>
      <c r="P81" s="588"/>
      <c r="Q81" s="575"/>
      <c r="R81" s="16"/>
      <c r="S81" s="16"/>
      <c r="V81" s="16"/>
      <c r="W81" s="16"/>
      <c r="X81" s="16"/>
      <c r="Y81" s="16"/>
      <c r="Z81" s="16"/>
      <c r="AA81" s="16"/>
    </row>
    <row r="82" spans="1:30" ht="15.75" customHeight="1">
      <c r="A82" s="16"/>
      <c r="B82" s="16"/>
      <c r="C82" s="51"/>
      <c r="D82" s="106"/>
      <c r="E82" s="105"/>
      <c r="F82" s="128">
        <f>Klokus!$D82*Klokus!$E82</f>
        <v>0</v>
      </c>
      <c r="G82" s="105"/>
      <c r="H82" s="126" t="str">
        <f>IF($B82= "","-",IF($B82= "External","Specify location tariff", INDEX(Constants!$3:$3,MATCH($B82,Constants!$2:$2,0))))</f>
        <v>-</v>
      </c>
      <c r="I82" s="236" t="str">
        <f t="shared" si="2"/>
        <v>-</v>
      </c>
      <c r="J82" s="127"/>
      <c r="K82" s="686"/>
      <c r="L82" s="562"/>
      <c r="M82" s="562"/>
      <c r="N82" s="562"/>
      <c r="O82" s="687"/>
      <c r="P82" s="588"/>
      <c r="Q82" s="575"/>
      <c r="R82" s="16"/>
      <c r="S82" s="16"/>
      <c r="V82" s="16"/>
      <c r="W82" s="16"/>
      <c r="X82" s="16"/>
      <c r="Y82" s="16"/>
      <c r="Z82" s="16"/>
      <c r="AA82" s="16"/>
    </row>
    <row r="83" spans="1:30" ht="15.75" customHeight="1">
      <c r="A83" s="16"/>
      <c r="B83" s="16"/>
      <c r="C83" s="51"/>
      <c r="D83" s="106"/>
      <c r="E83" s="105"/>
      <c r="F83" s="128">
        <f>Klokus!$D83*Klokus!$E83</f>
        <v>0</v>
      </c>
      <c r="G83" s="105"/>
      <c r="H83" s="126" t="str">
        <f>IF($B83= "","-",IF($B83= "External","Specify location tariff", INDEX(Constants!$3:$3,MATCH($B83,Constants!$2:$2,0))))</f>
        <v>-</v>
      </c>
      <c r="I83" s="236" t="str">
        <f t="shared" si="2"/>
        <v>-</v>
      </c>
      <c r="J83" s="127"/>
      <c r="K83" s="686"/>
      <c r="L83" s="562"/>
      <c r="M83" s="562"/>
      <c r="N83" s="562"/>
      <c r="O83" s="687"/>
      <c r="P83" s="588"/>
      <c r="Q83" s="575"/>
      <c r="R83" s="16"/>
      <c r="S83" s="16"/>
      <c r="V83" s="16"/>
      <c r="W83" s="16"/>
      <c r="X83" s="16"/>
      <c r="Y83" s="16"/>
      <c r="Z83" s="16"/>
      <c r="AA83" s="16"/>
    </row>
    <row r="84" spans="1:30" ht="15.75" customHeight="1">
      <c r="A84" s="16"/>
      <c r="B84" s="16"/>
      <c r="C84" s="51"/>
      <c r="D84" s="106"/>
      <c r="E84" s="105"/>
      <c r="F84" s="128">
        <f>Klokus!$D84*Klokus!$E84</f>
        <v>0</v>
      </c>
      <c r="G84" s="105"/>
      <c r="H84" s="126" t="str">
        <f>IF($B84= "","-",IF($B84= "External","Specify location tariff", INDEX(Constants!$3:$3,MATCH($B84,Constants!$2:$2,0))))</f>
        <v>-</v>
      </c>
      <c r="I84" s="236" t="str">
        <f t="shared" si="2"/>
        <v>-</v>
      </c>
      <c r="J84" s="127"/>
      <c r="K84" s="686"/>
      <c r="L84" s="562"/>
      <c r="M84" s="562"/>
      <c r="N84" s="562"/>
      <c r="O84" s="687"/>
      <c r="P84" s="588"/>
      <c r="Q84" s="575"/>
      <c r="R84" s="16"/>
      <c r="S84" s="16"/>
      <c r="V84" s="16"/>
      <c r="W84" s="16"/>
      <c r="X84" s="16"/>
      <c r="Y84" s="16"/>
      <c r="Z84" s="16"/>
      <c r="AA84" s="16"/>
    </row>
    <row r="85" spans="1:30" ht="15.75" customHeight="1">
      <c r="A85" s="16"/>
      <c r="B85" s="16"/>
      <c r="C85" s="51"/>
      <c r="D85" s="106"/>
      <c r="E85" s="105"/>
      <c r="F85" s="128">
        <f>Klokus!$D85*Klokus!$E85</f>
        <v>0</v>
      </c>
      <c r="G85" s="105"/>
      <c r="H85" s="126" t="str">
        <f>IF($B85= "","-",IF($B85= "External","Specify location tariff", INDEX(Constants!$3:$3,MATCH($B85,Constants!$2:$2,0))))</f>
        <v>-</v>
      </c>
      <c r="I85" s="236" t="str">
        <f t="shared" si="2"/>
        <v>-</v>
      </c>
      <c r="J85" s="127"/>
      <c r="K85" s="686"/>
      <c r="L85" s="562"/>
      <c r="M85" s="562"/>
      <c r="N85" s="562"/>
      <c r="O85" s="687"/>
      <c r="P85" s="588"/>
      <c r="Q85" s="575"/>
      <c r="R85" s="16"/>
      <c r="S85" s="16"/>
      <c r="V85" s="16"/>
      <c r="W85" s="16"/>
      <c r="X85" s="16"/>
      <c r="Y85" s="16"/>
      <c r="Z85" s="16"/>
      <c r="AA85" s="16"/>
    </row>
    <row r="86" spans="1:30" ht="15.75" customHeight="1">
      <c r="A86" s="16"/>
      <c r="B86" s="16"/>
      <c r="C86" s="51"/>
      <c r="D86" s="106"/>
      <c r="E86" s="105"/>
      <c r="F86" s="128">
        <f>Klokus!$D86*Klokus!$E86</f>
        <v>0</v>
      </c>
      <c r="G86" s="105"/>
      <c r="H86" s="126" t="str">
        <f>IF($B86= "","-",IF($B86= "External","Specify location tariff", INDEX(Constants!$3:$3,MATCH($B86,Constants!$2:$2,0))))</f>
        <v>-</v>
      </c>
      <c r="I86" s="236" t="str">
        <f t="shared" si="2"/>
        <v>-</v>
      </c>
      <c r="J86" s="127"/>
      <c r="K86" s="686"/>
      <c r="L86" s="562"/>
      <c r="M86" s="562"/>
      <c r="N86" s="562"/>
      <c r="O86" s="687"/>
      <c r="P86" s="588"/>
      <c r="Q86" s="575"/>
      <c r="R86" s="16"/>
      <c r="S86" s="16"/>
      <c r="V86" s="16"/>
      <c r="W86" s="16"/>
      <c r="X86" s="16"/>
      <c r="Y86" s="16"/>
      <c r="Z86" s="16"/>
      <c r="AA86" s="16"/>
    </row>
    <row r="87" spans="1:30" ht="15.75" customHeight="1" thickBot="1">
      <c r="A87" s="121"/>
      <c r="B87" s="16"/>
      <c r="C87" s="183"/>
      <c r="D87" s="184"/>
      <c r="E87" s="182"/>
      <c r="F87" s="181">
        <f>Klokus!$D87*Klokus!$E87</f>
        <v>0</v>
      </c>
      <c r="G87" s="182"/>
      <c r="H87" s="126" t="str">
        <f>IF($B87= "","-",IF($B87= "External","Specify location tariff", INDEX(Constants!$3:$3,MATCH($B87,Constants!$2:$2,0))))</f>
        <v>-</v>
      </c>
      <c r="I87" s="236" t="str">
        <f t="shared" si="2"/>
        <v>-</v>
      </c>
      <c r="J87" s="187"/>
      <c r="K87" s="688"/>
      <c r="L87" s="563"/>
      <c r="M87" s="563"/>
      <c r="N87" s="563"/>
      <c r="O87" s="689"/>
      <c r="P87" s="588"/>
      <c r="Q87" s="575"/>
      <c r="R87" s="16"/>
      <c r="S87" s="16"/>
      <c r="V87" s="16"/>
      <c r="W87" s="16"/>
      <c r="X87" s="16"/>
      <c r="Y87" s="16"/>
      <c r="Z87" s="16"/>
      <c r="AA87" s="16"/>
    </row>
    <row r="88" spans="1:30" ht="15.75" customHeight="1" thickTop="1">
      <c r="A88" s="15"/>
      <c r="B88" s="16"/>
      <c r="C88" s="16"/>
      <c r="D88" s="16"/>
      <c r="E88" s="16"/>
      <c r="F88" s="16"/>
      <c r="G88" s="16"/>
      <c r="H88" s="16"/>
      <c r="I88" s="16"/>
      <c r="J88" s="16"/>
      <c r="K88" s="16"/>
      <c r="L88" s="16"/>
      <c r="M88" s="16"/>
      <c r="N88" s="16"/>
      <c r="O88" s="16">
        <v>0</v>
      </c>
      <c r="P88" s="16"/>
      <c r="Q88" s="16"/>
      <c r="R88" s="16"/>
      <c r="S88" s="16"/>
      <c r="T88" s="16"/>
      <c r="U88" s="16"/>
      <c r="V88" s="16"/>
      <c r="W88" s="16"/>
      <c r="X88" s="16"/>
      <c r="Y88" s="16"/>
      <c r="Z88" s="16"/>
      <c r="AA88" s="16"/>
      <c r="AB88" s="16"/>
      <c r="AC88" s="16"/>
      <c r="AD88" s="16"/>
    </row>
    <row r="89" spans="1:30" ht="15.75" customHeight="1">
      <c r="A89" s="15"/>
      <c r="B89" s="16"/>
      <c r="C89" s="16"/>
      <c r="D89" s="16"/>
      <c r="E89" s="16"/>
      <c r="F89" s="16"/>
      <c r="G89" s="16"/>
      <c r="H89" s="16"/>
      <c r="I89" s="16"/>
      <c r="J89" s="16"/>
      <c r="K89" s="16"/>
      <c r="L89" s="16"/>
      <c r="M89" s="16"/>
      <c r="N89" s="16"/>
      <c r="O89" s="16"/>
      <c r="P89" s="16"/>
      <c r="Q89" s="16"/>
      <c r="R89" s="16"/>
      <c r="S89" s="16"/>
      <c r="T89" s="16"/>
      <c r="U89" s="16"/>
      <c r="V89" s="16"/>
      <c r="W89" s="16"/>
      <c r="X89" s="16"/>
      <c r="Y89" s="16"/>
      <c r="Z89" s="16"/>
      <c r="AA89" s="16"/>
      <c r="AB89" s="16"/>
      <c r="AC89" s="16"/>
      <c r="AD89" s="16"/>
    </row>
    <row r="90" spans="1:30" ht="15.75" customHeight="1" thickBot="1">
      <c r="A90" s="186" t="s">
        <v>519</v>
      </c>
      <c r="B90" s="16"/>
      <c r="C90" s="128"/>
      <c r="D90" s="51"/>
      <c r="E90" s="51"/>
      <c r="F90" s="51"/>
      <c r="G90" s="51"/>
      <c r="H90" s="51"/>
      <c r="I90" s="51"/>
      <c r="J90" s="51"/>
      <c r="K90" s="51"/>
      <c r="L90" s="129"/>
      <c r="M90" s="123"/>
      <c r="N90" s="16"/>
      <c r="O90" s="16"/>
      <c r="P90" s="16"/>
      <c r="Q90" s="16"/>
      <c r="R90" s="16"/>
      <c r="S90" s="16"/>
      <c r="T90" s="16"/>
      <c r="U90" s="16"/>
      <c r="V90" s="16"/>
      <c r="W90" s="16"/>
      <c r="X90" s="16"/>
      <c r="Y90" s="16"/>
      <c r="Z90" s="16"/>
      <c r="AA90" s="16"/>
      <c r="AB90" s="16"/>
      <c r="AC90" s="16"/>
      <c r="AD90" s="16"/>
    </row>
    <row r="91" spans="1:30" ht="15" customHeight="1" thickTop="1" thickBot="1">
      <c r="A91" s="15" t="s">
        <v>438</v>
      </c>
      <c r="B91" s="15" t="s">
        <v>439</v>
      </c>
      <c r="C91" s="15" t="s">
        <v>520</v>
      </c>
      <c r="D91" s="15" t="s">
        <v>521</v>
      </c>
      <c r="E91" s="15" t="s">
        <v>522</v>
      </c>
      <c r="F91" s="15" t="s">
        <v>523</v>
      </c>
      <c r="G91" s="15" t="s">
        <v>508</v>
      </c>
      <c r="H91" s="721" t="s">
        <v>441</v>
      </c>
      <c r="I91" s="728"/>
      <c r="J91" s="729" t="s">
        <v>434</v>
      </c>
      <c r="K91" s="730"/>
      <c r="L91" s="16"/>
      <c r="M91" s="16"/>
      <c r="N91" s="16"/>
      <c r="O91" s="16"/>
      <c r="P91" s="117"/>
      <c r="Q91" s="15"/>
      <c r="R91" s="16"/>
      <c r="S91" s="130"/>
      <c r="T91" s="16"/>
      <c r="U91" s="16"/>
      <c r="V91" s="16"/>
      <c r="W91" s="241"/>
      <c r="X91" s="16"/>
      <c r="Y91" s="16"/>
      <c r="Z91" s="16"/>
      <c r="AA91" s="16"/>
      <c r="AB91" s="16"/>
    </row>
    <row r="92" spans="1:30" ht="14.25" customHeight="1" thickTop="1">
      <c r="A92" s="16"/>
      <c r="C92" s="134">
        <v>0</v>
      </c>
      <c r="D92" s="127"/>
      <c r="E92" s="105"/>
      <c r="F92" s="134">
        <f>IF(Table_6170340[[#This Row],[Item]]="",0,Table_6170340[[#This Row],[Amount]]*Table_6170340[[#This Row],[Purchase / Running costs]]/Table_6170340[[#This Row],[Depreciation period]])</f>
        <v>0</v>
      </c>
      <c r="G92" s="127"/>
      <c r="H92" s="558"/>
      <c r="I92" s="696"/>
      <c r="J92" s="559" t="s">
        <v>526</v>
      </c>
      <c r="K92" s="730"/>
      <c r="L92" s="16"/>
      <c r="M92" s="16"/>
      <c r="N92" s="16"/>
      <c r="O92" s="16"/>
      <c r="P92" s="16"/>
      <c r="Q92" s="133"/>
      <c r="R92" s="16"/>
      <c r="S92" s="16"/>
      <c r="T92" s="16"/>
      <c r="U92" s="16"/>
      <c r="V92" s="16"/>
      <c r="W92" s="16"/>
      <c r="X92" s="16"/>
      <c r="Y92" s="16"/>
      <c r="Z92" s="16"/>
      <c r="AA92" s="16"/>
      <c r="AB92" s="16"/>
    </row>
    <row r="93" spans="1:30" ht="15.75" customHeight="1">
      <c r="A93" s="16"/>
      <c r="C93" s="134">
        <v>0</v>
      </c>
      <c r="D93" s="127"/>
      <c r="E93" s="105"/>
      <c r="F93" s="134">
        <f>IF(Table_6170340[[#This Row],[Item]]="",0,Table_6170340[[#This Row],[Amount]]*Table_6170340[[#This Row],[Purchase / Running costs]]/Table_6170340[[#This Row],[Depreciation period]])</f>
        <v>0</v>
      </c>
      <c r="G93" s="127"/>
      <c r="H93" s="696"/>
      <c r="I93" s="696"/>
      <c r="J93" s="731"/>
      <c r="K93" s="732"/>
      <c r="L93" s="16"/>
      <c r="M93" s="16"/>
      <c r="N93" s="16"/>
      <c r="O93" s="16"/>
      <c r="P93" s="16"/>
      <c r="Q93" s="16"/>
      <c r="R93" s="16"/>
      <c r="S93" s="16"/>
      <c r="T93" s="16"/>
      <c r="U93" s="16"/>
      <c r="V93" s="16"/>
      <c r="W93" s="16"/>
      <c r="X93" s="16"/>
      <c r="Y93" s="16"/>
      <c r="Z93" s="16"/>
      <c r="AA93" s="16"/>
      <c r="AB93" s="16"/>
    </row>
    <row r="94" spans="1:30" ht="15.75" customHeight="1">
      <c r="A94" s="16"/>
      <c r="C94" s="134">
        <v>0</v>
      </c>
      <c r="D94" s="127"/>
      <c r="E94" s="105"/>
      <c r="F94" s="134">
        <f>IF(Table_6170340[[#This Row],[Item]]="",0,Table_6170340[[#This Row],[Amount]]*Table_6170340[[#This Row],[Purchase / Running costs]]/Table_6170340[[#This Row],[Depreciation period]])</f>
        <v>0</v>
      </c>
      <c r="G94" s="127"/>
      <c r="H94" s="696"/>
      <c r="I94" s="696"/>
      <c r="J94" s="731"/>
      <c r="K94" s="732"/>
      <c r="L94" s="16"/>
      <c r="M94" s="16"/>
      <c r="N94" s="16"/>
      <c r="O94" s="16"/>
      <c r="P94" s="16"/>
      <c r="Q94" s="16"/>
      <c r="R94" s="16"/>
      <c r="S94" s="16"/>
      <c r="T94" s="16"/>
      <c r="U94" s="16"/>
      <c r="V94" s="16"/>
      <c r="W94" s="16"/>
      <c r="X94" s="16"/>
      <c r="Y94" s="16"/>
      <c r="Z94" s="16"/>
      <c r="AA94" s="16"/>
      <c r="AB94" s="16"/>
    </row>
    <row r="95" spans="1:30" ht="15.75" customHeight="1">
      <c r="A95" s="16"/>
      <c r="C95" s="134">
        <v>0</v>
      </c>
      <c r="D95" s="127"/>
      <c r="E95" s="105"/>
      <c r="F95" s="134">
        <f>IF(Table_6170340[[#This Row],[Item]]="",0,Table_6170340[[#This Row],[Amount]]*Table_6170340[[#This Row],[Purchase / Running costs]]/Table_6170340[[#This Row],[Depreciation period]])</f>
        <v>0</v>
      </c>
      <c r="G95" s="127"/>
      <c r="H95" s="696"/>
      <c r="I95" s="696"/>
      <c r="J95" s="731"/>
      <c r="K95" s="732"/>
      <c r="L95" s="16"/>
      <c r="M95" s="16"/>
      <c r="N95" s="16"/>
      <c r="O95" s="16"/>
      <c r="P95" s="16"/>
      <c r="Q95" s="16"/>
      <c r="R95" s="16"/>
      <c r="S95" s="16"/>
      <c r="T95" s="16"/>
      <c r="U95" s="16"/>
      <c r="V95" s="16"/>
      <c r="W95" s="16"/>
      <c r="X95" s="16"/>
      <c r="Y95" s="16"/>
      <c r="Z95" s="16"/>
      <c r="AA95" s="16"/>
      <c r="AB95" s="16"/>
    </row>
    <row r="96" spans="1:30" ht="15.75" customHeight="1">
      <c r="A96" s="16"/>
      <c r="C96" s="134">
        <v>0</v>
      </c>
      <c r="D96" s="127"/>
      <c r="E96" s="105"/>
      <c r="F96" s="134">
        <f>IF(Table_6170340[[#This Row],[Item]]="",0,Table_6170340[[#This Row],[Amount]]*Table_6170340[[#This Row],[Purchase / Running costs]]/Table_6170340[[#This Row],[Depreciation period]])</f>
        <v>0</v>
      </c>
      <c r="G96" s="127"/>
      <c r="H96" s="696"/>
      <c r="I96" s="696"/>
      <c r="J96" s="731"/>
      <c r="K96" s="732"/>
      <c r="L96" s="16"/>
      <c r="M96" s="16"/>
      <c r="N96" s="16"/>
      <c r="O96" s="16"/>
      <c r="P96" s="16"/>
      <c r="Q96" s="16"/>
      <c r="R96" s="16"/>
      <c r="S96" s="16"/>
      <c r="T96" s="16"/>
      <c r="U96" s="16"/>
      <c r="V96" s="16"/>
      <c r="W96" s="16"/>
      <c r="X96" s="16"/>
      <c r="Y96" s="16"/>
      <c r="Z96" s="16"/>
      <c r="AA96" s="16"/>
      <c r="AB96" s="16"/>
    </row>
    <row r="97" spans="1:30" ht="15.75" customHeight="1">
      <c r="A97" s="16"/>
      <c r="C97" s="134">
        <v>0</v>
      </c>
      <c r="D97" s="127"/>
      <c r="E97" s="105"/>
      <c r="F97" s="134">
        <f>IF(Table_6170340[[#This Row],[Item]]="",0,Table_6170340[[#This Row],[Amount]]*Table_6170340[[#This Row],[Purchase / Running costs]]/Table_6170340[[#This Row],[Depreciation period]])</f>
        <v>0</v>
      </c>
      <c r="G97" s="127"/>
      <c r="H97" s="696"/>
      <c r="I97" s="696"/>
      <c r="J97" s="731"/>
      <c r="K97" s="732"/>
      <c r="L97" s="16"/>
      <c r="M97" s="16"/>
      <c r="N97" s="16"/>
      <c r="O97" s="16"/>
      <c r="P97" s="16"/>
      <c r="Q97" s="16"/>
      <c r="R97" s="16"/>
      <c r="S97" s="16"/>
      <c r="T97" s="16"/>
      <c r="U97" s="16"/>
      <c r="V97" s="16"/>
      <c r="W97" s="16"/>
      <c r="X97" s="16"/>
      <c r="Y97" s="16"/>
      <c r="Z97" s="16"/>
      <c r="AA97" s="16"/>
      <c r="AB97" s="16"/>
    </row>
    <row r="98" spans="1:30" ht="15.75" customHeight="1">
      <c r="A98" s="16"/>
      <c r="B98" s="131"/>
      <c r="C98" s="134">
        <v>0</v>
      </c>
      <c r="D98" s="127"/>
      <c r="E98" s="105"/>
      <c r="F98" s="134">
        <f>IF(Table_6170340[[#This Row],[Item]]="",0,Table_6170340[[#This Row],[Amount]]*Table_6170340[[#This Row],[Purchase / Running costs]]/Table_6170340[[#This Row],[Depreciation period]])</f>
        <v>0</v>
      </c>
      <c r="G98" s="127"/>
      <c r="H98" s="696"/>
      <c r="I98" s="696"/>
      <c r="J98" s="731"/>
      <c r="K98" s="732"/>
      <c r="L98" s="16"/>
      <c r="M98" s="16"/>
      <c r="N98" s="16"/>
      <c r="O98" s="16"/>
      <c r="P98" s="16"/>
      <c r="Q98" s="16"/>
      <c r="R98" s="16"/>
      <c r="S98" s="16"/>
      <c r="T98" s="16"/>
      <c r="U98" s="16"/>
      <c r="V98" s="16"/>
      <c r="W98" s="16"/>
      <c r="X98" s="16"/>
      <c r="Y98" s="16"/>
      <c r="Z98" s="16"/>
      <c r="AA98" s="16"/>
      <c r="AB98" s="16"/>
    </row>
    <row r="99" spans="1:30" ht="15.75" customHeight="1">
      <c r="A99" s="16"/>
      <c r="B99" s="131"/>
      <c r="C99" s="134">
        <v>0</v>
      </c>
      <c r="D99" s="127"/>
      <c r="E99" s="105"/>
      <c r="F99" s="134">
        <f>IF(Table_6170340[[#This Row],[Item]]="",0,Table_6170340[[#This Row],[Amount]]*Table_6170340[[#This Row],[Purchase / Running costs]]/Table_6170340[[#This Row],[Depreciation period]])</f>
        <v>0</v>
      </c>
      <c r="G99" s="127"/>
      <c r="H99" s="696"/>
      <c r="I99" s="696"/>
      <c r="J99" s="731"/>
      <c r="K99" s="732"/>
      <c r="L99" s="16"/>
      <c r="M99" s="16"/>
      <c r="N99" s="16"/>
      <c r="O99" s="16"/>
      <c r="P99" s="16"/>
      <c r="Q99" s="16"/>
      <c r="R99" s="16"/>
      <c r="S99" s="16"/>
      <c r="T99" s="16"/>
      <c r="U99" s="16"/>
      <c r="V99" s="16"/>
      <c r="W99" s="16"/>
      <c r="X99" s="16"/>
      <c r="Y99" s="16"/>
      <c r="Z99" s="16"/>
      <c r="AA99" s="16"/>
      <c r="AB99" s="16"/>
    </row>
    <row r="100" spans="1:30" ht="15.75" customHeight="1">
      <c r="A100" s="16"/>
      <c r="B100" s="131"/>
      <c r="C100" s="134">
        <v>0</v>
      </c>
      <c r="D100" s="127"/>
      <c r="E100" s="105"/>
      <c r="F100" s="134">
        <f>IF(Table_6170340[[#This Row],[Item]]="",0,Table_6170340[[#This Row],[Amount]]*Table_6170340[[#This Row],[Purchase / Running costs]]/Table_6170340[[#This Row],[Depreciation period]])</f>
        <v>0</v>
      </c>
      <c r="G100" s="127"/>
      <c r="H100" s="696"/>
      <c r="I100" s="696"/>
      <c r="J100" s="731"/>
      <c r="K100" s="732"/>
      <c r="L100" s="16"/>
      <c r="M100" s="16"/>
      <c r="N100" s="16"/>
      <c r="O100" s="16"/>
      <c r="P100" s="16"/>
      <c r="Q100" s="16"/>
      <c r="R100" s="16"/>
      <c r="S100" s="16"/>
      <c r="T100" s="16"/>
      <c r="U100" s="16"/>
      <c r="V100" s="16"/>
      <c r="W100" s="16"/>
      <c r="X100" s="16"/>
      <c r="Y100" s="16"/>
      <c r="Z100" s="16"/>
      <c r="AA100" s="16"/>
      <c r="AB100" s="16"/>
    </row>
    <row r="101" spans="1:30" ht="15.75" customHeight="1">
      <c r="A101" s="16"/>
      <c r="B101" s="131"/>
      <c r="C101" s="134">
        <v>0</v>
      </c>
      <c r="D101" s="127"/>
      <c r="E101" s="105"/>
      <c r="F101" s="134">
        <f>IF(Table_6170340[[#This Row],[Item]]="",0,Table_6170340[[#This Row],[Amount]]*Table_6170340[[#This Row],[Purchase / Running costs]]/Table_6170340[[#This Row],[Depreciation period]])</f>
        <v>0</v>
      </c>
      <c r="G101" s="127"/>
      <c r="H101" s="696"/>
      <c r="I101" s="696"/>
      <c r="J101" s="731"/>
      <c r="K101" s="732"/>
      <c r="L101" s="16"/>
      <c r="M101" s="16"/>
      <c r="N101" s="16"/>
      <c r="O101" s="16"/>
      <c r="P101" s="16"/>
      <c r="Q101" s="16"/>
      <c r="R101" s="16"/>
      <c r="S101" s="16"/>
      <c r="T101" s="16"/>
      <c r="U101" s="16"/>
      <c r="V101" s="16"/>
      <c r="W101" s="16"/>
      <c r="X101" s="16"/>
      <c r="Y101" s="16"/>
      <c r="Z101" s="16"/>
      <c r="AA101" s="16"/>
      <c r="AB101" s="16"/>
    </row>
    <row r="102" spans="1:30" ht="15.75" customHeight="1">
      <c r="A102" s="16"/>
      <c r="B102" s="131"/>
      <c r="C102" s="134">
        <v>0</v>
      </c>
      <c r="D102" s="127"/>
      <c r="E102" s="105"/>
      <c r="F102" s="134">
        <f>IF(Table_6170340[[#This Row],[Item]]="",0,Table_6170340[[#This Row],[Amount]]*Table_6170340[[#This Row],[Purchase / Running costs]]/Table_6170340[[#This Row],[Depreciation period]])</f>
        <v>0</v>
      </c>
      <c r="G102" s="127"/>
      <c r="H102" s="696"/>
      <c r="I102" s="696"/>
      <c r="J102" s="731"/>
      <c r="K102" s="732"/>
      <c r="L102" s="16"/>
      <c r="M102" s="16"/>
      <c r="N102" s="16"/>
      <c r="O102" s="16"/>
      <c r="P102" s="16"/>
      <c r="Q102" s="16"/>
      <c r="R102" s="16"/>
      <c r="S102" s="16"/>
      <c r="T102" s="16"/>
      <c r="U102" s="16"/>
      <c r="V102" s="16"/>
      <c r="W102" s="16"/>
      <c r="X102" s="16"/>
      <c r="Y102" s="16"/>
      <c r="Z102" s="16"/>
      <c r="AA102" s="16"/>
      <c r="AB102" s="16"/>
    </row>
    <row r="103" spans="1:30" ht="15.75" customHeight="1">
      <c r="A103" s="16"/>
      <c r="B103" s="131"/>
      <c r="C103" s="134">
        <v>0</v>
      </c>
      <c r="D103" s="127"/>
      <c r="E103" s="105"/>
      <c r="F103" s="134">
        <f>IF(Table_6170340[[#This Row],[Item]]="",0,Table_6170340[[#This Row],[Amount]]*Table_6170340[[#This Row],[Purchase / Running costs]]/Table_6170340[[#This Row],[Depreciation period]])</f>
        <v>0</v>
      </c>
      <c r="G103" s="127"/>
      <c r="H103" s="696"/>
      <c r="I103" s="696"/>
      <c r="J103" s="731"/>
      <c r="K103" s="732"/>
      <c r="L103" s="16"/>
      <c r="M103" s="16"/>
      <c r="N103" s="16"/>
      <c r="O103" s="16"/>
      <c r="P103" s="16"/>
      <c r="Q103" s="16"/>
      <c r="R103" s="16"/>
      <c r="S103" s="16"/>
      <c r="T103" s="16"/>
      <c r="U103" s="16"/>
      <c r="V103" s="16"/>
      <c r="W103" s="16"/>
      <c r="X103" s="16"/>
      <c r="Y103" s="16"/>
      <c r="Z103" s="16"/>
      <c r="AA103" s="16"/>
      <c r="AB103" s="16"/>
    </row>
    <row r="104" spans="1:30" ht="15.75" customHeight="1">
      <c r="A104" s="16"/>
      <c r="B104" s="131"/>
      <c r="C104" s="134">
        <v>0</v>
      </c>
      <c r="D104" s="127"/>
      <c r="E104" s="105"/>
      <c r="F104" s="134">
        <f>IF(Table_6170340[[#This Row],[Item]]="",0,Table_6170340[[#This Row],[Amount]]*Table_6170340[[#This Row],[Purchase / Running costs]]/Table_6170340[[#This Row],[Depreciation period]])</f>
        <v>0</v>
      </c>
      <c r="G104" s="127"/>
      <c r="H104" s="696"/>
      <c r="I104" s="696"/>
      <c r="J104" s="731"/>
      <c r="K104" s="732"/>
      <c r="L104" s="16"/>
      <c r="M104" s="16"/>
      <c r="N104" s="16"/>
      <c r="O104" s="16"/>
      <c r="P104" s="16"/>
      <c r="Q104" s="16"/>
      <c r="R104" s="16"/>
      <c r="S104" s="16"/>
      <c r="T104" s="16"/>
      <c r="U104" s="16"/>
      <c r="V104" s="16"/>
      <c r="W104" s="16"/>
      <c r="X104" s="16"/>
      <c r="Y104" s="16"/>
      <c r="Z104" s="16"/>
      <c r="AA104" s="16"/>
      <c r="AB104" s="16"/>
    </row>
    <row r="105" spans="1:30" ht="15.75" customHeight="1" thickBot="1">
      <c r="A105" s="16"/>
      <c r="B105" s="131"/>
      <c r="C105" s="134">
        <v>0</v>
      </c>
      <c r="D105" s="127"/>
      <c r="E105" s="105"/>
      <c r="F105" s="134">
        <f>IF(Table_6170340[[#This Row],[Item]]="",0,Table_6170340[[#This Row],[Amount]]*Table_6170340[[#This Row],[Purchase / Running costs]]/Table_6170340[[#This Row],[Depreciation period]])</f>
        <v>0</v>
      </c>
      <c r="G105" s="127"/>
      <c r="H105" s="724"/>
      <c r="I105" s="724"/>
      <c r="J105" s="733"/>
      <c r="K105" s="734"/>
      <c r="L105" s="16"/>
      <c r="M105" s="16"/>
      <c r="N105" s="16"/>
      <c r="O105" s="16"/>
      <c r="P105" s="16"/>
      <c r="Q105" s="16"/>
      <c r="R105" s="16"/>
      <c r="S105" s="16"/>
      <c r="T105" s="16"/>
      <c r="U105" s="16"/>
      <c r="V105" s="16"/>
      <c r="W105" s="16"/>
      <c r="X105" s="16"/>
      <c r="Y105" s="16"/>
      <c r="Z105" s="16"/>
      <c r="AA105" s="16"/>
      <c r="AB105" s="16"/>
    </row>
    <row r="106" spans="1:30" ht="15.75" customHeight="1" thickTop="1">
      <c r="A106" s="15"/>
      <c r="B106" s="131"/>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c r="AD106" s="16"/>
    </row>
    <row r="107" spans="1:30" ht="15.75" customHeight="1">
      <c r="A107" s="15"/>
      <c r="B107" s="131"/>
      <c r="C107" s="16"/>
      <c r="D107" s="16"/>
      <c r="E107" s="16"/>
      <c r="F107" s="16"/>
      <c r="G107" s="16"/>
      <c r="I107" s="16"/>
      <c r="J107" s="16"/>
      <c r="K107" s="16"/>
      <c r="L107" s="16"/>
      <c r="M107" s="16"/>
      <c r="N107" s="16"/>
      <c r="O107" s="16"/>
      <c r="P107" s="16"/>
      <c r="Q107" s="16"/>
      <c r="R107" s="16"/>
      <c r="S107" s="16"/>
      <c r="T107" s="16"/>
      <c r="U107" s="16"/>
      <c r="V107" s="16"/>
      <c r="W107" s="16"/>
      <c r="X107" s="16"/>
      <c r="Y107" s="16"/>
      <c r="Z107" s="16"/>
      <c r="AA107" s="16"/>
      <c r="AB107" s="16"/>
      <c r="AC107" s="16"/>
      <c r="AD107" s="16"/>
    </row>
    <row r="108" spans="1:30" ht="15.75" customHeight="1">
      <c r="H108" s="51"/>
      <c r="I108" s="51"/>
      <c r="J108" s="51"/>
      <c r="K108" s="51"/>
      <c r="L108" s="16"/>
      <c r="M108" s="16"/>
      <c r="N108" s="16"/>
      <c r="O108" s="16"/>
      <c r="P108" s="16"/>
      <c r="Q108" s="16"/>
      <c r="R108" s="16"/>
      <c r="S108" s="16"/>
      <c r="T108" s="16"/>
      <c r="U108" s="16"/>
      <c r="V108" s="16"/>
      <c r="W108" s="16"/>
      <c r="X108" s="16"/>
      <c r="Y108" s="16"/>
      <c r="Z108" s="16"/>
      <c r="AA108" s="16"/>
      <c r="AB108" s="16"/>
      <c r="AC108" s="16"/>
      <c r="AD108" s="16"/>
    </row>
    <row r="109" spans="1:30" ht="15.75" customHeight="1">
      <c r="L109" s="16"/>
      <c r="M109" s="16"/>
      <c r="N109" s="16"/>
      <c r="O109" s="16"/>
      <c r="P109" s="16"/>
      <c r="Q109" s="16"/>
      <c r="R109" s="16"/>
      <c r="S109" s="16"/>
      <c r="T109" s="16"/>
      <c r="U109" s="16"/>
      <c r="V109" s="16"/>
      <c r="W109" s="16"/>
      <c r="X109" s="16"/>
      <c r="Y109" s="16"/>
      <c r="Z109" s="16"/>
      <c r="AA109" s="16"/>
      <c r="AB109" s="16"/>
      <c r="AC109" s="16"/>
      <c r="AD109" s="16"/>
    </row>
    <row r="110" spans="1:30" ht="15.75" customHeight="1">
      <c r="L110" s="16"/>
      <c r="M110" s="16"/>
      <c r="N110" s="16"/>
      <c r="O110" s="16"/>
      <c r="P110" s="16"/>
      <c r="Q110" s="16"/>
      <c r="R110" s="16"/>
      <c r="S110" s="16"/>
      <c r="T110" s="16"/>
      <c r="U110" s="16"/>
      <c r="V110" s="16"/>
      <c r="W110" s="16"/>
      <c r="X110" s="16"/>
      <c r="Y110" s="16"/>
      <c r="Z110" s="16"/>
      <c r="AA110" s="16"/>
      <c r="AB110" s="16"/>
      <c r="AC110" s="16"/>
      <c r="AD110" s="16"/>
    </row>
    <row r="111" spans="1:30" ht="15.75" customHeight="1">
      <c r="L111" s="16"/>
      <c r="M111" s="16"/>
      <c r="N111" s="16"/>
      <c r="O111" s="16"/>
      <c r="P111" s="16"/>
      <c r="Q111" s="16"/>
      <c r="R111" s="16"/>
      <c r="S111" s="16"/>
      <c r="T111" s="16"/>
      <c r="U111" s="16"/>
      <c r="V111" s="16"/>
      <c r="W111" s="16"/>
      <c r="X111" s="16"/>
      <c r="Y111" s="16"/>
      <c r="Z111" s="16"/>
      <c r="AA111" s="16"/>
      <c r="AB111" s="16"/>
      <c r="AC111" s="16"/>
      <c r="AD111" s="16"/>
    </row>
    <row r="112" spans="1:30" ht="15.75" customHeight="1">
      <c r="L112" s="16"/>
      <c r="M112" s="16"/>
      <c r="N112" s="16"/>
      <c r="O112" s="16"/>
      <c r="P112" s="16"/>
      <c r="Q112" s="16"/>
      <c r="R112" s="16"/>
      <c r="S112" s="16"/>
      <c r="T112" s="16"/>
      <c r="U112" s="16"/>
      <c r="V112" s="16"/>
      <c r="W112" s="16"/>
      <c r="X112" s="16"/>
      <c r="Y112" s="16"/>
      <c r="Z112" s="16"/>
      <c r="AA112" s="16"/>
      <c r="AB112" s="16"/>
      <c r="AC112" s="16"/>
      <c r="AD112" s="16"/>
    </row>
    <row r="113" spans="1:30" ht="15.75" customHeight="1">
      <c r="L113" s="16"/>
      <c r="M113" s="16"/>
      <c r="N113" s="16"/>
      <c r="O113" s="16"/>
      <c r="P113" s="16"/>
      <c r="Q113" s="16"/>
      <c r="R113" s="16"/>
      <c r="S113" s="16"/>
      <c r="T113" s="16"/>
      <c r="U113" s="16"/>
      <c r="V113" s="16"/>
      <c r="W113" s="16"/>
      <c r="X113" s="16"/>
      <c r="Y113" s="16"/>
      <c r="Z113" s="16"/>
      <c r="AA113" s="16"/>
      <c r="AB113" s="16"/>
      <c r="AC113" s="16"/>
      <c r="AD113" s="16"/>
    </row>
    <row r="114" spans="1:30" ht="15.75" customHeight="1">
      <c r="L114" s="16"/>
      <c r="M114" s="16"/>
      <c r="N114" s="16"/>
      <c r="O114" s="16"/>
      <c r="P114" s="16"/>
      <c r="Q114" s="16"/>
      <c r="R114" s="16"/>
      <c r="S114" s="16"/>
      <c r="T114" s="16"/>
      <c r="U114" s="16"/>
      <c r="V114" s="16"/>
      <c r="W114" s="16"/>
      <c r="X114" s="16"/>
      <c r="Y114" s="16"/>
      <c r="Z114" s="16"/>
      <c r="AA114" s="16"/>
      <c r="AB114" s="16"/>
      <c r="AC114" s="16"/>
      <c r="AD114" s="16"/>
    </row>
    <row r="115" spans="1:30" ht="15.75" customHeight="1">
      <c r="L115" s="16"/>
      <c r="M115" s="16"/>
      <c r="N115" s="16"/>
      <c r="O115" s="16"/>
      <c r="P115" s="735"/>
      <c r="Q115" s="696"/>
      <c r="R115" s="696"/>
      <c r="S115" s="16"/>
      <c r="T115" s="16"/>
      <c r="U115" s="16"/>
      <c r="V115" s="16"/>
      <c r="W115" s="16"/>
      <c r="X115" s="16"/>
      <c r="Y115" s="16"/>
      <c r="Z115" s="16"/>
      <c r="AA115" s="16"/>
      <c r="AB115" s="16"/>
      <c r="AC115" s="16"/>
      <c r="AD115" s="16"/>
    </row>
    <row r="116" spans="1:30" ht="15.75" customHeight="1">
      <c r="L116" s="16"/>
      <c r="M116" s="16"/>
      <c r="N116" s="16"/>
      <c r="O116" s="16"/>
      <c r="P116" s="735"/>
      <c r="Q116" s="696"/>
      <c r="R116" s="696"/>
      <c r="S116" s="16"/>
      <c r="T116" s="16"/>
      <c r="U116" s="16"/>
      <c r="V116" s="16"/>
      <c r="W116" s="16"/>
      <c r="X116" s="16"/>
      <c r="Y116" s="16"/>
      <c r="Z116" s="16"/>
      <c r="AA116" s="16"/>
      <c r="AB116" s="16"/>
      <c r="AC116" s="16"/>
      <c r="AD116" s="16"/>
    </row>
    <row r="117" spans="1:30" ht="15.75" customHeight="1">
      <c r="L117" s="16"/>
      <c r="M117" s="16"/>
      <c r="N117" s="16"/>
      <c r="O117" s="16"/>
      <c r="P117" s="735"/>
      <c r="Q117" s="696"/>
      <c r="R117" s="696"/>
      <c r="S117" s="16"/>
      <c r="T117" s="16"/>
      <c r="U117" s="16"/>
      <c r="V117" s="16"/>
      <c r="W117" s="16"/>
      <c r="X117" s="16"/>
      <c r="Y117" s="16"/>
      <c r="Z117" s="16"/>
      <c r="AA117" s="16"/>
      <c r="AB117" s="16"/>
      <c r="AC117" s="16"/>
      <c r="AD117" s="16"/>
    </row>
    <row r="118" spans="1:30" ht="15.75" customHeight="1">
      <c r="L118" s="16"/>
      <c r="M118" s="16"/>
      <c r="N118" s="16"/>
      <c r="O118" s="16"/>
      <c r="P118" s="735"/>
      <c r="Q118" s="696"/>
      <c r="R118" s="696"/>
      <c r="S118" s="16"/>
      <c r="T118" s="16"/>
      <c r="U118" s="16"/>
      <c r="V118" s="16"/>
      <c r="W118" s="16"/>
      <c r="X118" s="16"/>
      <c r="Y118" s="16"/>
      <c r="Z118" s="16"/>
      <c r="AA118" s="16"/>
      <c r="AB118" s="16"/>
      <c r="AC118" s="16"/>
      <c r="AD118" s="16"/>
    </row>
    <row r="119" spans="1:30" ht="15.75" customHeight="1">
      <c r="L119" s="16"/>
      <c r="M119" s="16"/>
      <c r="N119" s="16"/>
      <c r="O119" s="16"/>
      <c r="P119" s="735"/>
      <c r="Q119" s="696"/>
      <c r="R119" s="696"/>
      <c r="S119" s="16"/>
      <c r="T119" s="16"/>
      <c r="U119" s="16"/>
      <c r="V119" s="16"/>
      <c r="W119" s="16"/>
      <c r="X119" s="16"/>
      <c r="Y119" s="16"/>
      <c r="Z119" s="16"/>
      <c r="AA119" s="16"/>
      <c r="AB119" s="16"/>
      <c r="AC119" s="16"/>
      <c r="AD119" s="16"/>
    </row>
    <row r="120" spans="1:30" ht="15.75" customHeight="1">
      <c r="L120" s="16"/>
      <c r="M120" s="16"/>
      <c r="N120" s="16"/>
      <c r="O120" s="16"/>
      <c r="P120" s="735"/>
      <c r="Q120" s="696"/>
      <c r="R120" s="696"/>
      <c r="S120" s="16"/>
      <c r="T120" s="16"/>
      <c r="U120" s="16"/>
      <c r="V120" s="16"/>
      <c r="W120" s="16"/>
      <c r="X120" s="16"/>
      <c r="Y120" s="16"/>
      <c r="Z120" s="16"/>
      <c r="AA120" s="16"/>
      <c r="AB120" s="16"/>
      <c r="AC120" s="16"/>
      <c r="AD120" s="16"/>
    </row>
    <row r="121" spans="1:30" ht="15.75" customHeight="1">
      <c r="H121" s="248"/>
      <c r="I121" s="248"/>
      <c r="J121" s="228"/>
      <c r="K121" s="228"/>
      <c r="L121" s="16"/>
      <c r="M121" s="16"/>
      <c r="N121" s="16"/>
      <c r="O121" s="16"/>
      <c r="P121" s="735"/>
      <c r="Q121" s="696"/>
      <c r="R121" s="696"/>
      <c r="S121" s="16"/>
      <c r="T121" s="16"/>
      <c r="U121" s="16"/>
      <c r="V121" s="16"/>
      <c r="W121" s="16"/>
      <c r="X121" s="16"/>
      <c r="Y121" s="16"/>
      <c r="Z121" s="16"/>
      <c r="AA121" s="16"/>
      <c r="AB121" s="16"/>
      <c r="AC121" s="16"/>
      <c r="AD121" s="16"/>
    </row>
    <row r="122" spans="1:30" ht="15.75" customHeight="1">
      <c r="A122" s="231"/>
      <c r="B122" s="231"/>
      <c r="C122" s="246"/>
      <c r="D122" s="247"/>
      <c r="E122" s="245"/>
      <c r="F122" s="246"/>
      <c r="G122" s="247"/>
      <c r="H122" s="248"/>
      <c r="I122" s="248"/>
      <c r="J122" s="228"/>
      <c r="K122" s="228"/>
      <c r="L122" s="16"/>
      <c r="M122" s="16"/>
      <c r="N122" s="16"/>
      <c r="O122" s="16"/>
      <c r="P122" s="16"/>
      <c r="Q122" s="16"/>
      <c r="R122" s="16"/>
      <c r="S122" s="16"/>
      <c r="T122" s="16"/>
      <c r="U122" s="16"/>
      <c r="V122" s="16"/>
      <c r="W122" s="16"/>
      <c r="X122" s="16"/>
      <c r="Y122" s="16"/>
      <c r="Z122" s="16"/>
      <c r="AA122" s="16"/>
      <c r="AB122" s="16"/>
      <c r="AC122" s="16"/>
      <c r="AD122" s="16"/>
    </row>
    <row r="123" spans="1:30" ht="15.75" customHeight="1">
      <c r="A123" s="231"/>
      <c r="B123" s="16"/>
      <c r="C123" s="246"/>
      <c r="D123" s="247"/>
      <c r="E123" s="245"/>
      <c r="F123" s="246"/>
      <c r="G123" s="247"/>
      <c r="H123" s="228"/>
      <c r="I123" s="228"/>
      <c r="J123" s="228"/>
      <c r="K123" s="228"/>
      <c r="L123" s="16"/>
      <c r="M123" s="735"/>
      <c r="N123" s="696"/>
      <c r="O123" s="696"/>
      <c r="P123" s="735"/>
      <c r="Q123" s="696"/>
      <c r="R123" s="696"/>
      <c r="S123" s="696"/>
      <c r="T123" s="696"/>
      <c r="U123" s="16"/>
      <c r="V123" s="16"/>
      <c r="W123" s="16"/>
      <c r="X123" s="16"/>
      <c r="Y123" s="16"/>
      <c r="Z123" s="16"/>
      <c r="AA123" s="16"/>
      <c r="AB123" s="16"/>
      <c r="AC123" s="16"/>
      <c r="AD123" s="16"/>
    </row>
    <row r="124" spans="1:30" ht="15.75" customHeight="1">
      <c r="A124" s="16"/>
      <c r="B124" s="16"/>
      <c r="C124" s="16"/>
      <c r="D124" s="16"/>
      <c r="E124" s="16"/>
      <c r="F124" s="16"/>
      <c r="G124" s="16"/>
      <c r="H124" s="16"/>
      <c r="I124" s="16"/>
      <c r="J124" s="16"/>
      <c r="K124" s="16"/>
      <c r="L124" s="16"/>
      <c r="M124" s="735"/>
      <c r="N124" s="696"/>
      <c r="O124" s="696"/>
      <c r="P124" s="735"/>
      <c r="Q124" s="696"/>
      <c r="R124" s="696"/>
      <c r="S124" s="696"/>
      <c r="T124" s="696"/>
      <c r="U124" s="16"/>
      <c r="V124" s="16"/>
      <c r="W124" s="16"/>
      <c r="X124" s="16"/>
      <c r="Y124" s="16"/>
      <c r="Z124" s="16"/>
      <c r="AA124" s="16"/>
      <c r="AB124" s="16"/>
      <c r="AC124" s="16"/>
      <c r="AD124" s="16"/>
    </row>
    <row r="125" spans="1:30" ht="15.75" customHeight="1">
      <c r="A125" s="16"/>
      <c r="B125" s="16"/>
      <c r="C125" s="16"/>
      <c r="D125" s="16"/>
      <c r="E125" s="16"/>
      <c r="F125" s="16"/>
      <c r="G125" s="16"/>
      <c r="H125" s="16"/>
      <c r="I125" s="16"/>
      <c r="J125" s="16"/>
      <c r="K125" s="16"/>
      <c r="L125" s="16"/>
      <c r="M125" s="735"/>
      <c r="N125" s="696"/>
      <c r="O125" s="696"/>
      <c r="P125" s="696"/>
      <c r="Q125" s="696"/>
      <c r="R125" s="696"/>
      <c r="S125" s="696"/>
      <c r="T125" s="696"/>
      <c r="U125" s="16"/>
      <c r="V125" s="16"/>
      <c r="W125" s="16"/>
      <c r="X125" s="16"/>
      <c r="Y125" s="16"/>
      <c r="Z125" s="16"/>
      <c r="AA125" s="16"/>
      <c r="AB125" s="16"/>
      <c r="AC125" s="16"/>
      <c r="AD125" s="16"/>
    </row>
    <row r="126" spans="1:30" ht="15.75" customHeight="1">
      <c r="A126" s="16"/>
      <c r="B126" s="16"/>
      <c r="C126" s="16"/>
      <c r="D126" s="16"/>
      <c r="E126" s="16"/>
      <c r="F126" s="16"/>
      <c r="G126" s="16"/>
      <c r="H126" s="16"/>
      <c r="I126" s="16"/>
      <c r="J126" s="16"/>
      <c r="K126" s="16"/>
      <c r="L126" s="16"/>
      <c r="M126" s="735"/>
      <c r="N126" s="696"/>
      <c r="O126" s="696"/>
      <c r="P126" s="696"/>
      <c r="Q126" s="696"/>
      <c r="R126" s="696"/>
      <c r="S126" s="696"/>
      <c r="T126" s="696"/>
      <c r="U126" s="16"/>
      <c r="V126" s="16"/>
      <c r="W126" s="16"/>
      <c r="X126" s="16"/>
      <c r="Y126" s="16"/>
      <c r="Z126" s="16"/>
      <c r="AA126" s="16"/>
      <c r="AB126" s="16"/>
      <c r="AC126" s="16"/>
      <c r="AD126" s="16"/>
    </row>
    <row r="127" spans="1:30" ht="15.75" customHeight="1">
      <c r="A127" s="16"/>
      <c r="B127" s="16"/>
      <c r="C127" s="16"/>
      <c r="D127" s="16"/>
      <c r="E127" s="16"/>
      <c r="F127" s="16"/>
      <c r="G127" s="16"/>
      <c r="H127" s="16"/>
      <c r="I127" s="16"/>
      <c r="J127" s="16"/>
      <c r="K127" s="16"/>
      <c r="L127" s="16"/>
      <c r="M127" s="735"/>
      <c r="N127" s="696"/>
      <c r="O127" s="696"/>
      <c r="P127" s="696"/>
      <c r="Q127" s="696"/>
      <c r="R127" s="696"/>
      <c r="S127" s="696"/>
      <c r="T127" s="696"/>
      <c r="U127" s="16"/>
      <c r="V127" s="16"/>
      <c r="W127" s="16"/>
      <c r="X127" s="16"/>
      <c r="Y127" s="16"/>
      <c r="Z127" s="16"/>
      <c r="AA127" s="16"/>
      <c r="AB127" s="16"/>
      <c r="AC127" s="16"/>
      <c r="AD127" s="16"/>
    </row>
    <row r="128" spans="1:30" ht="15.75" customHeight="1">
      <c r="A128" s="16"/>
      <c r="B128" s="16"/>
      <c r="C128" s="16"/>
      <c r="D128" s="16"/>
      <c r="E128" s="16"/>
      <c r="F128" s="16"/>
      <c r="G128" s="16"/>
      <c r="H128" s="16"/>
      <c r="I128" s="16"/>
      <c r="J128" s="16"/>
      <c r="K128" s="16"/>
      <c r="L128" s="16"/>
      <c r="M128" s="735"/>
      <c r="N128" s="696"/>
      <c r="O128" s="696"/>
      <c r="P128" s="696"/>
      <c r="Q128" s="696"/>
      <c r="R128" s="696"/>
      <c r="S128" s="696"/>
      <c r="T128" s="696"/>
      <c r="U128" s="16"/>
      <c r="V128" s="16"/>
      <c r="W128" s="16"/>
      <c r="X128" s="16"/>
      <c r="Y128" s="16"/>
      <c r="Z128" s="16"/>
      <c r="AA128" s="16"/>
      <c r="AB128" s="16"/>
      <c r="AC128" s="16"/>
      <c r="AD128" s="16"/>
    </row>
    <row r="129" spans="1:30" ht="15.75" customHeight="1">
      <c r="A129" s="16"/>
      <c r="B129" s="16"/>
      <c r="C129" s="16"/>
      <c r="D129" s="16"/>
      <c r="E129" s="16"/>
      <c r="F129" s="16"/>
      <c r="G129" s="16"/>
      <c r="H129" s="16"/>
      <c r="I129" s="16"/>
      <c r="J129" s="16"/>
      <c r="K129" s="16"/>
      <c r="L129" s="16"/>
      <c r="M129" s="735"/>
      <c r="N129" s="696"/>
      <c r="O129" s="696"/>
      <c r="P129" s="696"/>
      <c r="Q129" s="696"/>
      <c r="R129" s="696"/>
      <c r="S129" s="696"/>
      <c r="T129" s="696"/>
      <c r="U129" s="16"/>
      <c r="V129" s="16"/>
      <c r="W129" s="16"/>
      <c r="X129" s="16"/>
      <c r="Y129" s="16"/>
      <c r="Z129" s="16"/>
      <c r="AA129" s="16"/>
      <c r="AB129" s="16"/>
      <c r="AC129" s="16"/>
      <c r="AD129" s="16"/>
    </row>
    <row r="130" spans="1:30" ht="15.75" customHeight="1">
      <c r="A130" s="16"/>
      <c r="B130" s="16"/>
      <c r="C130" s="16"/>
      <c r="D130" s="16"/>
      <c r="E130" s="16"/>
      <c r="F130" s="16"/>
      <c r="G130" s="16"/>
      <c r="H130" s="16"/>
      <c r="I130" s="16"/>
      <c r="J130" s="16"/>
      <c r="K130" s="16"/>
      <c r="L130" s="16"/>
      <c r="M130" s="735"/>
      <c r="N130" s="696"/>
      <c r="O130" s="696"/>
      <c r="P130" s="696"/>
      <c r="Q130" s="696"/>
      <c r="R130" s="696"/>
      <c r="S130" s="696"/>
      <c r="T130" s="696"/>
      <c r="U130" s="16"/>
      <c r="V130" s="16"/>
      <c r="W130" s="16"/>
      <c r="X130" s="16"/>
      <c r="Y130" s="16"/>
      <c r="Z130" s="16"/>
      <c r="AA130" s="16"/>
      <c r="AB130" s="16"/>
      <c r="AC130" s="16"/>
      <c r="AD130" s="16"/>
    </row>
    <row r="131" spans="1:30" ht="15.75" customHeight="1">
      <c r="A131" s="16"/>
      <c r="B131" s="16"/>
      <c r="C131" s="16"/>
      <c r="D131" s="16"/>
      <c r="E131" s="16"/>
      <c r="F131" s="16"/>
      <c r="G131" s="16"/>
      <c r="H131" s="16"/>
      <c r="I131" s="16"/>
      <c r="J131" s="16"/>
      <c r="K131" s="16"/>
      <c r="L131" s="16"/>
      <c r="M131" s="735"/>
      <c r="N131" s="696"/>
      <c r="O131" s="696"/>
      <c r="P131" s="696"/>
      <c r="Q131" s="696"/>
      <c r="R131" s="696"/>
      <c r="S131" s="696"/>
      <c r="T131" s="696"/>
      <c r="U131" s="16"/>
      <c r="V131" s="16"/>
      <c r="W131" s="16"/>
      <c r="X131" s="16"/>
      <c r="Y131" s="16"/>
      <c r="Z131" s="16"/>
      <c r="AA131" s="16"/>
      <c r="AB131" s="16"/>
      <c r="AC131" s="16"/>
      <c r="AD131" s="16"/>
    </row>
    <row r="132" spans="1:30" ht="15.75" customHeight="1">
      <c r="A132" s="16"/>
      <c r="B132" s="16"/>
      <c r="C132" s="16"/>
      <c r="D132" s="16"/>
      <c r="E132" s="16"/>
      <c r="F132" s="16"/>
      <c r="G132" s="16"/>
      <c r="H132" s="16"/>
      <c r="I132" s="16"/>
      <c r="J132" s="16"/>
      <c r="K132" s="16"/>
      <c r="L132" s="16"/>
      <c r="M132" s="735"/>
      <c r="N132" s="696"/>
      <c r="O132" s="696"/>
      <c r="P132" s="696"/>
      <c r="Q132" s="696"/>
      <c r="R132" s="696"/>
      <c r="S132" s="696"/>
      <c r="T132" s="696"/>
      <c r="U132" s="16"/>
      <c r="V132" s="16"/>
      <c r="W132" s="16"/>
      <c r="X132" s="16"/>
      <c r="Y132" s="16"/>
      <c r="Z132" s="16"/>
      <c r="AA132" s="16"/>
      <c r="AB132" s="16"/>
      <c r="AC132" s="16"/>
      <c r="AD132" s="16"/>
    </row>
    <row r="133" spans="1:30" ht="15.75" customHeight="1">
      <c r="A133" s="16"/>
      <c r="B133" s="16"/>
      <c r="C133" s="16"/>
      <c r="D133" s="16"/>
      <c r="E133" s="16"/>
      <c r="F133" s="16"/>
      <c r="G133" s="16"/>
      <c r="H133" s="16"/>
      <c r="I133" s="16"/>
      <c r="J133" s="16"/>
      <c r="K133" s="16"/>
      <c r="L133" s="16"/>
      <c r="M133" s="735"/>
      <c r="N133" s="696"/>
      <c r="O133" s="696"/>
      <c r="P133" s="696"/>
      <c r="Q133" s="696"/>
      <c r="R133" s="696"/>
      <c r="S133" s="696"/>
      <c r="T133" s="696"/>
      <c r="U133" s="16"/>
      <c r="V133" s="16"/>
      <c r="W133" s="16"/>
      <c r="X133" s="16"/>
      <c r="Y133" s="16"/>
      <c r="Z133" s="16"/>
      <c r="AA133" s="16"/>
      <c r="AB133" s="16"/>
      <c r="AC133" s="16"/>
      <c r="AD133" s="16"/>
    </row>
    <row r="134" spans="1:30" ht="15.75" customHeight="1">
      <c r="A134" s="16"/>
      <c r="B134" s="16"/>
      <c r="C134" s="16"/>
      <c r="D134" s="16"/>
      <c r="E134" s="16"/>
      <c r="F134" s="16"/>
      <c r="G134" s="16"/>
      <c r="H134" s="16"/>
      <c r="I134" s="16"/>
      <c r="J134" s="16"/>
      <c r="K134" s="16"/>
      <c r="L134" s="16"/>
      <c r="M134" s="735"/>
      <c r="N134" s="696"/>
      <c r="O134" s="696"/>
      <c r="P134" s="696"/>
      <c r="Q134" s="696"/>
      <c r="R134" s="696"/>
      <c r="S134" s="696"/>
      <c r="T134" s="696"/>
      <c r="U134" s="16"/>
      <c r="V134" s="16"/>
      <c r="W134" s="16"/>
      <c r="X134" s="16"/>
      <c r="Y134" s="16"/>
      <c r="Z134" s="16"/>
      <c r="AA134" s="16"/>
      <c r="AB134" s="16"/>
      <c r="AC134" s="16"/>
      <c r="AD134" s="16"/>
    </row>
    <row r="135" spans="1:30" ht="15.75" customHeight="1">
      <c r="A135" s="16"/>
      <c r="B135" s="16"/>
      <c r="C135" s="16"/>
      <c r="D135" s="16"/>
      <c r="E135" s="16"/>
      <c r="F135" s="16"/>
      <c r="G135" s="16"/>
      <c r="H135" s="16"/>
      <c r="I135" s="16"/>
      <c r="J135" s="16"/>
      <c r="K135" s="16"/>
      <c r="L135" s="16"/>
      <c r="M135" s="735"/>
      <c r="N135" s="696"/>
      <c r="O135" s="696"/>
      <c r="P135" s="696"/>
      <c r="Q135" s="696"/>
      <c r="R135" s="696"/>
      <c r="S135" s="696"/>
      <c r="T135" s="696"/>
      <c r="U135" s="16"/>
      <c r="V135" s="16"/>
      <c r="W135" s="16"/>
      <c r="X135" s="16"/>
      <c r="Y135" s="16"/>
      <c r="Z135" s="16"/>
      <c r="AA135" s="16"/>
      <c r="AB135" s="16"/>
      <c r="AC135" s="16"/>
      <c r="AD135" s="16"/>
    </row>
    <row r="136" spans="1:30" ht="15.75" customHeight="1">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c r="AA136" s="16"/>
      <c r="AB136" s="16"/>
      <c r="AC136" s="16"/>
      <c r="AD136" s="16"/>
    </row>
    <row r="137" spans="1:30" ht="15.75" customHeight="1">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c r="AA137" s="16"/>
      <c r="AB137" s="16"/>
      <c r="AC137" s="16"/>
      <c r="AD137" s="16"/>
    </row>
    <row r="138" spans="1:30" ht="15.75" customHeight="1">
      <c r="A138" s="16"/>
      <c r="B138" s="16"/>
      <c r="C138" s="16"/>
      <c r="D138" s="16"/>
      <c r="E138" s="16"/>
      <c r="F138" s="16"/>
      <c r="G138" s="16"/>
      <c r="H138" s="16"/>
      <c r="I138" s="16"/>
      <c r="J138" s="16"/>
      <c r="K138" s="16"/>
      <c r="L138" s="16"/>
      <c r="M138" s="735"/>
      <c r="N138" s="696"/>
      <c r="O138" s="696"/>
      <c r="P138" s="735"/>
      <c r="Q138" s="696"/>
      <c r="R138" s="696"/>
      <c r="S138" s="696"/>
      <c r="T138" s="696"/>
      <c r="U138" s="16"/>
      <c r="V138" s="16"/>
      <c r="W138" s="16"/>
      <c r="X138" s="16"/>
      <c r="Y138" s="16"/>
      <c r="Z138" s="16"/>
      <c r="AA138" s="16"/>
      <c r="AB138" s="16"/>
      <c r="AC138" s="16"/>
      <c r="AD138" s="16"/>
    </row>
    <row r="139" spans="1:30" ht="15.75" customHeight="1">
      <c r="A139" s="16"/>
      <c r="B139" s="16"/>
      <c r="C139" s="16"/>
      <c r="D139" s="16"/>
      <c r="E139" s="16"/>
      <c r="F139" s="16"/>
      <c r="G139" s="16"/>
      <c r="H139" s="16"/>
      <c r="I139" s="16"/>
      <c r="J139" s="16"/>
      <c r="K139" s="16"/>
      <c r="L139" s="16"/>
      <c r="M139" s="735"/>
      <c r="N139" s="696"/>
      <c r="O139" s="696"/>
      <c r="P139" s="735"/>
      <c r="Q139" s="696"/>
      <c r="R139" s="696"/>
      <c r="S139" s="696"/>
      <c r="T139" s="696"/>
      <c r="U139" s="16"/>
      <c r="V139" s="16"/>
      <c r="W139" s="16"/>
      <c r="X139" s="16"/>
      <c r="Y139" s="16"/>
      <c r="Z139" s="16"/>
      <c r="AA139" s="16"/>
      <c r="AB139" s="16"/>
      <c r="AC139" s="16"/>
      <c r="AD139" s="16"/>
    </row>
    <row r="140" spans="1:30" ht="15.75" customHeight="1">
      <c r="A140" s="16"/>
      <c r="B140" s="16"/>
      <c r="C140" s="16"/>
      <c r="D140" s="16"/>
      <c r="E140" s="16"/>
      <c r="F140" s="16"/>
      <c r="G140" s="16"/>
      <c r="H140" s="16"/>
      <c r="I140" s="16"/>
      <c r="J140" s="16"/>
      <c r="K140" s="16"/>
      <c r="L140" s="16"/>
      <c r="M140" s="735"/>
      <c r="N140" s="696"/>
      <c r="O140" s="696"/>
      <c r="P140" s="696"/>
      <c r="Q140" s="696"/>
      <c r="R140" s="696"/>
      <c r="S140" s="696"/>
      <c r="T140" s="696"/>
      <c r="U140" s="16"/>
      <c r="V140" s="16"/>
      <c r="W140" s="16"/>
      <c r="X140" s="16"/>
      <c r="Y140" s="16"/>
      <c r="Z140" s="16"/>
      <c r="AA140" s="16"/>
      <c r="AB140" s="16"/>
      <c r="AC140" s="16"/>
      <c r="AD140" s="16"/>
    </row>
    <row r="141" spans="1:30" ht="15.75" customHeight="1">
      <c r="A141" s="16"/>
      <c r="B141" s="16"/>
      <c r="C141" s="16"/>
      <c r="D141" s="16"/>
      <c r="E141" s="16"/>
      <c r="F141" s="16"/>
      <c r="G141" s="16"/>
      <c r="H141" s="16"/>
      <c r="I141" s="16"/>
      <c r="J141" s="16"/>
      <c r="K141" s="16"/>
      <c r="L141" s="16"/>
      <c r="M141" s="735"/>
      <c r="N141" s="696"/>
      <c r="O141" s="696"/>
      <c r="P141" s="696"/>
      <c r="Q141" s="696"/>
      <c r="R141" s="696"/>
      <c r="S141" s="696"/>
      <c r="T141" s="696"/>
      <c r="U141" s="16"/>
      <c r="V141" s="16"/>
      <c r="W141" s="16"/>
      <c r="X141" s="16"/>
      <c r="Y141" s="16"/>
      <c r="Z141" s="16"/>
      <c r="AA141" s="16"/>
      <c r="AB141" s="16"/>
      <c r="AC141" s="16"/>
      <c r="AD141" s="16"/>
    </row>
    <row r="142" spans="1:30" ht="15.75" customHeight="1">
      <c r="A142" s="16"/>
      <c r="B142" s="16"/>
      <c r="C142" s="16"/>
      <c r="D142" s="16"/>
      <c r="E142" s="16"/>
      <c r="F142" s="16"/>
      <c r="G142" s="16"/>
      <c r="H142" s="16"/>
      <c r="I142" s="16"/>
      <c r="J142" s="16"/>
      <c r="K142" s="16"/>
      <c r="L142" s="16"/>
      <c r="M142" s="735"/>
      <c r="N142" s="696"/>
      <c r="O142" s="696"/>
      <c r="P142" s="696"/>
      <c r="Q142" s="696"/>
      <c r="R142" s="696"/>
      <c r="S142" s="696"/>
      <c r="T142" s="696"/>
      <c r="U142" s="16"/>
      <c r="V142" s="16"/>
      <c r="W142" s="16"/>
      <c r="X142" s="16"/>
      <c r="Y142" s="16"/>
      <c r="Z142" s="16"/>
      <c r="AA142" s="16"/>
      <c r="AB142" s="16"/>
      <c r="AC142" s="16"/>
      <c r="AD142" s="16"/>
    </row>
    <row r="143" spans="1:30" ht="15.75" customHeight="1">
      <c r="A143" s="16"/>
      <c r="B143" s="16"/>
      <c r="C143" s="16"/>
      <c r="D143" s="16"/>
      <c r="E143" s="16"/>
      <c r="F143" s="16"/>
      <c r="G143" s="16"/>
      <c r="H143" s="16"/>
      <c r="I143" s="16"/>
      <c r="J143" s="16"/>
      <c r="K143" s="16"/>
      <c r="L143" s="16"/>
      <c r="M143" s="735"/>
      <c r="N143" s="696"/>
      <c r="O143" s="696"/>
      <c r="P143" s="696"/>
      <c r="Q143" s="696"/>
      <c r="R143" s="696"/>
      <c r="S143" s="696"/>
      <c r="T143" s="696"/>
      <c r="U143" s="16"/>
      <c r="V143" s="16"/>
      <c r="W143" s="16"/>
      <c r="X143" s="16"/>
      <c r="Y143" s="16"/>
      <c r="Z143" s="16"/>
      <c r="AA143" s="16"/>
      <c r="AB143" s="16"/>
      <c r="AC143" s="16"/>
      <c r="AD143" s="16"/>
    </row>
    <row r="144" spans="1:30" ht="15.75" customHeight="1">
      <c r="A144" s="16"/>
      <c r="B144" s="16"/>
      <c r="C144" s="16"/>
      <c r="D144" s="16"/>
      <c r="E144" s="16"/>
      <c r="F144" s="16"/>
      <c r="G144" s="16"/>
      <c r="H144" s="16"/>
      <c r="I144" s="16"/>
      <c r="J144" s="16"/>
      <c r="K144" s="16"/>
      <c r="L144" s="16"/>
      <c r="M144" s="735"/>
      <c r="N144" s="696"/>
      <c r="O144" s="696"/>
      <c r="P144" s="696"/>
      <c r="Q144" s="696"/>
      <c r="R144" s="696"/>
      <c r="S144" s="696"/>
      <c r="T144" s="696"/>
      <c r="U144" s="16"/>
      <c r="V144" s="16"/>
      <c r="W144" s="16"/>
      <c r="X144" s="16"/>
      <c r="Y144" s="16"/>
      <c r="Z144" s="16"/>
      <c r="AA144" s="16"/>
      <c r="AB144" s="16"/>
      <c r="AC144" s="16"/>
      <c r="AD144" s="16"/>
    </row>
    <row r="145" spans="1:30" ht="15.75" customHeight="1">
      <c r="A145" s="16"/>
      <c r="B145" s="16"/>
      <c r="C145" s="16"/>
      <c r="D145" s="16"/>
      <c r="E145" s="16"/>
      <c r="F145" s="16"/>
      <c r="G145" s="16"/>
      <c r="H145" s="16"/>
      <c r="I145" s="16"/>
      <c r="J145" s="16"/>
      <c r="K145" s="16"/>
      <c r="L145" s="16"/>
      <c r="M145" s="735"/>
      <c r="N145" s="696"/>
      <c r="O145" s="696"/>
      <c r="P145" s="696"/>
      <c r="Q145" s="696"/>
      <c r="R145" s="696"/>
      <c r="S145" s="696"/>
      <c r="T145" s="696"/>
      <c r="U145" s="16"/>
      <c r="V145" s="16"/>
      <c r="W145" s="16"/>
      <c r="X145" s="16"/>
      <c r="Y145" s="16"/>
      <c r="Z145" s="16"/>
      <c r="AA145" s="16"/>
      <c r="AB145" s="16"/>
      <c r="AC145" s="16"/>
      <c r="AD145" s="16"/>
    </row>
    <row r="146" spans="1:30" ht="15.75" customHeight="1">
      <c r="A146" s="16"/>
      <c r="B146" s="16"/>
      <c r="C146" s="16"/>
      <c r="D146" s="16"/>
      <c r="E146" s="16"/>
      <c r="F146" s="16"/>
      <c r="G146" s="16"/>
      <c r="H146" s="16"/>
      <c r="I146" s="16"/>
      <c r="J146" s="16"/>
      <c r="K146" s="16"/>
      <c r="L146" s="16"/>
      <c r="M146" s="735"/>
      <c r="N146" s="696"/>
      <c r="O146" s="696"/>
      <c r="P146" s="696"/>
      <c r="Q146" s="696"/>
      <c r="R146" s="696"/>
      <c r="S146" s="696"/>
      <c r="T146" s="696"/>
      <c r="U146" s="16"/>
      <c r="V146" s="16"/>
      <c r="W146" s="16"/>
      <c r="X146" s="16"/>
      <c r="Y146" s="16"/>
      <c r="Z146" s="16"/>
      <c r="AA146" s="16"/>
      <c r="AB146" s="16"/>
      <c r="AC146" s="16"/>
      <c r="AD146" s="16"/>
    </row>
    <row r="147" spans="1:30" ht="15.75" customHeight="1">
      <c r="A147" s="16"/>
      <c r="B147" s="16"/>
      <c r="C147" s="16"/>
      <c r="D147" s="16"/>
      <c r="E147" s="16"/>
      <c r="F147" s="16"/>
      <c r="G147" s="16"/>
      <c r="H147" s="16"/>
      <c r="I147" s="16"/>
      <c r="J147" s="16"/>
      <c r="K147" s="16"/>
      <c r="L147" s="16"/>
      <c r="M147" s="735"/>
      <c r="N147" s="696"/>
      <c r="O147" s="696"/>
      <c r="P147" s="696"/>
      <c r="Q147" s="696"/>
      <c r="R147" s="696"/>
      <c r="S147" s="696"/>
      <c r="T147" s="696"/>
      <c r="U147" s="16"/>
      <c r="V147" s="16"/>
      <c r="W147" s="16"/>
      <c r="X147" s="16"/>
      <c r="Y147" s="16"/>
      <c r="Z147" s="16"/>
      <c r="AA147" s="16"/>
      <c r="AB147" s="16"/>
      <c r="AC147" s="16"/>
      <c r="AD147" s="16"/>
    </row>
    <row r="148" spans="1:30" ht="15.75" customHeight="1">
      <c r="A148" s="16"/>
      <c r="B148" s="16"/>
      <c r="C148" s="16"/>
      <c r="D148" s="16"/>
      <c r="E148" s="16"/>
      <c r="F148" s="16"/>
      <c r="G148" s="16"/>
      <c r="H148" s="16"/>
      <c r="I148" s="16"/>
      <c r="J148" s="16"/>
      <c r="K148" s="16"/>
      <c r="L148" s="16"/>
      <c r="M148" s="735"/>
      <c r="N148" s="696"/>
      <c r="O148" s="696"/>
      <c r="P148" s="696"/>
      <c r="Q148" s="696"/>
      <c r="R148" s="696"/>
      <c r="S148" s="696"/>
      <c r="T148" s="696"/>
      <c r="U148" s="16"/>
      <c r="V148" s="16"/>
      <c r="W148" s="16"/>
      <c r="X148" s="16"/>
      <c r="Y148" s="16"/>
      <c r="Z148" s="16"/>
      <c r="AA148" s="16"/>
      <c r="AB148" s="16"/>
      <c r="AC148" s="16"/>
      <c r="AD148" s="16"/>
    </row>
    <row r="149" spans="1:30" ht="15.75" customHeight="1">
      <c r="A149" s="16"/>
      <c r="B149" s="16"/>
      <c r="C149" s="16"/>
      <c r="D149" s="16"/>
      <c r="E149" s="16"/>
      <c r="F149" s="16"/>
      <c r="G149" s="16"/>
      <c r="H149" s="16"/>
      <c r="I149" s="16"/>
      <c r="J149" s="16"/>
      <c r="K149" s="16"/>
      <c r="L149" s="16"/>
      <c r="M149" s="735"/>
      <c r="N149" s="696"/>
      <c r="O149" s="696"/>
      <c r="P149" s="696"/>
      <c r="Q149" s="696"/>
      <c r="R149" s="696"/>
      <c r="S149" s="696"/>
      <c r="T149" s="696"/>
      <c r="U149" s="16"/>
      <c r="V149" s="16"/>
      <c r="W149" s="16"/>
      <c r="X149" s="16"/>
      <c r="Y149" s="16"/>
      <c r="Z149" s="16"/>
      <c r="AA149" s="16"/>
      <c r="AB149" s="16"/>
      <c r="AC149" s="16"/>
      <c r="AD149" s="16"/>
    </row>
    <row r="150" spans="1:30" ht="15.75" customHeight="1">
      <c r="A150" s="16"/>
      <c r="B150" s="16"/>
      <c r="C150" s="16"/>
      <c r="D150" s="16"/>
      <c r="E150" s="16"/>
      <c r="F150" s="16"/>
      <c r="G150" s="16"/>
      <c r="H150" s="16"/>
      <c r="I150" s="16"/>
      <c r="J150" s="16"/>
      <c r="K150" s="16"/>
      <c r="L150" s="16"/>
      <c r="M150" s="735"/>
      <c r="N150" s="696"/>
      <c r="O150" s="696"/>
      <c r="P150" s="696"/>
      <c r="Q150" s="696"/>
      <c r="R150" s="696"/>
      <c r="S150" s="696"/>
      <c r="T150" s="696"/>
      <c r="U150" s="16"/>
      <c r="V150" s="16"/>
      <c r="W150" s="16"/>
      <c r="X150" s="16"/>
      <c r="Y150" s="16"/>
      <c r="Z150" s="16"/>
      <c r="AA150" s="16"/>
      <c r="AB150" s="16"/>
      <c r="AC150" s="16"/>
      <c r="AD150" s="16"/>
    </row>
    <row r="151" spans="1:30" ht="15.75" customHeight="1">
      <c r="A151" s="16"/>
      <c r="B151" s="16"/>
      <c r="C151" s="16"/>
      <c r="D151" s="16"/>
      <c r="E151" s="16"/>
      <c r="F151" s="16"/>
      <c r="G151" s="16"/>
      <c r="H151" s="16"/>
      <c r="I151" s="16"/>
      <c r="J151" s="16"/>
      <c r="K151" s="16"/>
      <c r="L151" s="16"/>
      <c r="M151" s="735"/>
      <c r="N151" s="696"/>
      <c r="O151" s="696"/>
      <c r="P151" s="696"/>
      <c r="Q151" s="696"/>
      <c r="R151" s="696"/>
      <c r="S151" s="696"/>
      <c r="T151" s="696"/>
      <c r="U151" s="16"/>
      <c r="V151" s="16"/>
      <c r="W151" s="16"/>
      <c r="X151" s="16"/>
      <c r="Y151" s="16"/>
      <c r="Z151" s="16"/>
      <c r="AA151" s="16"/>
      <c r="AB151" s="16"/>
      <c r="AC151" s="16"/>
      <c r="AD151" s="16"/>
    </row>
    <row r="152" spans="1:30" ht="15.75" customHeight="1">
      <c r="A152" s="16"/>
      <c r="B152" s="16"/>
      <c r="C152" s="16"/>
      <c r="D152" s="16"/>
      <c r="E152" s="16"/>
      <c r="F152" s="16"/>
      <c r="G152" s="16"/>
      <c r="H152" s="16"/>
      <c r="I152" s="16"/>
      <c r="J152" s="16"/>
      <c r="K152" s="16"/>
      <c r="L152" s="16"/>
      <c r="M152" s="735"/>
      <c r="N152" s="696"/>
      <c r="O152" s="696"/>
      <c r="P152" s="696"/>
      <c r="Q152" s="696"/>
      <c r="R152" s="696"/>
      <c r="S152" s="696"/>
      <c r="T152" s="696"/>
      <c r="U152" s="16"/>
      <c r="V152" s="16"/>
      <c r="W152" s="16"/>
      <c r="X152" s="16"/>
      <c r="Y152" s="16"/>
      <c r="Z152" s="16"/>
      <c r="AA152" s="16"/>
      <c r="AB152" s="16"/>
      <c r="AC152" s="16"/>
      <c r="AD152" s="16"/>
    </row>
    <row r="153" spans="1:30" ht="15.75" customHeight="1">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c r="AA153" s="16"/>
      <c r="AB153" s="16"/>
      <c r="AC153" s="16"/>
      <c r="AD153" s="16"/>
    </row>
    <row r="154" spans="1:30" ht="15.75" customHeight="1">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c r="AA154" s="16"/>
      <c r="AB154" s="16"/>
      <c r="AC154" s="16"/>
      <c r="AD154" s="16"/>
    </row>
    <row r="155" spans="1:30" ht="15.75" customHeight="1">
      <c r="A155" s="16"/>
      <c r="B155" s="735"/>
      <c r="C155" s="696"/>
      <c r="D155" s="16"/>
      <c r="E155" s="16"/>
      <c r="F155" s="16"/>
      <c r="G155" s="16"/>
      <c r="H155" s="16"/>
      <c r="I155" s="16"/>
      <c r="J155" s="16"/>
      <c r="K155" s="16"/>
      <c r="L155" s="16"/>
      <c r="M155" s="735"/>
      <c r="N155" s="696"/>
      <c r="O155" s="696"/>
      <c r="P155" s="735"/>
      <c r="Q155" s="696"/>
      <c r="R155" s="696"/>
      <c r="S155" s="696"/>
      <c r="T155" s="696"/>
      <c r="U155" s="16"/>
      <c r="V155" s="16"/>
      <c r="W155" s="16"/>
      <c r="X155" s="16"/>
      <c r="Y155" s="16"/>
      <c r="Z155" s="16"/>
      <c r="AA155" s="16"/>
      <c r="AB155" s="16"/>
      <c r="AC155" s="16"/>
      <c r="AD155" s="16"/>
    </row>
    <row r="156" spans="1:30" ht="15.75" customHeight="1">
      <c r="A156" s="16"/>
      <c r="B156" s="735"/>
      <c r="C156" s="696"/>
      <c r="D156" s="16"/>
      <c r="E156" s="16"/>
      <c r="F156" s="16"/>
      <c r="G156" s="16"/>
      <c r="H156" s="16"/>
      <c r="I156" s="16"/>
      <c r="J156" s="16"/>
      <c r="K156" s="16"/>
      <c r="L156" s="16"/>
      <c r="M156" s="735"/>
      <c r="N156" s="696"/>
      <c r="O156" s="696"/>
      <c r="P156" s="735"/>
      <c r="Q156" s="696"/>
      <c r="R156" s="696"/>
      <c r="S156" s="696"/>
      <c r="T156" s="696"/>
      <c r="U156" s="16"/>
      <c r="V156" s="16"/>
      <c r="W156" s="16"/>
      <c r="X156" s="16"/>
      <c r="Y156" s="16"/>
      <c r="Z156" s="16"/>
      <c r="AA156" s="16"/>
      <c r="AB156" s="16"/>
      <c r="AC156" s="16"/>
      <c r="AD156" s="16"/>
    </row>
    <row r="157" spans="1:30" ht="15.75" customHeight="1">
      <c r="A157" s="16"/>
      <c r="B157" s="735"/>
      <c r="C157" s="696"/>
      <c r="D157" s="16"/>
      <c r="E157" s="16"/>
      <c r="F157" s="16"/>
      <c r="G157" s="16"/>
      <c r="H157" s="16"/>
      <c r="I157" s="16"/>
      <c r="J157" s="16"/>
      <c r="K157" s="16"/>
      <c r="L157" s="16"/>
      <c r="M157" s="735"/>
      <c r="N157" s="696"/>
      <c r="O157" s="696"/>
      <c r="P157" s="696"/>
      <c r="Q157" s="696"/>
      <c r="R157" s="696"/>
      <c r="S157" s="696"/>
      <c r="T157" s="696"/>
      <c r="U157" s="16"/>
      <c r="V157" s="16"/>
      <c r="W157" s="16"/>
      <c r="X157" s="16"/>
      <c r="Y157" s="16"/>
      <c r="Z157" s="16"/>
      <c r="AA157" s="16"/>
      <c r="AB157" s="16"/>
      <c r="AC157" s="16"/>
      <c r="AD157" s="16"/>
    </row>
    <row r="158" spans="1:30" ht="15.75" customHeight="1">
      <c r="A158" s="16"/>
      <c r="B158" s="735"/>
      <c r="C158" s="696"/>
      <c r="D158" s="16"/>
      <c r="E158" s="16"/>
      <c r="F158" s="16"/>
      <c r="G158" s="16"/>
      <c r="H158" s="16"/>
      <c r="I158" s="16"/>
      <c r="J158" s="16"/>
      <c r="K158" s="16"/>
      <c r="L158" s="16"/>
      <c r="M158" s="735"/>
      <c r="N158" s="696"/>
      <c r="O158" s="696"/>
      <c r="P158" s="696"/>
      <c r="Q158" s="696"/>
      <c r="R158" s="696"/>
      <c r="S158" s="696"/>
      <c r="T158" s="696"/>
      <c r="U158" s="16"/>
      <c r="V158" s="16"/>
      <c r="W158" s="16"/>
      <c r="X158" s="16"/>
      <c r="Y158" s="16"/>
      <c r="Z158" s="16"/>
      <c r="AA158" s="16"/>
      <c r="AB158" s="16"/>
      <c r="AC158" s="16"/>
      <c r="AD158" s="16"/>
    </row>
    <row r="159" spans="1:30" ht="15.75" customHeight="1">
      <c r="A159" s="16"/>
      <c r="B159" s="735"/>
      <c r="C159" s="696"/>
      <c r="D159" s="16"/>
      <c r="E159" s="16"/>
      <c r="F159" s="16"/>
      <c r="G159" s="16"/>
      <c r="H159" s="16"/>
      <c r="I159" s="16"/>
      <c r="J159" s="16"/>
      <c r="K159" s="16"/>
      <c r="L159" s="16"/>
      <c r="M159" s="735"/>
      <c r="N159" s="696"/>
      <c r="O159" s="696"/>
      <c r="P159" s="696"/>
      <c r="Q159" s="696"/>
      <c r="R159" s="696"/>
      <c r="S159" s="696"/>
      <c r="T159" s="696"/>
      <c r="U159" s="16"/>
      <c r="V159" s="16"/>
      <c r="W159" s="16"/>
      <c r="X159" s="16"/>
      <c r="Y159" s="16"/>
      <c r="Z159" s="16"/>
      <c r="AA159" s="16"/>
      <c r="AB159" s="16"/>
      <c r="AC159" s="16"/>
      <c r="AD159" s="16"/>
    </row>
    <row r="160" spans="1:30" ht="15.75" customHeight="1">
      <c r="A160" s="16"/>
      <c r="B160" s="735"/>
      <c r="C160" s="696"/>
      <c r="D160" s="16"/>
      <c r="E160" s="16"/>
      <c r="F160" s="16"/>
      <c r="G160" s="16"/>
      <c r="H160" s="16"/>
      <c r="I160" s="16"/>
      <c r="J160" s="16"/>
      <c r="K160" s="16"/>
      <c r="L160" s="16"/>
      <c r="M160" s="735"/>
      <c r="N160" s="696"/>
      <c r="O160" s="696"/>
      <c r="P160" s="696"/>
      <c r="Q160" s="696"/>
      <c r="R160" s="696"/>
      <c r="S160" s="696"/>
      <c r="T160" s="696"/>
      <c r="U160" s="16"/>
      <c r="V160" s="16"/>
      <c r="W160" s="16"/>
      <c r="X160" s="16"/>
      <c r="Y160" s="16"/>
      <c r="Z160" s="16"/>
      <c r="AA160" s="16"/>
      <c r="AB160" s="16"/>
      <c r="AC160" s="16"/>
      <c r="AD160" s="16"/>
    </row>
    <row r="161" spans="1:30" ht="15.75" customHeight="1">
      <c r="A161" s="16"/>
      <c r="B161" s="735"/>
      <c r="C161" s="696"/>
      <c r="D161" s="16"/>
      <c r="E161" s="16"/>
      <c r="F161" s="16"/>
      <c r="G161" s="16"/>
      <c r="H161" s="16"/>
      <c r="I161" s="16"/>
      <c r="J161" s="16"/>
      <c r="K161" s="16"/>
      <c r="L161" s="16"/>
      <c r="M161" s="735"/>
      <c r="N161" s="696"/>
      <c r="O161" s="696"/>
      <c r="P161" s="696"/>
      <c r="Q161" s="696"/>
      <c r="R161" s="696"/>
      <c r="S161" s="696"/>
      <c r="T161" s="696"/>
      <c r="U161" s="16"/>
      <c r="V161" s="16"/>
      <c r="W161" s="16"/>
      <c r="X161" s="16"/>
      <c r="Y161" s="16"/>
      <c r="Z161" s="16"/>
      <c r="AA161" s="16"/>
      <c r="AB161" s="16"/>
      <c r="AC161" s="16"/>
      <c r="AD161" s="16"/>
    </row>
    <row r="162" spans="1:30" ht="15.75" customHeight="1">
      <c r="A162" s="16"/>
      <c r="B162" s="735"/>
      <c r="C162" s="696"/>
      <c r="D162" s="16"/>
      <c r="E162" s="16"/>
      <c r="F162" s="16"/>
      <c r="G162" s="16"/>
      <c r="H162" s="16"/>
      <c r="I162" s="16"/>
      <c r="J162" s="16"/>
      <c r="K162" s="16"/>
      <c r="L162" s="16"/>
      <c r="M162" s="735"/>
      <c r="N162" s="696"/>
      <c r="O162" s="696"/>
      <c r="P162" s="696"/>
      <c r="Q162" s="696"/>
      <c r="R162" s="696"/>
      <c r="S162" s="696"/>
      <c r="T162" s="696"/>
      <c r="U162" s="16"/>
      <c r="V162" s="16"/>
      <c r="W162" s="16"/>
      <c r="X162" s="16"/>
      <c r="Y162" s="16"/>
      <c r="Z162" s="16"/>
      <c r="AA162" s="16"/>
      <c r="AB162" s="16"/>
      <c r="AC162" s="16"/>
      <c r="AD162" s="16"/>
    </row>
    <row r="163" spans="1:30" ht="15.75" customHeight="1">
      <c r="A163" s="16"/>
      <c r="B163" s="735"/>
      <c r="C163" s="696"/>
      <c r="D163" s="16"/>
      <c r="E163" s="16"/>
      <c r="F163" s="16"/>
      <c r="G163" s="16"/>
      <c r="H163" s="16"/>
      <c r="I163" s="16"/>
      <c r="J163" s="16"/>
      <c r="K163" s="16"/>
      <c r="L163" s="16"/>
      <c r="M163" s="735"/>
      <c r="N163" s="696"/>
      <c r="O163" s="696"/>
      <c r="P163" s="696"/>
      <c r="Q163" s="696"/>
      <c r="R163" s="696"/>
      <c r="S163" s="696"/>
      <c r="T163" s="696"/>
      <c r="U163" s="16"/>
      <c r="V163" s="16"/>
      <c r="W163" s="16"/>
      <c r="X163" s="16"/>
      <c r="Y163" s="16"/>
      <c r="Z163" s="16"/>
      <c r="AA163" s="16"/>
      <c r="AB163" s="16"/>
      <c r="AC163" s="16"/>
      <c r="AD163" s="16"/>
    </row>
    <row r="164" spans="1:30" ht="15.75" customHeight="1">
      <c r="A164" s="16"/>
      <c r="B164" s="735"/>
      <c r="C164" s="696"/>
      <c r="D164" s="16"/>
      <c r="E164" s="16"/>
      <c r="F164" s="16"/>
      <c r="G164" s="16"/>
      <c r="H164" s="16"/>
      <c r="I164" s="16"/>
      <c r="J164" s="16"/>
      <c r="K164" s="16"/>
      <c r="L164" s="16"/>
      <c r="M164" s="735"/>
      <c r="N164" s="696"/>
      <c r="O164" s="696"/>
      <c r="P164" s="696"/>
      <c r="Q164" s="696"/>
      <c r="R164" s="696"/>
      <c r="S164" s="696"/>
      <c r="T164" s="696"/>
      <c r="U164" s="16"/>
      <c r="V164" s="16"/>
      <c r="W164" s="16"/>
      <c r="X164" s="16"/>
      <c r="Y164" s="16"/>
      <c r="Z164" s="16"/>
      <c r="AA164" s="16"/>
      <c r="AB164" s="16"/>
      <c r="AC164" s="16"/>
      <c r="AD164" s="16"/>
    </row>
    <row r="165" spans="1:30" ht="15.75" customHeight="1">
      <c r="A165" s="16"/>
      <c r="B165" s="735"/>
      <c r="C165" s="696"/>
      <c r="D165" s="16"/>
      <c r="E165" s="16"/>
      <c r="F165" s="16"/>
      <c r="G165" s="16"/>
      <c r="H165" s="16"/>
      <c r="I165" s="16"/>
      <c r="J165" s="16"/>
      <c r="K165" s="16"/>
      <c r="L165" s="16"/>
      <c r="M165" s="735"/>
      <c r="N165" s="696"/>
      <c r="O165" s="696"/>
      <c r="P165" s="696"/>
      <c r="Q165" s="696"/>
      <c r="R165" s="696"/>
      <c r="S165" s="696"/>
      <c r="T165" s="696"/>
      <c r="U165" s="16"/>
      <c r="V165" s="16"/>
      <c r="W165" s="16"/>
      <c r="X165" s="16"/>
      <c r="Y165" s="16"/>
      <c r="Z165" s="16"/>
      <c r="AA165" s="16"/>
      <c r="AB165" s="16"/>
      <c r="AC165" s="16"/>
      <c r="AD165" s="16"/>
    </row>
    <row r="166" spans="1:30" ht="15.75" customHeight="1">
      <c r="A166" s="16"/>
      <c r="B166" s="735"/>
      <c r="C166" s="696"/>
      <c r="D166" s="16"/>
      <c r="E166" s="16"/>
      <c r="F166" s="16"/>
      <c r="G166" s="16"/>
      <c r="H166" s="16"/>
      <c r="I166" s="16"/>
      <c r="J166" s="16"/>
      <c r="K166" s="16"/>
      <c r="L166" s="16"/>
      <c r="M166" s="735"/>
      <c r="N166" s="696"/>
      <c r="O166" s="696"/>
      <c r="P166" s="696"/>
      <c r="Q166" s="696"/>
      <c r="R166" s="696"/>
      <c r="S166" s="696"/>
      <c r="T166" s="696"/>
      <c r="U166" s="16"/>
      <c r="V166" s="16"/>
      <c r="W166" s="16"/>
      <c r="X166" s="16"/>
      <c r="Y166" s="16"/>
      <c r="Z166" s="16"/>
      <c r="AA166" s="16"/>
      <c r="AB166" s="16"/>
      <c r="AC166" s="16"/>
      <c r="AD166" s="16"/>
    </row>
    <row r="167" spans="1:30" ht="15.75" customHeight="1">
      <c r="A167" s="16"/>
      <c r="B167" s="735"/>
      <c r="C167" s="696"/>
      <c r="D167" s="16"/>
      <c r="E167" s="16"/>
      <c r="F167" s="16"/>
      <c r="G167" s="16"/>
      <c r="H167" s="16"/>
      <c r="I167" s="16"/>
      <c r="J167" s="16"/>
      <c r="K167" s="16"/>
      <c r="L167" s="16"/>
      <c r="M167" s="735"/>
      <c r="N167" s="696"/>
      <c r="O167" s="696"/>
      <c r="P167" s="696"/>
      <c r="Q167" s="696"/>
      <c r="R167" s="696"/>
      <c r="S167" s="696"/>
      <c r="T167" s="696"/>
      <c r="U167" s="16"/>
      <c r="V167" s="16"/>
      <c r="W167" s="16"/>
      <c r="X167" s="16"/>
      <c r="Y167" s="16"/>
      <c r="Z167" s="16"/>
      <c r="AA167" s="16"/>
      <c r="AB167" s="16"/>
      <c r="AC167" s="16"/>
      <c r="AD167" s="16"/>
    </row>
    <row r="168" spans="1:30" ht="15.75" customHeight="1">
      <c r="A168" s="16"/>
      <c r="B168" s="735"/>
      <c r="C168" s="696"/>
      <c r="D168" s="16"/>
      <c r="E168" s="16"/>
      <c r="F168" s="16"/>
      <c r="G168" s="16"/>
      <c r="H168" s="16"/>
      <c r="I168" s="16"/>
      <c r="J168" s="16"/>
      <c r="K168" s="16"/>
      <c r="L168" s="16"/>
      <c r="M168" s="735"/>
      <c r="N168" s="696"/>
      <c r="O168" s="696"/>
      <c r="P168" s="696"/>
      <c r="Q168" s="696"/>
      <c r="R168" s="696"/>
      <c r="S168" s="696"/>
      <c r="T168" s="696"/>
      <c r="U168" s="16"/>
      <c r="V168" s="16"/>
      <c r="W168" s="16"/>
      <c r="X168" s="16"/>
      <c r="Y168" s="16"/>
      <c r="Z168" s="16"/>
      <c r="AA168" s="16"/>
      <c r="AB168" s="16"/>
      <c r="AC168" s="16"/>
      <c r="AD168" s="16"/>
    </row>
    <row r="169" spans="1:30" ht="15.75" customHeight="1">
      <c r="A169" s="16"/>
      <c r="B169" s="735"/>
      <c r="C169" s="696"/>
      <c r="D169" s="16"/>
      <c r="E169" s="16"/>
      <c r="F169" s="16"/>
      <c r="G169" s="16"/>
      <c r="H169" s="16"/>
      <c r="I169" s="16"/>
      <c r="J169" s="16"/>
      <c r="K169" s="16"/>
      <c r="L169" s="16"/>
      <c r="M169" s="735"/>
      <c r="N169" s="696"/>
      <c r="O169" s="696"/>
      <c r="P169" s="696"/>
      <c r="Q169" s="696"/>
      <c r="R169" s="696"/>
      <c r="S169" s="696"/>
      <c r="T169" s="696"/>
      <c r="U169" s="16"/>
      <c r="V169" s="16"/>
      <c r="W169" s="16"/>
      <c r="X169" s="16"/>
      <c r="Y169" s="16"/>
      <c r="Z169" s="16"/>
      <c r="AA169" s="16"/>
      <c r="AB169" s="16"/>
      <c r="AC169" s="16"/>
      <c r="AD169" s="16"/>
    </row>
    <row r="170" spans="1:30" ht="15.75" customHeight="1">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c r="AA170" s="16"/>
      <c r="AB170" s="16"/>
      <c r="AC170" s="16"/>
      <c r="AD170" s="16"/>
    </row>
    <row r="171" spans="1:30" ht="15.75" customHeight="1">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c r="AA171" s="16"/>
      <c r="AB171" s="16"/>
      <c r="AC171" s="16"/>
      <c r="AD171" s="16"/>
    </row>
    <row r="172" spans="1:30" ht="15.75" customHeight="1">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row>
    <row r="173" spans="1:30" ht="15.75" customHeight="1">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c r="AC173" s="16"/>
      <c r="AD173" s="16"/>
    </row>
    <row r="174" spans="1:30" ht="15.75" customHeight="1">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c r="AC174" s="16"/>
      <c r="AD174" s="16"/>
    </row>
    <row r="175" spans="1:30" ht="15.75" customHeight="1">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c r="AA175" s="16"/>
      <c r="AB175" s="16"/>
      <c r="AC175" s="16"/>
      <c r="AD175" s="16"/>
    </row>
    <row r="176" spans="1:30" ht="15.75" customHeight="1">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c r="AD176" s="16"/>
    </row>
    <row r="177" spans="1:30" ht="15.75" customHeight="1">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c r="AD177" s="16"/>
    </row>
    <row r="178" spans="1:30" ht="15.75" customHeight="1">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c r="AA178" s="16"/>
      <c r="AB178" s="16"/>
      <c r="AC178" s="16"/>
      <c r="AD178" s="16"/>
    </row>
    <row r="179" spans="1:30" ht="15.75" customHeight="1">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c r="AD179" s="16"/>
    </row>
    <row r="180" spans="1:30" ht="15.75" customHeight="1">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c r="AD180" s="16"/>
    </row>
    <row r="181" spans="1:30" ht="15.75" customHeight="1">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c r="AD181" s="16"/>
    </row>
    <row r="182" spans="1:30" ht="15.75" customHeight="1">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c r="AD182" s="16"/>
    </row>
    <row r="183" spans="1:30" ht="15.75" customHeight="1">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c r="AD183" s="16"/>
    </row>
    <row r="184" spans="1:30" ht="15.75" customHeight="1">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c r="AD184" s="16"/>
    </row>
    <row r="185" spans="1:30" ht="15.75" customHeight="1">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c r="AD185" s="16"/>
    </row>
    <row r="186" spans="1:30" ht="15.75" customHeight="1">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c r="AD186" s="16"/>
    </row>
    <row r="187" spans="1:30" ht="15.75" customHeight="1">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16"/>
      <c r="AB187" s="16"/>
      <c r="AC187" s="16"/>
      <c r="AD187" s="16"/>
    </row>
    <row r="188" spans="1:30" ht="15.75" customHeight="1">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c r="AD188" s="16"/>
    </row>
    <row r="189" spans="1:30" ht="15.75" customHeight="1">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c r="AD189" s="16"/>
    </row>
    <row r="190" spans="1:30" ht="15.75" customHeight="1">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c r="AD190" s="16"/>
    </row>
    <row r="191" spans="1:30" ht="15.75" customHeight="1">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c r="AD191" s="16"/>
    </row>
    <row r="192" spans="1:30" ht="15.75" customHeight="1">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c r="AD192" s="16"/>
    </row>
    <row r="193" spans="1:30" ht="15.75" customHeight="1">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c r="AA193" s="16"/>
      <c r="AB193" s="16"/>
      <c r="AC193" s="16"/>
      <c r="AD193" s="16"/>
    </row>
    <row r="194" spans="1:30" ht="15.75" customHeight="1">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c r="AA194" s="16"/>
      <c r="AB194" s="16"/>
      <c r="AC194" s="16"/>
      <c r="AD194" s="16"/>
    </row>
    <row r="195" spans="1:30" ht="15.75" customHeight="1">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c r="AA195" s="16"/>
      <c r="AB195" s="16"/>
      <c r="AC195" s="16"/>
      <c r="AD195" s="16"/>
    </row>
    <row r="196" spans="1:30" ht="15.75" customHeight="1">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c r="AA196" s="16"/>
      <c r="AB196" s="16"/>
      <c r="AC196" s="16"/>
      <c r="AD196" s="16"/>
    </row>
    <row r="197" spans="1:30" ht="15.75" customHeight="1">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c r="AD197" s="16"/>
    </row>
    <row r="198" spans="1:30" ht="15.75" customHeight="1">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c r="AD198" s="16"/>
    </row>
    <row r="199" spans="1:30" ht="15.75" customHeight="1">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c r="AA199" s="16"/>
      <c r="AB199" s="16"/>
      <c r="AC199" s="16"/>
      <c r="AD199" s="16"/>
    </row>
    <row r="200" spans="1:30" ht="15.75" customHeight="1">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c r="AA200" s="16"/>
      <c r="AB200" s="16"/>
      <c r="AC200" s="16"/>
      <c r="AD200" s="16"/>
    </row>
    <row r="201" spans="1:30" ht="15.75" customHeight="1">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c r="AD201" s="16"/>
    </row>
    <row r="202" spans="1:30" ht="15.75" customHeight="1">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c r="AD202" s="16"/>
    </row>
    <row r="203" spans="1:30" ht="15.75" customHeight="1">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c r="AA203" s="16"/>
      <c r="AB203" s="16"/>
      <c r="AC203" s="16"/>
      <c r="AD203" s="16"/>
    </row>
    <row r="204" spans="1:30" ht="15.75" customHeight="1">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c r="AA204" s="16"/>
      <c r="AB204" s="16"/>
      <c r="AC204" s="16"/>
      <c r="AD204" s="16"/>
    </row>
    <row r="205" spans="1:30" ht="15.75" customHeight="1">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c r="AD205" s="16"/>
    </row>
    <row r="206" spans="1:30" ht="15.75" customHeight="1">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row>
    <row r="207" spans="1:30" ht="15.75" customHeight="1">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c r="AD207" s="16"/>
    </row>
    <row r="208" spans="1:30" ht="15.75" customHeight="1">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c r="AD208" s="16"/>
    </row>
    <row r="209" spans="1:30" ht="15.75" customHeight="1">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c r="AD209" s="16"/>
    </row>
    <row r="210" spans="1:30" ht="15.75" customHeight="1">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c r="AD210" s="16"/>
    </row>
    <row r="211" spans="1:30" ht="15.75" customHeight="1">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row>
    <row r="212" spans="1:30" ht="15.75" customHeight="1">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c r="AD212" s="16"/>
    </row>
    <row r="213" spans="1:30" ht="15.75" customHeight="1">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c r="AD213" s="16"/>
    </row>
    <row r="214" spans="1:30" ht="15.75" customHeight="1">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row>
    <row r="215" spans="1:30" ht="15.75" customHeight="1">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c r="AD215" s="16"/>
    </row>
    <row r="216" spans="1:30" ht="15.75" customHeight="1">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c r="AD216" s="16"/>
    </row>
    <row r="217" spans="1:30" ht="15.75" customHeight="1">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c r="AD217" s="16"/>
    </row>
    <row r="218" spans="1:30" ht="15.75" customHeight="1">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c r="AD218" s="16"/>
    </row>
    <row r="219" spans="1:30" ht="15.75" customHeight="1">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c r="AD219" s="16"/>
    </row>
    <row r="220" spans="1:30" ht="15.75" customHeight="1">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c r="AD220" s="16"/>
    </row>
    <row r="221" spans="1:30" ht="15.75" customHeight="1">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row>
    <row r="222" spans="1:30" ht="15.75" customHeight="1">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row>
    <row r="223" spans="1:30" ht="15.75" customHeight="1">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c r="AD223" s="16"/>
    </row>
    <row r="224" spans="1:30" ht="15.75" customHeight="1">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c r="AD224" s="16"/>
    </row>
    <row r="225" spans="1:30" ht="15.75" customHeight="1">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16"/>
    </row>
    <row r="226" spans="1:30" ht="15.75" customHeight="1">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row>
    <row r="227" spans="1:30" ht="15.75" customHeight="1">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16"/>
    </row>
    <row r="228" spans="1:30" ht="15.75" customHeight="1">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c r="AD228" s="16"/>
    </row>
    <row r="229" spans="1:30" ht="15.75" customHeight="1">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c r="AD229" s="16"/>
    </row>
    <row r="230" spans="1:30" ht="15.75" customHeight="1">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row>
    <row r="231" spans="1:30" ht="15.75" customHeight="1">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c r="AD231" s="16"/>
    </row>
    <row r="232" spans="1:30" ht="15.75" customHeight="1">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c r="AD232" s="16"/>
    </row>
    <row r="233" spans="1:30" ht="15.75" customHeight="1">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c r="AD233" s="16"/>
    </row>
    <row r="234" spans="1:30" ht="15.75" customHeight="1">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c r="AD234" s="16"/>
    </row>
    <row r="235" spans="1:30" ht="15.75" customHeight="1">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row>
    <row r="236" spans="1:30" ht="15.75" customHeight="1">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c r="AD236" s="16"/>
    </row>
    <row r="237" spans="1:30" ht="15.75" customHeight="1">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c r="AD237" s="16"/>
    </row>
    <row r="238" spans="1:30" ht="15.75" customHeight="1">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c r="AD238" s="16"/>
    </row>
    <row r="239" spans="1:30" ht="15.75" customHeight="1">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c r="AD239" s="16"/>
    </row>
    <row r="240" spans="1:30" ht="15.75" customHeight="1">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c r="AD240" s="16"/>
    </row>
    <row r="241" spans="1:30" ht="15.75" customHeight="1">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c r="AD241" s="16"/>
    </row>
    <row r="242" spans="1:30" ht="15.75" customHeight="1">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c r="AD242" s="16"/>
    </row>
    <row r="243" spans="1:30" ht="15.75" customHeight="1">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c r="AD243" s="16"/>
    </row>
    <row r="244" spans="1:30" ht="15.75" customHeight="1">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16"/>
    </row>
    <row r="245" spans="1:30" ht="15.75" customHeight="1">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c r="AD245" s="16"/>
    </row>
    <row r="246" spans="1:30" ht="15.75" customHeight="1">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row>
    <row r="247" spans="1:30" ht="15.75" customHeight="1">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c r="AD247" s="16"/>
    </row>
    <row r="248" spans="1:30" ht="15.75" customHeight="1">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row>
    <row r="249" spans="1:30" ht="15.75" customHeight="1">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row>
    <row r="250" spans="1:30" ht="15.75" customHeight="1">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c r="AD250" s="16"/>
    </row>
    <row r="251" spans="1:30" ht="15.75" customHeight="1">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row>
    <row r="252" spans="1:30" ht="15.75" customHeight="1">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16"/>
    </row>
    <row r="253" spans="1:30" ht="15.75" customHeight="1">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c r="AD253" s="16"/>
    </row>
    <row r="254" spans="1:30" ht="15.75" customHeight="1">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row>
    <row r="255" spans="1:30" ht="15.75" customHeight="1">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c r="AD255" s="16"/>
    </row>
    <row r="256" spans="1:30" ht="15.75" customHeight="1">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row>
    <row r="257" spans="1:30" ht="15.75" customHeight="1">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c r="AD257" s="16"/>
    </row>
    <row r="258" spans="1:30" ht="15.75" customHeight="1">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c r="AD258" s="16"/>
    </row>
    <row r="259" spans="1:30" ht="15.75" customHeight="1">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row>
    <row r="260" spans="1:30" ht="15.75" customHeight="1">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row>
    <row r="261" spans="1:30" ht="15.75" customHeight="1">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c r="AD261" s="16"/>
    </row>
    <row r="262" spans="1:30" ht="15.75" customHeight="1">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row>
    <row r="263" spans="1:30" ht="15.75" customHeight="1">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row>
    <row r="264" spans="1:30" ht="15.75" customHeight="1">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c r="AD264" s="16"/>
    </row>
    <row r="265" spans="1:30" ht="15.75" customHeight="1">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row>
    <row r="266" spans="1:30" ht="15.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row>
    <row r="267" spans="1:30" ht="15.75" customHeight="1">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row>
    <row r="268" spans="1:30" ht="15.75" customHeight="1">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c r="AD268" s="16"/>
    </row>
    <row r="269" spans="1:30" ht="15.75" customHeight="1">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row>
    <row r="270" spans="1:30" ht="15.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row>
    <row r="271" spans="1:30" ht="15.75" customHeight="1">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c r="AD271" s="16"/>
    </row>
    <row r="272" spans="1:30" ht="15.75" customHeight="1">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c r="AD272" s="16"/>
    </row>
    <row r="273" spans="1:30" ht="15.75" customHeight="1">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c r="AD273" s="16"/>
    </row>
    <row r="274" spans="1:30" ht="15.75" customHeight="1">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c r="AD274" s="16"/>
    </row>
    <row r="275" spans="1:30" ht="15.75" customHeight="1">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c r="AD275" s="16"/>
    </row>
    <row r="276" spans="1:30" ht="15.75" customHeight="1">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row>
    <row r="277" spans="1:30" ht="15.75" customHeight="1">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16"/>
    </row>
    <row r="278" spans="1:30" ht="15.75" customHeight="1">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row>
    <row r="279" spans="1:30" ht="15.75" customHeight="1">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16"/>
    </row>
    <row r="280" spans="1:30" ht="15.75" customHeight="1">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c r="AD280" s="16"/>
    </row>
    <row r="281" spans="1:30" ht="15.75" customHeight="1">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c r="AD281" s="16"/>
    </row>
    <row r="282" spans="1:30" ht="15.75" customHeight="1">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c r="AD282" s="16"/>
    </row>
    <row r="283" spans="1:30" ht="15.75" customHeight="1">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c r="AD283" s="16"/>
    </row>
    <row r="284" spans="1:30" ht="15.75" customHeight="1">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c r="AD284" s="16"/>
    </row>
    <row r="285" spans="1:30" ht="15.75" customHeight="1">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c r="AD285" s="16"/>
    </row>
    <row r="286" spans="1:30" ht="15.75" customHeight="1">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row>
    <row r="287" spans="1:30" ht="15.75" customHeight="1">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row>
    <row r="288" spans="1:30" ht="15.75" customHeight="1">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row>
    <row r="289" spans="1:30" ht="15.75" customHeight="1">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row>
    <row r="290" spans="1:30" ht="15.75" customHeight="1">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row>
    <row r="291" spans="1:30" ht="15.75" customHeight="1">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c r="AD291" s="16"/>
    </row>
    <row r="292" spans="1:30" ht="15.75" customHeight="1">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row>
    <row r="293" spans="1:30" ht="15.75" customHeight="1">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row>
    <row r="294" spans="1:30" ht="15.75" customHeight="1">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row>
    <row r="295" spans="1:30" ht="15.75" customHeight="1">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row>
    <row r="296" spans="1:30" ht="15.75" customHeight="1">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row>
    <row r="297" spans="1:30" ht="15.75" customHeight="1">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row>
    <row r="298" spans="1:30" ht="15.75" customHeight="1">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row>
    <row r="299" spans="1:30" ht="15.75" customHeight="1">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row>
    <row r="300" spans="1:30" ht="15.75" customHeight="1">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row>
    <row r="301" spans="1:30" ht="15.75" customHeight="1">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c r="AD301" s="16"/>
    </row>
    <row r="302" spans="1:30" ht="15.75" customHeight="1">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c r="AD302" s="16"/>
    </row>
    <row r="303" spans="1:30" ht="15.75" customHeight="1">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row>
    <row r="304" spans="1:30" ht="15.75" customHeight="1">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c r="AD304" s="16"/>
    </row>
    <row r="305" spans="1:30" ht="15.75" customHeight="1">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c r="AD305" s="16"/>
    </row>
    <row r="306" spans="1:30" ht="15.75" customHeight="1"/>
    <row r="307" spans="1:30" ht="15.75" customHeight="1"/>
    <row r="308" spans="1:30" ht="15.75" customHeight="1"/>
    <row r="309" spans="1:30" ht="15.75" customHeight="1"/>
    <row r="310" spans="1:30" ht="15.75" customHeight="1"/>
    <row r="311" spans="1:30" ht="15.75" customHeight="1"/>
    <row r="312" spans="1:30" ht="15.75" customHeight="1"/>
    <row r="313" spans="1:30" ht="15.75" customHeight="1"/>
    <row r="314" spans="1:30" ht="15.75" customHeight="1"/>
    <row r="315" spans="1:30" ht="15.75" customHeight="1"/>
    <row r="316" spans="1:30" ht="15.75" customHeight="1"/>
    <row r="317" spans="1:30" ht="15.75" customHeight="1"/>
    <row r="318" spans="1:30" ht="15.75" customHeight="1"/>
    <row r="319" spans="1:30" ht="15.75" customHeight="1"/>
    <row r="320" spans="1:3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99">
    <mergeCell ref="M164:O164"/>
    <mergeCell ref="B168:C168"/>
    <mergeCell ref="M168:O168"/>
    <mergeCell ref="B169:C169"/>
    <mergeCell ref="M169:O169"/>
    <mergeCell ref="B165:C165"/>
    <mergeCell ref="M165:O165"/>
    <mergeCell ref="B166:C166"/>
    <mergeCell ref="M166:O166"/>
    <mergeCell ref="B167:C167"/>
    <mergeCell ref="M167:O167"/>
    <mergeCell ref="M152:O152"/>
    <mergeCell ref="B155:C155"/>
    <mergeCell ref="M155:O155"/>
    <mergeCell ref="M158:O158"/>
    <mergeCell ref="B159:C159"/>
    <mergeCell ref="M159:O159"/>
    <mergeCell ref="P155:T155"/>
    <mergeCell ref="B156:C156"/>
    <mergeCell ref="M156:O156"/>
    <mergeCell ref="P156:T169"/>
    <mergeCell ref="B157:C157"/>
    <mergeCell ref="M157:O157"/>
    <mergeCell ref="B158:C158"/>
    <mergeCell ref="B161:C161"/>
    <mergeCell ref="M161:O161"/>
    <mergeCell ref="B160:C160"/>
    <mergeCell ref="M160:O160"/>
    <mergeCell ref="B162:C162"/>
    <mergeCell ref="M162:O162"/>
    <mergeCell ref="B163:C163"/>
    <mergeCell ref="M163:O163"/>
    <mergeCell ref="B164:C164"/>
    <mergeCell ref="M151:O151"/>
    <mergeCell ref="M138:O138"/>
    <mergeCell ref="P138:T138"/>
    <mergeCell ref="M139:O139"/>
    <mergeCell ref="P139:T152"/>
    <mergeCell ref="M140:O140"/>
    <mergeCell ref="M141:O141"/>
    <mergeCell ref="M142:O142"/>
    <mergeCell ref="M143:O143"/>
    <mergeCell ref="M144:O144"/>
    <mergeCell ref="M145:O145"/>
    <mergeCell ref="M146:O146"/>
    <mergeCell ref="M147:O147"/>
    <mergeCell ref="M148:O148"/>
    <mergeCell ref="M149:O149"/>
    <mergeCell ref="M150:O150"/>
    <mergeCell ref="M135:O135"/>
    <mergeCell ref="P121:R121"/>
    <mergeCell ref="M123:O123"/>
    <mergeCell ref="P123:T123"/>
    <mergeCell ref="M124:O124"/>
    <mergeCell ref="P124:T135"/>
    <mergeCell ref="M125:O125"/>
    <mergeCell ref="M126:O126"/>
    <mergeCell ref="M127:O127"/>
    <mergeCell ref="M128:O128"/>
    <mergeCell ref="M129:O129"/>
    <mergeCell ref="M130:O130"/>
    <mergeCell ref="M131:O131"/>
    <mergeCell ref="M132:O132"/>
    <mergeCell ref="M133:O133"/>
    <mergeCell ref="M134:O134"/>
    <mergeCell ref="P119:R119"/>
    <mergeCell ref="P120:R120"/>
    <mergeCell ref="AG29:AH29"/>
    <mergeCell ref="AI29:AJ29"/>
    <mergeCell ref="AG30:AH40"/>
    <mergeCell ref="AI30:AJ40"/>
    <mergeCell ref="P115:R115"/>
    <mergeCell ref="P70:Q70"/>
    <mergeCell ref="H92:I105"/>
    <mergeCell ref="J92:K105"/>
    <mergeCell ref="P116:R116"/>
    <mergeCell ref="P117:R117"/>
    <mergeCell ref="P118:R118"/>
    <mergeCell ref="H37:J37"/>
    <mergeCell ref="K71:O87"/>
    <mergeCell ref="P71:Q87"/>
    <mergeCell ref="H91:I91"/>
    <mergeCell ref="J91:K91"/>
    <mergeCell ref="K70:O70"/>
    <mergeCell ref="H38:J42"/>
    <mergeCell ref="I45:K45"/>
    <mergeCell ref="I46:K50"/>
    <mergeCell ref="K54:M54"/>
    <mergeCell ref="K55:M67"/>
    <mergeCell ref="A1:C1"/>
    <mergeCell ref="E1:H1"/>
    <mergeCell ref="D7:I7"/>
    <mergeCell ref="D8:I8"/>
    <mergeCell ref="A28:F28"/>
    <mergeCell ref="A30:F30"/>
    <mergeCell ref="A31:F31"/>
    <mergeCell ref="A32:F32"/>
    <mergeCell ref="A34:F34"/>
    <mergeCell ref="A29:F29"/>
  </mergeCells>
  <conditionalFormatting sqref="I55:I66">
    <cfRule type="containsText" dxfId="41" priority="1" operator="containsText" text="5">
      <formula>NOT(ISERROR(SEARCH(("5"),(I55))))</formula>
    </cfRule>
    <cfRule type="containsText" dxfId="40" priority="2" operator="containsText" text="42">
      <formula>NOT(ISERROR(SEARCH(("42"),(I55))))</formula>
    </cfRule>
    <cfRule type="containsText" dxfId="39" priority="3" operator="containsText" text="Please fill in">
      <formula>NOT(ISERROR(SEARCH(("Please fill in"),(I55))))</formula>
    </cfRule>
  </conditionalFormatting>
  <dataValidations count="3">
    <dataValidation type="list" allowBlank="1" showErrorMessage="1" sqref="D46:D50 H55:H67" xr:uid="{02AFF5E5-DB8C-4ED3-B833-7539E1D4D0EA}">
      <formula1>Klokus!TypesOfTrainers</formula1>
    </dataValidation>
    <dataValidation type="list" allowBlank="1" showErrorMessage="1" sqref="B9" xr:uid="{79E47187-0C3F-4FEA-88A1-45B6C00B2500}">
      <formula1>"yes,no,partial"</formula1>
    </dataValidation>
    <dataValidation type="list" allowBlank="1" sqref="G46:G50" xr:uid="{4FEE9902-5ABD-49DC-938C-FC2AB6E798CC}">
      <formula1>"yes,no"</formula1>
    </dataValidation>
  </dataValidations>
  <pageMargins left="0.7" right="0.7" top="0.75" bottom="0.75" header="0" footer="0"/>
  <pageSetup paperSize="9" orientation="portrait"/>
  <drawing r:id="rId1"/>
  <legacyDrawing r:id="rId2"/>
  <tableParts count="6">
    <tablePart r:id="rId3"/>
    <tablePart r:id="rId4"/>
    <tablePart r:id="rId5"/>
    <tablePart r:id="rId6"/>
    <tablePart r:id="rId7"/>
    <tablePart r:id="rId8"/>
  </tableParts>
  <extLst>
    <ext xmlns:x14="http://schemas.microsoft.com/office/spreadsheetml/2009/9/main" uri="{CCE6A557-97BC-4b89-ADB6-D9C93CAAB3DF}">
      <x14:dataValidations xmlns:xm="http://schemas.microsoft.com/office/excel/2006/main" count="4">
        <x14:dataValidation type="list" allowBlank="1" showInputMessage="1" showErrorMessage="1" xr:uid="{32B2B51E-9599-48E7-91BB-978E23D45C6D}">
          <x14:formula1>
            <xm:f>Constants!$M$6:$M$7</xm:f>
          </x14:formula1>
          <xm:sqref>B92:B107</xm:sqref>
        </x14:dataValidation>
        <x14:dataValidation type="list" allowBlank="1" showInputMessage="1" showErrorMessage="1" xr:uid="{179941C6-E4B0-45E1-B947-CFEEB954570C}">
          <x14:formula1>
            <xm:f>Constants!$C$55:$C$56</xm:f>
          </x14:formula1>
          <xm:sqref>B12</xm:sqref>
        </x14:dataValidation>
        <x14:dataValidation type="list" allowBlank="1" showErrorMessage="1" xr:uid="{6EEECD26-B2F5-4410-BA64-E3EE8D5D79A5}">
          <x14:formula1>
            <xm:f>Constants!$H$6:$H$13</xm:f>
          </x14:formula1>
          <xm:sqref>B55:B67</xm:sqref>
        </x14:dataValidation>
        <x14:dataValidation type="list" allowBlank="1" showErrorMessage="1" xr:uid="{E650C771-115C-4D8A-BE63-14D1C8D155A9}">
          <x14:formula1>
            <xm:f>Constants!$A$2:$AD$2</xm:f>
          </x14:formula1>
          <xm:sqref>B71:B87</xm:sqref>
        </x14:dataValidation>
      </x14:dataValidations>
    </ext>
  </extLs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4EF9FB-C178-4FCD-99FE-7FF30BA418C1}">
  <dimension ref="A1:BG1003"/>
  <sheetViews>
    <sheetView topLeftCell="W1" workbookViewId="0">
      <selection activeCell="AF30" sqref="AF30"/>
    </sheetView>
  </sheetViews>
  <sheetFormatPr defaultColWidth="12.625" defaultRowHeight="15" customHeight="1"/>
  <cols>
    <col min="1" max="1" width="36.625" customWidth="1"/>
    <col min="2" max="2" width="28.125" customWidth="1"/>
    <col min="3" max="3" width="21" customWidth="1"/>
    <col min="4" max="4" width="17.5" customWidth="1"/>
    <col min="5" max="5" width="16.125" customWidth="1"/>
    <col min="6" max="6" width="21.5" customWidth="1"/>
    <col min="7" max="7" width="22.625" customWidth="1"/>
    <col min="8" max="8" width="18.625" customWidth="1"/>
    <col min="9" max="9" width="19.625" customWidth="1"/>
    <col min="10" max="10" width="18.875" customWidth="1"/>
    <col min="11" max="11" width="21.625" customWidth="1"/>
    <col min="12" max="12" width="17.375" customWidth="1"/>
    <col min="13" max="13" width="15.125" customWidth="1"/>
    <col min="14" max="14" width="15.625" customWidth="1"/>
    <col min="15" max="15" width="28.5" customWidth="1"/>
    <col min="16" max="16" width="13.125" customWidth="1"/>
    <col min="17" max="17" width="21.875" customWidth="1"/>
    <col min="18" max="18" width="27" customWidth="1"/>
    <col min="19" max="19" width="20.5" customWidth="1"/>
    <col min="20" max="22" width="7.625" customWidth="1"/>
    <col min="23" max="23" width="31.875" customWidth="1"/>
    <col min="24" max="24" width="7.625" customWidth="1"/>
    <col min="25" max="25" width="8.375" customWidth="1"/>
    <col min="26" max="26" width="21.625" customWidth="1"/>
    <col min="27" max="27" width="12" customWidth="1"/>
    <col min="28" max="28" width="16.5" customWidth="1"/>
    <col min="29" max="29" width="6" customWidth="1"/>
    <col min="30" max="30" width="31.125" customWidth="1"/>
  </cols>
  <sheetData>
    <row r="1" spans="1:59" ht="171" customHeight="1">
      <c r="A1" s="703"/>
      <c r="B1" s="704"/>
      <c r="C1" s="705"/>
      <c r="D1" s="16"/>
      <c r="E1" s="572" t="s">
        <v>1935</v>
      </c>
      <c r="F1" s="704"/>
      <c r="G1" s="704"/>
      <c r="H1" s="705"/>
      <c r="I1" s="16"/>
      <c r="J1" s="16"/>
      <c r="K1" s="16"/>
      <c r="L1" s="16"/>
      <c r="M1" s="16"/>
      <c r="N1" s="16"/>
      <c r="O1" s="16"/>
      <c r="P1" s="16"/>
      <c r="Q1" s="16"/>
      <c r="R1" s="16"/>
      <c r="S1" s="16"/>
      <c r="T1" s="16"/>
      <c r="U1" s="16"/>
      <c r="V1" s="16"/>
      <c r="W1" s="16"/>
      <c r="X1" s="16"/>
      <c r="Y1" s="16"/>
      <c r="Z1" s="16"/>
      <c r="AA1" s="16"/>
      <c r="AB1" s="16"/>
      <c r="AC1" s="16"/>
      <c r="AD1" s="16"/>
    </row>
    <row r="2" spans="1:59">
      <c r="A2" s="58" t="s">
        <v>404</v>
      </c>
      <c r="B2" s="152" t="s">
        <v>532</v>
      </c>
      <c r="C2" s="59"/>
      <c r="D2" s="16"/>
      <c r="E2" s="60" t="s">
        <v>406</v>
      </c>
      <c r="F2" s="153"/>
      <c r="G2" s="154"/>
      <c r="H2" s="61"/>
      <c r="I2" s="16"/>
      <c r="J2" s="16"/>
      <c r="K2" s="16"/>
      <c r="L2" s="16"/>
      <c r="M2" s="16"/>
      <c r="N2" s="16"/>
      <c r="O2" s="16"/>
      <c r="P2" s="16"/>
      <c r="Q2" s="16"/>
      <c r="R2" s="16"/>
      <c r="S2" s="16"/>
      <c r="T2" s="16"/>
      <c r="U2" s="16"/>
      <c r="V2" s="16"/>
      <c r="W2" s="16"/>
      <c r="X2" s="16"/>
      <c r="Y2" s="16"/>
      <c r="Z2" s="15"/>
      <c r="AA2" s="15"/>
      <c r="AB2" s="15"/>
      <c r="AC2" s="15"/>
      <c r="AD2" s="16"/>
      <c r="AE2" s="16"/>
      <c r="AF2" s="16"/>
      <c r="AG2" s="16"/>
      <c r="AH2" s="16"/>
      <c r="AI2" s="17"/>
      <c r="AJ2" s="17"/>
      <c r="AK2" s="17"/>
      <c r="AL2" s="17"/>
      <c r="AM2" s="17"/>
      <c r="AN2" s="17"/>
      <c r="AO2" s="17"/>
      <c r="AP2" s="17"/>
      <c r="AQ2" s="17"/>
      <c r="AR2" s="18"/>
      <c r="AS2" s="17"/>
      <c r="AT2" s="17"/>
      <c r="AU2" s="16"/>
      <c r="AV2" s="16"/>
      <c r="AW2" s="16"/>
      <c r="AX2" s="16"/>
      <c r="AY2" s="16"/>
      <c r="AZ2" s="16"/>
      <c r="BA2" s="16"/>
    </row>
    <row r="3" spans="1:59">
      <c r="A3" s="62" t="s">
        <v>408</v>
      </c>
      <c r="B3" s="155">
        <v>7</v>
      </c>
      <c r="C3" s="156"/>
      <c r="D3" s="16"/>
      <c r="E3" s="63" t="s">
        <v>409</v>
      </c>
      <c r="F3" s="189">
        <v>45819</v>
      </c>
      <c r="G3" s="158"/>
      <c r="H3" s="159"/>
      <c r="I3" s="16"/>
      <c r="J3" s="16"/>
      <c r="K3" s="16"/>
      <c r="L3" s="16"/>
      <c r="M3" s="16"/>
      <c r="N3" s="16"/>
      <c r="O3" s="16"/>
      <c r="P3" s="16"/>
      <c r="Q3" s="16"/>
      <c r="R3" s="16"/>
      <c r="S3" s="16"/>
      <c r="T3" s="16"/>
      <c r="U3" s="16"/>
      <c r="V3" s="16"/>
      <c r="W3" s="16"/>
      <c r="X3" s="16"/>
      <c r="Y3" s="16"/>
      <c r="Z3" s="16"/>
      <c r="AA3" s="16"/>
      <c r="AB3" s="16"/>
      <c r="AC3" s="16"/>
      <c r="AD3" s="16"/>
    </row>
    <row r="4" spans="1:59">
      <c r="A4" s="160" t="s">
        <v>410</v>
      </c>
      <c r="B4" s="161"/>
      <c r="C4" s="162"/>
      <c r="D4" s="16"/>
      <c r="E4" s="163"/>
      <c r="F4" s="164"/>
      <c r="G4" s="165"/>
      <c r="H4" s="166"/>
      <c r="I4" s="16"/>
      <c r="J4" s="16"/>
      <c r="K4" s="16"/>
      <c r="L4" s="16"/>
      <c r="M4" s="16"/>
      <c r="N4" s="16"/>
      <c r="O4" s="16"/>
      <c r="P4" s="16"/>
      <c r="Q4" s="16"/>
      <c r="R4" s="16"/>
      <c r="S4" s="16"/>
      <c r="T4" s="16"/>
      <c r="U4" s="16"/>
      <c r="V4" s="16"/>
      <c r="W4" s="16"/>
      <c r="X4" s="16"/>
      <c r="Y4" s="16"/>
      <c r="Z4" s="16"/>
      <c r="AA4" s="16"/>
      <c r="AB4" s="16"/>
      <c r="AC4" s="16"/>
      <c r="AD4" s="16"/>
    </row>
    <row r="5" spans="1:59">
      <c r="A5" s="167" t="s">
        <v>411</v>
      </c>
      <c r="B5" s="168"/>
      <c r="C5" s="167"/>
      <c r="D5" s="16"/>
      <c r="E5" s="169" t="s">
        <v>412</v>
      </c>
      <c r="F5" s="169"/>
      <c r="G5" s="158"/>
      <c r="H5" s="169"/>
      <c r="I5" s="16"/>
      <c r="J5" s="16"/>
      <c r="K5" s="16"/>
      <c r="L5" s="16"/>
      <c r="M5" s="16"/>
      <c r="N5" s="16"/>
      <c r="O5" s="16"/>
      <c r="P5" s="16"/>
      <c r="Q5" s="16"/>
      <c r="R5" s="16"/>
      <c r="S5" s="16"/>
      <c r="T5" s="16"/>
      <c r="U5" s="16"/>
      <c r="V5" s="16"/>
      <c r="W5" s="16"/>
      <c r="X5" s="16"/>
      <c r="Y5" s="16"/>
      <c r="Z5" s="16"/>
      <c r="AA5" s="16"/>
      <c r="AB5" s="16"/>
      <c r="AC5" s="16"/>
      <c r="AD5" s="16"/>
    </row>
    <row r="6" spans="1:59">
      <c r="A6" s="15"/>
      <c r="B6" s="64"/>
      <c r="C6" s="16"/>
      <c r="D6" s="16"/>
      <c r="E6" s="16"/>
      <c r="F6" s="16"/>
      <c r="G6" s="16"/>
      <c r="H6" s="16"/>
      <c r="I6" s="16"/>
      <c r="J6" s="64"/>
      <c r="K6" s="16"/>
      <c r="L6" s="16"/>
      <c r="M6" s="16"/>
      <c r="N6" s="16"/>
      <c r="O6" s="16"/>
      <c r="P6" s="16"/>
      <c r="Q6" s="16"/>
      <c r="R6" s="16"/>
      <c r="S6" s="16"/>
      <c r="T6" s="16"/>
      <c r="U6" s="16"/>
      <c r="V6" s="16"/>
      <c r="W6" s="16"/>
      <c r="X6" s="16"/>
      <c r="Y6" s="16"/>
      <c r="Z6" s="16"/>
      <c r="AA6" s="16"/>
      <c r="AB6" s="16"/>
      <c r="AC6" s="16"/>
      <c r="AD6" s="16"/>
    </row>
    <row r="7" spans="1:59">
      <c r="A7" s="170" t="s">
        <v>413</v>
      </c>
      <c r="B7" s="59">
        <v>31</v>
      </c>
      <c r="C7" s="16"/>
      <c r="D7" s="573" t="s">
        <v>414</v>
      </c>
      <c r="E7" s="701"/>
      <c r="F7" s="701"/>
      <c r="G7" s="701"/>
      <c r="H7" s="701"/>
      <c r="I7" s="701"/>
      <c r="J7" s="16"/>
      <c r="K7" s="16"/>
      <c r="L7" s="16"/>
      <c r="M7" s="16"/>
      <c r="N7" s="16"/>
      <c r="O7" s="16"/>
      <c r="P7" s="16"/>
      <c r="Q7" s="16"/>
      <c r="R7" s="16"/>
      <c r="S7" s="16"/>
      <c r="T7" s="16"/>
      <c r="U7" s="16"/>
      <c r="V7" s="16"/>
      <c r="W7" s="16"/>
      <c r="X7" s="16"/>
      <c r="Y7" s="16"/>
      <c r="Z7" s="16"/>
      <c r="AA7" s="16"/>
      <c r="AB7" s="16"/>
      <c r="AC7" s="16"/>
      <c r="AD7" s="16"/>
    </row>
    <row r="8" spans="1:59" ht="14.25" customHeight="1">
      <c r="A8" s="171" t="s">
        <v>415</v>
      </c>
      <c r="B8" s="172">
        <f>M21</f>
        <v>0</v>
      </c>
      <c r="C8" s="16" t="s">
        <v>416</v>
      </c>
      <c r="D8" s="574" t="s">
        <v>417</v>
      </c>
      <c r="E8" s="704"/>
      <c r="F8" s="704"/>
      <c r="G8" s="704"/>
      <c r="H8" s="704"/>
      <c r="I8" s="704"/>
      <c r="J8" s="16"/>
      <c r="K8" s="16"/>
      <c r="L8" s="16"/>
      <c r="M8" s="16"/>
      <c r="N8" s="16"/>
      <c r="O8" s="16"/>
      <c r="P8" s="16"/>
      <c r="Q8" s="16"/>
      <c r="R8" s="16"/>
      <c r="S8" s="16"/>
      <c r="T8" s="16"/>
      <c r="U8" s="16"/>
      <c r="V8" s="16"/>
      <c r="W8" s="16"/>
      <c r="X8" s="16"/>
      <c r="Y8" s="16"/>
      <c r="Z8" s="16"/>
      <c r="AA8" s="16"/>
      <c r="AB8" s="16"/>
      <c r="AC8" s="16"/>
    </row>
    <row r="9" spans="1:59">
      <c r="A9" s="65" t="s">
        <v>418</v>
      </c>
      <c r="B9" s="173" t="s">
        <v>419</v>
      </c>
      <c r="C9" s="16"/>
      <c r="D9" s="16"/>
      <c r="E9" s="17"/>
      <c r="F9" s="17"/>
      <c r="G9" s="17"/>
      <c r="H9" s="17"/>
      <c r="I9" s="17"/>
      <c r="J9" s="17"/>
      <c r="K9" s="17"/>
      <c r="L9" s="17"/>
      <c r="M9" s="17"/>
      <c r="N9" s="17"/>
      <c r="O9" s="17"/>
      <c r="P9" s="17"/>
      <c r="Q9" s="16"/>
      <c r="R9" s="17"/>
      <c r="S9" s="17"/>
      <c r="T9" s="17"/>
      <c r="U9" s="17"/>
      <c r="V9" s="17"/>
      <c r="W9" s="17"/>
      <c r="X9" s="17"/>
      <c r="Y9" s="17"/>
      <c r="Z9" s="17"/>
      <c r="AA9" s="17"/>
      <c r="AB9" s="17"/>
      <c r="AC9" s="17"/>
      <c r="AD9" s="18" t="s">
        <v>242</v>
      </c>
    </row>
    <row r="10" spans="1:59">
      <c r="A10" s="174" t="s">
        <v>420</v>
      </c>
      <c r="B10" s="66">
        <f>COUNTA(A38:A42)</f>
        <v>0</v>
      </c>
      <c r="C10" s="16"/>
      <c r="D10" s="16"/>
      <c r="E10" s="17"/>
      <c r="F10" s="17"/>
      <c r="G10" s="17"/>
      <c r="H10" s="17"/>
      <c r="I10" s="17"/>
      <c r="J10" s="17"/>
      <c r="K10" s="17"/>
      <c r="L10" s="17"/>
      <c r="M10" s="17"/>
      <c r="N10" s="17"/>
      <c r="O10" s="17"/>
      <c r="P10" s="17"/>
      <c r="Q10" s="16"/>
      <c r="R10" s="17"/>
      <c r="S10" s="17"/>
      <c r="T10" s="17"/>
      <c r="U10" s="17"/>
      <c r="V10" s="17"/>
      <c r="W10" s="17"/>
      <c r="X10" s="17"/>
      <c r="Y10" s="17"/>
      <c r="Z10" s="17"/>
      <c r="AA10" s="17"/>
      <c r="AB10" s="17"/>
      <c r="AC10" s="17"/>
      <c r="AD10" s="18"/>
    </row>
    <row r="11" spans="1:59">
      <c r="A11" s="171" t="s">
        <v>421</v>
      </c>
      <c r="B11" s="238">
        <f>SUM(B38:B42)</f>
        <v>0</v>
      </c>
      <c r="C11" s="16"/>
      <c r="D11" s="16"/>
      <c r="E11" s="17"/>
      <c r="F11" s="17"/>
      <c r="G11" s="17"/>
      <c r="H11" s="17"/>
      <c r="I11" s="17"/>
      <c r="J11" s="17"/>
      <c r="K11" s="17"/>
      <c r="L11" s="17"/>
      <c r="M11" s="17"/>
      <c r="N11" s="17"/>
      <c r="O11" s="17"/>
      <c r="P11" s="17"/>
      <c r="Q11" s="16"/>
      <c r="R11" s="17"/>
      <c r="S11" s="17"/>
      <c r="T11" s="17"/>
      <c r="U11" s="17"/>
      <c r="V11" s="17"/>
      <c r="W11" s="17"/>
      <c r="X11" s="17"/>
      <c r="Y11" s="17"/>
      <c r="Z11" s="17"/>
      <c r="AA11" s="17"/>
      <c r="AB11" s="17"/>
      <c r="AC11" s="17"/>
      <c r="AD11" s="18"/>
    </row>
    <row r="12" spans="1:59">
      <c r="A12" s="239" t="s">
        <v>422</v>
      </c>
      <c r="B12" s="240" t="s">
        <v>317</v>
      </c>
      <c r="C12" s="16"/>
      <c r="D12" s="16"/>
      <c r="E12" s="17"/>
      <c r="F12" s="17"/>
      <c r="G12" s="17"/>
      <c r="H12" s="17"/>
      <c r="I12" s="17"/>
      <c r="J12" s="17"/>
      <c r="K12" s="17"/>
      <c r="L12" s="17"/>
      <c r="M12" s="17"/>
      <c r="N12" s="17"/>
      <c r="O12" s="17"/>
      <c r="P12" s="17"/>
      <c r="Q12" s="16"/>
      <c r="R12" s="17"/>
      <c r="S12" s="17"/>
      <c r="T12" s="17"/>
      <c r="U12" s="17"/>
      <c r="V12" s="17"/>
      <c r="W12" s="17"/>
      <c r="X12" s="17"/>
      <c r="Y12" s="17"/>
      <c r="Z12" s="17"/>
      <c r="AA12" s="17"/>
      <c r="AB12" s="17"/>
      <c r="AC12" s="17"/>
      <c r="AD12" s="18"/>
    </row>
    <row r="13" spans="1:59">
      <c r="A13" s="16"/>
      <c r="B13" s="16"/>
      <c r="C13" s="16"/>
      <c r="D13" s="16"/>
      <c r="E13" s="17"/>
      <c r="F13" s="17"/>
      <c r="G13" s="17"/>
      <c r="H13" s="17"/>
      <c r="I13" s="17"/>
      <c r="J13" s="17"/>
      <c r="K13" s="17"/>
      <c r="L13" s="17"/>
      <c r="M13" s="17"/>
      <c r="N13" s="17"/>
      <c r="O13" s="17"/>
      <c r="P13" s="17"/>
      <c r="Q13" s="16"/>
      <c r="R13" s="17"/>
      <c r="S13" s="17"/>
      <c r="T13" s="17"/>
      <c r="U13" s="17"/>
      <c r="V13" s="17"/>
      <c r="W13" s="17"/>
      <c r="X13" s="17"/>
      <c r="Y13" s="17"/>
      <c r="Z13" s="17"/>
      <c r="AA13" s="17"/>
      <c r="AB13" s="17"/>
      <c r="AC13" s="17"/>
      <c r="AD13" s="17" t="str">
        <f t="array" ref="AD13:BF13">[0]!LocationNames</f>
        <v>SC1</v>
      </c>
      <c r="AE13" s="17" t="str">
        <v>SC1 - Half</v>
      </c>
      <c r="AF13" s="17" t="str">
        <v>SC2</v>
      </c>
      <c r="AG13" s="17" t="e">
        <v>#N/A</v>
      </c>
      <c r="AH13" s="17" t="e">
        <v>#N/A</v>
      </c>
      <c r="AI13" s="17" t="e">
        <v>#N/A</v>
      </c>
      <c r="AJ13" s="17" t="e">
        <v>#N/A</v>
      </c>
      <c r="AK13" s="17" t="e">
        <v>#N/A</v>
      </c>
      <c r="AL13" s="17" t="e">
        <v>#N/A</v>
      </c>
      <c r="AM13" s="17" t="e">
        <v>#N/A</v>
      </c>
      <c r="AN13" s="17" t="e">
        <v>#N/A</v>
      </c>
      <c r="AO13" s="17" t="e">
        <v>#N/A</v>
      </c>
      <c r="AP13" s="17" t="e">
        <v>#N/A</v>
      </c>
      <c r="AQ13" s="17" t="e">
        <v>#N/A</v>
      </c>
      <c r="AR13" s="17" t="e">
        <v>#N/A</v>
      </c>
      <c r="AS13" s="17" t="e">
        <v>#N/A</v>
      </c>
      <c r="AT13" s="17" t="e">
        <v>#N/A</v>
      </c>
      <c r="AU13" s="17" t="e">
        <v>#N/A</v>
      </c>
      <c r="AV13" s="17" t="e">
        <v>#N/A</v>
      </c>
      <c r="AW13" s="17" t="e">
        <v>#N/A</v>
      </c>
      <c r="AX13" s="17" t="e">
        <v>#N/A</v>
      </c>
      <c r="AY13" s="17" t="e">
        <v>#N/A</v>
      </c>
      <c r="AZ13" s="17" t="e">
        <v>#N/A</v>
      </c>
      <c r="BA13" s="17" t="e">
        <v>#N/A</v>
      </c>
      <c r="BB13" s="17" t="e">
        <v>#N/A</v>
      </c>
      <c r="BC13" s="22" t="e">
        <v>#N/A</v>
      </c>
      <c r="BD13" s="22" t="e">
        <v>#N/A</v>
      </c>
      <c r="BE13" s="22" t="e">
        <v>#N/A</v>
      </c>
      <c r="BF13" s="22" t="e">
        <v>#N/A</v>
      </c>
      <c r="BG13" s="22" t="s">
        <v>270</v>
      </c>
    </row>
    <row r="14" spans="1:59">
      <c r="A14" s="175" t="s">
        <v>423</v>
      </c>
      <c r="B14" s="16"/>
      <c r="C14" s="16"/>
      <c r="D14" s="16"/>
      <c r="E14" s="16"/>
      <c r="F14" s="16"/>
      <c r="G14" s="175" t="s">
        <v>424</v>
      </c>
      <c r="I14" s="17"/>
      <c r="J14" s="17"/>
      <c r="K14" s="176" t="s">
        <v>425</v>
      </c>
      <c r="L14" s="17"/>
      <c r="M14" s="176" t="s">
        <v>426</v>
      </c>
      <c r="N14" s="17"/>
      <c r="O14" s="17"/>
      <c r="P14" s="17"/>
      <c r="Q14" s="17"/>
      <c r="R14" s="17"/>
      <c r="S14" s="16"/>
      <c r="T14" s="17"/>
      <c r="U14" s="17"/>
      <c r="V14" s="17"/>
      <c r="W14" s="17"/>
      <c r="X14" s="17"/>
      <c r="Y14" s="17"/>
      <c r="Z14" s="17"/>
      <c r="AA14" s="17"/>
      <c r="AB14" s="17"/>
      <c r="AC14" s="17"/>
      <c r="AD14" s="19">
        <f t="array" ref="AD14:BF14">Constants!A3:AC3</f>
        <v>67.5</v>
      </c>
      <c r="AE14" s="19">
        <v>35</v>
      </c>
      <c r="AF14" s="19">
        <v>67.5</v>
      </c>
      <c r="AG14" s="19">
        <v>35</v>
      </c>
      <c r="AH14" s="19">
        <v>40</v>
      </c>
      <c r="AI14" s="19">
        <v>40</v>
      </c>
      <c r="AJ14" s="19">
        <v>35</v>
      </c>
      <c r="AK14" s="19">
        <v>35</v>
      </c>
      <c r="AL14" s="19">
        <v>40</v>
      </c>
      <c r="AM14" s="19">
        <v>27.5</v>
      </c>
      <c r="AN14" s="19">
        <v>45</v>
      </c>
      <c r="AO14" s="19">
        <v>75</v>
      </c>
      <c r="AP14" s="19">
        <v>40</v>
      </c>
      <c r="AQ14" s="19">
        <v>75</v>
      </c>
      <c r="AR14" s="19">
        <v>40</v>
      </c>
      <c r="AS14" s="19">
        <v>30</v>
      </c>
      <c r="AT14" s="19">
        <v>50</v>
      </c>
      <c r="AU14" s="19">
        <v>75</v>
      </c>
      <c r="AV14" s="19">
        <v>40</v>
      </c>
      <c r="AW14" s="19">
        <v>75</v>
      </c>
      <c r="AX14" s="19">
        <v>40</v>
      </c>
      <c r="AY14" s="19">
        <v>50</v>
      </c>
      <c r="AZ14" s="19">
        <v>65</v>
      </c>
      <c r="BA14" s="19">
        <v>35</v>
      </c>
      <c r="BB14" s="19">
        <v>45</v>
      </c>
      <c r="BC14" s="19">
        <v>50</v>
      </c>
      <c r="BD14" s="19">
        <v>0</v>
      </c>
      <c r="BE14" s="19">
        <v>65</v>
      </c>
      <c r="BF14" s="20">
        <v>70</v>
      </c>
      <c r="BG14" s="20"/>
    </row>
    <row r="15" spans="1:59">
      <c r="A15" s="67"/>
      <c r="B15" s="68" t="str">
        <f>Constants!H6</f>
        <v>Performance training</v>
      </c>
      <c r="C15" s="68" t="str">
        <f>Constants!H7</f>
        <v>Performance coaching</v>
      </c>
      <c r="D15" s="68" t="str">
        <f>Constants!H8</f>
        <v>Dangerous</v>
      </c>
      <c r="E15" s="69" t="str">
        <f>Constants!H9</f>
        <v>Recreational</v>
      </c>
      <c r="F15" s="69" t="s">
        <v>290</v>
      </c>
      <c r="G15" s="70"/>
      <c r="H15" s="71" t="s">
        <v>427</v>
      </c>
      <c r="I15" s="72" t="s">
        <v>272</v>
      </c>
      <c r="J15" s="70" t="s">
        <v>5</v>
      </c>
      <c r="K15" s="72" t="s">
        <v>428</v>
      </c>
      <c r="L15" s="70" t="s">
        <v>429</v>
      </c>
      <c r="M15" s="73" cm="1">
        <f t="array" ref="M15">(SUM(IF($D$46:$D$50="PT",($F$46:$F$50)/1.5+IF($G$46:$G$50="yes",1)))+SUM(IF($D$46:$D$50="Extern",($F$46:$F$50)/1.5+IF($G$46:$G$50="yes",1)))+SUM(IF($D$46:$D$50="PT-ZZP",($F$46:$F$50)/1.5+IF($G$46:$G$50="yes",1))))*Constants!B10</f>
        <v>0</v>
      </c>
      <c r="N15" s="17"/>
      <c r="O15" s="17"/>
      <c r="P15" s="17"/>
      <c r="Q15" s="17"/>
      <c r="R15" s="16"/>
      <c r="S15" s="17"/>
      <c r="T15" s="17"/>
      <c r="U15" s="17"/>
      <c r="V15" s="17"/>
      <c r="W15" s="17"/>
      <c r="X15" s="17"/>
      <c r="Y15" s="17"/>
      <c r="Z15" s="17"/>
      <c r="AA15" s="17"/>
      <c r="AB15" s="17"/>
      <c r="AC15" s="17"/>
      <c r="AD15" s="16">
        <f t="shared" ref="AD15:BF15" si="0">SUMIF($B$71:$B$88,AD13,$F$71:$F$88)</f>
        <v>0</v>
      </c>
      <c r="AE15" s="16">
        <f t="shared" si="0"/>
        <v>0</v>
      </c>
      <c r="AF15" s="16">
        <f t="shared" si="0"/>
        <v>0</v>
      </c>
      <c r="AG15" s="16">
        <f t="shared" si="0"/>
        <v>0</v>
      </c>
      <c r="AH15" s="16">
        <f t="shared" si="0"/>
        <v>0</v>
      </c>
      <c r="AI15" s="16">
        <f t="shared" si="0"/>
        <v>0</v>
      </c>
      <c r="AJ15" s="16">
        <f t="shared" si="0"/>
        <v>0</v>
      </c>
      <c r="AK15" s="16">
        <f t="shared" si="0"/>
        <v>0</v>
      </c>
      <c r="AL15" s="16">
        <f t="shared" si="0"/>
        <v>0</v>
      </c>
      <c r="AM15" s="16">
        <f t="shared" si="0"/>
        <v>0</v>
      </c>
      <c r="AN15" s="16">
        <f t="shared" si="0"/>
        <v>0</v>
      </c>
      <c r="AO15" s="16">
        <f t="shared" si="0"/>
        <v>0</v>
      </c>
      <c r="AP15" s="16">
        <f t="shared" si="0"/>
        <v>0</v>
      </c>
      <c r="AQ15" s="16">
        <f t="shared" si="0"/>
        <v>0</v>
      </c>
      <c r="AR15" s="16">
        <f t="shared" si="0"/>
        <v>0</v>
      </c>
      <c r="AS15" s="16">
        <f t="shared" si="0"/>
        <v>0</v>
      </c>
      <c r="AT15" s="16">
        <f t="shared" si="0"/>
        <v>0</v>
      </c>
      <c r="AU15" s="16">
        <f t="shared" si="0"/>
        <v>0</v>
      </c>
      <c r="AV15" s="16">
        <f t="shared" si="0"/>
        <v>0</v>
      </c>
      <c r="AW15" s="16">
        <f t="shared" si="0"/>
        <v>0</v>
      </c>
      <c r="AX15" s="16">
        <f t="shared" si="0"/>
        <v>0</v>
      </c>
      <c r="AY15" s="16">
        <f t="shared" si="0"/>
        <v>0</v>
      </c>
      <c r="AZ15" s="16">
        <f t="shared" si="0"/>
        <v>0</v>
      </c>
      <c r="BA15" s="16">
        <f t="shared" si="0"/>
        <v>0</v>
      </c>
      <c r="BB15" s="16">
        <f t="shared" si="0"/>
        <v>0</v>
      </c>
      <c r="BC15" s="16">
        <f t="shared" si="0"/>
        <v>0</v>
      </c>
      <c r="BD15" s="16">
        <f t="shared" si="0"/>
        <v>0</v>
      </c>
      <c r="BE15" s="16">
        <f t="shared" si="0"/>
        <v>0</v>
      </c>
      <c r="BF15" s="16">
        <f t="shared" si="0"/>
        <v>0</v>
      </c>
    </row>
    <row r="16" spans="1:59">
      <c r="A16" s="74" t="str">
        <f>Constants!E6</f>
        <v>PT</v>
      </c>
      <c r="B16" s="16">
        <f>SUMIFS(Leap!$F$55:$F$67,Leap!$B$55:$B$67, B$15,Leap!$H$55:$H$67,$A16)*(1+Constants!$B$7)</f>
        <v>0</v>
      </c>
      <c r="C16" s="16">
        <f>SUMIFS(Leap!$F$55:$F$67,Leap!$B$55:$B$67, C$15,Leap!$H$55:$H$67,$A16)</f>
        <v>0</v>
      </c>
      <c r="D16" s="16">
        <f>SUMIFS(Leap!$F$55:$F$67,Leap!$B$55:$B$67, D$15,Leap!$H$55:$H$67,$A16)*(1+Constants!$B$7)</f>
        <v>0</v>
      </c>
      <c r="E16" s="16">
        <f>SUMIFS(Leap!$F$55:$F$67,Leap!$B$55:$B$67, E$15,Leap!$H$55:$H$67,$A16)*(1+Constants!$B$7)</f>
        <v>0</v>
      </c>
      <c r="F16" s="16">
        <f>SUMIFS(Leap!$F$55:$F$67,Leap!$B$55:$B$67, F$15,Leap!$H$55:$H$67,$A16)*(1+Constants!$B$7)</f>
        <v>0</v>
      </c>
      <c r="G16" s="74" t="s">
        <v>430</v>
      </c>
      <c r="H16" s="16">
        <f>SUMIF(Leap!$B$73:$B$89,"&lt;&gt;External",Leap!$F$73:$F$89)</f>
        <v>0</v>
      </c>
      <c r="I16" s="75">
        <f>SUMIF(Leap!$B$73:$B$89,"External",Leap!$F$73:$F$89)</f>
        <v>0</v>
      </c>
      <c r="J16" s="234">
        <f>SUM($F$92:$F$105)</f>
        <v>0</v>
      </c>
      <c r="K16" s="76">
        <f>IF(OR(ISBLANK(B7),ISBLANK(B9)), "ERROR",MAX(MIN(J16,B7*Constants!B15)-Constants!B14*B7,0)*IF(B9="yes",Constants!B16,IF(B9="no",Constants!B17,0)))</f>
        <v>0</v>
      </c>
      <c r="L16" s="77" t="s">
        <v>360</v>
      </c>
      <c r="M16" s="76">
        <f>E16*Constants!B6+E17*Constants!B8+E22+E21</f>
        <v>0</v>
      </c>
      <c r="N16" s="17"/>
      <c r="O16" s="17"/>
      <c r="P16" s="17"/>
      <c r="Q16" s="17"/>
      <c r="R16" s="16"/>
      <c r="S16" s="17"/>
      <c r="T16" s="17"/>
      <c r="U16" s="17"/>
      <c r="V16" s="17"/>
      <c r="W16" s="17"/>
      <c r="X16" s="17"/>
      <c r="Y16" s="17"/>
      <c r="Z16" s="17"/>
      <c r="AA16" s="17"/>
      <c r="AB16" s="17"/>
      <c r="AC16" s="17"/>
      <c r="AD16" s="19">
        <f t="shared" ref="AD16:BF16" si="1">AD14*AD15</f>
        <v>0</v>
      </c>
      <c r="AE16" s="19">
        <f t="shared" si="1"/>
        <v>0</v>
      </c>
      <c r="AF16" s="19">
        <f t="shared" si="1"/>
        <v>0</v>
      </c>
      <c r="AG16" s="19">
        <f t="shared" si="1"/>
        <v>0</v>
      </c>
      <c r="AH16" s="19">
        <f t="shared" si="1"/>
        <v>0</v>
      </c>
      <c r="AI16" s="19">
        <f t="shared" si="1"/>
        <v>0</v>
      </c>
      <c r="AJ16" s="19">
        <f t="shared" si="1"/>
        <v>0</v>
      </c>
      <c r="AK16" s="19">
        <f t="shared" si="1"/>
        <v>0</v>
      </c>
      <c r="AL16" s="19">
        <f t="shared" si="1"/>
        <v>0</v>
      </c>
      <c r="AM16" s="19">
        <f t="shared" si="1"/>
        <v>0</v>
      </c>
      <c r="AN16" s="19">
        <f t="shared" si="1"/>
        <v>0</v>
      </c>
      <c r="AO16" s="19">
        <f t="shared" si="1"/>
        <v>0</v>
      </c>
      <c r="AP16" s="19">
        <f t="shared" si="1"/>
        <v>0</v>
      </c>
      <c r="AQ16" s="19">
        <f t="shared" si="1"/>
        <v>0</v>
      </c>
      <c r="AR16" s="19">
        <f t="shared" si="1"/>
        <v>0</v>
      </c>
      <c r="AS16" s="19">
        <f t="shared" si="1"/>
        <v>0</v>
      </c>
      <c r="AT16" s="19">
        <f t="shared" si="1"/>
        <v>0</v>
      </c>
      <c r="AU16" s="19">
        <f t="shared" si="1"/>
        <v>0</v>
      </c>
      <c r="AV16" s="19">
        <f t="shared" si="1"/>
        <v>0</v>
      </c>
      <c r="AW16" s="19">
        <f t="shared" si="1"/>
        <v>0</v>
      </c>
      <c r="AX16" s="19">
        <f t="shared" si="1"/>
        <v>0</v>
      </c>
      <c r="AY16" s="19">
        <f t="shared" si="1"/>
        <v>0</v>
      </c>
      <c r="AZ16" s="19">
        <f t="shared" si="1"/>
        <v>0</v>
      </c>
      <c r="BA16" s="19">
        <f t="shared" si="1"/>
        <v>0</v>
      </c>
      <c r="BB16" s="19">
        <f t="shared" si="1"/>
        <v>0</v>
      </c>
      <c r="BC16" s="19">
        <f t="shared" si="1"/>
        <v>0</v>
      </c>
      <c r="BD16" s="19">
        <f t="shared" si="1"/>
        <v>0</v>
      </c>
      <c r="BE16" s="19">
        <f t="shared" si="1"/>
        <v>0</v>
      </c>
      <c r="BF16" s="19">
        <f t="shared" si="1"/>
        <v>0</v>
      </c>
    </row>
    <row r="17" spans="1:36">
      <c r="A17" s="74" t="str">
        <f>Constants!E7</f>
        <v>PT-V</v>
      </c>
      <c r="B17" s="16">
        <f>SUMIFS(Leap!$F$55:$F$67,Leap!$B$55:$B$67, B$15,Leap!$H$55:$H$67,$A17)*(1+Constants!$B$9)</f>
        <v>0</v>
      </c>
      <c r="C17" s="16">
        <f>SUMIFS(Leap!$F$55:$F$67,Leap!$B$55:$B$67, C$15,Leap!$H$55:$H$67,$A17)</f>
        <v>0</v>
      </c>
      <c r="D17" s="16">
        <f>SUMIFS(Leap!$F$55:$F$67,Leap!$B$55:$B$67, D$15,Leap!$H$55:$H$67,$A17)*(1+Constants!$B$9)</f>
        <v>0</v>
      </c>
      <c r="E17" s="16">
        <f>SUMIFS(Leap!$F$55:$F$67,Leap!$B$55:$B$67, E$15,Leap!$H$55:$H$67,$A17)*(1+Constants!$B$9)</f>
        <v>0</v>
      </c>
      <c r="F17" s="16">
        <f>SUMIFS(Leap!$F$55:$F$67,Leap!$B$55:$B$67, F$15,Leap!$H$55:$H$67,$A17)</f>
        <v>0</v>
      </c>
      <c r="G17" s="74" t="s">
        <v>38</v>
      </c>
      <c r="H17" s="78">
        <f>SUM(AD16:BZ16)</f>
        <v>0</v>
      </c>
      <c r="I17" s="76" cm="1">
        <f t="array" ref="I17">SUM(IF($B$71:$B$87="External",$F$71:$F$87*$H$71:$H$87,0))</f>
        <v>0</v>
      </c>
      <c r="J17" s="79"/>
      <c r="K17" s="80"/>
      <c r="L17" s="77" t="s">
        <v>63</v>
      </c>
      <c r="M17" s="76">
        <f>J16-K16</f>
        <v>0</v>
      </c>
      <c r="N17" s="17"/>
      <c r="O17" s="17"/>
      <c r="P17" s="17"/>
      <c r="Q17" s="17"/>
      <c r="R17" s="16"/>
      <c r="S17" s="17"/>
      <c r="T17" s="17"/>
      <c r="U17" s="17"/>
      <c r="V17" s="17"/>
      <c r="W17" s="17"/>
      <c r="X17" s="17"/>
      <c r="Y17" s="17"/>
      <c r="Z17" s="17"/>
      <c r="AA17" s="17"/>
      <c r="AB17" s="17"/>
      <c r="AC17" s="17"/>
      <c r="AD17" s="17"/>
      <c r="AE17" s="17"/>
    </row>
    <row r="18" spans="1:36">
      <c r="A18" s="74" t="str">
        <f>Constants!E8</f>
        <v>PT-ZZP</v>
      </c>
      <c r="B18" s="16">
        <f>SUMIFS(Leap!$F$55:$F$67,Leap!$B$55:$B$67, B$15,Leap!$H$55:$H$67,$A18)*(1+Constants!$B$7)</f>
        <v>0</v>
      </c>
      <c r="C18" s="16">
        <f>SUMIFS(Leap!$F$55:$F$67,Leap!$B$55:$B$67, C$15,Leap!$H$55:$H$67,$A18)</f>
        <v>0</v>
      </c>
      <c r="D18" s="16">
        <f>SUMIFS(Leap!$F$55:$F$67,Leap!$B$55:$B$67, D$15,Leap!$H$55:$H$67,$A18)*(1+Constants!$B$7)</f>
        <v>0</v>
      </c>
      <c r="E18" s="16">
        <f>SUMIFS(Leap!$F$55:$F$67,Leap!$B$55:$B$67, E$15,Leap!$H$55:$H$67,$A18)*(1+Constants!$B$7)</f>
        <v>0</v>
      </c>
      <c r="F18" s="16">
        <f>SUMIFS(Leap!$F$55:$F$67,Leap!$B$55:$B$67, F$15,Leap!$H$55:$H$67,$A18)*(1+Constants!$B$7)</f>
        <v>0</v>
      </c>
      <c r="G18" s="74"/>
      <c r="H18" s="78"/>
      <c r="I18" s="76"/>
      <c r="J18" s="79"/>
      <c r="K18" s="80"/>
      <c r="L18" s="77" t="s">
        <v>60</v>
      </c>
      <c r="M18" s="76" t="str">
        <f>IF(I17-Constants!I17*$B$7&gt;0,$I$17-Constants!I17*$B$7,"-")</f>
        <v>-</v>
      </c>
      <c r="N18" s="17"/>
      <c r="O18" s="17"/>
      <c r="P18" s="17"/>
      <c r="Q18" s="17"/>
      <c r="R18" s="16"/>
      <c r="S18" s="17"/>
      <c r="T18" s="17"/>
      <c r="U18" s="17"/>
      <c r="V18" s="17"/>
      <c r="W18" s="17"/>
      <c r="X18" s="17"/>
      <c r="Y18" s="17"/>
      <c r="Z18" s="17"/>
      <c r="AA18" s="17"/>
      <c r="AB18" s="17"/>
      <c r="AC18" s="17"/>
      <c r="AD18" s="17"/>
      <c r="AE18" s="17"/>
    </row>
    <row r="19" spans="1:36">
      <c r="A19" s="74" t="str">
        <f>Constants!E9</f>
        <v>RT</v>
      </c>
      <c r="B19" s="16">
        <f>SUMIFS(Leap!$F$55:$F$67,Leap!$B$55:$B$67, B$15,Leap!$H$55:$H$67,$A19)</f>
        <v>0</v>
      </c>
      <c r="C19" s="16">
        <f>SUMIFS(Leap!$F$55:$F$67,Leap!$B$55:$B$67, C$15,Leap!$H$55:$H$67,$A19)</f>
        <v>0</v>
      </c>
      <c r="D19" s="16">
        <f>SUMIFS(Leap!$F$55:$F$67,Leap!$B$55:$B$67, D$15,Leap!$H$55:$H$67,$A19)</f>
        <v>0</v>
      </c>
      <c r="E19" s="16">
        <f>SUMIFS(Leap!$F$55:$F$67,Leap!$B$55:$B$67, E$15,Leap!$H$55:$H$67,$A19)</f>
        <v>0</v>
      </c>
      <c r="F19" s="16">
        <f>SUMIFS(Leap!$F$55:$F$67,Leap!$B$55:$B$67, F$15,Leap!$H$55:$H$67,$A19)</f>
        <v>0</v>
      </c>
      <c r="G19" s="74" t="s">
        <v>396</v>
      </c>
      <c r="H19" s="78"/>
      <c r="I19" s="76">
        <f>IF(B7*Constants!I17&lt;I17,B7*Constants!I17,I17)</f>
        <v>0</v>
      </c>
      <c r="J19" s="79"/>
      <c r="K19" s="80"/>
      <c r="L19" s="77" t="s">
        <v>431</v>
      </c>
      <c r="M19" s="255"/>
      <c r="N19" s="17"/>
      <c r="O19" s="17"/>
      <c r="P19" s="17"/>
      <c r="Q19" s="17"/>
      <c r="R19" s="16"/>
      <c r="S19" s="17"/>
      <c r="T19" s="17"/>
      <c r="U19" s="17"/>
      <c r="V19" s="17"/>
      <c r="W19" s="17"/>
      <c r="X19" s="17"/>
      <c r="Y19" s="17"/>
      <c r="Z19" s="17"/>
      <c r="AA19" s="17"/>
      <c r="AB19" s="17"/>
      <c r="AC19" s="17"/>
      <c r="AD19" s="17"/>
      <c r="AE19" s="17"/>
    </row>
    <row r="20" spans="1:36">
      <c r="A20" s="74" t="str">
        <f>Constants!E10</f>
        <v>Extern</v>
      </c>
      <c r="B20" s="16">
        <f>SUMIFS(Leap!$F$55:$F$67,Leap!$B$55:$B$67, B$15,Leap!$H$55:$H$67,$A20)</f>
        <v>0</v>
      </c>
      <c r="C20" s="16">
        <f>SUMIFS(Leap!$F$55:$F$67,Leap!$B$55:$B$67, C$15,Leap!$H$55:$H$67,$A20)</f>
        <v>0</v>
      </c>
      <c r="D20" s="16">
        <f>SUMIFS(Leap!$F$55:$F$67,Leap!$B$55:$B$67, D$15,Leap!$H$55:$H$67,$A20)</f>
        <v>0</v>
      </c>
      <c r="E20" s="16">
        <f>SUMIFS(Leap!$F$55:$F$67,Leap!$B$55:$B$67, E$15,Leap!$H$55:$H$67,$A20)</f>
        <v>0</v>
      </c>
      <c r="F20" s="16">
        <f>SUMIFS(Leap!$F$55:$F$67,Leap!$B$55:$B$67, F$15,Leap!$H$55:$H$67,$A20)</f>
        <v>0</v>
      </c>
      <c r="G20" s="81"/>
      <c r="H20" s="16"/>
      <c r="I20" s="75"/>
      <c r="J20" s="79"/>
      <c r="K20" s="82"/>
      <c r="L20" s="83"/>
      <c r="M20" s="84"/>
      <c r="N20" s="17"/>
      <c r="O20" s="17"/>
      <c r="P20" s="17"/>
      <c r="Q20" s="17"/>
      <c r="R20" s="16"/>
      <c r="S20" s="17"/>
      <c r="T20" s="17"/>
      <c r="U20" s="17"/>
      <c r="V20" s="17"/>
      <c r="W20" s="17"/>
      <c r="X20" s="17"/>
      <c r="Y20" s="17"/>
      <c r="Z20" s="17"/>
      <c r="AA20" s="17"/>
      <c r="AB20" s="17"/>
      <c r="AC20" s="17"/>
      <c r="AD20" s="17"/>
      <c r="AE20" s="17"/>
    </row>
    <row r="21" spans="1:36">
      <c r="A21" s="74" t="str">
        <f>CONCATENATE(A18," Costs")</f>
        <v>PT-ZZP Costs</v>
      </c>
      <c r="B21" s="78">
        <f t="array" ref="B21">SUM(IF(Leap!$B$55:$B$67=B$15,IF(Leap!$H$55:$H$67="PT-ZZP",Leap!$F$55:$F$67*Leap!$I$55:$I$67*(1+Constants!$B$7),0),0))</f>
        <v>0</v>
      </c>
      <c r="C21" s="78">
        <f t="array" ref="C21">SUM(IF(Leap!$B$55:$B$67=C$15,IF(Leap!$H$55:$H$67="PT-ZZP",Leap!$F$55:$F$67*Leap!$I$55:$I$67,0),0))</f>
        <v>0</v>
      </c>
      <c r="D21" s="78">
        <f t="array" ref="D21">SUM(IF(Leap!$B$55:$B$67=D$15,IF(Leap!$H$55:$H$67="PT-ZZP",Leap!$F$55:$F$67*Leap!$I$55:$I$67*(1+Constants!$B$7),0),0))</f>
        <v>0</v>
      </c>
      <c r="E21" s="78">
        <f t="array" ref="E21">SUM(IF(Leap!$B$55:$B$67=E$15,IF(Leap!$H$55:$H$67="PT-ZZP",Leap!$F$55:$F$67*Leap!$I$55:$I$67*(1+Constants!$B$7),0),0))</f>
        <v>0</v>
      </c>
      <c r="F21" s="78">
        <f t="array" ref="F21">SUM(IF(Leap!$B$55:$B$67=F$15,IF(Leap!$H$55:$H$67="PT-ZZP",Leap!$F$55:$F$67*Leap!$I$55:$I$67*(1+Constants!$B$7),0),0))</f>
        <v>0</v>
      </c>
      <c r="G21" s="81"/>
      <c r="H21" s="16"/>
      <c r="I21" s="75"/>
      <c r="J21" s="79"/>
      <c r="K21" s="82"/>
      <c r="L21" s="77" t="s">
        <v>5</v>
      </c>
      <c r="M21" s="76">
        <f>SUM(M15:M20)</f>
        <v>0</v>
      </c>
      <c r="N21" s="17"/>
      <c r="O21" s="17"/>
      <c r="P21" s="17"/>
      <c r="Q21" s="17"/>
      <c r="R21" s="16"/>
      <c r="S21" s="17"/>
      <c r="T21" s="17"/>
      <c r="U21" s="17"/>
      <c r="V21" s="17"/>
      <c r="W21" s="17"/>
      <c r="X21" s="17"/>
      <c r="Y21" s="17"/>
      <c r="Z21" s="17"/>
      <c r="AA21" s="17"/>
      <c r="AB21" s="17"/>
      <c r="AC21" s="17"/>
      <c r="AD21" s="17"/>
      <c r="AE21" s="17"/>
    </row>
    <row r="22" spans="1:36" ht="15.75" customHeight="1">
      <c r="A22" s="74" t="str">
        <f>CONCATENATE(A20," Costs")</f>
        <v>Extern Costs</v>
      </c>
      <c r="B22" s="78">
        <f t="array" ref="B22">SUM(IF(Leap!$B$55:$B$67=B$15,IF(Leap!$H$55:$H$67="Extern",Leap!$F$55:$F$67*Leap!$I$55:$I$67,0),0))</f>
        <v>0</v>
      </c>
      <c r="C22" s="78">
        <f t="array" ref="C22">SUM(IF(Leap!$B$55:$B$67=C$15,IF(Leap!$H$55:$H$67="Extern",Leap!$F$55:$F$67*Leap!$I$55:$I$67,0),0))</f>
        <v>0</v>
      </c>
      <c r="D22" s="78">
        <f t="array" ref="D22">SUM(IF(Leap!$B$55:$B$67=D$15,IF(Leap!$H$55:$H$67="Extern",Leap!$F$55:$F$67*Leap!$I$55:$I$67,0),0))</f>
        <v>0</v>
      </c>
      <c r="E22" s="78">
        <f t="array" ref="E22">SUM(IF(Leap!$B$55:$B$67=E$15,IF(Leap!$H$55:$H$67="Extern",Leap!$F$55:$F$67*Leap!$I$55:$I$67,0),0))</f>
        <v>0</v>
      </c>
      <c r="F22" s="76">
        <f t="array" ref="F22">SUM(IF(Leap!$B$55:$B$67=F$15,IF(Leap!$H$55:$H$67="Extern",Leap!$F$55:$F$67*Leap!$I$55:$I$67,0),0))</f>
        <v>0</v>
      </c>
      <c r="G22" s="85"/>
      <c r="H22" s="177"/>
      <c r="I22" s="86"/>
      <c r="J22" s="87"/>
      <c r="K22" s="88"/>
      <c r="L22" s="87"/>
      <c r="M22" s="88"/>
      <c r="N22" s="17"/>
      <c r="O22" s="17"/>
      <c r="P22" s="17"/>
      <c r="Q22" s="17"/>
      <c r="R22" s="16"/>
      <c r="S22" s="17"/>
      <c r="T22" s="17"/>
      <c r="U22" s="17"/>
      <c r="V22" s="17"/>
      <c r="W22" s="17"/>
      <c r="X22" s="17"/>
      <c r="Y22" s="17"/>
      <c r="Z22" s="17"/>
      <c r="AA22" s="17"/>
      <c r="AB22" s="17"/>
      <c r="AC22" s="17"/>
      <c r="AD22" s="17"/>
      <c r="AE22" s="17"/>
    </row>
    <row r="23" spans="1:36" ht="15" customHeight="1">
      <c r="A23" s="74" t="s">
        <v>432</v>
      </c>
      <c r="B23" s="78"/>
      <c r="C23" s="78"/>
      <c r="D23" s="78"/>
      <c r="E23" s="78"/>
      <c r="F23" s="76">
        <f t="array" ref="F23">SUMIFS(Leap!$F$55:$F$67,Leap!$B$55:$B$67,"Mentorship",Leap!$H$55:$H$67,"PT-V")*Constants!B8+SUMIFS(Leap!$F$55:$F$67,Leap!$B$55:$B$67,"Mentorship",Leap!$H$55:$H$67,"PT")*Constants!B6+SUMPRODUCT(IF(Leap!$B$55:$B$67="Mentorship",IF(Leap!$H$55:$H$67="PT-ZZP",Leap!$F$55:$F$67*Leap!$I$55:$I$67,0)))</f>
        <v>0</v>
      </c>
    </row>
    <row r="24" spans="1:36" ht="15" customHeight="1">
      <c r="A24" s="89" t="s">
        <v>433</v>
      </c>
      <c r="B24" s="178"/>
      <c r="C24" s="178"/>
      <c r="D24" s="178"/>
      <c r="E24" s="178">
        <f>SUMIF(Leap!$B$55:$B$67,"External Trainer Course",Leap!$I$55:$I$67)</f>
        <v>0</v>
      </c>
      <c r="F24" s="90"/>
    </row>
    <row r="25" spans="1:36" ht="15.75" customHeight="1">
      <c r="A25" s="16"/>
      <c r="B25" s="16"/>
      <c r="C25" s="16"/>
      <c r="D25" s="16"/>
      <c r="E25" s="17"/>
      <c r="F25" s="17"/>
      <c r="G25" s="17"/>
      <c r="H25" s="17"/>
      <c r="I25" s="17"/>
      <c r="J25" s="17"/>
      <c r="K25" s="17"/>
      <c r="L25" s="17"/>
      <c r="M25" s="17"/>
      <c r="N25" s="17"/>
      <c r="O25" s="17"/>
      <c r="P25" s="17"/>
      <c r="Q25" s="16"/>
      <c r="R25" s="17"/>
      <c r="S25" s="17"/>
      <c r="T25" s="17"/>
      <c r="U25" s="17"/>
      <c r="V25" s="17"/>
      <c r="W25" s="17"/>
      <c r="X25" s="17"/>
      <c r="Y25" s="17"/>
      <c r="Z25" s="17"/>
      <c r="AA25" s="17"/>
      <c r="AB25" s="17"/>
      <c r="AC25" s="17"/>
      <c r="AD25" s="17"/>
    </row>
    <row r="26" spans="1:36" ht="15.75" customHeight="1">
      <c r="A26" s="16"/>
      <c r="B26" s="16"/>
      <c r="C26" s="16"/>
      <c r="D26" s="16"/>
      <c r="E26" s="17"/>
      <c r="F26" s="17"/>
      <c r="G26" s="17"/>
      <c r="H26" s="17"/>
      <c r="I26" s="17"/>
      <c r="J26" s="17"/>
      <c r="K26" s="17"/>
      <c r="L26" s="17"/>
      <c r="M26" s="17"/>
      <c r="N26" s="17"/>
      <c r="O26" s="17"/>
      <c r="P26" s="17"/>
      <c r="Q26" s="16"/>
      <c r="R26" s="17"/>
      <c r="S26" s="17"/>
      <c r="T26" s="17"/>
      <c r="U26" s="17"/>
      <c r="V26" s="17"/>
      <c r="W26" s="17"/>
      <c r="X26" s="17"/>
      <c r="Y26" s="17"/>
      <c r="Z26" s="17"/>
      <c r="AA26" s="17"/>
      <c r="AB26" s="17"/>
      <c r="AC26" s="17"/>
      <c r="AD26" s="17"/>
    </row>
    <row r="27" spans="1:36" ht="15.75" customHeight="1">
      <c r="A27" s="91" t="s">
        <v>434</v>
      </c>
      <c r="B27" s="17"/>
      <c r="C27" s="17"/>
      <c r="D27" s="17"/>
      <c r="E27" s="17"/>
      <c r="F27" s="17"/>
      <c r="G27" s="92"/>
      <c r="H27" s="19"/>
      <c r="I27" s="17"/>
      <c r="J27" s="17"/>
      <c r="K27" s="17"/>
      <c r="L27" s="17"/>
      <c r="M27" s="17"/>
      <c r="N27" s="17"/>
      <c r="O27" s="17"/>
      <c r="P27" s="17"/>
      <c r="Q27" s="16"/>
      <c r="R27" s="17"/>
      <c r="S27" s="17"/>
      <c r="T27" s="17"/>
      <c r="U27" s="17"/>
      <c r="V27" s="17"/>
      <c r="W27" s="17"/>
      <c r="X27" s="17"/>
      <c r="Y27" s="17"/>
      <c r="Z27" s="17"/>
      <c r="AA27" s="17"/>
      <c r="AB27" s="17"/>
      <c r="AC27" s="17"/>
      <c r="AD27" s="17"/>
    </row>
    <row r="28" spans="1:36" ht="15.75" customHeight="1">
      <c r="A28" s="706" t="s">
        <v>435</v>
      </c>
      <c r="B28" s="707"/>
      <c r="C28" s="707"/>
      <c r="D28" s="707"/>
      <c r="E28" s="707"/>
      <c r="F28" s="708"/>
      <c r="G28" s="15"/>
      <c r="H28" s="17"/>
      <c r="I28" s="17"/>
      <c r="J28" s="17"/>
      <c r="K28" s="17"/>
      <c r="L28" s="17"/>
      <c r="M28" s="17"/>
      <c r="N28" s="17"/>
      <c r="O28" s="17"/>
      <c r="P28" s="17"/>
      <c r="Q28" s="16"/>
      <c r="R28" s="17"/>
      <c r="S28" s="17"/>
      <c r="T28" s="17"/>
      <c r="U28" s="17"/>
      <c r="V28" s="17"/>
      <c r="W28" s="17"/>
      <c r="X28" s="17"/>
      <c r="Y28" s="17"/>
      <c r="Z28" s="17"/>
      <c r="AA28" s="17"/>
      <c r="AB28" s="17"/>
      <c r="AC28" s="17"/>
      <c r="AD28" s="242" t="s">
        <v>436</v>
      </c>
      <c r="AE28" s="16"/>
      <c r="AF28" s="128"/>
      <c r="AG28" s="51"/>
      <c r="AH28" s="51"/>
      <c r="AI28" s="51"/>
      <c r="AJ28" s="51"/>
    </row>
    <row r="29" spans="1:36" ht="15.75" customHeight="1">
      <c r="A29" s="709" t="s">
        <v>437</v>
      </c>
      <c r="B29" s="696"/>
      <c r="C29" s="696"/>
      <c r="D29" s="696"/>
      <c r="E29" s="696"/>
      <c r="F29" s="710"/>
      <c r="G29" s="17"/>
      <c r="H29" s="17"/>
      <c r="I29" s="17"/>
      <c r="J29" s="17"/>
      <c r="K29" s="17"/>
      <c r="L29" s="17"/>
      <c r="M29" s="17"/>
      <c r="N29" s="17"/>
      <c r="O29" s="17"/>
      <c r="P29" s="17"/>
      <c r="Q29" s="16"/>
      <c r="R29" s="17"/>
      <c r="S29" s="17"/>
      <c r="T29" s="17"/>
      <c r="U29" s="17"/>
      <c r="V29" s="17"/>
      <c r="W29" s="17"/>
      <c r="X29" s="17"/>
      <c r="Y29" s="17"/>
      <c r="Z29" s="17"/>
      <c r="AA29" s="17"/>
      <c r="AB29" s="17"/>
      <c r="AC29" s="17"/>
      <c r="AD29" s="243" t="s">
        <v>438</v>
      </c>
      <c r="AE29" s="243" t="s">
        <v>439</v>
      </c>
      <c r="AF29" s="243" t="s">
        <v>440</v>
      </c>
      <c r="AG29" s="711" t="s">
        <v>441</v>
      </c>
      <c r="AH29" s="712"/>
      <c r="AI29" s="711" t="s">
        <v>434</v>
      </c>
      <c r="AJ29" s="712"/>
    </row>
    <row r="30" spans="1:36" ht="15.75" customHeight="1">
      <c r="A30" s="709" t="s">
        <v>442</v>
      </c>
      <c r="B30" s="696"/>
      <c r="C30" s="696"/>
      <c r="D30" s="696"/>
      <c r="E30" s="696"/>
      <c r="F30" s="710"/>
      <c r="G30" s="17"/>
      <c r="H30" s="17"/>
      <c r="I30" s="17"/>
      <c r="J30" s="17"/>
      <c r="K30" s="17"/>
      <c r="L30" s="17"/>
      <c r="M30" s="17"/>
      <c r="N30" s="17"/>
      <c r="O30" s="17"/>
      <c r="P30" s="17"/>
      <c r="Q30" s="16"/>
      <c r="R30" s="17"/>
      <c r="S30" s="17"/>
      <c r="T30" s="17"/>
      <c r="U30" s="17"/>
      <c r="V30" s="17"/>
      <c r="W30" s="17"/>
      <c r="X30" s="17"/>
      <c r="Y30" s="17"/>
      <c r="Z30" s="17"/>
      <c r="AA30" s="17"/>
      <c r="AB30" s="17"/>
      <c r="AC30" s="17"/>
      <c r="AD30" s="244" t="str">
        <f>IF($B$12="individual",Constants!F55,Constants!L55)</f>
        <v>member count</v>
      </c>
      <c r="AE30" s="244">
        <f>B7</f>
        <v>31</v>
      </c>
      <c r="AF30" s="269">
        <f>IF(AE30&gt;=301,5,IF(AE30&gt;=176,4,IF(AE30&gt;=101,3,IF(AE30&gt;=51,2,1))))</f>
        <v>1</v>
      </c>
      <c r="AG30" s="560"/>
      <c r="AH30" s="560"/>
      <c r="AI30" s="560"/>
      <c r="AJ30" s="560"/>
    </row>
    <row r="31" spans="1:36" ht="15" customHeight="1">
      <c r="A31" s="709" t="s">
        <v>444</v>
      </c>
      <c r="B31" s="696"/>
      <c r="C31" s="696"/>
      <c r="D31" s="696"/>
      <c r="E31" s="696"/>
      <c r="F31" s="710"/>
      <c r="G31" s="17"/>
      <c r="H31" s="17"/>
      <c r="I31" s="17"/>
      <c r="J31" s="17"/>
      <c r="K31" s="17"/>
      <c r="L31" s="17"/>
      <c r="M31" s="17"/>
      <c r="N31" s="17"/>
      <c r="O31" s="17"/>
      <c r="P31" s="17"/>
      <c r="Q31" s="16"/>
      <c r="R31" s="17"/>
      <c r="S31" s="17"/>
      <c r="T31" s="17"/>
      <c r="U31" s="17"/>
      <c r="V31" s="17"/>
      <c r="W31" s="17"/>
      <c r="X31" s="17"/>
      <c r="Y31" s="17"/>
      <c r="Z31" s="17"/>
      <c r="AA31" s="17"/>
      <c r="AB31" s="17"/>
      <c r="AC31" s="17"/>
      <c r="AD31" s="244" t="str">
        <f>IF($B$12="individual",Constants!F56,Constants!L56)</f>
        <v>number of trainings per week</v>
      </c>
      <c r="AE31" s="244">
        <v>2</v>
      </c>
      <c r="AF31" s="270">
        <f>IF(AE31&gt;=4,3,IF(AE31&gt;=3,2,IF(AE31&gt;=2,1,0)))</f>
        <v>1</v>
      </c>
      <c r="AG31" s="560"/>
      <c r="AH31" s="560"/>
      <c r="AI31" s="560"/>
      <c r="AJ31" s="560"/>
    </row>
    <row r="32" spans="1:36" ht="15.75" customHeight="1">
      <c r="A32" s="709" t="s">
        <v>445</v>
      </c>
      <c r="B32" s="696"/>
      <c r="C32" s="696"/>
      <c r="D32" s="696"/>
      <c r="E32" s="696"/>
      <c r="F32" s="710"/>
      <c r="G32" s="17"/>
      <c r="H32" s="16"/>
      <c r="I32" s="16"/>
      <c r="J32" s="16"/>
      <c r="K32" s="17"/>
      <c r="L32" s="17"/>
      <c r="M32" s="17"/>
      <c r="N32" s="17"/>
      <c r="O32" s="17"/>
      <c r="P32" s="17"/>
      <c r="Q32" s="16"/>
      <c r="R32" s="17"/>
      <c r="S32" s="17"/>
      <c r="T32" s="17"/>
      <c r="U32" s="17"/>
      <c r="V32" s="17"/>
      <c r="W32" s="17"/>
      <c r="X32" s="17"/>
      <c r="Y32" s="17"/>
      <c r="Z32" s="17"/>
      <c r="AA32" s="17"/>
      <c r="AB32" s="17"/>
      <c r="AC32" s="17"/>
      <c r="AD32" s="244" t="str">
        <f>IF($B$12="individual",Constants!F57,Constants!L57)</f>
        <v>number of trainings weeks per year</v>
      </c>
      <c r="AE32" s="252">
        <v>42</v>
      </c>
      <c r="AF32" s="250">
        <f>IF(AE32&gt;=40,3,IF(AE32&gt;=35,2,1))</f>
        <v>3</v>
      </c>
      <c r="AG32" s="560"/>
      <c r="AH32" s="560"/>
      <c r="AI32" s="560"/>
      <c r="AJ32" s="560"/>
    </row>
    <row r="33" spans="1:58" ht="15.75" customHeight="1">
      <c r="A33" s="93" t="s">
        <v>446</v>
      </c>
      <c r="F33" s="94"/>
      <c r="G33" s="17"/>
      <c r="H33" s="16"/>
      <c r="I33" s="16"/>
      <c r="J33" s="16"/>
      <c r="K33" s="17"/>
      <c r="L33" s="17"/>
      <c r="M33" s="17"/>
      <c r="N33" s="17"/>
      <c r="O33" s="17"/>
      <c r="P33" s="17"/>
      <c r="Q33" s="16"/>
      <c r="R33" s="17"/>
      <c r="S33" s="17"/>
      <c r="T33" s="17"/>
      <c r="U33" s="17"/>
      <c r="V33" s="17"/>
      <c r="W33" s="17"/>
      <c r="X33" s="17"/>
      <c r="Y33" s="17"/>
      <c r="Z33" s="17"/>
      <c r="AA33" s="17"/>
      <c r="AB33" s="17"/>
      <c r="AC33" s="17"/>
      <c r="AD33" s="244" t="str">
        <f>IF($B$12="individual",Constants!F58,Constants!L58)</f>
        <v>number of training hours by RT / PT-V</v>
      </c>
      <c r="AE33" s="251">
        <v>0</v>
      </c>
      <c r="AF33" s="270">
        <v>0</v>
      </c>
      <c r="AG33" s="560"/>
      <c r="AH33" s="560"/>
      <c r="AI33" s="560"/>
      <c r="AJ33" s="560"/>
    </row>
    <row r="34" spans="1:58" ht="15.75" customHeight="1">
      <c r="A34" s="713" t="s">
        <v>447</v>
      </c>
      <c r="B34" s="714"/>
      <c r="C34" s="714"/>
      <c r="D34" s="714"/>
      <c r="E34" s="714"/>
      <c r="F34" s="715"/>
      <c r="G34" s="17"/>
      <c r="H34" s="16"/>
      <c r="I34" s="16"/>
      <c r="J34" s="16"/>
      <c r="K34" s="17"/>
      <c r="L34" s="17"/>
      <c r="M34" s="17"/>
      <c r="N34" s="17"/>
      <c r="O34" s="17"/>
      <c r="P34" s="17"/>
      <c r="Q34" s="16"/>
      <c r="R34" s="17"/>
      <c r="S34" s="17"/>
      <c r="T34" s="17"/>
      <c r="U34" s="17"/>
      <c r="V34" s="17"/>
      <c r="W34" s="17"/>
      <c r="X34" s="17"/>
      <c r="Y34" s="17"/>
      <c r="Z34" s="17"/>
      <c r="AA34" s="17"/>
      <c r="AB34" s="17"/>
      <c r="AC34" s="17"/>
      <c r="AD34" s="244" t="str">
        <f>IF($B$12="individual",Constants!F59,Constants!L59)</f>
        <v>number of training groups / teams</v>
      </c>
      <c r="AE34" s="244">
        <v>1</v>
      </c>
      <c r="AF34" s="271">
        <f>IF(AE34&gt;9,3,IF(AE34&gt;4,2,IF(AE34&gt;2,1,0)))</f>
        <v>0</v>
      </c>
      <c r="AG34" s="560"/>
      <c r="AH34" s="560"/>
      <c r="AI34" s="560"/>
      <c r="AJ34" s="560"/>
    </row>
    <row r="35" spans="1:58" ht="15.75" customHeight="1">
      <c r="A35" s="16"/>
      <c r="G35" s="17"/>
      <c r="H35" s="16"/>
      <c r="I35" s="16"/>
      <c r="J35" s="16"/>
      <c r="K35" s="17"/>
      <c r="L35" s="17"/>
      <c r="M35" s="17"/>
      <c r="N35" s="17"/>
      <c r="O35" s="17"/>
      <c r="P35" s="17"/>
      <c r="Q35" s="16"/>
      <c r="R35" s="17"/>
      <c r="S35" s="17"/>
      <c r="T35" s="17"/>
      <c r="U35" s="17"/>
      <c r="V35" s="17"/>
      <c r="W35" s="17"/>
      <c r="X35" s="17"/>
      <c r="Y35" s="17"/>
      <c r="Z35" s="17"/>
      <c r="AA35" s="17"/>
      <c r="AB35" s="17"/>
      <c r="AC35" s="17"/>
      <c r="AD35" s="244" t="str">
        <f>IF($B$12="individual",Constants!F60,Constants!L60)</f>
        <v>number of competitions organised</v>
      </c>
      <c r="AE35" s="249">
        <v>2</v>
      </c>
      <c r="AF35" s="271">
        <f>IF(AE35&gt;=4,5,IF(AE35&gt;=2,3,IF(AE35&gt;=1,1,0)))</f>
        <v>3</v>
      </c>
      <c r="AG35" s="560"/>
      <c r="AH35" s="560"/>
      <c r="AI35" s="560"/>
      <c r="AJ35" s="560"/>
    </row>
    <row r="36" spans="1:58" ht="15.75" customHeight="1">
      <c r="A36" s="179" t="s">
        <v>448</v>
      </c>
      <c r="B36" s="16"/>
      <c r="C36" s="16"/>
      <c r="D36" s="16"/>
      <c r="E36" s="16"/>
      <c r="F36" s="16"/>
      <c r="G36" s="16"/>
      <c r="H36" s="16"/>
      <c r="I36" s="16"/>
      <c r="J36" s="16"/>
      <c r="K36" s="16"/>
      <c r="L36" s="16"/>
      <c r="M36" s="16"/>
      <c r="N36" s="16"/>
      <c r="O36" s="16"/>
      <c r="P36" s="16"/>
      <c r="Q36" s="16"/>
      <c r="R36" s="16"/>
      <c r="S36" s="16"/>
      <c r="T36" s="16"/>
      <c r="U36" s="16"/>
      <c r="V36" s="16"/>
      <c r="W36" s="16"/>
      <c r="X36" s="16"/>
      <c r="Y36" s="16"/>
      <c r="Z36" s="16"/>
      <c r="AA36" s="16"/>
      <c r="AB36" s="18"/>
      <c r="AC36" s="16"/>
      <c r="AD36" s="244" t="str">
        <f>IF($B$12="individual",Constants!F61,Constants!L61)</f>
        <v>number of social activities</v>
      </c>
      <c r="AE36" s="249">
        <v>5</v>
      </c>
      <c r="AF36" s="271">
        <f>IF(AE36&gt;=20,2,IF(AE36&gt;=10,1,0))</f>
        <v>0</v>
      </c>
      <c r="AG36" s="560"/>
      <c r="AH36" s="560"/>
      <c r="AI36" s="560"/>
      <c r="AJ36" s="560"/>
    </row>
    <row r="37" spans="1:58" ht="15" customHeight="1">
      <c r="A37" s="95" t="s">
        <v>449</v>
      </c>
      <c r="B37" s="96" t="s">
        <v>450</v>
      </c>
      <c r="C37" s="95" t="s">
        <v>451</v>
      </c>
      <c r="D37" s="95" t="s">
        <v>452</v>
      </c>
      <c r="E37" s="95" t="s">
        <v>453</v>
      </c>
      <c r="F37" s="95" t="s">
        <v>454</v>
      </c>
      <c r="G37" s="97" t="s">
        <v>455</v>
      </c>
      <c r="H37" s="561" t="s">
        <v>456</v>
      </c>
      <c r="I37" s="716"/>
      <c r="J37" s="717"/>
      <c r="K37" s="98"/>
      <c r="L37" s="98"/>
      <c r="M37" s="98"/>
      <c r="N37" s="98"/>
      <c r="O37" s="98"/>
      <c r="P37" s="98"/>
      <c r="Q37" s="98"/>
      <c r="R37" s="98"/>
      <c r="S37" s="98"/>
      <c r="T37" s="98"/>
      <c r="U37" s="96"/>
      <c r="V37" s="96"/>
      <c r="W37" s="96"/>
      <c r="X37" s="96"/>
      <c r="Y37" s="99"/>
      <c r="Z37" s="96"/>
      <c r="AA37" s="96"/>
      <c r="AB37" s="100"/>
      <c r="AC37" s="100"/>
      <c r="AD37" s="244" t="str">
        <f>IF($B$12="individual",Constants!F62,Constants!L62)</f>
        <v>number of bar days</v>
      </c>
      <c r="AE37" s="249">
        <v>0</v>
      </c>
      <c r="AF37" s="271">
        <f>IF(AE37&gt;=15,2,IF(AE37&gt;=8,1,0))</f>
        <v>0</v>
      </c>
      <c r="AG37" s="560"/>
      <c r="AH37" s="560"/>
      <c r="AI37" s="560"/>
      <c r="AJ37" s="560"/>
      <c r="AK37" s="100"/>
      <c r="AL37" s="100"/>
      <c r="AM37" s="100"/>
      <c r="AN37" s="100"/>
      <c r="AO37" s="100"/>
      <c r="AP37" s="100"/>
      <c r="AQ37" s="100"/>
      <c r="AR37" s="100"/>
      <c r="AS37" s="100"/>
      <c r="AT37" s="100"/>
      <c r="AU37" s="100"/>
      <c r="AV37" s="100"/>
      <c r="AW37" s="100"/>
      <c r="AX37" s="100"/>
      <c r="AY37" s="100"/>
      <c r="AZ37" s="100"/>
      <c r="BA37" s="100"/>
      <c r="BB37" s="100"/>
      <c r="BC37" s="100"/>
      <c r="BD37" s="100"/>
      <c r="BE37" s="100"/>
      <c r="BF37" s="100"/>
    </row>
    <row r="38" spans="1:58" ht="14.25" customHeight="1">
      <c r="A38" s="101"/>
      <c r="B38" s="51"/>
      <c r="C38" s="101"/>
      <c r="D38" s="136"/>
      <c r="E38" s="101"/>
      <c r="F38" s="103"/>
      <c r="G38" s="102"/>
      <c r="H38" s="571"/>
      <c r="I38" s="696"/>
      <c r="J38" s="718"/>
      <c r="K38" s="16"/>
      <c r="L38" s="16"/>
      <c r="M38" s="16"/>
      <c r="N38" s="16"/>
      <c r="O38" s="16"/>
      <c r="P38" s="16"/>
      <c r="Q38" s="16"/>
      <c r="R38" s="16"/>
      <c r="S38" s="16"/>
      <c r="T38" s="16"/>
      <c r="U38" s="16"/>
      <c r="V38" s="16"/>
      <c r="W38" s="16"/>
      <c r="X38" s="16"/>
      <c r="Y38" s="17"/>
      <c r="Z38" s="16"/>
      <c r="AA38" s="16"/>
      <c r="AD38" s="244" t="str">
        <f>IF($B$12="individual",Constants!F63,Constants!L63)</f>
        <v>own bar / extra location</v>
      </c>
      <c r="AE38" s="249">
        <v>0</v>
      </c>
      <c r="AF38" s="271">
        <f>IF(AE38&gt;=1,2,0)</f>
        <v>0</v>
      </c>
      <c r="AG38" s="560"/>
      <c r="AH38" s="560"/>
      <c r="AI38" s="560"/>
      <c r="AJ38" s="560"/>
    </row>
    <row r="39" spans="1:58" ht="14.25" customHeight="1">
      <c r="A39" s="101"/>
      <c r="B39" s="51"/>
      <c r="C39" s="104"/>
      <c r="D39" s="136"/>
      <c r="E39" s="105"/>
      <c r="F39" s="106"/>
      <c r="G39" s="107"/>
      <c r="H39" s="696"/>
      <c r="I39" s="696"/>
      <c r="J39" s="718"/>
      <c r="K39" s="16"/>
      <c r="L39" s="16"/>
      <c r="M39" s="16"/>
      <c r="N39" s="16"/>
      <c r="O39" s="16"/>
      <c r="P39" s="16"/>
      <c r="Q39" s="16"/>
      <c r="R39" s="16"/>
      <c r="S39" s="16"/>
      <c r="T39" s="16"/>
      <c r="U39" s="16"/>
      <c r="V39" s="16"/>
      <c r="W39" s="16"/>
      <c r="X39" s="16"/>
      <c r="Y39" s="17"/>
      <c r="Z39" s="16"/>
      <c r="AA39" s="16"/>
      <c r="AD39" s="244" t="str">
        <f>IF($B$12="individual",Constants!F65,Constants!L64)</f>
        <v>number of competitions attended</v>
      </c>
      <c r="AE39" s="249">
        <v>0</v>
      </c>
      <c r="AF39" s="273">
        <f>IF(B12="individual", IF(AE39&gt;10, 5, IF(AE39&gt;6, 3, IF(AE39&gt;2, 1, 0))), IF(AE39&gt;3, 3, IF(AE39&gt;1, 2, 1)))</f>
        <v>0</v>
      </c>
      <c r="AG39" s="560"/>
      <c r="AH39" s="560"/>
      <c r="AI39" s="560"/>
      <c r="AJ39" s="560"/>
    </row>
    <row r="40" spans="1:58" ht="15.75" customHeight="1">
      <c r="A40" s="16"/>
      <c r="B40" s="51"/>
      <c r="C40" s="16"/>
      <c r="D40" s="51"/>
      <c r="E40" s="105"/>
      <c r="F40" s="106"/>
      <c r="G40" s="16"/>
      <c r="H40" s="696"/>
      <c r="I40" s="696"/>
      <c r="J40" s="718"/>
      <c r="K40" s="16"/>
      <c r="L40" s="16"/>
      <c r="M40" s="16"/>
      <c r="N40" s="16"/>
      <c r="O40" s="16"/>
      <c r="P40" s="16"/>
      <c r="Q40" s="16"/>
      <c r="R40" s="16"/>
      <c r="S40" s="16"/>
      <c r="T40" s="16"/>
      <c r="U40" s="16"/>
      <c r="V40" s="16"/>
      <c r="W40" s="16"/>
      <c r="X40" s="16"/>
      <c r="Y40" s="16"/>
      <c r="Z40" s="16"/>
      <c r="AA40" s="16"/>
      <c r="AD40" s="231" t="str">
        <f>IF($B$12="individual",Constants!F64,Constants!L65)</f>
        <v>n/a</v>
      </c>
      <c r="AE40" s="231"/>
      <c r="AF40" s="273" t="str">
        <f>IF(B12="group", IF(AE40&gt;0.15, 5, IF(AE40&gt;0.1, 3, IF(AE40&gt;0.05, 1, 0))), " ")</f>
        <v xml:space="preserve"> </v>
      </c>
      <c r="AG40" s="560"/>
      <c r="AH40" s="560"/>
      <c r="AI40" s="560"/>
      <c r="AJ40" s="560"/>
    </row>
    <row r="41" spans="1:58" ht="15.75" customHeight="1">
      <c r="A41" s="16"/>
      <c r="B41" s="51"/>
      <c r="C41" s="16"/>
      <c r="D41" s="51"/>
      <c r="E41" s="105"/>
      <c r="F41" s="106"/>
      <c r="G41" s="16"/>
      <c r="H41" s="696"/>
      <c r="I41" s="696"/>
      <c r="J41" s="718"/>
      <c r="K41" s="16"/>
      <c r="L41" s="16"/>
      <c r="M41" s="16"/>
      <c r="N41" s="16"/>
      <c r="O41" s="16"/>
      <c r="P41" s="16"/>
      <c r="Q41" s="16"/>
      <c r="R41" s="16"/>
      <c r="S41" s="16"/>
      <c r="T41" s="16"/>
      <c r="U41" s="16"/>
      <c r="V41" s="16"/>
      <c r="W41" s="16"/>
      <c r="X41" s="16"/>
      <c r="Y41" s="16"/>
      <c r="Z41" s="16"/>
      <c r="AA41" s="16"/>
      <c r="AD41" s="16"/>
      <c r="AE41" s="275" t="s">
        <v>461</v>
      </c>
      <c r="AF41" s="277">
        <f>SUM(AF30:AF40)</f>
        <v>8</v>
      </c>
      <c r="AG41" s="247"/>
      <c r="AH41" s="245"/>
      <c r="AI41" s="246"/>
      <c r="AJ41" s="247"/>
    </row>
    <row r="42" spans="1:58" ht="15.75" customHeight="1">
      <c r="A42" s="180"/>
      <c r="B42" s="181"/>
      <c r="C42" s="182"/>
      <c r="D42" s="183"/>
      <c r="E42" s="184"/>
      <c r="F42" s="184"/>
      <c r="G42" s="180"/>
      <c r="H42" s="719"/>
      <c r="I42" s="719"/>
      <c r="J42" s="720"/>
      <c r="K42" s="16"/>
      <c r="L42" s="16"/>
      <c r="M42" s="16"/>
      <c r="N42" s="16"/>
      <c r="O42" s="16"/>
      <c r="P42" s="16"/>
      <c r="Q42" s="16"/>
      <c r="R42" s="16"/>
      <c r="S42" s="16"/>
      <c r="T42" s="16"/>
      <c r="U42" s="16"/>
      <c r="V42" s="16"/>
      <c r="W42" s="16"/>
      <c r="X42" s="16"/>
      <c r="Y42" s="16"/>
      <c r="Z42" s="16"/>
      <c r="AA42" s="16"/>
      <c r="AD42" s="231"/>
      <c r="AE42" s="231"/>
      <c r="AF42" s="246"/>
      <c r="AG42" s="247"/>
      <c r="AH42" s="245"/>
      <c r="AI42" s="246"/>
      <c r="AJ42" s="247"/>
    </row>
    <row r="43" spans="1:58" ht="15.75" customHeight="1">
      <c r="A43" s="18"/>
      <c r="B43" s="18"/>
      <c r="C43" s="18"/>
      <c r="D43" s="18"/>
      <c r="E43" s="18"/>
      <c r="F43" s="18"/>
      <c r="G43" s="17"/>
      <c r="H43" s="17"/>
      <c r="I43" s="17"/>
      <c r="J43" s="17"/>
      <c r="K43" s="17"/>
      <c r="L43" s="17"/>
      <c r="M43" s="17"/>
      <c r="N43" s="17"/>
      <c r="O43" s="17"/>
      <c r="P43" s="17"/>
      <c r="Q43" s="16"/>
      <c r="R43" s="17"/>
      <c r="S43" s="17"/>
      <c r="T43" s="17"/>
      <c r="U43" s="17"/>
      <c r="V43" s="17"/>
      <c r="W43" s="17"/>
      <c r="X43" s="17"/>
      <c r="Y43" s="17"/>
      <c r="Z43" s="17"/>
      <c r="AA43" s="17"/>
      <c r="AB43" s="17"/>
      <c r="AC43" s="17"/>
      <c r="AD43" s="231"/>
      <c r="AE43" s="16"/>
      <c r="AF43" s="246"/>
      <c r="AG43" s="247"/>
      <c r="AH43" s="245"/>
      <c r="AI43" s="246"/>
      <c r="AJ43" s="247"/>
    </row>
    <row r="44" spans="1:58" ht="15.75" customHeight="1">
      <c r="A44" s="179" t="s">
        <v>462</v>
      </c>
      <c r="B44" s="169"/>
      <c r="C44" s="16"/>
      <c r="D44" s="16"/>
      <c r="E44" s="16"/>
      <c r="F44" s="16"/>
      <c r="G44" s="16"/>
      <c r="H44" s="16"/>
      <c r="I44" s="16"/>
      <c r="J44" s="16"/>
      <c r="K44" s="16"/>
      <c r="L44" s="16"/>
      <c r="M44" s="16"/>
      <c r="N44" s="16"/>
      <c r="O44" s="16"/>
      <c r="P44" s="16"/>
      <c r="Q44" s="16"/>
      <c r="R44" s="16"/>
      <c r="S44" s="16"/>
      <c r="T44" s="16"/>
      <c r="U44" s="16"/>
      <c r="V44" s="16"/>
      <c r="W44" s="16"/>
      <c r="X44" s="16"/>
      <c r="Y44" s="16"/>
      <c r="Z44" s="16"/>
      <c r="AA44" s="16"/>
      <c r="AB44" s="18"/>
      <c r="AC44" s="16"/>
      <c r="AD44" s="16"/>
      <c r="AE44" s="16"/>
      <c r="AF44" s="16"/>
      <c r="AG44" s="16"/>
      <c r="AH44" s="16"/>
      <c r="AI44" s="16"/>
      <c r="AJ44" s="16"/>
    </row>
    <row r="45" spans="1:58" ht="15" customHeight="1">
      <c r="A45" s="95" t="s">
        <v>449</v>
      </c>
      <c r="B45" s="96" t="s">
        <v>450</v>
      </c>
      <c r="C45" s="95" t="s">
        <v>463</v>
      </c>
      <c r="D45" s="95" t="s">
        <v>464</v>
      </c>
      <c r="E45" s="95" t="s">
        <v>465</v>
      </c>
      <c r="F45" s="95" t="s">
        <v>466</v>
      </c>
      <c r="G45" s="95" t="s">
        <v>467</v>
      </c>
      <c r="H45" s="97" t="s">
        <v>455</v>
      </c>
      <c r="I45" s="561" t="s">
        <v>456</v>
      </c>
      <c r="J45" s="716"/>
      <c r="K45" s="717"/>
      <c r="L45" s="98"/>
      <c r="M45" s="98"/>
      <c r="N45" s="98"/>
      <c r="O45" s="98"/>
      <c r="P45" s="98"/>
      <c r="Q45" s="98"/>
      <c r="R45" s="98"/>
      <c r="S45" s="98"/>
      <c r="T45" s="98"/>
      <c r="U45" s="98"/>
      <c r="V45" s="96"/>
      <c r="W45" s="96"/>
      <c r="X45" s="96"/>
      <c r="Y45" s="96"/>
      <c r="Z45" s="99"/>
      <c r="AA45" s="96"/>
      <c r="AB45" s="96"/>
      <c r="AC45" s="100"/>
      <c r="AD45" s="100"/>
      <c r="AE45" s="100"/>
      <c r="AF45" s="100"/>
      <c r="AG45" s="100"/>
      <c r="AH45" s="100"/>
      <c r="AI45" s="100"/>
      <c r="AJ45" s="100"/>
      <c r="AK45" s="100"/>
      <c r="AL45" s="100"/>
      <c r="AM45" s="100"/>
      <c r="AN45" s="100"/>
      <c r="AO45" s="100"/>
      <c r="AP45" s="100"/>
      <c r="AQ45" s="100"/>
      <c r="AR45" s="100"/>
      <c r="AS45" s="100"/>
      <c r="AT45" s="100"/>
      <c r="AU45" s="100"/>
      <c r="AV45" s="100"/>
      <c r="AW45" s="100"/>
      <c r="AX45" s="100"/>
      <c r="AY45" s="100"/>
      <c r="AZ45" s="100"/>
      <c r="BA45" s="100"/>
      <c r="BB45" s="100"/>
      <c r="BC45" s="100"/>
      <c r="BD45" s="100"/>
      <c r="BE45" s="100"/>
      <c r="BF45" s="100"/>
    </row>
    <row r="46" spans="1:58" ht="14.25" customHeight="1">
      <c r="A46" s="101"/>
      <c r="B46" s="102"/>
      <c r="C46" s="101"/>
      <c r="D46" s="101"/>
      <c r="E46" s="108"/>
      <c r="F46" s="108"/>
      <c r="G46" s="102"/>
      <c r="H46" s="102"/>
      <c r="I46" s="571"/>
      <c r="J46" s="696"/>
      <c r="K46" s="718"/>
      <c r="L46" s="16"/>
      <c r="M46" s="16"/>
      <c r="N46" s="16"/>
      <c r="O46" s="16"/>
      <c r="P46" s="16"/>
      <c r="Q46" s="16"/>
      <c r="R46" s="16"/>
      <c r="S46" s="16"/>
      <c r="T46" s="16"/>
      <c r="U46" s="16"/>
      <c r="V46" s="16"/>
      <c r="W46" s="16"/>
      <c r="X46" s="16"/>
      <c r="Y46" s="16"/>
      <c r="Z46" s="17"/>
      <c r="AA46" s="16"/>
      <c r="AB46" s="16"/>
    </row>
    <row r="47" spans="1:58" ht="14.25" customHeight="1">
      <c r="A47" s="101"/>
      <c r="B47" s="102"/>
      <c r="C47" s="101"/>
      <c r="D47" s="101"/>
      <c r="E47" s="109"/>
      <c r="F47" s="108"/>
      <c r="G47" s="102"/>
      <c r="H47" s="102"/>
      <c r="I47" s="696"/>
      <c r="J47" s="696"/>
      <c r="K47" s="718"/>
      <c r="L47" s="16"/>
      <c r="M47" s="16"/>
      <c r="N47" s="16"/>
      <c r="O47" s="16"/>
      <c r="P47" s="16"/>
      <c r="Q47" s="16"/>
      <c r="R47" s="16"/>
      <c r="S47" s="16"/>
      <c r="T47" s="16"/>
      <c r="U47" s="16"/>
      <c r="V47" s="16"/>
      <c r="W47" s="16"/>
      <c r="X47" s="16"/>
      <c r="Y47" s="16"/>
      <c r="Z47" s="17"/>
      <c r="AA47" s="16"/>
      <c r="AB47" s="16"/>
    </row>
    <row r="48" spans="1:58" ht="15.75" customHeight="1">
      <c r="A48" s="102"/>
      <c r="B48" s="102"/>
      <c r="C48" s="102"/>
      <c r="D48" s="101"/>
      <c r="E48" s="109"/>
      <c r="F48" s="108"/>
      <c r="G48" s="110"/>
      <c r="H48" s="102"/>
      <c r="I48" s="696"/>
      <c r="J48" s="696"/>
      <c r="K48" s="718"/>
      <c r="L48" s="16"/>
      <c r="M48" s="16"/>
      <c r="N48" s="16"/>
      <c r="O48" s="16"/>
      <c r="P48" s="16"/>
      <c r="Q48" s="16"/>
      <c r="R48" s="16"/>
      <c r="S48" s="16"/>
      <c r="T48" s="16"/>
      <c r="U48" s="16"/>
      <c r="V48" s="16"/>
      <c r="W48" s="16"/>
      <c r="X48" s="16"/>
      <c r="Y48" s="16"/>
      <c r="Z48" s="16"/>
      <c r="AA48" s="16"/>
      <c r="AB48" s="16"/>
    </row>
    <row r="49" spans="1:30" ht="15.75" customHeight="1">
      <c r="A49" s="16"/>
      <c r="B49" s="51"/>
      <c r="C49" s="16"/>
      <c r="D49" s="104"/>
      <c r="E49" s="105"/>
      <c r="F49" s="106"/>
      <c r="G49" s="111"/>
      <c r="H49" s="16"/>
      <c r="I49" s="696"/>
      <c r="J49" s="696"/>
      <c r="K49" s="718"/>
      <c r="L49" s="16"/>
      <c r="M49" s="16"/>
      <c r="N49" s="16"/>
      <c r="O49" s="16"/>
      <c r="P49" s="16"/>
      <c r="Q49" s="16"/>
      <c r="R49" s="16"/>
      <c r="S49" s="16"/>
      <c r="T49" s="16"/>
      <c r="U49" s="16"/>
      <c r="V49" s="16"/>
      <c r="W49" s="16"/>
      <c r="X49" s="16"/>
      <c r="Y49" s="16"/>
      <c r="Z49" s="16"/>
      <c r="AA49" s="16"/>
      <c r="AB49" s="16"/>
    </row>
    <row r="50" spans="1:30" ht="15.75" customHeight="1">
      <c r="A50" s="180"/>
      <c r="B50" s="181"/>
      <c r="C50" s="182"/>
      <c r="D50" s="182"/>
      <c r="E50" s="184"/>
      <c r="F50" s="184"/>
      <c r="G50" s="112"/>
      <c r="H50" s="180"/>
      <c r="I50" s="719"/>
      <c r="J50" s="719"/>
      <c r="K50" s="720"/>
      <c r="L50" s="16"/>
      <c r="M50" s="16"/>
      <c r="N50" s="16"/>
      <c r="O50" s="16"/>
      <c r="P50" s="16"/>
      <c r="Q50" s="16"/>
      <c r="R50" s="16"/>
      <c r="S50" s="16"/>
      <c r="T50" s="16"/>
      <c r="U50" s="16"/>
      <c r="V50" s="16"/>
      <c r="W50" s="16"/>
      <c r="X50" s="16"/>
      <c r="Y50" s="16"/>
      <c r="Z50" s="16"/>
      <c r="AA50" s="16"/>
      <c r="AB50" s="16"/>
    </row>
    <row r="51" spans="1:30" ht="15.75" customHeight="1">
      <c r="A51" s="15"/>
      <c r="B51" s="16"/>
      <c r="C51" s="16"/>
      <c r="D51" s="16"/>
      <c r="E51" s="16"/>
      <c r="F51" s="16"/>
      <c r="G51" s="16"/>
      <c r="H51" s="16"/>
      <c r="I51" s="16"/>
      <c r="J51" s="16"/>
      <c r="K51" s="16"/>
      <c r="L51" s="16"/>
      <c r="M51" s="16"/>
      <c r="N51" s="16"/>
      <c r="O51" s="16"/>
      <c r="P51" s="16"/>
      <c r="Q51" s="16"/>
      <c r="R51" s="16"/>
      <c r="S51" s="16"/>
      <c r="T51" s="16"/>
      <c r="U51" s="16"/>
      <c r="V51" s="16"/>
      <c r="W51" s="16"/>
      <c r="X51" s="16"/>
      <c r="Y51" s="16"/>
      <c r="Z51" s="16"/>
      <c r="AA51" s="16"/>
      <c r="AB51" s="16"/>
      <c r="AC51" s="16"/>
      <c r="AD51" s="16"/>
    </row>
    <row r="52" spans="1:30" ht="15.75" customHeight="1">
      <c r="A52" s="15"/>
      <c r="B52" s="16"/>
      <c r="C52" s="16"/>
      <c r="D52" s="16"/>
      <c r="E52" s="16"/>
      <c r="F52" s="16"/>
      <c r="G52" s="16"/>
      <c r="H52" s="16"/>
      <c r="I52" s="16"/>
      <c r="J52" s="16"/>
      <c r="K52" s="16"/>
      <c r="L52" s="16"/>
      <c r="M52" s="16"/>
      <c r="N52" s="16"/>
      <c r="O52" s="16"/>
      <c r="P52" s="16"/>
      <c r="Q52" s="16"/>
      <c r="W52" s="16"/>
      <c r="X52" s="16"/>
      <c r="Y52" s="16"/>
      <c r="Z52" s="16"/>
      <c r="AA52" s="16"/>
      <c r="AB52" s="16"/>
      <c r="AC52" s="16"/>
      <c r="AD52" s="16"/>
    </row>
    <row r="53" spans="1:30" ht="15.75" customHeight="1">
      <c r="A53" s="113" t="s">
        <v>475</v>
      </c>
      <c r="B53" s="180"/>
      <c r="C53" s="180"/>
      <c r="D53" s="180"/>
      <c r="E53" s="180"/>
      <c r="F53" s="180"/>
      <c r="G53" s="180"/>
      <c r="H53" s="180"/>
      <c r="I53" s="180"/>
      <c r="J53" s="16"/>
      <c r="K53" s="16"/>
      <c r="L53" s="16"/>
      <c r="M53" s="16"/>
      <c r="N53" s="16"/>
      <c r="O53" s="16"/>
      <c r="P53" s="16"/>
      <c r="Q53" s="16"/>
      <c r="W53" s="16"/>
      <c r="X53" s="16"/>
      <c r="Y53" s="16"/>
      <c r="Z53" s="16"/>
      <c r="AA53" s="16"/>
      <c r="AB53" s="16"/>
      <c r="AC53" s="16"/>
      <c r="AD53" s="16"/>
    </row>
    <row r="54" spans="1:30" ht="15.75" customHeight="1">
      <c r="A54" s="114" t="s">
        <v>476</v>
      </c>
      <c r="B54" s="15" t="s">
        <v>477</v>
      </c>
      <c r="C54" s="15" t="s">
        <v>478</v>
      </c>
      <c r="D54" s="15" t="s">
        <v>479</v>
      </c>
      <c r="E54" s="15" t="s">
        <v>480</v>
      </c>
      <c r="F54" s="15" t="s">
        <v>481</v>
      </c>
      <c r="G54" s="15" t="s">
        <v>482</v>
      </c>
      <c r="H54" s="15" t="s">
        <v>453</v>
      </c>
      <c r="I54" s="15" t="s">
        <v>483</v>
      </c>
      <c r="J54" s="15" t="s">
        <v>484</v>
      </c>
      <c r="K54" s="721" t="s">
        <v>485</v>
      </c>
      <c r="L54" s="716"/>
      <c r="M54" s="722"/>
      <c r="N54" s="15"/>
      <c r="O54" s="16"/>
      <c r="P54" s="16"/>
      <c r="Q54" s="16"/>
      <c r="W54" s="16"/>
      <c r="X54" s="16"/>
      <c r="Y54" s="16"/>
      <c r="Z54" s="16"/>
      <c r="AA54" s="16"/>
      <c r="AB54" s="16"/>
    </row>
    <row r="55" spans="1:30" ht="15" customHeight="1">
      <c r="A55" s="116"/>
      <c r="B55" s="117"/>
      <c r="C55" s="16"/>
      <c r="D55" s="16"/>
      <c r="E55" s="16"/>
      <c r="F55" s="16"/>
      <c r="G55" s="118"/>
      <c r="H55" s="117"/>
      <c r="I55" s="119"/>
      <c r="J55" s="16"/>
      <c r="K55" s="588"/>
      <c r="L55" s="696"/>
      <c r="M55" s="723"/>
      <c r="N55" s="16"/>
      <c r="O55" s="16"/>
      <c r="P55" s="16"/>
      <c r="Q55" s="16"/>
      <c r="W55" s="16"/>
      <c r="X55" s="16"/>
      <c r="Y55" s="16"/>
      <c r="Z55" s="16"/>
      <c r="AA55" s="16"/>
      <c r="AB55" s="16"/>
    </row>
    <row r="56" spans="1:30" ht="15.75" customHeight="1">
      <c r="A56" s="16"/>
      <c r="B56" s="117"/>
      <c r="C56" s="16"/>
      <c r="D56" s="16"/>
      <c r="E56" s="16"/>
      <c r="F56" s="16"/>
      <c r="G56" s="16"/>
      <c r="H56" s="117"/>
      <c r="I56" s="119"/>
      <c r="J56" s="16"/>
      <c r="K56" s="738"/>
      <c r="L56" s="696"/>
      <c r="M56" s="723"/>
      <c r="N56" s="16"/>
      <c r="O56" s="16"/>
      <c r="P56" s="16"/>
      <c r="Q56" s="16"/>
      <c r="W56" s="16"/>
      <c r="X56" s="16"/>
      <c r="Y56" s="16"/>
      <c r="Z56" s="16"/>
      <c r="AA56" s="16"/>
      <c r="AB56" s="16"/>
    </row>
    <row r="57" spans="1:30" ht="14.25" customHeight="1">
      <c r="A57" s="16"/>
      <c r="B57" s="117"/>
      <c r="C57" s="16"/>
      <c r="D57" s="16"/>
      <c r="E57" s="16"/>
      <c r="F57" s="16"/>
      <c r="H57" s="117"/>
      <c r="I57" s="119"/>
      <c r="J57" s="16"/>
      <c r="K57" s="738"/>
      <c r="L57" s="696"/>
      <c r="M57" s="723"/>
      <c r="N57" s="16"/>
      <c r="O57" s="16"/>
      <c r="P57" s="16"/>
      <c r="Q57" s="16"/>
      <c r="W57" s="16"/>
      <c r="X57" s="16"/>
      <c r="Y57" s="16"/>
      <c r="Z57" s="16"/>
      <c r="AA57" s="16"/>
      <c r="AB57" s="16"/>
    </row>
    <row r="58" spans="1:30" ht="15.75" customHeight="1">
      <c r="A58" s="116"/>
      <c r="B58" s="117"/>
      <c r="C58" s="16"/>
      <c r="D58" s="16"/>
      <c r="E58" s="16"/>
      <c r="F58" s="16"/>
      <c r="G58" s="16"/>
      <c r="H58" s="117"/>
      <c r="I58" s="119"/>
      <c r="J58" s="16"/>
      <c r="K58" s="738"/>
      <c r="L58" s="696"/>
      <c r="M58" s="723"/>
      <c r="N58" s="16"/>
      <c r="O58" s="16"/>
      <c r="P58" s="16"/>
      <c r="Q58" s="16"/>
      <c r="W58" s="16"/>
      <c r="X58" s="16"/>
      <c r="Y58" s="16"/>
      <c r="Z58" s="16"/>
      <c r="AA58" s="16"/>
      <c r="AB58" s="16"/>
    </row>
    <row r="59" spans="1:30" ht="15.75" customHeight="1">
      <c r="A59" s="116"/>
      <c r="B59" s="117"/>
      <c r="C59" s="16"/>
      <c r="D59" s="16"/>
      <c r="E59" s="16"/>
      <c r="F59" s="16"/>
      <c r="G59" s="16"/>
      <c r="H59" s="117"/>
      <c r="I59" s="119"/>
      <c r="J59" s="16"/>
      <c r="K59" s="738"/>
      <c r="L59" s="696"/>
      <c r="M59" s="723"/>
      <c r="N59" s="16"/>
      <c r="O59" s="16"/>
      <c r="P59" s="16"/>
      <c r="Q59" s="16"/>
      <c r="W59" s="16"/>
      <c r="X59" s="16"/>
      <c r="Y59" s="16"/>
      <c r="Z59" s="16"/>
      <c r="AA59" s="16"/>
      <c r="AB59" s="16"/>
    </row>
    <row r="60" spans="1:30" ht="15.75" customHeight="1">
      <c r="A60" s="116"/>
      <c r="B60" s="117"/>
      <c r="C60" s="16"/>
      <c r="D60" s="16"/>
      <c r="E60" s="16"/>
      <c r="F60" s="16"/>
      <c r="G60" s="117"/>
      <c r="H60" s="117"/>
      <c r="I60" s="119"/>
      <c r="J60" s="16"/>
      <c r="K60" s="738"/>
      <c r="L60" s="696"/>
      <c r="M60" s="723"/>
      <c r="N60" s="16"/>
      <c r="O60" s="16"/>
      <c r="P60" s="16"/>
      <c r="Q60" s="16"/>
      <c r="W60" s="16"/>
      <c r="X60" s="16"/>
      <c r="Y60" s="16"/>
      <c r="Z60" s="16"/>
      <c r="AA60" s="16"/>
      <c r="AB60" s="16"/>
    </row>
    <row r="61" spans="1:30" ht="15.75" customHeight="1">
      <c r="A61" s="116"/>
      <c r="B61" s="117"/>
      <c r="C61" s="16"/>
      <c r="D61" s="16"/>
      <c r="E61" s="16"/>
      <c r="F61" s="16"/>
      <c r="G61" s="117"/>
      <c r="H61" s="117"/>
      <c r="I61" s="119"/>
      <c r="J61" s="16"/>
      <c r="K61" s="738"/>
      <c r="L61" s="696"/>
      <c r="M61" s="723"/>
      <c r="N61" s="16"/>
      <c r="O61" s="16"/>
      <c r="P61" s="16"/>
      <c r="Q61" s="16"/>
      <c r="W61" s="16"/>
      <c r="X61" s="16"/>
      <c r="Y61" s="16"/>
      <c r="Z61" s="16"/>
      <c r="AA61" s="16"/>
      <c r="AB61" s="16"/>
    </row>
    <row r="62" spans="1:30" ht="15.75" customHeight="1">
      <c r="A62" s="116"/>
      <c r="B62" s="117"/>
      <c r="C62" s="106"/>
      <c r="D62" s="106"/>
      <c r="E62" s="106"/>
      <c r="F62" s="120"/>
      <c r="G62" s="117"/>
      <c r="H62" s="117"/>
      <c r="I62" s="119"/>
      <c r="J62" s="16"/>
      <c r="K62" s="738"/>
      <c r="L62" s="696"/>
      <c r="M62" s="723"/>
      <c r="N62" s="16"/>
      <c r="O62" s="16"/>
      <c r="P62" s="16"/>
      <c r="Q62" s="16"/>
      <c r="W62" s="16"/>
      <c r="X62" s="16"/>
      <c r="Y62" s="16"/>
      <c r="Z62" s="16"/>
      <c r="AA62" s="16"/>
      <c r="AB62" s="16"/>
    </row>
    <row r="63" spans="1:30" ht="15.75" customHeight="1">
      <c r="A63" s="116"/>
      <c r="B63" s="117"/>
      <c r="C63" s="106"/>
      <c r="D63" s="106"/>
      <c r="E63" s="106"/>
      <c r="F63" s="120"/>
      <c r="G63" s="117"/>
      <c r="H63" s="117"/>
      <c r="I63" s="119"/>
      <c r="J63" s="16"/>
      <c r="K63" s="738"/>
      <c r="L63" s="696"/>
      <c r="M63" s="723"/>
      <c r="N63" s="16"/>
      <c r="O63" s="16"/>
      <c r="P63" s="16"/>
      <c r="Q63" s="16"/>
      <c r="W63" s="16"/>
      <c r="X63" s="16"/>
      <c r="Y63" s="16"/>
      <c r="Z63" s="16"/>
      <c r="AA63" s="16"/>
      <c r="AB63" s="16"/>
    </row>
    <row r="64" spans="1:30" ht="15.75" customHeight="1">
      <c r="A64" s="16"/>
      <c r="B64" s="117"/>
      <c r="C64" s="51"/>
      <c r="D64" s="51"/>
      <c r="E64" s="106"/>
      <c r="F64" s="120"/>
      <c r="G64" s="16"/>
      <c r="H64" s="117"/>
      <c r="I64" s="119"/>
      <c r="J64" s="16"/>
      <c r="K64" s="738"/>
      <c r="L64" s="696"/>
      <c r="M64" s="723"/>
      <c r="N64" s="16"/>
      <c r="O64" s="16"/>
      <c r="P64" s="16"/>
      <c r="Q64" s="16"/>
      <c r="W64" s="16"/>
      <c r="X64" s="16"/>
      <c r="Y64" s="16"/>
      <c r="Z64" s="16"/>
      <c r="AA64" s="16"/>
      <c r="AB64" s="16"/>
    </row>
    <row r="65" spans="1:30" ht="15.75" customHeight="1">
      <c r="A65" s="16"/>
      <c r="B65" s="117"/>
      <c r="C65" s="51"/>
      <c r="D65" s="51"/>
      <c r="E65" s="106"/>
      <c r="F65" s="120"/>
      <c r="G65" s="16"/>
      <c r="H65" s="117"/>
      <c r="I65" s="119"/>
      <c r="J65" s="16"/>
      <c r="K65" s="738"/>
      <c r="L65" s="696"/>
      <c r="M65" s="723"/>
      <c r="N65" s="16"/>
      <c r="O65" s="16"/>
      <c r="P65" s="16"/>
      <c r="Q65" s="16"/>
      <c r="W65" s="16"/>
      <c r="X65" s="16"/>
      <c r="Y65" s="16"/>
      <c r="Z65" s="16"/>
      <c r="AA65" s="16"/>
      <c r="AB65" s="16"/>
    </row>
    <row r="66" spans="1:30" ht="15.75" customHeight="1">
      <c r="A66" s="16"/>
      <c r="B66" s="117"/>
      <c r="C66" s="51"/>
      <c r="D66" s="51"/>
      <c r="E66" s="106"/>
      <c r="F66" s="120"/>
      <c r="G66" s="16"/>
      <c r="H66" s="117"/>
      <c r="I66" s="119"/>
      <c r="J66" s="16"/>
      <c r="K66" s="738"/>
      <c r="L66" s="696"/>
      <c r="M66" s="723"/>
      <c r="N66" s="16"/>
      <c r="O66" s="16"/>
      <c r="P66" s="16"/>
      <c r="Q66" s="16"/>
      <c r="W66" s="16"/>
      <c r="X66" s="16"/>
      <c r="Y66" s="16"/>
      <c r="Z66" s="16"/>
      <c r="AA66" s="16"/>
      <c r="AB66" s="16"/>
    </row>
    <row r="67" spans="1:30" ht="15.75" customHeight="1">
      <c r="A67" s="121"/>
      <c r="B67" s="117"/>
      <c r="C67" s="182"/>
      <c r="D67" s="183"/>
      <c r="E67" s="184"/>
      <c r="F67" s="185"/>
      <c r="G67" s="112"/>
      <c r="H67" s="112"/>
      <c r="I67" s="122"/>
      <c r="J67" s="180"/>
      <c r="K67" s="739"/>
      <c r="L67" s="724"/>
      <c r="M67" s="725"/>
      <c r="N67" s="16"/>
      <c r="O67" s="16"/>
      <c r="P67" s="16"/>
      <c r="Q67" s="16"/>
      <c r="W67" s="16"/>
      <c r="X67" s="16"/>
      <c r="Y67" s="16"/>
      <c r="Z67" s="16"/>
      <c r="AA67" s="16"/>
      <c r="AB67" s="16"/>
    </row>
    <row r="68" spans="1:30" ht="15.75" customHeight="1">
      <c r="A68" s="16"/>
      <c r="B68" s="16"/>
      <c r="C68" s="16"/>
      <c r="D68" s="16"/>
      <c r="E68" s="16"/>
      <c r="F68" s="16"/>
      <c r="G68" s="16"/>
      <c r="H68" s="16"/>
      <c r="I68" s="16"/>
      <c r="J68" s="16"/>
      <c r="K68" s="16"/>
      <c r="L68" s="16"/>
      <c r="M68" s="16"/>
      <c r="N68" s="16"/>
      <c r="O68" s="16"/>
      <c r="P68" s="16"/>
      <c r="Q68" s="16"/>
      <c r="W68" s="16"/>
      <c r="X68" s="16"/>
      <c r="Y68" s="16"/>
      <c r="Z68" s="16"/>
      <c r="AA68" s="16"/>
      <c r="AB68" s="16"/>
      <c r="AC68" s="16"/>
      <c r="AD68" s="16"/>
    </row>
    <row r="69" spans="1:30" ht="15.75" customHeight="1">
      <c r="A69" s="186" t="s">
        <v>499</v>
      </c>
      <c r="B69" s="16"/>
      <c r="C69" s="16"/>
      <c r="D69" s="16"/>
      <c r="E69" s="16"/>
      <c r="F69" s="16"/>
      <c r="G69" s="16"/>
      <c r="H69" s="16"/>
      <c r="I69" s="123"/>
      <c r="J69" s="123"/>
      <c r="K69" s="123"/>
      <c r="L69" s="123"/>
      <c r="M69" s="16"/>
      <c r="N69" s="16"/>
      <c r="O69" s="16"/>
      <c r="P69" s="16"/>
      <c r="Q69" s="16"/>
      <c r="W69" s="16"/>
      <c r="X69" s="16"/>
      <c r="Y69" s="16"/>
      <c r="Z69" s="16"/>
      <c r="AA69" s="16"/>
      <c r="AB69" s="16"/>
      <c r="AC69" s="16"/>
      <c r="AD69" s="16"/>
    </row>
    <row r="70" spans="1:30" ht="15.75" customHeight="1">
      <c r="A70" s="124" t="s">
        <v>476</v>
      </c>
      <c r="B70" s="115" t="s">
        <v>500</v>
      </c>
      <c r="C70" s="115" t="s">
        <v>501</v>
      </c>
      <c r="D70" s="115" t="s">
        <v>502</v>
      </c>
      <c r="E70" s="115" t="s">
        <v>503</v>
      </c>
      <c r="F70" s="115" t="s">
        <v>504</v>
      </c>
      <c r="G70" s="115" t="s">
        <v>505</v>
      </c>
      <c r="H70" s="115" t="s">
        <v>506</v>
      </c>
      <c r="I70" s="15" t="s">
        <v>507</v>
      </c>
      <c r="J70" s="15" t="s">
        <v>508</v>
      </c>
      <c r="K70" s="691" t="s">
        <v>441</v>
      </c>
      <c r="L70" s="561"/>
      <c r="M70" s="561"/>
      <c r="N70" s="561"/>
      <c r="O70" s="570"/>
      <c r="P70" s="758" t="s">
        <v>434</v>
      </c>
      <c r="Q70" s="759"/>
      <c r="R70" s="16"/>
      <c r="S70" s="16"/>
      <c r="V70" s="16"/>
      <c r="W70" s="16"/>
      <c r="X70" s="16"/>
      <c r="Y70" s="16"/>
      <c r="Z70" s="16"/>
      <c r="AA70" s="16"/>
    </row>
    <row r="71" spans="1:30" ht="15.75" customHeight="1">
      <c r="A71" s="16"/>
      <c r="B71" s="16"/>
      <c r="C71" s="51"/>
      <c r="D71" s="106"/>
      <c r="E71" s="105"/>
      <c r="F71" s="128">
        <f>Leap!$D71*Leap!$E71</f>
        <v>0</v>
      </c>
      <c r="G71" s="105"/>
      <c r="H71" s="126" t="str">
        <f>IF($B71= "","-",IF($B71= "External","Specify location tariff", INDEX(Constants!$3:$3,MATCH($B71,Constants!$2:$2,0))))</f>
        <v>-</v>
      </c>
      <c r="I71" s="236" t="str">
        <f t="shared" ref="I71:I87" si="2">IF($H71="-","-",IF($H71="Specify location tariff","-",$H71*$F71))</f>
        <v>-</v>
      </c>
      <c r="J71" s="127"/>
      <c r="K71" s="686"/>
      <c r="L71" s="562"/>
      <c r="M71" s="562"/>
      <c r="N71" s="562"/>
      <c r="O71" s="687"/>
      <c r="P71" s="690" t="s">
        <v>511</v>
      </c>
      <c r="Q71" s="628"/>
      <c r="R71" s="16"/>
      <c r="S71" s="16"/>
      <c r="V71" s="16"/>
      <c r="W71" s="16"/>
      <c r="X71" s="16"/>
      <c r="Y71" s="16"/>
      <c r="Z71" s="16"/>
      <c r="AA71" s="16"/>
    </row>
    <row r="72" spans="1:30" ht="15.75" customHeight="1">
      <c r="A72" s="16"/>
      <c r="B72" s="16"/>
      <c r="C72" s="51"/>
      <c r="D72" s="106"/>
      <c r="E72" s="105"/>
      <c r="F72" s="128">
        <f>Leap!$D72*Leap!$E72</f>
        <v>0</v>
      </c>
      <c r="G72" s="105"/>
      <c r="H72" s="126" t="str">
        <f>IF($B72= "","-",IF($B72= "External","Specify location tariff", INDEX(Constants!$3:$3,MATCH($B72,Constants!$2:$2,0))))</f>
        <v>-</v>
      </c>
      <c r="I72" s="236" t="str">
        <f t="shared" si="2"/>
        <v>-</v>
      </c>
      <c r="J72" s="127"/>
      <c r="K72" s="686"/>
      <c r="L72" s="562"/>
      <c r="M72" s="562"/>
      <c r="N72" s="562"/>
      <c r="O72" s="687"/>
      <c r="P72" s="588"/>
      <c r="Q72" s="575"/>
      <c r="R72" s="16"/>
      <c r="S72" s="16"/>
      <c r="V72" s="16"/>
      <c r="W72" s="16"/>
      <c r="X72" s="16"/>
      <c r="Y72" s="16"/>
      <c r="Z72" s="16"/>
      <c r="AA72" s="16"/>
    </row>
    <row r="73" spans="1:30" ht="15.75" customHeight="1">
      <c r="A73" s="16"/>
      <c r="B73" s="16"/>
      <c r="C73" s="51"/>
      <c r="D73" s="106"/>
      <c r="E73" s="105"/>
      <c r="F73" s="128">
        <f>Leap!$D73*Leap!$E73</f>
        <v>0</v>
      </c>
      <c r="G73" s="105"/>
      <c r="H73" s="126" t="str">
        <f>IF($B73= "","-",IF($B73= "External","Specify location tariff", INDEX(Constants!$3:$3,MATCH($B73,Constants!$2:$2,0))))</f>
        <v>-</v>
      </c>
      <c r="I73" s="236" t="str">
        <f t="shared" si="2"/>
        <v>-</v>
      </c>
      <c r="J73" s="127"/>
      <c r="K73" s="686"/>
      <c r="L73" s="562"/>
      <c r="M73" s="562"/>
      <c r="N73" s="562"/>
      <c r="O73" s="687"/>
      <c r="P73" s="588"/>
      <c r="Q73" s="575"/>
      <c r="R73" s="16"/>
      <c r="S73" s="16"/>
      <c r="V73" s="16"/>
      <c r="W73" s="16"/>
      <c r="X73" s="16"/>
      <c r="Y73" s="16"/>
      <c r="Z73" s="16"/>
      <c r="AA73" s="16"/>
    </row>
    <row r="74" spans="1:30" ht="15.75" customHeight="1">
      <c r="A74" s="16"/>
      <c r="B74" s="16"/>
      <c r="C74" s="51"/>
      <c r="D74" s="106"/>
      <c r="E74" s="105"/>
      <c r="F74" s="128">
        <f>Leap!$D74*Leap!$E74</f>
        <v>0</v>
      </c>
      <c r="G74" s="105"/>
      <c r="H74" s="126" t="str">
        <f>IF($B74= "","-",IF($B74= "External","Specify location tariff", INDEX(Constants!$3:$3,MATCH($B74,Constants!$2:$2,0))))</f>
        <v>-</v>
      </c>
      <c r="I74" s="236" t="str">
        <f t="shared" si="2"/>
        <v>-</v>
      </c>
      <c r="J74" s="127"/>
      <c r="K74" s="686"/>
      <c r="L74" s="562"/>
      <c r="M74" s="562"/>
      <c r="N74" s="562"/>
      <c r="O74" s="687"/>
      <c r="P74" s="588"/>
      <c r="Q74" s="575"/>
      <c r="R74" s="16"/>
      <c r="S74" s="16"/>
      <c r="V74" s="16"/>
      <c r="W74" s="16"/>
      <c r="X74" s="16"/>
      <c r="Y74" s="16"/>
      <c r="Z74" s="16"/>
      <c r="AA74" s="16"/>
    </row>
    <row r="75" spans="1:30" ht="15.75" customHeight="1">
      <c r="A75" s="16"/>
      <c r="B75" s="16"/>
      <c r="C75" s="51"/>
      <c r="D75" s="106"/>
      <c r="E75" s="105"/>
      <c r="F75" s="128">
        <f>Leap!$D75*Leap!$E75</f>
        <v>0</v>
      </c>
      <c r="G75" s="105"/>
      <c r="H75" s="126" t="str">
        <f>IF($B75= "","-",IF($B75= "External","Specify location tariff", INDEX(Constants!$3:$3,MATCH($B75,Constants!$2:$2,0))))</f>
        <v>-</v>
      </c>
      <c r="I75" s="236" t="str">
        <f t="shared" si="2"/>
        <v>-</v>
      </c>
      <c r="J75" s="127"/>
      <c r="K75" s="686"/>
      <c r="L75" s="562"/>
      <c r="M75" s="562"/>
      <c r="N75" s="562"/>
      <c r="O75" s="687"/>
      <c r="P75" s="588"/>
      <c r="Q75" s="575"/>
      <c r="R75" s="16"/>
      <c r="S75" s="16"/>
      <c r="V75" s="16"/>
      <c r="W75" s="16"/>
      <c r="X75" s="16"/>
      <c r="Y75" s="16"/>
      <c r="Z75" s="16"/>
      <c r="AA75" s="16"/>
    </row>
    <row r="76" spans="1:30" ht="15.75" customHeight="1">
      <c r="A76" s="16"/>
      <c r="B76" s="16"/>
      <c r="C76" s="51"/>
      <c r="D76" s="106"/>
      <c r="E76" s="105"/>
      <c r="F76" s="128">
        <f>Leap!$D76*Leap!$E76</f>
        <v>0</v>
      </c>
      <c r="G76" s="105"/>
      <c r="H76" s="126" t="str">
        <f>IF($B76= "","-",IF($B76= "External","Specify location tariff", INDEX(Constants!$3:$3,MATCH($B76,Constants!$2:$2,0))))</f>
        <v>-</v>
      </c>
      <c r="I76" s="236" t="str">
        <f t="shared" si="2"/>
        <v>-</v>
      </c>
      <c r="J76" s="127"/>
      <c r="K76" s="686"/>
      <c r="L76" s="562"/>
      <c r="M76" s="562"/>
      <c r="N76" s="562"/>
      <c r="O76" s="687"/>
      <c r="P76" s="588"/>
      <c r="Q76" s="575"/>
      <c r="R76" s="16"/>
      <c r="S76" s="16"/>
      <c r="V76" s="16"/>
      <c r="W76" s="16"/>
      <c r="X76" s="16"/>
      <c r="Y76" s="16"/>
      <c r="Z76" s="16"/>
      <c r="AA76" s="16"/>
    </row>
    <row r="77" spans="1:30" ht="15.75" customHeight="1">
      <c r="A77" s="16"/>
      <c r="B77" s="16"/>
      <c r="C77" s="51"/>
      <c r="D77" s="106"/>
      <c r="E77" s="105"/>
      <c r="F77" s="128">
        <f>Leap!$D77*Leap!$E77</f>
        <v>0</v>
      </c>
      <c r="G77" s="105"/>
      <c r="H77" s="126" t="str">
        <f>IF($B77= "","-",IF($B77= "External","Specify location tariff", INDEX(Constants!$3:$3,MATCH($B77,Constants!$2:$2,0))))</f>
        <v>-</v>
      </c>
      <c r="I77" s="236" t="str">
        <f t="shared" si="2"/>
        <v>-</v>
      </c>
      <c r="J77" s="127"/>
      <c r="K77" s="686"/>
      <c r="L77" s="562"/>
      <c r="M77" s="562"/>
      <c r="N77" s="562"/>
      <c r="O77" s="687"/>
      <c r="P77" s="588"/>
      <c r="Q77" s="575"/>
      <c r="R77" s="16"/>
      <c r="S77" s="16"/>
      <c r="V77" s="16"/>
      <c r="W77" s="16"/>
      <c r="X77" s="16"/>
      <c r="Y77" s="16"/>
      <c r="Z77" s="16"/>
      <c r="AA77" s="16"/>
    </row>
    <row r="78" spans="1:30" ht="15.75" customHeight="1">
      <c r="A78" s="16"/>
      <c r="B78" s="16"/>
      <c r="C78" s="51"/>
      <c r="D78" s="106"/>
      <c r="E78" s="105"/>
      <c r="F78" s="128">
        <f>Leap!$D78*Leap!$E78</f>
        <v>0</v>
      </c>
      <c r="G78" s="105"/>
      <c r="H78" s="126" t="str">
        <f>IF($B78= "","-",IF($B78= "External","Specify location tariff", INDEX(Constants!$3:$3,MATCH($B78,Constants!$2:$2,0))))</f>
        <v>-</v>
      </c>
      <c r="I78" s="236" t="str">
        <f t="shared" si="2"/>
        <v>-</v>
      </c>
      <c r="J78" s="127"/>
      <c r="K78" s="686"/>
      <c r="L78" s="562"/>
      <c r="M78" s="562"/>
      <c r="N78" s="562"/>
      <c r="O78" s="687"/>
      <c r="P78" s="588"/>
      <c r="Q78" s="575"/>
      <c r="R78" s="16"/>
      <c r="S78" s="16"/>
      <c r="V78" s="16"/>
      <c r="W78" s="16"/>
      <c r="X78" s="16"/>
      <c r="Y78" s="16"/>
      <c r="Z78" s="16"/>
      <c r="AA78" s="16"/>
    </row>
    <row r="79" spans="1:30" ht="15.75" customHeight="1">
      <c r="A79" s="16"/>
      <c r="B79" s="16"/>
      <c r="C79" s="51"/>
      <c r="D79" s="106"/>
      <c r="E79" s="105"/>
      <c r="F79" s="128">
        <f>Leap!$D79*Leap!$E79</f>
        <v>0</v>
      </c>
      <c r="G79" s="105"/>
      <c r="H79" s="126" t="str">
        <f>IF($B79= "","-",IF($B79= "External","Specify location tariff", INDEX(Constants!$3:$3,MATCH($B79,Constants!$2:$2,0))))</f>
        <v>-</v>
      </c>
      <c r="I79" s="236" t="str">
        <f t="shared" si="2"/>
        <v>-</v>
      </c>
      <c r="J79" s="127"/>
      <c r="K79" s="686"/>
      <c r="L79" s="562"/>
      <c r="M79" s="562"/>
      <c r="N79" s="562"/>
      <c r="O79" s="687"/>
      <c r="P79" s="588"/>
      <c r="Q79" s="575"/>
      <c r="R79" s="16"/>
      <c r="S79" s="16"/>
      <c r="V79" s="16"/>
      <c r="W79" s="16"/>
      <c r="X79" s="16"/>
      <c r="Y79" s="16"/>
      <c r="Z79" s="16"/>
      <c r="AA79" s="16"/>
    </row>
    <row r="80" spans="1:30" ht="15.75" customHeight="1">
      <c r="A80" s="16"/>
      <c r="B80" s="16"/>
      <c r="C80" s="51"/>
      <c r="D80" s="106"/>
      <c r="E80" s="105"/>
      <c r="F80" s="128">
        <f>Leap!$D80*Leap!$E80</f>
        <v>0</v>
      </c>
      <c r="G80" s="105"/>
      <c r="H80" s="126" t="str">
        <f>IF($B80= "","-",IF($B80= "External","Specify location tariff", INDEX(Constants!$3:$3,MATCH($B80,Constants!$2:$2,0))))</f>
        <v>-</v>
      </c>
      <c r="I80" s="236" t="str">
        <f t="shared" si="2"/>
        <v>-</v>
      </c>
      <c r="J80" s="127"/>
      <c r="K80" s="686"/>
      <c r="L80" s="562"/>
      <c r="M80" s="562"/>
      <c r="N80" s="562"/>
      <c r="O80" s="687"/>
      <c r="P80" s="588"/>
      <c r="Q80" s="575"/>
      <c r="R80" s="16"/>
      <c r="S80" s="16"/>
      <c r="V80" s="16"/>
      <c r="W80" s="16"/>
      <c r="X80" s="16"/>
      <c r="Y80" s="16"/>
      <c r="Z80" s="16"/>
      <c r="AA80" s="16"/>
    </row>
    <row r="81" spans="1:30" ht="15.75" customHeight="1">
      <c r="A81" s="16"/>
      <c r="B81" s="16"/>
      <c r="C81" s="51"/>
      <c r="D81" s="106"/>
      <c r="E81" s="105"/>
      <c r="F81" s="128">
        <f>Leap!$D81*Leap!$E81</f>
        <v>0</v>
      </c>
      <c r="G81" s="105"/>
      <c r="H81" s="126" t="str">
        <f>IF($B81= "","-",IF($B81= "External","Specify location tariff", INDEX(Constants!$3:$3,MATCH($B81,Constants!$2:$2,0))))</f>
        <v>-</v>
      </c>
      <c r="I81" s="236" t="str">
        <f t="shared" si="2"/>
        <v>-</v>
      </c>
      <c r="J81" s="127"/>
      <c r="K81" s="686"/>
      <c r="L81" s="562"/>
      <c r="M81" s="562"/>
      <c r="N81" s="562"/>
      <c r="O81" s="687"/>
      <c r="P81" s="588"/>
      <c r="Q81" s="575"/>
      <c r="R81" s="16"/>
      <c r="S81" s="16"/>
      <c r="V81" s="16"/>
      <c r="W81" s="16"/>
      <c r="X81" s="16"/>
      <c r="Y81" s="16"/>
      <c r="Z81" s="16"/>
      <c r="AA81" s="16"/>
    </row>
    <row r="82" spans="1:30" ht="15.75" customHeight="1">
      <c r="A82" s="16"/>
      <c r="B82" s="16"/>
      <c r="C82" s="51"/>
      <c r="D82" s="106"/>
      <c r="E82" s="105"/>
      <c r="F82" s="128">
        <f>Leap!$D82*Leap!$E82</f>
        <v>0</v>
      </c>
      <c r="G82" s="105"/>
      <c r="H82" s="126" t="str">
        <f>IF($B82= "","-",IF($B82= "External","Specify location tariff", INDEX(Constants!$3:$3,MATCH($B82,Constants!$2:$2,0))))</f>
        <v>-</v>
      </c>
      <c r="I82" s="236" t="str">
        <f t="shared" si="2"/>
        <v>-</v>
      </c>
      <c r="J82" s="127"/>
      <c r="K82" s="686"/>
      <c r="L82" s="562"/>
      <c r="M82" s="562"/>
      <c r="N82" s="562"/>
      <c r="O82" s="687"/>
      <c r="P82" s="588"/>
      <c r="Q82" s="575"/>
      <c r="R82" s="16"/>
      <c r="S82" s="16"/>
      <c r="V82" s="16"/>
      <c r="W82" s="16"/>
      <c r="X82" s="16"/>
      <c r="Y82" s="16"/>
      <c r="Z82" s="16"/>
      <c r="AA82" s="16"/>
    </row>
    <row r="83" spans="1:30" ht="15.75" customHeight="1">
      <c r="A83" s="16"/>
      <c r="B83" s="16"/>
      <c r="C83" s="51"/>
      <c r="D83" s="106"/>
      <c r="E83" s="105"/>
      <c r="F83" s="128">
        <f>Leap!$D83*Leap!$E83</f>
        <v>0</v>
      </c>
      <c r="G83" s="105"/>
      <c r="H83" s="126" t="str">
        <f>IF($B83= "","-",IF($B83= "External","Specify location tariff", INDEX(Constants!$3:$3,MATCH($B83,Constants!$2:$2,0))))</f>
        <v>-</v>
      </c>
      <c r="I83" s="236" t="str">
        <f t="shared" si="2"/>
        <v>-</v>
      </c>
      <c r="J83" s="127"/>
      <c r="K83" s="686"/>
      <c r="L83" s="562"/>
      <c r="M83" s="562"/>
      <c r="N83" s="562"/>
      <c r="O83" s="687"/>
      <c r="P83" s="588"/>
      <c r="Q83" s="575"/>
      <c r="R83" s="16"/>
      <c r="S83" s="16"/>
      <c r="V83" s="16"/>
      <c r="W83" s="16"/>
      <c r="X83" s="16"/>
      <c r="Y83" s="16"/>
      <c r="Z83" s="16"/>
      <c r="AA83" s="16"/>
    </row>
    <row r="84" spans="1:30" ht="15.75" customHeight="1">
      <c r="A84" s="16"/>
      <c r="B84" s="16"/>
      <c r="C84" s="51"/>
      <c r="D84" s="106"/>
      <c r="E84" s="105"/>
      <c r="F84" s="128">
        <f>Leap!$D84*Leap!$E84</f>
        <v>0</v>
      </c>
      <c r="G84" s="105"/>
      <c r="H84" s="126" t="str">
        <f>IF($B84= "","-",IF($B84= "External","Specify location tariff", INDEX(Constants!$3:$3,MATCH($B84,Constants!$2:$2,0))))</f>
        <v>-</v>
      </c>
      <c r="I84" s="236" t="str">
        <f t="shared" si="2"/>
        <v>-</v>
      </c>
      <c r="J84" s="127"/>
      <c r="K84" s="686"/>
      <c r="L84" s="562"/>
      <c r="M84" s="562"/>
      <c r="N84" s="562"/>
      <c r="O84" s="687"/>
      <c r="P84" s="588"/>
      <c r="Q84" s="575"/>
      <c r="R84" s="16"/>
      <c r="S84" s="16"/>
      <c r="V84" s="16"/>
      <c r="W84" s="16"/>
      <c r="X84" s="16"/>
      <c r="Y84" s="16"/>
      <c r="Z84" s="16"/>
      <c r="AA84" s="16"/>
    </row>
    <row r="85" spans="1:30" ht="15.75" customHeight="1">
      <c r="A85" s="16"/>
      <c r="B85" s="16"/>
      <c r="C85" s="51"/>
      <c r="D85" s="106"/>
      <c r="E85" s="105"/>
      <c r="F85" s="128">
        <f>Leap!$D85*Leap!$E85</f>
        <v>0</v>
      </c>
      <c r="G85" s="105"/>
      <c r="H85" s="126" t="str">
        <f>IF($B85= "","-",IF($B85= "External","Specify location tariff", INDEX(Constants!$3:$3,MATCH($B85,Constants!$2:$2,0))))</f>
        <v>-</v>
      </c>
      <c r="I85" s="236" t="str">
        <f t="shared" si="2"/>
        <v>-</v>
      </c>
      <c r="J85" s="127"/>
      <c r="K85" s="686"/>
      <c r="L85" s="562"/>
      <c r="M85" s="562"/>
      <c r="N85" s="562"/>
      <c r="O85" s="687"/>
      <c r="P85" s="588"/>
      <c r="Q85" s="575"/>
      <c r="R85" s="16"/>
      <c r="S85" s="16"/>
      <c r="V85" s="16"/>
      <c r="W85" s="16"/>
      <c r="X85" s="16"/>
      <c r="Y85" s="16"/>
      <c r="Z85" s="16"/>
      <c r="AA85" s="16"/>
    </row>
    <row r="86" spans="1:30" ht="15.75" customHeight="1">
      <c r="A86" s="16"/>
      <c r="B86" s="16"/>
      <c r="C86" s="51"/>
      <c r="D86" s="106"/>
      <c r="E86" s="105"/>
      <c r="F86" s="128">
        <f>Leap!$D86*Leap!$E86</f>
        <v>0</v>
      </c>
      <c r="G86" s="105"/>
      <c r="H86" s="126" t="str">
        <f>IF($B86= "","-",IF($B86= "External","Specify location tariff", INDEX(Constants!$3:$3,MATCH($B86,Constants!$2:$2,0))))</f>
        <v>-</v>
      </c>
      <c r="I86" s="236" t="str">
        <f t="shared" si="2"/>
        <v>-</v>
      </c>
      <c r="J86" s="127"/>
      <c r="K86" s="686"/>
      <c r="L86" s="562"/>
      <c r="M86" s="562"/>
      <c r="N86" s="562"/>
      <c r="O86" s="687"/>
      <c r="P86" s="588"/>
      <c r="Q86" s="575"/>
      <c r="R86" s="16"/>
      <c r="S86" s="16"/>
      <c r="V86" s="16"/>
      <c r="W86" s="16"/>
      <c r="X86" s="16"/>
      <c r="Y86" s="16"/>
      <c r="Z86" s="16"/>
      <c r="AA86" s="16"/>
    </row>
    <row r="87" spans="1:30" ht="15.75" customHeight="1">
      <c r="A87" s="121"/>
      <c r="B87" s="16"/>
      <c r="C87" s="183"/>
      <c r="D87" s="184"/>
      <c r="E87" s="182"/>
      <c r="F87" s="181">
        <f>Leap!$D87*Leap!$E87</f>
        <v>0</v>
      </c>
      <c r="G87" s="182"/>
      <c r="H87" s="126" t="str">
        <f>IF($B87= "","-",IF($B87= "External","Specify location tariff", INDEX(Constants!$3:$3,MATCH($B87,Constants!$2:$2,0))))</f>
        <v>-</v>
      </c>
      <c r="I87" s="236" t="str">
        <f t="shared" si="2"/>
        <v>-</v>
      </c>
      <c r="J87" s="187"/>
      <c r="K87" s="688"/>
      <c r="L87" s="563"/>
      <c r="M87" s="563"/>
      <c r="N87" s="563"/>
      <c r="O87" s="689"/>
      <c r="P87" s="588"/>
      <c r="Q87" s="575"/>
      <c r="R87" s="16"/>
      <c r="S87" s="16"/>
      <c r="V87" s="16"/>
      <c r="W87" s="16"/>
      <c r="X87" s="16"/>
      <c r="Y87" s="16"/>
      <c r="Z87" s="16"/>
      <c r="AA87" s="16"/>
    </row>
    <row r="88" spans="1:30" ht="15.75" customHeight="1">
      <c r="A88" s="15"/>
      <c r="B88" s="16"/>
      <c r="C88" s="16"/>
      <c r="D88" s="16"/>
      <c r="E88" s="16"/>
      <c r="F88" s="16"/>
      <c r="G88" s="16"/>
      <c r="H88" s="16"/>
      <c r="I88" s="16"/>
      <c r="J88" s="16"/>
      <c r="K88" s="16"/>
      <c r="L88" s="16"/>
      <c r="M88" s="16"/>
      <c r="N88" s="16"/>
      <c r="O88" s="16">
        <v>0</v>
      </c>
      <c r="P88" s="16"/>
      <c r="Q88" s="16"/>
      <c r="R88" s="16"/>
      <c r="S88" s="16"/>
      <c r="T88" s="16"/>
      <c r="U88" s="16"/>
      <c r="V88" s="16"/>
      <c r="W88" s="16"/>
      <c r="X88" s="16"/>
      <c r="Y88" s="16"/>
      <c r="Z88" s="16"/>
      <c r="AA88" s="16"/>
      <c r="AB88" s="16"/>
      <c r="AC88" s="16"/>
      <c r="AD88" s="16"/>
    </row>
    <row r="89" spans="1:30" ht="15.75" customHeight="1">
      <c r="A89" s="15"/>
      <c r="B89" s="16"/>
      <c r="C89" s="16"/>
      <c r="D89" s="16"/>
      <c r="E89" s="16"/>
      <c r="F89" s="16"/>
      <c r="G89" s="16"/>
      <c r="H89" s="16"/>
      <c r="I89" s="16"/>
      <c r="J89" s="16"/>
      <c r="K89" s="16"/>
      <c r="L89" s="16"/>
      <c r="M89" s="16"/>
      <c r="N89" s="16"/>
      <c r="O89" s="16"/>
      <c r="P89" s="16"/>
      <c r="Q89" s="16"/>
      <c r="R89" s="16"/>
      <c r="S89" s="16"/>
      <c r="T89" s="16"/>
      <c r="U89" s="16"/>
      <c r="V89" s="16"/>
      <c r="W89" s="16"/>
      <c r="X89" s="16"/>
      <c r="Y89" s="16"/>
      <c r="Z89" s="16"/>
      <c r="AA89" s="16"/>
      <c r="AB89" s="16"/>
      <c r="AC89" s="16"/>
      <c r="AD89" s="16"/>
    </row>
    <row r="90" spans="1:30" ht="15.75" customHeight="1">
      <c r="A90" s="186" t="s">
        <v>519</v>
      </c>
      <c r="B90" s="16"/>
      <c r="C90" s="128"/>
      <c r="D90" s="51"/>
      <c r="E90" s="51"/>
      <c r="F90" s="51"/>
      <c r="G90" s="51"/>
      <c r="H90" s="51"/>
      <c r="I90" s="51"/>
      <c r="J90" s="51"/>
      <c r="K90" s="51"/>
      <c r="L90" s="129"/>
      <c r="M90" s="123"/>
      <c r="N90" s="16"/>
      <c r="O90" s="16"/>
      <c r="P90" s="16"/>
      <c r="Q90" s="16"/>
      <c r="R90" s="16"/>
      <c r="S90" s="16"/>
      <c r="T90" s="16"/>
      <c r="U90" s="16"/>
      <c r="V90" s="16"/>
      <c r="W90" s="16"/>
      <c r="X90" s="16"/>
      <c r="Y90" s="16"/>
      <c r="Z90" s="16"/>
      <c r="AA90" s="16"/>
      <c r="AB90" s="16"/>
      <c r="AC90" s="16"/>
      <c r="AD90" s="16"/>
    </row>
    <row r="91" spans="1:30" ht="15" customHeight="1">
      <c r="A91" s="15" t="s">
        <v>438</v>
      </c>
      <c r="B91" s="15" t="s">
        <v>439</v>
      </c>
      <c r="C91" s="15" t="s">
        <v>520</v>
      </c>
      <c r="D91" s="15" t="s">
        <v>521</v>
      </c>
      <c r="E91" s="15" t="s">
        <v>522</v>
      </c>
      <c r="F91" s="15" t="s">
        <v>523</v>
      </c>
      <c r="G91" s="15" t="s">
        <v>508</v>
      </c>
      <c r="H91" s="721" t="s">
        <v>441</v>
      </c>
      <c r="I91" s="728"/>
      <c r="J91" s="729" t="s">
        <v>434</v>
      </c>
      <c r="K91" s="730"/>
      <c r="L91" s="16"/>
      <c r="M91" s="16"/>
      <c r="N91" s="16"/>
      <c r="O91" s="16"/>
      <c r="P91" s="117"/>
      <c r="Q91" s="15"/>
      <c r="R91" s="16"/>
      <c r="S91" s="130"/>
      <c r="T91" s="16"/>
      <c r="U91" s="16"/>
      <c r="V91" s="16"/>
      <c r="W91" s="241"/>
      <c r="X91" s="16"/>
      <c r="Y91" s="16"/>
      <c r="Z91" s="16"/>
      <c r="AA91" s="16"/>
      <c r="AB91" s="16"/>
    </row>
    <row r="92" spans="1:30" ht="14.25" customHeight="1">
      <c r="A92" s="16"/>
      <c r="C92" s="134">
        <v>0</v>
      </c>
      <c r="D92" s="127"/>
      <c r="E92" s="105"/>
      <c r="F92" s="134">
        <f>IF(Table_617032812[[#This Row],[Item]]="",0,Table_617032812[[#This Row],[Amount]]*Table_617032812[[#This Row],[Purchase / Running costs]]/Table_617032812[[#This Row],[Depreciation period]])</f>
        <v>0</v>
      </c>
      <c r="G92" s="127"/>
      <c r="H92" s="558"/>
      <c r="I92" s="696"/>
      <c r="J92" s="559" t="s">
        <v>526</v>
      </c>
      <c r="K92" s="730"/>
      <c r="L92" s="16"/>
      <c r="M92" s="16"/>
      <c r="N92" s="16"/>
      <c r="O92" s="16"/>
      <c r="P92" s="16"/>
      <c r="Q92" s="133"/>
      <c r="R92" s="16"/>
      <c r="S92" s="16"/>
      <c r="T92" s="16"/>
      <c r="U92" s="16"/>
      <c r="V92" s="16"/>
      <c r="W92" s="16"/>
      <c r="X92" s="16"/>
      <c r="Y92" s="16"/>
      <c r="Z92" s="16"/>
      <c r="AA92" s="16"/>
      <c r="AB92" s="16"/>
    </row>
    <row r="93" spans="1:30" ht="15.75" customHeight="1">
      <c r="A93" s="16"/>
      <c r="C93" s="134">
        <v>0</v>
      </c>
      <c r="D93" s="127"/>
      <c r="E93" s="105"/>
      <c r="F93" s="134">
        <f>IF(Table_617032812[[#This Row],[Item]]="",0,Table_617032812[[#This Row],[Amount]]*Table_617032812[[#This Row],[Purchase / Running costs]]/Table_617032812[[#This Row],[Depreciation period]])</f>
        <v>0</v>
      </c>
      <c r="G93" s="127"/>
      <c r="H93" s="696"/>
      <c r="I93" s="696"/>
      <c r="J93" s="731"/>
      <c r="K93" s="732"/>
      <c r="L93" s="16"/>
      <c r="M93" s="16"/>
      <c r="N93" s="16"/>
      <c r="O93" s="16"/>
      <c r="P93" s="16"/>
      <c r="Q93" s="16"/>
      <c r="R93" s="16"/>
      <c r="S93" s="16"/>
      <c r="T93" s="16"/>
      <c r="U93" s="16"/>
      <c r="V93" s="16"/>
      <c r="W93" s="16"/>
      <c r="X93" s="16"/>
      <c r="Y93" s="16"/>
      <c r="Z93" s="16"/>
      <c r="AA93" s="16"/>
      <c r="AB93" s="16"/>
    </row>
    <row r="94" spans="1:30" ht="15.75" customHeight="1">
      <c r="A94" s="16"/>
      <c r="C94" s="134">
        <v>0</v>
      </c>
      <c r="D94" s="127"/>
      <c r="E94" s="105"/>
      <c r="F94" s="134">
        <f>IF(Table_617032812[[#This Row],[Item]]="",0,Table_617032812[[#This Row],[Amount]]*Table_617032812[[#This Row],[Purchase / Running costs]]/Table_617032812[[#This Row],[Depreciation period]])</f>
        <v>0</v>
      </c>
      <c r="G94" s="127"/>
      <c r="H94" s="696"/>
      <c r="I94" s="696"/>
      <c r="J94" s="731"/>
      <c r="K94" s="732"/>
      <c r="L94" s="16"/>
      <c r="M94" s="16"/>
      <c r="N94" s="16"/>
      <c r="O94" s="16"/>
      <c r="P94" s="16"/>
      <c r="Q94" s="16"/>
      <c r="R94" s="16"/>
      <c r="S94" s="16"/>
      <c r="T94" s="16"/>
      <c r="U94" s="16"/>
      <c r="V94" s="16"/>
      <c r="W94" s="16"/>
      <c r="X94" s="16"/>
      <c r="Y94" s="16"/>
      <c r="Z94" s="16"/>
      <c r="AA94" s="16"/>
      <c r="AB94" s="16"/>
    </row>
    <row r="95" spans="1:30" ht="15.75" customHeight="1">
      <c r="A95" s="16"/>
      <c r="C95" s="134">
        <v>0</v>
      </c>
      <c r="D95" s="127"/>
      <c r="E95" s="105"/>
      <c r="F95" s="134">
        <f>IF(Table_617032812[[#This Row],[Item]]="",0,Table_617032812[[#This Row],[Amount]]*Table_617032812[[#This Row],[Purchase / Running costs]]/Table_617032812[[#This Row],[Depreciation period]])</f>
        <v>0</v>
      </c>
      <c r="G95" s="127"/>
      <c r="H95" s="696"/>
      <c r="I95" s="696"/>
      <c r="J95" s="731"/>
      <c r="K95" s="732"/>
      <c r="L95" s="16"/>
      <c r="M95" s="16"/>
      <c r="N95" s="16"/>
      <c r="O95" s="16"/>
      <c r="P95" s="16"/>
      <c r="Q95" s="16"/>
      <c r="R95" s="16"/>
      <c r="S95" s="16"/>
      <c r="T95" s="16"/>
      <c r="U95" s="16"/>
      <c r="V95" s="16"/>
      <c r="W95" s="16"/>
      <c r="X95" s="16"/>
      <c r="Y95" s="16"/>
      <c r="Z95" s="16"/>
      <c r="AA95" s="16"/>
      <c r="AB95" s="16"/>
    </row>
    <row r="96" spans="1:30" ht="15.75" customHeight="1">
      <c r="A96" s="16"/>
      <c r="C96" s="134">
        <v>0</v>
      </c>
      <c r="D96" s="127"/>
      <c r="E96" s="105"/>
      <c r="F96" s="134">
        <f>IF(Table_617032812[[#This Row],[Item]]="",0,Table_617032812[[#This Row],[Amount]]*Table_617032812[[#This Row],[Purchase / Running costs]]/Table_617032812[[#This Row],[Depreciation period]])</f>
        <v>0</v>
      </c>
      <c r="G96" s="127"/>
      <c r="H96" s="696"/>
      <c r="I96" s="696"/>
      <c r="J96" s="731"/>
      <c r="K96" s="732"/>
      <c r="L96" s="16"/>
      <c r="M96" s="16"/>
      <c r="N96" s="16"/>
      <c r="O96" s="16"/>
      <c r="P96" s="16"/>
      <c r="Q96" s="16"/>
      <c r="R96" s="16"/>
      <c r="S96" s="16"/>
      <c r="T96" s="16"/>
      <c r="U96" s="16"/>
      <c r="V96" s="16"/>
      <c r="W96" s="16"/>
      <c r="X96" s="16"/>
      <c r="Y96" s="16"/>
      <c r="Z96" s="16"/>
      <c r="AA96" s="16"/>
      <c r="AB96" s="16"/>
    </row>
    <row r="97" spans="1:30" ht="15.75" customHeight="1">
      <c r="A97" s="16"/>
      <c r="C97" s="134">
        <v>0</v>
      </c>
      <c r="D97" s="127"/>
      <c r="E97" s="105"/>
      <c r="F97" s="134">
        <f>IF(Table_617032812[[#This Row],[Item]]="",0,Table_617032812[[#This Row],[Amount]]*Table_617032812[[#This Row],[Purchase / Running costs]]/Table_617032812[[#This Row],[Depreciation period]])</f>
        <v>0</v>
      </c>
      <c r="G97" s="127"/>
      <c r="H97" s="696"/>
      <c r="I97" s="696"/>
      <c r="J97" s="731"/>
      <c r="K97" s="732"/>
      <c r="L97" s="16"/>
      <c r="M97" s="16"/>
      <c r="N97" s="16"/>
      <c r="O97" s="16"/>
      <c r="P97" s="16"/>
      <c r="Q97" s="16"/>
      <c r="R97" s="16"/>
      <c r="S97" s="16"/>
      <c r="T97" s="16"/>
      <c r="U97" s="16"/>
      <c r="V97" s="16"/>
      <c r="W97" s="16"/>
      <c r="X97" s="16"/>
      <c r="Y97" s="16"/>
      <c r="Z97" s="16"/>
      <c r="AA97" s="16"/>
      <c r="AB97" s="16"/>
    </row>
    <row r="98" spans="1:30" ht="15.75" customHeight="1">
      <c r="A98" s="16"/>
      <c r="B98" s="131"/>
      <c r="C98" s="134">
        <v>0</v>
      </c>
      <c r="D98" s="127"/>
      <c r="E98" s="105"/>
      <c r="F98" s="134">
        <f>IF(Table_617032812[[#This Row],[Item]]="",0,Table_617032812[[#This Row],[Amount]]*Table_617032812[[#This Row],[Purchase / Running costs]]/Table_617032812[[#This Row],[Depreciation period]])</f>
        <v>0</v>
      </c>
      <c r="G98" s="127"/>
      <c r="H98" s="696"/>
      <c r="I98" s="696"/>
      <c r="J98" s="731"/>
      <c r="K98" s="732"/>
      <c r="L98" s="16"/>
      <c r="M98" s="16"/>
      <c r="N98" s="16"/>
      <c r="O98" s="16"/>
      <c r="P98" s="16"/>
      <c r="Q98" s="16"/>
      <c r="R98" s="16"/>
      <c r="S98" s="16"/>
      <c r="T98" s="16"/>
      <c r="U98" s="16"/>
      <c r="V98" s="16"/>
      <c r="W98" s="16"/>
      <c r="X98" s="16"/>
      <c r="Y98" s="16"/>
      <c r="Z98" s="16"/>
      <c r="AA98" s="16"/>
      <c r="AB98" s="16"/>
    </row>
    <row r="99" spans="1:30" ht="15.75" customHeight="1">
      <c r="A99" s="16"/>
      <c r="B99" s="131"/>
      <c r="C99" s="134">
        <v>0</v>
      </c>
      <c r="D99" s="127"/>
      <c r="E99" s="105"/>
      <c r="F99" s="134">
        <f>IF(Table_617032812[[#This Row],[Item]]="",0,Table_617032812[[#This Row],[Amount]]*Table_617032812[[#This Row],[Purchase / Running costs]]/Table_617032812[[#This Row],[Depreciation period]])</f>
        <v>0</v>
      </c>
      <c r="G99" s="127"/>
      <c r="H99" s="696"/>
      <c r="I99" s="696"/>
      <c r="J99" s="731"/>
      <c r="K99" s="732"/>
      <c r="L99" s="16"/>
      <c r="M99" s="16"/>
      <c r="N99" s="16"/>
      <c r="O99" s="16"/>
      <c r="P99" s="16"/>
      <c r="Q99" s="16"/>
      <c r="R99" s="16"/>
      <c r="S99" s="16"/>
      <c r="T99" s="16"/>
      <c r="U99" s="16"/>
      <c r="V99" s="16"/>
      <c r="W99" s="16"/>
      <c r="X99" s="16"/>
      <c r="Y99" s="16"/>
      <c r="Z99" s="16"/>
      <c r="AA99" s="16"/>
      <c r="AB99" s="16"/>
    </row>
    <row r="100" spans="1:30" ht="15.75" customHeight="1">
      <c r="A100" s="16"/>
      <c r="B100" s="131"/>
      <c r="C100" s="134">
        <v>0</v>
      </c>
      <c r="D100" s="127"/>
      <c r="E100" s="105"/>
      <c r="F100" s="134">
        <f>IF(Table_617032812[[#This Row],[Item]]="",0,Table_617032812[[#This Row],[Amount]]*Table_617032812[[#This Row],[Purchase / Running costs]]/Table_617032812[[#This Row],[Depreciation period]])</f>
        <v>0</v>
      </c>
      <c r="G100" s="127"/>
      <c r="H100" s="696"/>
      <c r="I100" s="696"/>
      <c r="J100" s="731"/>
      <c r="K100" s="732"/>
      <c r="L100" s="16"/>
      <c r="M100" s="16"/>
      <c r="N100" s="16"/>
      <c r="O100" s="16"/>
      <c r="P100" s="16"/>
      <c r="Q100" s="16"/>
      <c r="R100" s="16"/>
      <c r="S100" s="16"/>
      <c r="T100" s="16"/>
      <c r="U100" s="16"/>
      <c r="V100" s="16"/>
      <c r="W100" s="16"/>
      <c r="X100" s="16"/>
      <c r="Y100" s="16"/>
      <c r="Z100" s="16"/>
      <c r="AA100" s="16"/>
      <c r="AB100" s="16"/>
    </row>
    <row r="101" spans="1:30" ht="15.75" customHeight="1">
      <c r="A101" s="16"/>
      <c r="B101" s="131"/>
      <c r="C101" s="134">
        <v>0</v>
      </c>
      <c r="D101" s="127"/>
      <c r="E101" s="105"/>
      <c r="F101" s="134">
        <f>IF(Table_617032812[[#This Row],[Item]]="",0,Table_617032812[[#This Row],[Amount]]*Table_617032812[[#This Row],[Purchase / Running costs]]/Table_617032812[[#This Row],[Depreciation period]])</f>
        <v>0</v>
      </c>
      <c r="G101" s="127"/>
      <c r="H101" s="696"/>
      <c r="I101" s="696"/>
      <c r="J101" s="731"/>
      <c r="K101" s="732"/>
      <c r="L101" s="16"/>
      <c r="M101" s="16"/>
      <c r="N101" s="16"/>
      <c r="O101" s="16"/>
      <c r="P101" s="16"/>
      <c r="Q101" s="16"/>
      <c r="R101" s="16"/>
      <c r="S101" s="16"/>
      <c r="T101" s="16"/>
      <c r="U101" s="16"/>
      <c r="V101" s="16"/>
      <c r="W101" s="16"/>
      <c r="X101" s="16"/>
      <c r="Y101" s="16"/>
      <c r="Z101" s="16"/>
      <c r="AA101" s="16"/>
      <c r="AB101" s="16"/>
    </row>
    <row r="102" spans="1:30" ht="15.75" customHeight="1">
      <c r="A102" s="16"/>
      <c r="B102" s="131"/>
      <c r="C102" s="134">
        <v>0</v>
      </c>
      <c r="D102" s="127"/>
      <c r="E102" s="105"/>
      <c r="F102" s="134">
        <f>IF(Table_617032812[[#This Row],[Item]]="",0,Table_617032812[[#This Row],[Amount]]*Table_617032812[[#This Row],[Purchase / Running costs]]/Table_617032812[[#This Row],[Depreciation period]])</f>
        <v>0</v>
      </c>
      <c r="G102" s="127"/>
      <c r="H102" s="696"/>
      <c r="I102" s="696"/>
      <c r="J102" s="731"/>
      <c r="K102" s="732"/>
      <c r="L102" s="16"/>
      <c r="M102" s="16"/>
      <c r="N102" s="16"/>
      <c r="O102" s="16"/>
      <c r="P102" s="16"/>
      <c r="Q102" s="16"/>
      <c r="R102" s="16"/>
      <c r="S102" s="16"/>
      <c r="T102" s="16"/>
      <c r="U102" s="16"/>
      <c r="V102" s="16"/>
      <c r="W102" s="16"/>
      <c r="X102" s="16"/>
      <c r="Y102" s="16"/>
      <c r="Z102" s="16"/>
      <c r="AA102" s="16"/>
      <c r="AB102" s="16"/>
    </row>
    <row r="103" spans="1:30" ht="15.75" customHeight="1">
      <c r="A103" s="16"/>
      <c r="B103" s="131"/>
      <c r="C103" s="134">
        <v>0</v>
      </c>
      <c r="D103" s="127"/>
      <c r="E103" s="105"/>
      <c r="F103" s="134">
        <f>IF(Table_617032812[[#This Row],[Item]]="",0,Table_617032812[[#This Row],[Amount]]*Table_617032812[[#This Row],[Purchase / Running costs]]/Table_617032812[[#This Row],[Depreciation period]])</f>
        <v>0</v>
      </c>
      <c r="G103" s="127"/>
      <c r="H103" s="696"/>
      <c r="I103" s="696"/>
      <c r="J103" s="731"/>
      <c r="K103" s="732"/>
      <c r="L103" s="16"/>
      <c r="M103" s="16"/>
      <c r="N103" s="16"/>
      <c r="O103" s="16"/>
      <c r="P103" s="16"/>
      <c r="Q103" s="16"/>
      <c r="R103" s="16"/>
      <c r="S103" s="16"/>
      <c r="T103" s="16"/>
      <c r="U103" s="16"/>
      <c r="V103" s="16"/>
      <c r="W103" s="16"/>
      <c r="X103" s="16"/>
      <c r="Y103" s="16"/>
      <c r="Z103" s="16"/>
      <c r="AA103" s="16"/>
      <c r="AB103" s="16"/>
    </row>
    <row r="104" spans="1:30" ht="15.75" customHeight="1">
      <c r="A104" s="16"/>
      <c r="B104" s="131"/>
      <c r="C104" s="134">
        <v>0</v>
      </c>
      <c r="D104" s="127"/>
      <c r="E104" s="105"/>
      <c r="F104" s="134">
        <f>IF(Table_617032812[[#This Row],[Item]]="",0,Table_617032812[[#This Row],[Amount]]*Table_617032812[[#This Row],[Purchase / Running costs]]/Table_617032812[[#This Row],[Depreciation period]])</f>
        <v>0</v>
      </c>
      <c r="G104" s="127"/>
      <c r="H104" s="696"/>
      <c r="I104" s="696"/>
      <c r="J104" s="731"/>
      <c r="K104" s="732"/>
      <c r="L104" s="16"/>
      <c r="M104" s="16"/>
      <c r="N104" s="16"/>
      <c r="O104" s="16"/>
      <c r="P104" s="16"/>
      <c r="Q104" s="16"/>
      <c r="R104" s="16"/>
      <c r="S104" s="16"/>
      <c r="T104" s="16"/>
      <c r="U104" s="16"/>
      <c r="V104" s="16"/>
      <c r="W104" s="16"/>
      <c r="X104" s="16"/>
      <c r="Y104" s="16"/>
      <c r="Z104" s="16"/>
      <c r="AA104" s="16"/>
      <c r="AB104" s="16"/>
    </row>
    <row r="105" spans="1:30" ht="15.75" customHeight="1">
      <c r="A105" s="16"/>
      <c r="B105" s="131"/>
      <c r="C105" s="134">
        <v>0</v>
      </c>
      <c r="D105" s="127"/>
      <c r="E105" s="105"/>
      <c r="F105" s="134">
        <f>IF(Table_617032812[[#This Row],[Item]]="",0,Table_617032812[[#This Row],[Amount]]*Table_617032812[[#This Row],[Purchase / Running costs]]/Table_617032812[[#This Row],[Depreciation period]])</f>
        <v>0</v>
      </c>
      <c r="G105" s="127"/>
      <c r="H105" s="724"/>
      <c r="I105" s="724"/>
      <c r="J105" s="733"/>
      <c r="K105" s="734"/>
      <c r="L105" s="16"/>
      <c r="M105" s="16"/>
      <c r="N105" s="16"/>
      <c r="O105" s="16"/>
      <c r="P105" s="16"/>
      <c r="Q105" s="16"/>
      <c r="R105" s="16"/>
      <c r="S105" s="16"/>
      <c r="T105" s="16"/>
      <c r="U105" s="16"/>
      <c r="V105" s="16"/>
      <c r="W105" s="16"/>
      <c r="X105" s="16"/>
      <c r="Y105" s="16"/>
      <c r="Z105" s="16"/>
      <c r="AA105" s="16"/>
      <c r="AB105" s="16"/>
    </row>
    <row r="106" spans="1:30" ht="15.75" customHeight="1">
      <c r="A106" s="15"/>
      <c r="B106" s="131"/>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c r="AD106" s="16"/>
    </row>
    <row r="107" spans="1:30" ht="15.75" customHeight="1">
      <c r="A107" s="15"/>
      <c r="B107" s="131"/>
      <c r="C107" s="16"/>
      <c r="D107" s="16"/>
      <c r="E107" s="16"/>
      <c r="F107" s="16"/>
      <c r="G107" s="16"/>
      <c r="I107" s="16"/>
      <c r="J107" s="16"/>
      <c r="K107" s="16"/>
      <c r="L107" s="16"/>
      <c r="M107" s="16"/>
      <c r="N107" s="16"/>
      <c r="O107" s="16"/>
      <c r="P107" s="16"/>
      <c r="Q107" s="16"/>
      <c r="R107" s="16"/>
      <c r="S107" s="16"/>
      <c r="T107" s="16"/>
      <c r="U107" s="16"/>
      <c r="V107" s="16"/>
      <c r="W107" s="16"/>
      <c r="X107" s="16"/>
      <c r="Y107" s="16"/>
      <c r="Z107" s="16"/>
      <c r="AA107" s="16"/>
      <c r="AB107" s="16"/>
      <c r="AC107" s="16"/>
      <c r="AD107" s="16"/>
    </row>
    <row r="108" spans="1:30" ht="15.75" customHeight="1">
      <c r="H108" s="51"/>
      <c r="I108" s="51"/>
      <c r="J108" s="51"/>
      <c r="K108" s="51"/>
      <c r="L108" s="16"/>
      <c r="M108" s="16"/>
      <c r="N108" s="16"/>
      <c r="O108" s="16"/>
      <c r="P108" s="16"/>
      <c r="Q108" s="16"/>
      <c r="R108" s="16"/>
      <c r="S108" s="16"/>
      <c r="T108" s="16"/>
      <c r="U108" s="16"/>
      <c r="V108" s="16"/>
      <c r="W108" s="16"/>
      <c r="X108" s="16"/>
      <c r="Y108" s="16"/>
      <c r="Z108" s="16"/>
      <c r="AA108" s="16"/>
      <c r="AB108" s="16"/>
      <c r="AC108" s="16"/>
      <c r="AD108" s="16"/>
    </row>
    <row r="109" spans="1:30" ht="15.75" customHeight="1">
      <c r="L109" s="16"/>
      <c r="M109" s="16"/>
      <c r="N109" s="16"/>
      <c r="O109" s="16"/>
      <c r="P109" s="16"/>
      <c r="Q109" s="16"/>
      <c r="R109" s="16"/>
      <c r="S109" s="16"/>
      <c r="T109" s="16"/>
      <c r="U109" s="16"/>
      <c r="V109" s="16"/>
      <c r="W109" s="16"/>
      <c r="X109" s="16"/>
      <c r="Y109" s="16"/>
      <c r="Z109" s="16"/>
      <c r="AA109" s="16"/>
      <c r="AB109" s="16"/>
      <c r="AC109" s="16"/>
      <c r="AD109" s="16"/>
    </row>
    <row r="110" spans="1:30" ht="15.75" customHeight="1">
      <c r="L110" s="16"/>
      <c r="M110" s="16"/>
      <c r="N110" s="16"/>
      <c r="O110" s="16"/>
      <c r="P110" s="16"/>
      <c r="Q110" s="16"/>
      <c r="R110" s="16"/>
      <c r="S110" s="16"/>
      <c r="T110" s="16"/>
      <c r="U110" s="16"/>
      <c r="V110" s="16"/>
      <c r="W110" s="16"/>
      <c r="X110" s="16"/>
      <c r="Y110" s="16"/>
      <c r="Z110" s="16"/>
      <c r="AA110" s="16"/>
      <c r="AB110" s="16"/>
      <c r="AC110" s="16"/>
      <c r="AD110" s="16"/>
    </row>
    <row r="111" spans="1:30" ht="15.75" customHeight="1">
      <c r="L111" s="16"/>
      <c r="M111" s="16"/>
      <c r="N111" s="16"/>
      <c r="O111" s="16"/>
      <c r="P111" s="16"/>
      <c r="Q111" s="16"/>
      <c r="R111" s="16"/>
      <c r="S111" s="16"/>
      <c r="T111" s="16"/>
      <c r="U111" s="16"/>
      <c r="V111" s="16"/>
      <c r="W111" s="16"/>
      <c r="X111" s="16"/>
      <c r="Y111" s="16"/>
      <c r="Z111" s="16"/>
      <c r="AA111" s="16"/>
      <c r="AB111" s="16"/>
      <c r="AC111" s="16"/>
      <c r="AD111" s="16"/>
    </row>
    <row r="112" spans="1:30" ht="15.75" customHeight="1">
      <c r="L112" s="16"/>
      <c r="M112" s="16"/>
      <c r="N112" s="16"/>
      <c r="O112" s="16"/>
      <c r="P112" s="16"/>
      <c r="Q112" s="16"/>
      <c r="R112" s="16"/>
      <c r="S112" s="16"/>
      <c r="T112" s="16"/>
      <c r="U112" s="16"/>
      <c r="V112" s="16"/>
      <c r="W112" s="16"/>
      <c r="X112" s="16"/>
      <c r="Y112" s="16"/>
      <c r="Z112" s="16"/>
      <c r="AA112" s="16"/>
      <c r="AB112" s="16"/>
      <c r="AC112" s="16"/>
      <c r="AD112" s="16"/>
    </row>
    <row r="113" spans="1:30" ht="15.75" customHeight="1">
      <c r="L113" s="16"/>
      <c r="M113" s="16"/>
      <c r="N113" s="16"/>
      <c r="O113" s="16"/>
      <c r="P113" s="16"/>
      <c r="Q113" s="16"/>
      <c r="R113" s="16"/>
      <c r="S113" s="16"/>
      <c r="T113" s="16"/>
      <c r="U113" s="16"/>
      <c r="V113" s="16"/>
      <c r="W113" s="16"/>
      <c r="X113" s="16"/>
      <c r="Y113" s="16"/>
      <c r="Z113" s="16"/>
      <c r="AA113" s="16"/>
      <c r="AB113" s="16"/>
      <c r="AC113" s="16"/>
      <c r="AD113" s="16"/>
    </row>
    <row r="114" spans="1:30" ht="15.75" customHeight="1">
      <c r="L114" s="16"/>
      <c r="M114" s="16"/>
      <c r="N114" s="16"/>
      <c r="O114" s="16"/>
      <c r="P114" s="16"/>
      <c r="Q114" s="16"/>
      <c r="R114" s="16"/>
      <c r="S114" s="16"/>
      <c r="T114" s="16"/>
      <c r="U114" s="16"/>
      <c r="V114" s="16"/>
      <c r="W114" s="16"/>
      <c r="X114" s="16"/>
      <c r="Y114" s="16"/>
      <c r="Z114" s="16"/>
      <c r="AA114" s="16"/>
      <c r="AB114" s="16"/>
      <c r="AC114" s="16"/>
      <c r="AD114" s="16"/>
    </row>
    <row r="115" spans="1:30" ht="15.75" customHeight="1">
      <c r="L115" s="16"/>
      <c r="M115" s="16"/>
      <c r="N115" s="16"/>
      <c r="O115" s="16"/>
      <c r="P115" s="735"/>
      <c r="Q115" s="696"/>
      <c r="R115" s="696"/>
      <c r="S115" s="16"/>
      <c r="T115" s="16"/>
      <c r="U115" s="16"/>
      <c r="V115" s="16"/>
      <c r="W115" s="16"/>
      <c r="X115" s="16"/>
      <c r="Y115" s="16"/>
      <c r="Z115" s="16"/>
      <c r="AA115" s="16"/>
      <c r="AB115" s="16"/>
      <c r="AC115" s="16"/>
      <c r="AD115" s="16"/>
    </row>
    <row r="116" spans="1:30" ht="15.75" customHeight="1">
      <c r="L116" s="16"/>
      <c r="M116" s="16"/>
      <c r="N116" s="16"/>
      <c r="O116" s="16"/>
      <c r="P116" s="735"/>
      <c r="Q116" s="696"/>
      <c r="R116" s="696"/>
      <c r="S116" s="16"/>
      <c r="T116" s="16"/>
      <c r="U116" s="16"/>
      <c r="V116" s="16"/>
      <c r="W116" s="16"/>
      <c r="X116" s="16"/>
      <c r="Y116" s="16"/>
      <c r="Z116" s="16"/>
      <c r="AA116" s="16"/>
      <c r="AB116" s="16"/>
      <c r="AC116" s="16"/>
      <c r="AD116" s="16"/>
    </row>
    <row r="117" spans="1:30" ht="15.75" customHeight="1">
      <c r="L117" s="16"/>
      <c r="M117" s="16"/>
      <c r="N117" s="16"/>
      <c r="O117" s="16"/>
      <c r="P117" s="735"/>
      <c r="Q117" s="696"/>
      <c r="R117" s="696"/>
      <c r="S117" s="16"/>
      <c r="T117" s="16"/>
      <c r="U117" s="16"/>
      <c r="V117" s="16"/>
      <c r="W117" s="16"/>
      <c r="X117" s="16"/>
      <c r="Y117" s="16"/>
      <c r="Z117" s="16"/>
      <c r="AA117" s="16"/>
      <c r="AB117" s="16"/>
      <c r="AC117" s="16"/>
      <c r="AD117" s="16"/>
    </row>
    <row r="118" spans="1:30" ht="15.75" customHeight="1">
      <c r="L118" s="16"/>
      <c r="M118" s="16"/>
      <c r="N118" s="16"/>
      <c r="O118" s="16"/>
      <c r="P118" s="735"/>
      <c r="Q118" s="696"/>
      <c r="R118" s="696"/>
      <c r="S118" s="16"/>
      <c r="T118" s="16"/>
      <c r="U118" s="16"/>
      <c r="V118" s="16"/>
      <c r="W118" s="16"/>
      <c r="X118" s="16"/>
      <c r="Y118" s="16"/>
      <c r="Z118" s="16"/>
      <c r="AA118" s="16"/>
      <c r="AB118" s="16"/>
      <c r="AC118" s="16"/>
      <c r="AD118" s="16"/>
    </row>
    <row r="119" spans="1:30" ht="15.75" customHeight="1">
      <c r="L119" s="16"/>
      <c r="M119" s="16"/>
      <c r="N119" s="16"/>
      <c r="O119" s="16"/>
      <c r="P119" s="735"/>
      <c r="Q119" s="696"/>
      <c r="R119" s="696"/>
      <c r="S119" s="16"/>
      <c r="T119" s="16"/>
      <c r="U119" s="16"/>
      <c r="V119" s="16"/>
      <c r="W119" s="16"/>
      <c r="X119" s="16"/>
      <c r="Y119" s="16"/>
      <c r="Z119" s="16"/>
      <c r="AA119" s="16"/>
      <c r="AB119" s="16"/>
      <c r="AC119" s="16"/>
      <c r="AD119" s="16"/>
    </row>
    <row r="120" spans="1:30" ht="15.75" customHeight="1">
      <c r="L120" s="16"/>
      <c r="M120" s="16"/>
      <c r="N120" s="16"/>
      <c r="O120" s="16"/>
      <c r="P120" s="735"/>
      <c r="Q120" s="696"/>
      <c r="R120" s="696"/>
      <c r="S120" s="16"/>
      <c r="T120" s="16"/>
      <c r="U120" s="16"/>
      <c r="V120" s="16"/>
      <c r="W120" s="16"/>
      <c r="X120" s="16"/>
      <c r="Y120" s="16"/>
      <c r="Z120" s="16"/>
      <c r="AA120" s="16"/>
      <c r="AB120" s="16"/>
      <c r="AC120" s="16"/>
      <c r="AD120" s="16"/>
    </row>
    <row r="121" spans="1:30" ht="15.75" customHeight="1">
      <c r="H121" s="248"/>
      <c r="I121" s="248"/>
      <c r="J121" s="228"/>
      <c r="K121" s="228"/>
      <c r="L121" s="16"/>
      <c r="M121" s="16"/>
      <c r="N121" s="16"/>
      <c r="O121" s="16"/>
      <c r="P121" s="735"/>
      <c r="Q121" s="696"/>
      <c r="R121" s="696"/>
      <c r="S121" s="16"/>
      <c r="T121" s="16"/>
      <c r="U121" s="16"/>
      <c r="V121" s="16"/>
      <c r="W121" s="16"/>
      <c r="X121" s="16"/>
      <c r="Y121" s="16"/>
      <c r="Z121" s="16"/>
      <c r="AA121" s="16"/>
      <c r="AB121" s="16"/>
      <c r="AC121" s="16"/>
      <c r="AD121" s="16"/>
    </row>
    <row r="122" spans="1:30" ht="15.75" customHeight="1">
      <c r="H122" s="248"/>
      <c r="I122" s="248"/>
      <c r="J122" s="228"/>
      <c r="K122" s="228"/>
      <c r="L122" s="16"/>
      <c r="M122" s="16"/>
      <c r="N122" s="16"/>
      <c r="O122" s="16"/>
      <c r="P122" s="16"/>
      <c r="Q122" s="16"/>
      <c r="R122" s="16"/>
      <c r="S122" s="16"/>
      <c r="T122" s="16"/>
      <c r="U122" s="16"/>
      <c r="V122" s="16"/>
      <c r="W122" s="16"/>
      <c r="X122" s="16"/>
      <c r="Y122" s="16"/>
      <c r="Z122" s="16"/>
      <c r="AA122" s="16"/>
      <c r="AB122" s="16"/>
      <c r="AC122" s="16"/>
      <c r="AD122" s="16"/>
    </row>
    <row r="123" spans="1:30" ht="15.75" customHeight="1">
      <c r="H123" s="228"/>
      <c r="I123" s="228"/>
      <c r="J123" s="228"/>
      <c r="K123" s="228"/>
      <c r="L123" s="16"/>
      <c r="M123" s="735"/>
      <c r="N123" s="696"/>
      <c r="O123" s="696"/>
      <c r="P123" s="735"/>
      <c r="Q123" s="696"/>
      <c r="R123" s="696"/>
      <c r="S123" s="696"/>
      <c r="T123" s="696"/>
      <c r="U123" s="16"/>
      <c r="V123" s="16"/>
      <c r="W123" s="16"/>
      <c r="X123" s="16"/>
      <c r="Y123" s="16"/>
      <c r="Z123" s="16"/>
      <c r="AA123" s="16"/>
      <c r="AB123" s="16"/>
      <c r="AC123" s="16"/>
      <c r="AD123" s="16"/>
    </row>
    <row r="124" spans="1:30" ht="15.75" customHeight="1">
      <c r="H124" s="16"/>
      <c r="I124" s="16"/>
      <c r="J124" s="16"/>
      <c r="K124" s="16"/>
      <c r="L124" s="16"/>
      <c r="M124" s="735"/>
      <c r="N124" s="696"/>
      <c r="O124" s="696"/>
      <c r="P124" s="735"/>
      <c r="Q124" s="696"/>
      <c r="R124" s="696"/>
      <c r="S124" s="696"/>
      <c r="T124" s="696"/>
      <c r="U124" s="16"/>
      <c r="V124" s="16"/>
      <c r="W124" s="16"/>
      <c r="X124" s="16"/>
      <c r="Y124" s="16"/>
      <c r="Z124" s="16"/>
      <c r="AA124" s="16"/>
      <c r="AB124" s="16"/>
      <c r="AC124" s="16"/>
      <c r="AD124" s="16"/>
    </row>
    <row r="125" spans="1:30" ht="15.75" customHeight="1">
      <c r="A125" s="16"/>
      <c r="B125" s="16"/>
      <c r="C125" s="16"/>
      <c r="D125" s="16"/>
      <c r="E125" s="16"/>
      <c r="F125" s="16"/>
      <c r="G125" s="16"/>
      <c r="H125" s="16"/>
      <c r="I125" s="16"/>
      <c r="J125" s="16"/>
      <c r="K125" s="16"/>
      <c r="L125" s="16"/>
      <c r="M125" s="735"/>
      <c r="N125" s="696"/>
      <c r="O125" s="696"/>
      <c r="P125" s="696"/>
      <c r="Q125" s="696"/>
      <c r="R125" s="696"/>
      <c r="S125" s="696"/>
      <c r="T125" s="696"/>
      <c r="U125" s="16"/>
      <c r="V125" s="16"/>
      <c r="W125" s="16"/>
      <c r="X125" s="16"/>
      <c r="Y125" s="16"/>
      <c r="Z125" s="16"/>
      <c r="AA125" s="16"/>
      <c r="AB125" s="16"/>
      <c r="AC125" s="16"/>
      <c r="AD125" s="16"/>
    </row>
    <row r="126" spans="1:30" ht="15.75" customHeight="1">
      <c r="A126" s="16"/>
      <c r="B126" s="16"/>
      <c r="C126" s="16"/>
      <c r="D126" s="16"/>
      <c r="E126" s="16"/>
      <c r="F126" s="16"/>
      <c r="G126" s="16"/>
      <c r="H126" s="16"/>
      <c r="I126" s="16"/>
      <c r="J126" s="16"/>
      <c r="K126" s="16"/>
      <c r="L126" s="16"/>
      <c r="M126" s="735"/>
      <c r="N126" s="696"/>
      <c r="O126" s="696"/>
      <c r="P126" s="696"/>
      <c r="Q126" s="696"/>
      <c r="R126" s="696"/>
      <c r="S126" s="696"/>
      <c r="T126" s="696"/>
      <c r="U126" s="16"/>
      <c r="V126" s="16"/>
      <c r="W126" s="16"/>
      <c r="X126" s="16"/>
      <c r="Y126" s="16"/>
      <c r="Z126" s="16"/>
      <c r="AA126" s="16"/>
      <c r="AB126" s="16"/>
      <c r="AC126" s="16"/>
      <c r="AD126" s="16"/>
    </row>
    <row r="127" spans="1:30" ht="15.75" customHeight="1">
      <c r="A127" s="16"/>
      <c r="B127" s="16"/>
      <c r="C127" s="16"/>
      <c r="D127" s="16"/>
      <c r="E127" s="16"/>
      <c r="F127" s="16"/>
      <c r="G127" s="16"/>
      <c r="H127" s="16"/>
      <c r="I127" s="16"/>
      <c r="J127" s="16"/>
      <c r="K127" s="16"/>
      <c r="L127" s="16"/>
      <c r="M127" s="735"/>
      <c r="N127" s="696"/>
      <c r="O127" s="696"/>
      <c r="P127" s="696"/>
      <c r="Q127" s="696"/>
      <c r="R127" s="696"/>
      <c r="S127" s="696"/>
      <c r="T127" s="696"/>
      <c r="U127" s="16"/>
      <c r="V127" s="16"/>
      <c r="W127" s="16"/>
      <c r="X127" s="16"/>
      <c r="Y127" s="16"/>
      <c r="Z127" s="16"/>
      <c r="AA127" s="16"/>
      <c r="AB127" s="16"/>
      <c r="AC127" s="16"/>
      <c r="AD127" s="16"/>
    </row>
    <row r="128" spans="1:30" ht="15.75" customHeight="1">
      <c r="A128" s="16"/>
      <c r="B128" s="16"/>
      <c r="C128" s="16"/>
      <c r="D128" s="16"/>
      <c r="E128" s="16"/>
      <c r="F128" s="16"/>
      <c r="G128" s="16"/>
      <c r="H128" s="16"/>
      <c r="I128" s="16"/>
      <c r="J128" s="16"/>
      <c r="K128" s="16"/>
      <c r="L128" s="16"/>
      <c r="M128" s="735"/>
      <c r="N128" s="696"/>
      <c r="O128" s="696"/>
      <c r="P128" s="696"/>
      <c r="Q128" s="696"/>
      <c r="R128" s="696"/>
      <c r="S128" s="696"/>
      <c r="T128" s="696"/>
      <c r="U128" s="16"/>
      <c r="V128" s="16"/>
      <c r="W128" s="16"/>
      <c r="X128" s="16"/>
      <c r="Y128" s="16"/>
      <c r="Z128" s="16"/>
      <c r="AA128" s="16"/>
      <c r="AB128" s="16"/>
      <c r="AC128" s="16"/>
      <c r="AD128" s="16"/>
    </row>
    <row r="129" spans="1:30" ht="15.75" customHeight="1">
      <c r="A129" s="16"/>
      <c r="B129" s="16"/>
      <c r="C129" s="16"/>
      <c r="D129" s="16"/>
      <c r="E129" s="16"/>
      <c r="F129" s="16"/>
      <c r="G129" s="16"/>
      <c r="H129" s="16"/>
      <c r="I129" s="16"/>
      <c r="J129" s="16"/>
      <c r="K129" s="16"/>
      <c r="L129" s="16"/>
      <c r="M129" s="735"/>
      <c r="N129" s="696"/>
      <c r="O129" s="696"/>
      <c r="P129" s="696"/>
      <c r="Q129" s="696"/>
      <c r="R129" s="696"/>
      <c r="S129" s="696"/>
      <c r="T129" s="696"/>
      <c r="U129" s="16"/>
      <c r="V129" s="16"/>
      <c r="W129" s="16"/>
      <c r="X129" s="16"/>
      <c r="Y129" s="16"/>
      <c r="Z129" s="16"/>
      <c r="AA129" s="16"/>
      <c r="AB129" s="16"/>
      <c r="AC129" s="16"/>
      <c r="AD129" s="16"/>
    </row>
    <row r="130" spans="1:30" ht="15.75" customHeight="1">
      <c r="A130" s="16"/>
      <c r="B130" s="16"/>
      <c r="C130" s="16"/>
      <c r="D130" s="16"/>
      <c r="E130" s="16"/>
      <c r="F130" s="16"/>
      <c r="G130" s="16"/>
      <c r="H130" s="16"/>
      <c r="I130" s="16"/>
      <c r="J130" s="16"/>
      <c r="K130" s="16"/>
      <c r="L130" s="16"/>
      <c r="M130" s="735"/>
      <c r="N130" s="696"/>
      <c r="O130" s="696"/>
      <c r="P130" s="696"/>
      <c r="Q130" s="696"/>
      <c r="R130" s="696"/>
      <c r="S130" s="696"/>
      <c r="T130" s="696"/>
      <c r="U130" s="16"/>
      <c r="V130" s="16"/>
      <c r="W130" s="16"/>
      <c r="X130" s="16"/>
      <c r="Y130" s="16"/>
      <c r="Z130" s="16"/>
      <c r="AA130" s="16"/>
      <c r="AB130" s="16"/>
      <c r="AC130" s="16"/>
      <c r="AD130" s="16"/>
    </row>
    <row r="131" spans="1:30" ht="15.75" customHeight="1">
      <c r="A131" s="16"/>
      <c r="B131" s="16"/>
      <c r="C131" s="16"/>
      <c r="D131" s="16"/>
      <c r="E131" s="16"/>
      <c r="F131" s="16"/>
      <c r="G131" s="16"/>
      <c r="H131" s="16"/>
      <c r="I131" s="16"/>
      <c r="J131" s="16"/>
      <c r="K131" s="16"/>
      <c r="L131" s="16"/>
      <c r="M131" s="735"/>
      <c r="N131" s="696"/>
      <c r="O131" s="696"/>
      <c r="P131" s="696"/>
      <c r="Q131" s="696"/>
      <c r="R131" s="696"/>
      <c r="S131" s="696"/>
      <c r="T131" s="696"/>
      <c r="U131" s="16"/>
      <c r="V131" s="16"/>
      <c r="W131" s="16"/>
      <c r="X131" s="16"/>
      <c r="Y131" s="16"/>
      <c r="Z131" s="16"/>
      <c r="AA131" s="16"/>
      <c r="AB131" s="16"/>
      <c r="AC131" s="16"/>
      <c r="AD131" s="16"/>
    </row>
    <row r="132" spans="1:30" ht="15.75" customHeight="1">
      <c r="A132" s="16"/>
      <c r="B132" s="16"/>
      <c r="C132" s="16"/>
      <c r="D132" s="16"/>
      <c r="E132" s="16"/>
      <c r="F132" s="16"/>
      <c r="G132" s="16"/>
      <c r="H132" s="16"/>
      <c r="I132" s="16"/>
      <c r="J132" s="16"/>
      <c r="K132" s="16"/>
      <c r="L132" s="16"/>
      <c r="M132" s="735"/>
      <c r="N132" s="696"/>
      <c r="O132" s="696"/>
      <c r="P132" s="696"/>
      <c r="Q132" s="696"/>
      <c r="R132" s="696"/>
      <c r="S132" s="696"/>
      <c r="T132" s="696"/>
      <c r="U132" s="16"/>
      <c r="V132" s="16"/>
      <c r="W132" s="16"/>
      <c r="X132" s="16"/>
      <c r="Y132" s="16"/>
      <c r="Z132" s="16"/>
      <c r="AA132" s="16"/>
      <c r="AB132" s="16"/>
      <c r="AC132" s="16"/>
      <c r="AD132" s="16"/>
    </row>
    <row r="133" spans="1:30" ht="15.75" customHeight="1">
      <c r="A133" s="16"/>
      <c r="B133" s="16"/>
      <c r="C133" s="16"/>
      <c r="D133" s="16"/>
      <c r="E133" s="16"/>
      <c r="F133" s="16"/>
      <c r="G133" s="16"/>
      <c r="H133" s="16"/>
      <c r="I133" s="16"/>
      <c r="J133" s="16"/>
      <c r="K133" s="16"/>
      <c r="L133" s="16"/>
      <c r="M133" s="735"/>
      <c r="N133" s="696"/>
      <c r="O133" s="696"/>
      <c r="P133" s="696"/>
      <c r="Q133" s="696"/>
      <c r="R133" s="696"/>
      <c r="S133" s="696"/>
      <c r="T133" s="696"/>
      <c r="U133" s="16"/>
      <c r="V133" s="16"/>
      <c r="W133" s="16"/>
      <c r="X133" s="16"/>
      <c r="Y133" s="16"/>
      <c r="Z133" s="16"/>
      <c r="AA133" s="16"/>
      <c r="AB133" s="16"/>
      <c r="AC133" s="16"/>
      <c r="AD133" s="16"/>
    </row>
    <row r="134" spans="1:30" ht="15.75" customHeight="1">
      <c r="A134" s="16"/>
      <c r="B134" s="16"/>
      <c r="C134" s="16"/>
      <c r="D134" s="16"/>
      <c r="E134" s="16"/>
      <c r="F134" s="16"/>
      <c r="G134" s="16"/>
      <c r="H134" s="16"/>
      <c r="I134" s="16"/>
      <c r="J134" s="16"/>
      <c r="K134" s="16"/>
      <c r="L134" s="16"/>
      <c r="M134" s="735"/>
      <c r="N134" s="696"/>
      <c r="O134" s="696"/>
      <c r="P134" s="696"/>
      <c r="Q134" s="696"/>
      <c r="R134" s="696"/>
      <c r="S134" s="696"/>
      <c r="T134" s="696"/>
      <c r="U134" s="16"/>
      <c r="V134" s="16"/>
      <c r="W134" s="16"/>
      <c r="X134" s="16"/>
      <c r="Y134" s="16"/>
      <c r="Z134" s="16"/>
      <c r="AA134" s="16"/>
      <c r="AB134" s="16"/>
      <c r="AC134" s="16"/>
      <c r="AD134" s="16"/>
    </row>
    <row r="135" spans="1:30" ht="15.75" customHeight="1">
      <c r="A135" s="16"/>
      <c r="B135" s="16"/>
      <c r="C135" s="16"/>
      <c r="D135" s="16"/>
      <c r="E135" s="16"/>
      <c r="F135" s="16"/>
      <c r="G135" s="16"/>
      <c r="H135" s="16"/>
      <c r="I135" s="16"/>
      <c r="J135" s="16"/>
      <c r="K135" s="16"/>
      <c r="L135" s="16"/>
      <c r="M135" s="735"/>
      <c r="N135" s="696"/>
      <c r="O135" s="696"/>
      <c r="P135" s="696"/>
      <c r="Q135" s="696"/>
      <c r="R135" s="696"/>
      <c r="S135" s="696"/>
      <c r="T135" s="696"/>
      <c r="U135" s="16"/>
      <c r="V135" s="16"/>
      <c r="W135" s="16"/>
      <c r="X135" s="16"/>
      <c r="Y135" s="16"/>
      <c r="Z135" s="16"/>
      <c r="AA135" s="16"/>
      <c r="AB135" s="16"/>
      <c r="AC135" s="16"/>
      <c r="AD135" s="16"/>
    </row>
    <row r="136" spans="1:30" ht="15.75" customHeight="1">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c r="AA136" s="16"/>
      <c r="AB136" s="16"/>
      <c r="AC136" s="16"/>
      <c r="AD136" s="16"/>
    </row>
    <row r="137" spans="1:30" ht="15.75" customHeight="1">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c r="AA137" s="16"/>
      <c r="AB137" s="16"/>
      <c r="AC137" s="16"/>
      <c r="AD137" s="16"/>
    </row>
    <row r="138" spans="1:30" ht="15.75" customHeight="1">
      <c r="A138" s="16"/>
      <c r="B138" s="16"/>
      <c r="C138" s="16"/>
      <c r="D138" s="16"/>
      <c r="E138" s="16"/>
      <c r="F138" s="16"/>
      <c r="G138" s="16"/>
      <c r="H138" s="16"/>
      <c r="I138" s="16"/>
      <c r="J138" s="16"/>
      <c r="K138" s="16"/>
      <c r="L138" s="16"/>
      <c r="M138" s="735"/>
      <c r="N138" s="696"/>
      <c r="O138" s="696"/>
      <c r="P138" s="735"/>
      <c r="Q138" s="696"/>
      <c r="R138" s="696"/>
      <c r="S138" s="696"/>
      <c r="T138" s="696"/>
      <c r="U138" s="16"/>
      <c r="V138" s="16"/>
      <c r="W138" s="16"/>
      <c r="X138" s="16"/>
      <c r="Y138" s="16"/>
      <c r="Z138" s="16"/>
      <c r="AA138" s="16"/>
      <c r="AB138" s="16"/>
      <c r="AC138" s="16"/>
      <c r="AD138" s="16"/>
    </row>
    <row r="139" spans="1:30" ht="15.75" customHeight="1">
      <c r="A139" s="16"/>
      <c r="B139" s="16"/>
      <c r="C139" s="16"/>
      <c r="D139" s="16"/>
      <c r="E139" s="16"/>
      <c r="F139" s="16"/>
      <c r="G139" s="16"/>
      <c r="H139" s="16"/>
      <c r="I139" s="16"/>
      <c r="J139" s="16"/>
      <c r="K139" s="16"/>
      <c r="L139" s="16"/>
      <c r="M139" s="735"/>
      <c r="N139" s="696"/>
      <c r="O139" s="696"/>
      <c r="P139" s="735"/>
      <c r="Q139" s="696"/>
      <c r="R139" s="696"/>
      <c r="S139" s="696"/>
      <c r="T139" s="696"/>
      <c r="U139" s="16"/>
      <c r="V139" s="16"/>
      <c r="W139" s="16"/>
      <c r="X139" s="16"/>
      <c r="Y139" s="16"/>
      <c r="Z139" s="16"/>
      <c r="AA139" s="16"/>
      <c r="AB139" s="16"/>
      <c r="AC139" s="16"/>
      <c r="AD139" s="16"/>
    </row>
    <row r="140" spans="1:30" ht="15.75" customHeight="1">
      <c r="A140" s="16"/>
      <c r="B140" s="16"/>
      <c r="C140" s="16"/>
      <c r="D140" s="16"/>
      <c r="E140" s="16"/>
      <c r="F140" s="16"/>
      <c r="G140" s="16"/>
      <c r="H140" s="16"/>
      <c r="I140" s="16"/>
      <c r="J140" s="16"/>
      <c r="K140" s="16"/>
      <c r="L140" s="16"/>
      <c r="M140" s="735"/>
      <c r="N140" s="696"/>
      <c r="O140" s="696"/>
      <c r="P140" s="696"/>
      <c r="Q140" s="696"/>
      <c r="R140" s="696"/>
      <c r="S140" s="696"/>
      <c r="T140" s="696"/>
      <c r="U140" s="16"/>
      <c r="V140" s="16"/>
      <c r="W140" s="16"/>
      <c r="X140" s="16"/>
      <c r="Y140" s="16"/>
      <c r="Z140" s="16"/>
      <c r="AA140" s="16"/>
      <c r="AB140" s="16"/>
      <c r="AC140" s="16"/>
      <c r="AD140" s="16"/>
    </row>
    <row r="141" spans="1:30" ht="15.75" customHeight="1">
      <c r="A141" s="16"/>
      <c r="B141" s="16"/>
      <c r="C141" s="16"/>
      <c r="D141" s="16"/>
      <c r="E141" s="16"/>
      <c r="F141" s="16"/>
      <c r="G141" s="16"/>
      <c r="H141" s="16"/>
      <c r="I141" s="16"/>
      <c r="J141" s="16"/>
      <c r="K141" s="16"/>
      <c r="L141" s="16"/>
      <c r="M141" s="735"/>
      <c r="N141" s="696"/>
      <c r="O141" s="696"/>
      <c r="P141" s="696"/>
      <c r="Q141" s="696"/>
      <c r="R141" s="696"/>
      <c r="S141" s="696"/>
      <c r="T141" s="696"/>
      <c r="U141" s="16"/>
      <c r="V141" s="16"/>
      <c r="W141" s="16"/>
      <c r="X141" s="16"/>
      <c r="Y141" s="16"/>
      <c r="Z141" s="16"/>
      <c r="AA141" s="16"/>
      <c r="AB141" s="16"/>
      <c r="AC141" s="16"/>
      <c r="AD141" s="16"/>
    </row>
    <row r="142" spans="1:30" ht="15.75" customHeight="1">
      <c r="A142" s="16"/>
      <c r="B142" s="16"/>
      <c r="C142" s="16"/>
      <c r="D142" s="16"/>
      <c r="E142" s="16"/>
      <c r="F142" s="16"/>
      <c r="G142" s="16"/>
      <c r="H142" s="16"/>
      <c r="I142" s="16"/>
      <c r="J142" s="16"/>
      <c r="K142" s="16"/>
      <c r="L142" s="16"/>
      <c r="M142" s="735"/>
      <c r="N142" s="696"/>
      <c r="O142" s="696"/>
      <c r="P142" s="696"/>
      <c r="Q142" s="696"/>
      <c r="R142" s="696"/>
      <c r="S142" s="696"/>
      <c r="T142" s="696"/>
      <c r="U142" s="16"/>
      <c r="V142" s="16"/>
      <c r="W142" s="16"/>
      <c r="X142" s="16"/>
      <c r="Y142" s="16"/>
      <c r="Z142" s="16"/>
      <c r="AA142" s="16"/>
      <c r="AB142" s="16"/>
      <c r="AC142" s="16"/>
      <c r="AD142" s="16"/>
    </row>
    <row r="143" spans="1:30" ht="15.75" customHeight="1">
      <c r="A143" s="16"/>
      <c r="B143" s="16"/>
      <c r="C143" s="16"/>
      <c r="D143" s="16"/>
      <c r="E143" s="16"/>
      <c r="F143" s="16"/>
      <c r="G143" s="16"/>
      <c r="H143" s="16"/>
      <c r="I143" s="16"/>
      <c r="J143" s="16"/>
      <c r="K143" s="16"/>
      <c r="L143" s="16"/>
      <c r="M143" s="735"/>
      <c r="N143" s="696"/>
      <c r="O143" s="696"/>
      <c r="P143" s="696"/>
      <c r="Q143" s="696"/>
      <c r="R143" s="696"/>
      <c r="S143" s="696"/>
      <c r="T143" s="696"/>
      <c r="U143" s="16"/>
      <c r="V143" s="16"/>
      <c r="W143" s="16"/>
      <c r="X143" s="16"/>
      <c r="Y143" s="16"/>
      <c r="Z143" s="16"/>
      <c r="AA143" s="16"/>
      <c r="AB143" s="16"/>
      <c r="AC143" s="16"/>
      <c r="AD143" s="16"/>
    </row>
    <row r="144" spans="1:30" ht="15.75" customHeight="1">
      <c r="A144" s="16"/>
      <c r="B144" s="16"/>
      <c r="C144" s="16"/>
      <c r="D144" s="16"/>
      <c r="E144" s="16"/>
      <c r="F144" s="16"/>
      <c r="G144" s="16"/>
      <c r="H144" s="16"/>
      <c r="I144" s="16"/>
      <c r="J144" s="16"/>
      <c r="K144" s="16"/>
      <c r="L144" s="16"/>
      <c r="M144" s="735"/>
      <c r="N144" s="696"/>
      <c r="O144" s="696"/>
      <c r="P144" s="696"/>
      <c r="Q144" s="696"/>
      <c r="R144" s="696"/>
      <c r="S144" s="696"/>
      <c r="T144" s="696"/>
      <c r="U144" s="16"/>
      <c r="V144" s="16"/>
      <c r="W144" s="16"/>
      <c r="X144" s="16"/>
      <c r="Y144" s="16"/>
      <c r="Z144" s="16"/>
      <c r="AA144" s="16"/>
      <c r="AB144" s="16"/>
      <c r="AC144" s="16"/>
      <c r="AD144" s="16"/>
    </row>
    <row r="145" spans="1:30" ht="15.75" customHeight="1">
      <c r="A145" s="16"/>
      <c r="B145" s="16"/>
      <c r="C145" s="16"/>
      <c r="D145" s="16"/>
      <c r="E145" s="16"/>
      <c r="F145" s="16"/>
      <c r="G145" s="16"/>
      <c r="H145" s="16"/>
      <c r="I145" s="16"/>
      <c r="J145" s="16"/>
      <c r="K145" s="16"/>
      <c r="L145" s="16"/>
      <c r="M145" s="735"/>
      <c r="N145" s="696"/>
      <c r="O145" s="696"/>
      <c r="P145" s="696"/>
      <c r="Q145" s="696"/>
      <c r="R145" s="696"/>
      <c r="S145" s="696"/>
      <c r="T145" s="696"/>
      <c r="U145" s="16"/>
      <c r="V145" s="16"/>
      <c r="W145" s="16"/>
      <c r="X145" s="16"/>
      <c r="Y145" s="16"/>
      <c r="Z145" s="16"/>
      <c r="AA145" s="16"/>
      <c r="AB145" s="16"/>
      <c r="AC145" s="16"/>
      <c r="AD145" s="16"/>
    </row>
    <row r="146" spans="1:30" ht="15.75" customHeight="1">
      <c r="A146" s="16"/>
      <c r="B146" s="16"/>
      <c r="C146" s="16"/>
      <c r="D146" s="16"/>
      <c r="E146" s="16"/>
      <c r="F146" s="16"/>
      <c r="G146" s="16"/>
      <c r="H146" s="16"/>
      <c r="I146" s="16"/>
      <c r="J146" s="16"/>
      <c r="K146" s="16"/>
      <c r="L146" s="16"/>
      <c r="M146" s="735"/>
      <c r="N146" s="696"/>
      <c r="O146" s="696"/>
      <c r="P146" s="696"/>
      <c r="Q146" s="696"/>
      <c r="R146" s="696"/>
      <c r="S146" s="696"/>
      <c r="T146" s="696"/>
      <c r="U146" s="16"/>
      <c r="V146" s="16"/>
      <c r="W146" s="16"/>
      <c r="X146" s="16"/>
      <c r="Y146" s="16"/>
      <c r="Z146" s="16"/>
      <c r="AA146" s="16"/>
      <c r="AB146" s="16"/>
      <c r="AC146" s="16"/>
      <c r="AD146" s="16"/>
    </row>
    <row r="147" spans="1:30" ht="15.75" customHeight="1">
      <c r="A147" s="16"/>
      <c r="B147" s="16"/>
      <c r="C147" s="16"/>
      <c r="D147" s="16"/>
      <c r="E147" s="16"/>
      <c r="F147" s="16"/>
      <c r="G147" s="16"/>
      <c r="H147" s="16"/>
      <c r="I147" s="16"/>
      <c r="J147" s="16"/>
      <c r="K147" s="16"/>
      <c r="L147" s="16"/>
      <c r="M147" s="735"/>
      <c r="N147" s="696"/>
      <c r="O147" s="696"/>
      <c r="P147" s="696"/>
      <c r="Q147" s="696"/>
      <c r="R147" s="696"/>
      <c r="S147" s="696"/>
      <c r="T147" s="696"/>
      <c r="U147" s="16"/>
      <c r="V147" s="16"/>
      <c r="W147" s="16"/>
      <c r="X147" s="16"/>
      <c r="Y147" s="16"/>
      <c r="Z147" s="16"/>
      <c r="AA147" s="16"/>
      <c r="AB147" s="16"/>
      <c r="AC147" s="16"/>
      <c r="AD147" s="16"/>
    </row>
    <row r="148" spans="1:30" ht="15.75" customHeight="1">
      <c r="A148" s="16"/>
      <c r="B148" s="16"/>
      <c r="C148" s="16"/>
      <c r="D148" s="16"/>
      <c r="E148" s="16"/>
      <c r="F148" s="16"/>
      <c r="G148" s="16"/>
      <c r="H148" s="16"/>
      <c r="I148" s="16"/>
      <c r="J148" s="16"/>
      <c r="K148" s="16"/>
      <c r="L148" s="16"/>
      <c r="M148" s="735"/>
      <c r="N148" s="696"/>
      <c r="O148" s="696"/>
      <c r="P148" s="696"/>
      <c r="Q148" s="696"/>
      <c r="R148" s="696"/>
      <c r="S148" s="696"/>
      <c r="T148" s="696"/>
      <c r="U148" s="16"/>
      <c r="V148" s="16"/>
      <c r="W148" s="16"/>
      <c r="X148" s="16"/>
      <c r="Y148" s="16"/>
      <c r="Z148" s="16"/>
      <c r="AA148" s="16"/>
      <c r="AB148" s="16"/>
      <c r="AC148" s="16"/>
      <c r="AD148" s="16"/>
    </row>
    <row r="149" spans="1:30" ht="15.75" customHeight="1">
      <c r="A149" s="16"/>
      <c r="B149" s="16"/>
      <c r="C149" s="16"/>
      <c r="D149" s="16"/>
      <c r="E149" s="16"/>
      <c r="F149" s="16"/>
      <c r="G149" s="16"/>
      <c r="H149" s="16"/>
      <c r="I149" s="16"/>
      <c r="J149" s="16"/>
      <c r="K149" s="16"/>
      <c r="L149" s="16"/>
      <c r="M149" s="735"/>
      <c r="N149" s="696"/>
      <c r="O149" s="696"/>
      <c r="P149" s="696"/>
      <c r="Q149" s="696"/>
      <c r="R149" s="696"/>
      <c r="S149" s="696"/>
      <c r="T149" s="696"/>
      <c r="U149" s="16"/>
      <c r="V149" s="16"/>
      <c r="W149" s="16"/>
      <c r="X149" s="16"/>
      <c r="Y149" s="16"/>
      <c r="Z149" s="16"/>
      <c r="AA149" s="16"/>
      <c r="AB149" s="16"/>
      <c r="AC149" s="16"/>
      <c r="AD149" s="16"/>
    </row>
    <row r="150" spans="1:30" ht="15.75" customHeight="1">
      <c r="A150" s="16"/>
      <c r="B150" s="16"/>
      <c r="C150" s="16"/>
      <c r="D150" s="16"/>
      <c r="E150" s="16"/>
      <c r="F150" s="16"/>
      <c r="G150" s="16"/>
      <c r="H150" s="16"/>
      <c r="I150" s="16"/>
      <c r="J150" s="16"/>
      <c r="K150" s="16"/>
      <c r="L150" s="16"/>
      <c r="M150" s="735"/>
      <c r="N150" s="696"/>
      <c r="O150" s="696"/>
      <c r="P150" s="696"/>
      <c r="Q150" s="696"/>
      <c r="R150" s="696"/>
      <c r="S150" s="696"/>
      <c r="T150" s="696"/>
      <c r="U150" s="16"/>
      <c r="V150" s="16"/>
      <c r="W150" s="16"/>
      <c r="X150" s="16"/>
      <c r="Y150" s="16"/>
      <c r="Z150" s="16"/>
      <c r="AA150" s="16"/>
      <c r="AB150" s="16"/>
      <c r="AC150" s="16"/>
      <c r="AD150" s="16"/>
    </row>
    <row r="151" spans="1:30" ht="15.75" customHeight="1">
      <c r="A151" s="16"/>
      <c r="B151" s="16"/>
      <c r="C151" s="16"/>
      <c r="D151" s="16"/>
      <c r="E151" s="16"/>
      <c r="F151" s="16"/>
      <c r="G151" s="16"/>
      <c r="H151" s="16"/>
      <c r="I151" s="16"/>
      <c r="J151" s="16"/>
      <c r="K151" s="16"/>
      <c r="L151" s="16"/>
      <c r="M151" s="735"/>
      <c r="N151" s="696"/>
      <c r="O151" s="696"/>
      <c r="P151" s="696"/>
      <c r="Q151" s="696"/>
      <c r="R151" s="696"/>
      <c r="S151" s="696"/>
      <c r="T151" s="696"/>
      <c r="U151" s="16"/>
      <c r="V151" s="16"/>
      <c r="W151" s="16"/>
      <c r="X151" s="16"/>
      <c r="Y151" s="16"/>
      <c r="Z151" s="16"/>
      <c r="AA151" s="16"/>
      <c r="AB151" s="16"/>
      <c r="AC151" s="16"/>
      <c r="AD151" s="16"/>
    </row>
    <row r="152" spans="1:30" ht="15.75" customHeight="1">
      <c r="A152" s="16"/>
      <c r="B152" s="16"/>
      <c r="C152" s="16"/>
      <c r="D152" s="16"/>
      <c r="E152" s="16"/>
      <c r="F152" s="16"/>
      <c r="G152" s="16"/>
      <c r="H152" s="16"/>
      <c r="I152" s="16"/>
      <c r="J152" s="16"/>
      <c r="K152" s="16"/>
      <c r="L152" s="16"/>
      <c r="M152" s="735"/>
      <c r="N152" s="696"/>
      <c r="O152" s="696"/>
      <c r="P152" s="696"/>
      <c r="Q152" s="696"/>
      <c r="R152" s="696"/>
      <c r="S152" s="696"/>
      <c r="T152" s="696"/>
      <c r="U152" s="16"/>
      <c r="V152" s="16"/>
      <c r="W152" s="16"/>
      <c r="X152" s="16"/>
      <c r="Y152" s="16"/>
      <c r="Z152" s="16"/>
      <c r="AA152" s="16"/>
      <c r="AB152" s="16"/>
      <c r="AC152" s="16"/>
      <c r="AD152" s="16"/>
    </row>
    <row r="153" spans="1:30" ht="15.75" customHeight="1">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c r="AA153" s="16"/>
      <c r="AB153" s="16"/>
      <c r="AC153" s="16"/>
      <c r="AD153" s="16"/>
    </row>
    <row r="154" spans="1:30" ht="15.75" customHeight="1">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c r="AA154" s="16"/>
      <c r="AB154" s="16"/>
      <c r="AC154" s="16"/>
      <c r="AD154" s="16"/>
    </row>
    <row r="155" spans="1:30" ht="15.75" customHeight="1">
      <c r="A155" s="16"/>
      <c r="B155" s="735"/>
      <c r="C155" s="696"/>
      <c r="D155" s="16"/>
      <c r="E155" s="16"/>
      <c r="F155" s="16"/>
      <c r="G155" s="16"/>
      <c r="H155" s="16"/>
      <c r="I155" s="16"/>
      <c r="J155" s="16"/>
      <c r="K155" s="16"/>
      <c r="L155" s="16"/>
      <c r="M155" s="735"/>
      <c r="N155" s="696"/>
      <c r="O155" s="696"/>
      <c r="P155" s="735"/>
      <c r="Q155" s="696"/>
      <c r="R155" s="696"/>
      <c r="S155" s="696"/>
      <c r="T155" s="696"/>
      <c r="U155" s="16"/>
      <c r="V155" s="16"/>
      <c r="W155" s="16"/>
      <c r="X155" s="16"/>
      <c r="Y155" s="16"/>
      <c r="Z155" s="16"/>
      <c r="AA155" s="16"/>
      <c r="AB155" s="16"/>
      <c r="AC155" s="16"/>
      <c r="AD155" s="16"/>
    </row>
    <row r="156" spans="1:30" ht="15.75" customHeight="1">
      <c r="A156" s="16"/>
      <c r="B156" s="735"/>
      <c r="C156" s="696"/>
      <c r="D156" s="16"/>
      <c r="E156" s="16"/>
      <c r="F156" s="16"/>
      <c r="G156" s="16"/>
      <c r="H156" s="16"/>
      <c r="I156" s="16"/>
      <c r="J156" s="16"/>
      <c r="K156" s="16"/>
      <c r="L156" s="16"/>
      <c r="M156" s="735"/>
      <c r="N156" s="696"/>
      <c r="O156" s="696"/>
      <c r="P156" s="735"/>
      <c r="Q156" s="696"/>
      <c r="R156" s="696"/>
      <c r="S156" s="696"/>
      <c r="T156" s="696"/>
      <c r="U156" s="16"/>
      <c r="V156" s="16"/>
      <c r="W156" s="16"/>
      <c r="X156" s="16"/>
      <c r="Y156" s="16"/>
      <c r="Z156" s="16"/>
      <c r="AA156" s="16"/>
      <c r="AB156" s="16"/>
      <c r="AC156" s="16"/>
      <c r="AD156" s="16"/>
    </row>
    <row r="157" spans="1:30" ht="15.75" customHeight="1">
      <c r="A157" s="16"/>
      <c r="B157" s="735"/>
      <c r="C157" s="696"/>
      <c r="D157" s="16"/>
      <c r="E157" s="16"/>
      <c r="F157" s="16"/>
      <c r="G157" s="16"/>
      <c r="H157" s="16"/>
      <c r="I157" s="16"/>
      <c r="J157" s="16"/>
      <c r="K157" s="16"/>
      <c r="L157" s="16"/>
      <c r="M157" s="735"/>
      <c r="N157" s="696"/>
      <c r="O157" s="696"/>
      <c r="P157" s="696"/>
      <c r="Q157" s="696"/>
      <c r="R157" s="696"/>
      <c r="S157" s="696"/>
      <c r="T157" s="696"/>
      <c r="U157" s="16"/>
      <c r="V157" s="16"/>
      <c r="W157" s="16"/>
      <c r="X157" s="16"/>
      <c r="Y157" s="16"/>
      <c r="Z157" s="16"/>
      <c r="AA157" s="16"/>
      <c r="AB157" s="16"/>
      <c r="AC157" s="16"/>
      <c r="AD157" s="16"/>
    </row>
    <row r="158" spans="1:30" ht="15.75" customHeight="1">
      <c r="A158" s="16"/>
      <c r="B158" s="735"/>
      <c r="C158" s="696"/>
      <c r="D158" s="16"/>
      <c r="E158" s="16"/>
      <c r="F158" s="16"/>
      <c r="G158" s="16"/>
      <c r="H158" s="16"/>
      <c r="I158" s="16"/>
      <c r="J158" s="16"/>
      <c r="K158" s="16"/>
      <c r="L158" s="16"/>
      <c r="M158" s="735"/>
      <c r="N158" s="696"/>
      <c r="O158" s="696"/>
      <c r="P158" s="696"/>
      <c r="Q158" s="696"/>
      <c r="R158" s="696"/>
      <c r="S158" s="696"/>
      <c r="T158" s="696"/>
      <c r="U158" s="16"/>
      <c r="V158" s="16"/>
      <c r="W158" s="16"/>
      <c r="X158" s="16"/>
      <c r="Y158" s="16"/>
      <c r="Z158" s="16"/>
      <c r="AA158" s="16"/>
      <c r="AB158" s="16"/>
      <c r="AC158" s="16"/>
      <c r="AD158" s="16"/>
    </row>
    <row r="159" spans="1:30" ht="15.75" customHeight="1">
      <c r="A159" s="16"/>
      <c r="B159" s="735"/>
      <c r="C159" s="696"/>
      <c r="D159" s="16"/>
      <c r="E159" s="16"/>
      <c r="F159" s="16"/>
      <c r="G159" s="16"/>
      <c r="H159" s="16"/>
      <c r="I159" s="16"/>
      <c r="J159" s="16"/>
      <c r="K159" s="16"/>
      <c r="L159" s="16"/>
      <c r="M159" s="735"/>
      <c r="N159" s="696"/>
      <c r="O159" s="696"/>
      <c r="P159" s="696"/>
      <c r="Q159" s="696"/>
      <c r="R159" s="696"/>
      <c r="S159" s="696"/>
      <c r="T159" s="696"/>
      <c r="U159" s="16"/>
      <c r="V159" s="16"/>
      <c r="W159" s="16"/>
      <c r="X159" s="16"/>
      <c r="Y159" s="16"/>
      <c r="Z159" s="16"/>
      <c r="AA159" s="16"/>
      <c r="AB159" s="16"/>
      <c r="AC159" s="16"/>
      <c r="AD159" s="16"/>
    </row>
    <row r="160" spans="1:30" ht="15.75" customHeight="1">
      <c r="A160" s="16"/>
      <c r="B160" s="735"/>
      <c r="C160" s="696"/>
      <c r="D160" s="16"/>
      <c r="E160" s="16"/>
      <c r="F160" s="16"/>
      <c r="G160" s="16"/>
      <c r="H160" s="16"/>
      <c r="I160" s="16"/>
      <c r="J160" s="16"/>
      <c r="K160" s="16"/>
      <c r="L160" s="16"/>
      <c r="M160" s="735"/>
      <c r="N160" s="696"/>
      <c r="O160" s="696"/>
      <c r="P160" s="696"/>
      <c r="Q160" s="696"/>
      <c r="R160" s="696"/>
      <c r="S160" s="696"/>
      <c r="T160" s="696"/>
      <c r="U160" s="16"/>
      <c r="V160" s="16"/>
      <c r="W160" s="16"/>
      <c r="X160" s="16"/>
      <c r="Y160" s="16"/>
      <c r="Z160" s="16"/>
      <c r="AA160" s="16"/>
      <c r="AB160" s="16"/>
      <c r="AC160" s="16"/>
      <c r="AD160" s="16"/>
    </row>
    <row r="161" spans="1:30" ht="15.75" customHeight="1">
      <c r="A161" s="16"/>
      <c r="B161" s="735"/>
      <c r="C161" s="696"/>
      <c r="D161" s="16"/>
      <c r="E161" s="16"/>
      <c r="F161" s="16"/>
      <c r="G161" s="16"/>
      <c r="H161" s="16"/>
      <c r="I161" s="16"/>
      <c r="J161" s="16"/>
      <c r="K161" s="16"/>
      <c r="L161" s="16"/>
      <c r="M161" s="735"/>
      <c r="N161" s="696"/>
      <c r="O161" s="696"/>
      <c r="P161" s="696"/>
      <c r="Q161" s="696"/>
      <c r="R161" s="696"/>
      <c r="S161" s="696"/>
      <c r="T161" s="696"/>
      <c r="U161" s="16"/>
      <c r="V161" s="16"/>
      <c r="W161" s="16"/>
      <c r="X161" s="16"/>
      <c r="Y161" s="16"/>
      <c r="Z161" s="16"/>
      <c r="AA161" s="16"/>
      <c r="AB161" s="16"/>
      <c r="AC161" s="16"/>
      <c r="AD161" s="16"/>
    </row>
    <row r="162" spans="1:30" ht="15.75" customHeight="1">
      <c r="A162" s="16"/>
      <c r="B162" s="735"/>
      <c r="C162" s="696"/>
      <c r="D162" s="16"/>
      <c r="E162" s="16"/>
      <c r="F162" s="16"/>
      <c r="G162" s="16"/>
      <c r="H162" s="16"/>
      <c r="I162" s="16"/>
      <c r="J162" s="16"/>
      <c r="K162" s="16"/>
      <c r="L162" s="16"/>
      <c r="M162" s="735"/>
      <c r="N162" s="696"/>
      <c r="O162" s="696"/>
      <c r="P162" s="696"/>
      <c r="Q162" s="696"/>
      <c r="R162" s="696"/>
      <c r="S162" s="696"/>
      <c r="T162" s="696"/>
      <c r="U162" s="16"/>
      <c r="V162" s="16"/>
      <c r="W162" s="16"/>
      <c r="X162" s="16"/>
      <c r="Y162" s="16"/>
      <c r="Z162" s="16"/>
      <c r="AA162" s="16"/>
      <c r="AB162" s="16"/>
      <c r="AC162" s="16"/>
      <c r="AD162" s="16"/>
    </row>
    <row r="163" spans="1:30" ht="15.75" customHeight="1">
      <c r="A163" s="16"/>
      <c r="B163" s="735"/>
      <c r="C163" s="696"/>
      <c r="D163" s="16"/>
      <c r="E163" s="16"/>
      <c r="F163" s="16"/>
      <c r="G163" s="16"/>
      <c r="H163" s="16"/>
      <c r="I163" s="16"/>
      <c r="J163" s="16"/>
      <c r="K163" s="16"/>
      <c r="L163" s="16"/>
      <c r="M163" s="735"/>
      <c r="N163" s="696"/>
      <c r="O163" s="696"/>
      <c r="P163" s="696"/>
      <c r="Q163" s="696"/>
      <c r="R163" s="696"/>
      <c r="S163" s="696"/>
      <c r="T163" s="696"/>
      <c r="U163" s="16"/>
      <c r="V163" s="16"/>
      <c r="W163" s="16"/>
      <c r="X163" s="16"/>
      <c r="Y163" s="16"/>
      <c r="Z163" s="16"/>
      <c r="AA163" s="16"/>
      <c r="AB163" s="16"/>
      <c r="AC163" s="16"/>
      <c r="AD163" s="16"/>
    </row>
    <row r="164" spans="1:30" ht="15.75" customHeight="1">
      <c r="A164" s="16"/>
      <c r="B164" s="735"/>
      <c r="C164" s="696"/>
      <c r="D164" s="16"/>
      <c r="E164" s="16"/>
      <c r="F164" s="16"/>
      <c r="G164" s="16"/>
      <c r="H164" s="16"/>
      <c r="I164" s="16"/>
      <c r="J164" s="16"/>
      <c r="K164" s="16"/>
      <c r="L164" s="16"/>
      <c r="M164" s="735"/>
      <c r="N164" s="696"/>
      <c r="O164" s="696"/>
      <c r="P164" s="696"/>
      <c r="Q164" s="696"/>
      <c r="R164" s="696"/>
      <c r="S164" s="696"/>
      <c r="T164" s="696"/>
      <c r="U164" s="16"/>
      <c r="V164" s="16"/>
      <c r="W164" s="16"/>
      <c r="X164" s="16"/>
      <c r="Y164" s="16"/>
      <c r="Z164" s="16"/>
      <c r="AA164" s="16"/>
      <c r="AB164" s="16"/>
      <c r="AC164" s="16"/>
      <c r="AD164" s="16"/>
    </row>
    <row r="165" spans="1:30" ht="15.75" customHeight="1">
      <c r="A165" s="16"/>
      <c r="B165" s="735"/>
      <c r="C165" s="696"/>
      <c r="D165" s="16"/>
      <c r="E165" s="16"/>
      <c r="F165" s="16"/>
      <c r="G165" s="16"/>
      <c r="H165" s="16"/>
      <c r="I165" s="16"/>
      <c r="J165" s="16"/>
      <c r="K165" s="16"/>
      <c r="L165" s="16"/>
      <c r="M165" s="735"/>
      <c r="N165" s="696"/>
      <c r="O165" s="696"/>
      <c r="P165" s="696"/>
      <c r="Q165" s="696"/>
      <c r="R165" s="696"/>
      <c r="S165" s="696"/>
      <c r="T165" s="696"/>
      <c r="U165" s="16"/>
      <c r="V165" s="16"/>
      <c r="W165" s="16"/>
      <c r="X165" s="16"/>
      <c r="Y165" s="16"/>
      <c r="Z165" s="16"/>
      <c r="AA165" s="16"/>
      <c r="AB165" s="16"/>
      <c r="AC165" s="16"/>
      <c r="AD165" s="16"/>
    </row>
    <row r="166" spans="1:30" ht="15.75" customHeight="1">
      <c r="A166" s="16"/>
      <c r="B166" s="735"/>
      <c r="C166" s="696"/>
      <c r="D166" s="16"/>
      <c r="E166" s="16"/>
      <c r="F166" s="16"/>
      <c r="G166" s="16"/>
      <c r="H166" s="16"/>
      <c r="I166" s="16"/>
      <c r="J166" s="16"/>
      <c r="K166" s="16"/>
      <c r="L166" s="16"/>
      <c r="M166" s="735"/>
      <c r="N166" s="696"/>
      <c r="O166" s="696"/>
      <c r="P166" s="696"/>
      <c r="Q166" s="696"/>
      <c r="R166" s="696"/>
      <c r="S166" s="696"/>
      <c r="T166" s="696"/>
      <c r="U166" s="16"/>
      <c r="V166" s="16"/>
      <c r="W166" s="16"/>
      <c r="X166" s="16"/>
      <c r="Y166" s="16"/>
      <c r="Z166" s="16"/>
      <c r="AA166" s="16"/>
      <c r="AB166" s="16"/>
      <c r="AC166" s="16"/>
      <c r="AD166" s="16"/>
    </row>
    <row r="167" spans="1:30" ht="15.75" customHeight="1">
      <c r="A167" s="16"/>
      <c r="B167" s="735"/>
      <c r="C167" s="696"/>
      <c r="D167" s="16"/>
      <c r="E167" s="16"/>
      <c r="F167" s="16"/>
      <c r="G167" s="16"/>
      <c r="H167" s="16"/>
      <c r="I167" s="16"/>
      <c r="J167" s="16"/>
      <c r="K167" s="16"/>
      <c r="L167" s="16"/>
      <c r="M167" s="735"/>
      <c r="N167" s="696"/>
      <c r="O167" s="696"/>
      <c r="P167" s="696"/>
      <c r="Q167" s="696"/>
      <c r="R167" s="696"/>
      <c r="S167" s="696"/>
      <c r="T167" s="696"/>
      <c r="U167" s="16"/>
      <c r="V167" s="16"/>
      <c r="W167" s="16"/>
      <c r="X167" s="16"/>
      <c r="Y167" s="16"/>
      <c r="Z167" s="16"/>
      <c r="AA167" s="16"/>
      <c r="AB167" s="16"/>
      <c r="AC167" s="16"/>
      <c r="AD167" s="16"/>
    </row>
    <row r="168" spans="1:30" ht="15.75" customHeight="1">
      <c r="A168" s="16"/>
      <c r="B168" s="735"/>
      <c r="C168" s="696"/>
      <c r="D168" s="16"/>
      <c r="E168" s="16"/>
      <c r="F168" s="16"/>
      <c r="G168" s="16"/>
      <c r="H168" s="16"/>
      <c r="I168" s="16"/>
      <c r="J168" s="16"/>
      <c r="K168" s="16"/>
      <c r="L168" s="16"/>
      <c r="M168" s="735"/>
      <c r="N168" s="696"/>
      <c r="O168" s="696"/>
      <c r="P168" s="696"/>
      <c r="Q168" s="696"/>
      <c r="R168" s="696"/>
      <c r="S168" s="696"/>
      <c r="T168" s="696"/>
      <c r="U168" s="16"/>
      <c r="V168" s="16"/>
      <c r="W168" s="16"/>
      <c r="X168" s="16"/>
      <c r="Y168" s="16"/>
      <c r="Z168" s="16"/>
      <c r="AA168" s="16"/>
      <c r="AB168" s="16"/>
      <c r="AC168" s="16"/>
      <c r="AD168" s="16"/>
    </row>
    <row r="169" spans="1:30" ht="15.75" customHeight="1">
      <c r="A169" s="16"/>
      <c r="B169" s="735"/>
      <c r="C169" s="696"/>
      <c r="D169" s="16"/>
      <c r="E169" s="16"/>
      <c r="F169" s="16"/>
      <c r="G169" s="16"/>
      <c r="H169" s="16"/>
      <c r="I169" s="16"/>
      <c r="J169" s="16"/>
      <c r="K169" s="16"/>
      <c r="L169" s="16"/>
      <c r="M169" s="735"/>
      <c r="N169" s="696"/>
      <c r="O169" s="696"/>
      <c r="P169" s="696"/>
      <c r="Q169" s="696"/>
      <c r="R169" s="696"/>
      <c r="S169" s="696"/>
      <c r="T169" s="696"/>
      <c r="U169" s="16"/>
      <c r="V169" s="16"/>
      <c r="W169" s="16"/>
      <c r="X169" s="16"/>
      <c r="Y169" s="16"/>
      <c r="Z169" s="16"/>
      <c r="AA169" s="16"/>
      <c r="AB169" s="16"/>
      <c r="AC169" s="16"/>
      <c r="AD169" s="16"/>
    </row>
    <row r="170" spans="1:30" ht="15.75" customHeight="1">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c r="AA170" s="16"/>
      <c r="AB170" s="16"/>
      <c r="AC170" s="16"/>
      <c r="AD170" s="16"/>
    </row>
    <row r="171" spans="1:30" ht="15.75" customHeight="1">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c r="AA171" s="16"/>
      <c r="AB171" s="16"/>
      <c r="AC171" s="16"/>
      <c r="AD171" s="16"/>
    </row>
    <row r="172" spans="1:30" ht="15.75" customHeight="1">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row>
    <row r="173" spans="1:30" ht="15.75" customHeight="1">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c r="AC173" s="16"/>
      <c r="AD173" s="16"/>
    </row>
    <row r="174" spans="1:30" ht="15.75" customHeight="1">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c r="AC174" s="16"/>
      <c r="AD174" s="16"/>
    </row>
    <row r="175" spans="1:30" ht="15.75" customHeight="1">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c r="AA175" s="16"/>
      <c r="AB175" s="16"/>
      <c r="AC175" s="16"/>
      <c r="AD175" s="16"/>
    </row>
    <row r="176" spans="1:30" ht="15.75" customHeight="1">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c r="AD176" s="16"/>
    </row>
    <row r="177" spans="1:30" ht="15.75" customHeight="1">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c r="AD177" s="16"/>
    </row>
    <row r="178" spans="1:30" ht="15.75" customHeight="1">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c r="AA178" s="16"/>
      <c r="AB178" s="16"/>
      <c r="AC178" s="16"/>
      <c r="AD178" s="16"/>
    </row>
    <row r="179" spans="1:30" ht="15.75" customHeight="1">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c r="AD179" s="16"/>
    </row>
    <row r="180" spans="1:30" ht="15.75" customHeight="1">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c r="AD180" s="16"/>
    </row>
    <row r="181" spans="1:30" ht="15.75" customHeight="1">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c r="AD181" s="16"/>
    </row>
    <row r="182" spans="1:30" ht="15.75" customHeight="1">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c r="AD182" s="16"/>
    </row>
    <row r="183" spans="1:30" ht="15.75" customHeight="1">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c r="AD183" s="16"/>
    </row>
    <row r="184" spans="1:30" ht="15.75" customHeight="1">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c r="AD184" s="16"/>
    </row>
    <row r="185" spans="1:30" ht="15.75" customHeight="1">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c r="AD185" s="16"/>
    </row>
    <row r="186" spans="1:30" ht="15.75" customHeight="1">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c r="AD186" s="16"/>
    </row>
    <row r="187" spans="1:30" ht="15.75" customHeight="1">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16"/>
      <c r="AB187" s="16"/>
      <c r="AC187" s="16"/>
      <c r="AD187" s="16"/>
    </row>
    <row r="188" spans="1:30" ht="15.75" customHeight="1">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c r="AD188" s="16"/>
    </row>
    <row r="189" spans="1:30" ht="15.75" customHeight="1">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c r="AD189" s="16"/>
    </row>
    <row r="190" spans="1:30" ht="15.75" customHeight="1">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c r="AD190" s="16"/>
    </row>
    <row r="191" spans="1:30" ht="15.75" customHeight="1">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c r="AD191" s="16"/>
    </row>
    <row r="192" spans="1:30" ht="15.75" customHeight="1">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c r="AD192" s="16"/>
    </row>
    <row r="193" spans="1:30" ht="15.75" customHeight="1">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c r="AA193" s="16"/>
      <c r="AB193" s="16"/>
      <c r="AC193" s="16"/>
      <c r="AD193" s="16"/>
    </row>
    <row r="194" spans="1:30" ht="15.75" customHeight="1">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c r="AA194" s="16"/>
      <c r="AB194" s="16"/>
      <c r="AC194" s="16"/>
      <c r="AD194" s="16"/>
    </row>
    <row r="195" spans="1:30" ht="15.75" customHeight="1">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c r="AA195" s="16"/>
      <c r="AB195" s="16"/>
      <c r="AC195" s="16"/>
      <c r="AD195" s="16"/>
    </row>
    <row r="196" spans="1:30" ht="15.75" customHeight="1">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c r="AA196" s="16"/>
      <c r="AB196" s="16"/>
      <c r="AC196" s="16"/>
      <c r="AD196" s="16"/>
    </row>
    <row r="197" spans="1:30" ht="15.75" customHeight="1">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c r="AD197" s="16"/>
    </row>
    <row r="198" spans="1:30" ht="15.75" customHeight="1">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c r="AD198" s="16"/>
    </row>
    <row r="199" spans="1:30" ht="15.75" customHeight="1">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c r="AA199" s="16"/>
      <c r="AB199" s="16"/>
      <c r="AC199" s="16"/>
      <c r="AD199" s="16"/>
    </row>
    <row r="200" spans="1:30" ht="15.75" customHeight="1">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c r="AA200" s="16"/>
      <c r="AB200" s="16"/>
      <c r="AC200" s="16"/>
      <c r="AD200" s="16"/>
    </row>
    <row r="201" spans="1:30" ht="15.75" customHeight="1">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c r="AD201" s="16"/>
    </row>
    <row r="202" spans="1:30" ht="15.75" customHeight="1">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c r="AD202" s="16"/>
    </row>
    <row r="203" spans="1:30" ht="15.75" customHeight="1">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c r="AA203" s="16"/>
      <c r="AB203" s="16"/>
      <c r="AC203" s="16"/>
      <c r="AD203" s="16"/>
    </row>
    <row r="204" spans="1:30" ht="15.75" customHeight="1">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c r="AA204" s="16"/>
      <c r="AB204" s="16"/>
      <c r="AC204" s="16"/>
      <c r="AD204" s="16"/>
    </row>
    <row r="205" spans="1:30" ht="15.75" customHeight="1">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c r="AD205" s="16"/>
    </row>
    <row r="206" spans="1:30" ht="15.75" customHeight="1">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row>
    <row r="207" spans="1:30" ht="15.75" customHeight="1">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c r="AD207" s="16"/>
    </row>
    <row r="208" spans="1:30" ht="15.75" customHeight="1">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c r="AD208" s="16"/>
    </row>
    <row r="209" spans="1:30" ht="15.75" customHeight="1">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c r="AD209" s="16"/>
    </row>
    <row r="210" spans="1:30" ht="15.75" customHeight="1">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c r="AD210" s="16"/>
    </row>
    <row r="211" spans="1:30" ht="15.75" customHeight="1">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row>
    <row r="212" spans="1:30" ht="15.75" customHeight="1">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c r="AD212" s="16"/>
    </row>
    <row r="213" spans="1:30" ht="15.75" customHeight="1">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c r="AD213" s="16"/>
    </row>
    <row r="214" spans="1:30" ht="15.75" customHeight="1">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row>
    <row r="215" spans="1:30" ht="15.75" customHeight="1">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c r="AD215" s="16"/>
    </row>
    <row r="216" spans="1:30" ht="15.75" customHeight="1">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c r="AD216" s="16"/>
    </row>
    <row r="217" spans="1:30" ht="15.75" customHeight="1">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c r="AD217" s="16"/>
    </row>
    <row r="218" spans="1:30" ht="15.75" customHeight="1">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c r="AD218" s="16"/>
    </row>
    <row r="219" spans="1:30" ht="15.75" customHeight="1">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c r="AD219" s="16"/>
    </row>
    <row r="220" spans="1:30" ht="15.75" customHeight="1">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c r="AD220" s="16"/>
    </row>
    <row r="221" spans="1:30" ht="15.75" customHeight="1">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row>
    <row r="222" spans="1:30" ht="15.75" customHeight="1">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row>
    <row r="223" spans="1:30" ht="15.75" customHeight="1">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c r="AD223" s="16"/>
    </row>
    <row r="224" spans="1:30" ht="15.75" customHeight="1">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c r="AD224" s="16"/>
    </row>
    <row r="225" spans="1:30" ht="15.75" customHeight="1">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16"/>
    </row>
    <row r="226" spans="1:30" ht="15.75" customHeight="1">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row>
    <row r="227" spans="1:30" ht="15.75" customHeight="1">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16"/>
    </row>
    <row r="228" spans="1:30" ht="15.75" customHeight="1">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c r="AD228" s="16"/>
    </row>
    <row r="229" spans="1:30" ht="15.75" customHeight="1">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c r="AD229" s="16"/>
    </row>
    <row r="230" spans="1:30" ht="15.75" customHeight="1">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row>
    <row r="231" spans="1:30" ht="15.75" customHeight="1">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c r="AD231" s="16"/>
    </row>
    <row r="232" spans="1:30" ht="15.75" customHeight="1">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c r="AD232" s="16"/>
    </row>
    <row r="233" spans="1:30" ht="15.75" customHeight="1">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c r="AD233" s="16"/>
    </row>
    <row r="234" spans="1:30" ht="15.75" customHeight="1">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c r="AD234" s="16"/>
    </row>
    <row r="235" spans="1:30" ht="15.75" customHeight="1">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row>
    <row r="236" spans="1:30" ht="15.75" customHeight="1">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c r="AD236" s="16"/>
    </row>
    <row r="237" spans="1:30" ht="15.75" customHeight="1">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c r="AD237" s="16"/>
    </row>
    <row r="238" spans="1:30" ht="15.75" customHeight="1">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c r="AD238" s="16"/>
    </row>
    <row r="239" spans="1:30" ht="15.75" customHeight="1">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c r="AD239" s="16"/>
    </row>
    <row r="240" spans="1:30" ht="15.75" customHeight="1">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c r="AD240" s="16"/>
    </row>
    <row r="241" spans="1:30" ht="15.75" customHeight="1">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c r="AD241" s="16"/>
    </row>
    <row r="242" spans="1:30" ht="15.75" customHeight="1">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c r="AD242" s="16"/>
    </row>
    <row r="243" spans="1:30" ht="15.75" customHeight="1">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c r="AD243" s="16"/>
    </row>
    <row r="244" spans="1:30" ht="15.75" customHeight="1">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16"/>
    </row>
    <row r="245" spans="1:30" ht="15.75" customHeight="1">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c r="AD245" s="16"/>
    </row>
    <row r="246" spans="1:30" ht="15.75" customHeight="1">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row>
    <row r="247" spans="1:30" ht="15.75" customHeight="1">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c r="AD247" s="16"/>
    </row>
    <row r="248" spans="1:30" ht="15.75" customHeight="1">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row>
    <row r="249" spans="1:30" ht="15.75" customHeight="1">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row>
    <row r="250" spans="1:30" ht="15.75" customHeight="1">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c r="AD250" s="16"/>
    </row>
    <row r="251" spans="1:30" ht="15.75" customHeight="1">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row>
    <row r="252" spans="1:30" ht="15.75" customHeight="1">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16"/>
    </row>
    <row r="253" spans="1:30" ht="15.75" customHeight="1">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c r="AD253" s="16"/>
    </row>
    <row r="254" spans="1:30" ht="15.75" customHeight="1">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row>
    <row r="255" spans="1:30" ht="15.75" customHeight="1">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c r="AD255" s="16"/>
    </row>
    <row r="256" spans="1:30" ht="15.75" customHeight="1">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row>
    <row r="257" spans="1:30" ht="15.75" customHeight="1">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c r="AD257" s="16"/>
    </row>
    <row r="258" spans="1:30" ht="15.75" customHeight="1">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c r="AD258" s="16"/>
    </row>
    <row r="259" spans="1:30" ht="15.75" customHeight="1">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row>
    <row r="260" spans="1:30" ht="15.75" customHeight="1">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row>
    <row r="261" spans="1:30" ht="15.75" customHeight="1">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c r="AD261" s="16"/>
    </row>
    <row r="262" spans="1:30" ht="15.75" customHeight="1">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row>
    <row r="263" spans="1:30" ht="15.75" customHeight="1">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row>
    <row r="264" spans="1:30" ht="15.75" customHeight="1">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c r="AD264" s="16"/>
    </row>
    <row r="265" spans="1:30" ht="15.75" customHeight="1">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row>
    <row r="266" spans="1:30" ht="15.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row>
    <row r="267" spans="1:30" ht="15.75" customHeight="1">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row>
    <row r="268" spans="1:30" ht="15.75" customHeight="1">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c r="AD268" s="16"/>
    </row>
    <row r="269" spans="1:30" ht="15.75" customHeight="1">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row>
    <row r="270" spans="1:30" ht="15.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row>
    <row r="271" spans="1:30" ht="15.75" customHeight="1">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c r="AD271" s="16"/>
    </row>
    <row r="272" spans="1:30" ht="15.75" customHeight="1">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c r="AD272" s="16"/>
    </row>
    <row r="273" spans="1:30" ht="15.75" customHeight="1">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c r="AD273" s="16"/>
    </row>
    <row r="274" spans="1:30" ht="15.75" customHeight="1">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c r="AD274" s="16"/>
    </row>
    <row r="275" spans="1:30" ht="15.75" customHeight="1">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c r="AD275" s="16"/>
    </row>
    <row r="276" spans="1:30" ht="15.75" customHeight="1">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row>
    <row r="277" spans="1:30" ht="15.75" customHeight="1">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16"/>
    </row>
    <row r="278" spans="1:30" ht="15.75" customHeight="1">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row>
    <row r="279" spans="1:30" ht="15.75" customHeight="1">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16"/>
    </row>
    <row r="280" spans="1:30" ht="15.75" customHeight="1">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c r="AD280" s="16"/>
    </row>
    <row r="281" spans="1:30" ht="15.75" customHeight="1">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c r="AD281" s="16"/>
    </row>
    <row r="282" spans="1:30" ht="15.75" customHeight="1">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c r="AD282" s="16"/>
    </row>
    <row r="283" spans="1:30" ht="15.75" customHeight="1">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c r="AD283" s="16"/>
    </row>
    <row r="284" spans="1:30" ht="15.75" customHeight="1">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c r="AD284" s="16"/>
    </row>
    <row r="285" spans="1:30" ht="15.75" customHeight="1">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c r="AD285" s="16"/>
    </row>
    <row r="286" spans="1:30" ht="15.75" customHeight="1">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row>
    <row r="287" spans="1:30" ht="15.75" customHeight="1">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row>
    <row r="288" spans="1:30" ht="15.75" customHeight="1">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row>
    <row r="289" spans="1:30" ht="15.75" customHeight="1">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row>
    <row r="290" spans="1:30" ht="15.75" customHeight="1">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row>
    <row r="291" spans="1:30" ht="15.75" customHeight="1">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c r="AD291" s="16"/>
    </row>
    <row r="292" spans="1:30" ht="15.75" customHeight="1">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row>
    <row r="293" spans="1:30" ht="15.75" customHeight="1">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row>
    <row r="294" spans="1:30" ht="15.75" customHeight="1">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row>
    <row r="295" spans="1:30" ht="15.75" customHeight="1">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row>
    <row r="296" spans="1:30" ht="15.75" customHeight="1">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row>
    <row r="297" spans="1:30" ht="15.75" customHeight="1">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row>
    <row r="298" spans="1:30" ht="15.75" customHeight="1">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row>
    <row r="299" spans="1:30" ht="15.75" customHeight="1">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row>
    <row r="300" spans="1:30" ht="15.75" customHeight="1">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row>
    <row r="301" spans="1:30" ht="15.75" customHeight="1">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c r="AD301" s="16"/>
    </row>
    <row r="302" spans="1:30" ht="15.75" customHeight="1">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c r="AD302" s="16"/>
    </row>
    <row r="303" spans="1:30" ht="15.75" customHeight="1">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row>
    <row r="304" spans="1:30" ht="15.75" customHeight="1">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c r="AD304" s="16"/>
    </row>
    <row r="305" spans="1:30" ht="15.75" customHeight="1">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c r="AD305" s="16"/>
    </row>
    <row r="306" spans="1:30" ht="15.75" customHeight="1"/>
    <row r="307" spans="1:30" ht="15.75" customHeight="1"/>
    <row r="308" spans="1:30" ht="15.75" customHeight="1"/>
    <row r="309" spans="1:30" ht="15.75" customHeight="1"/>
    <row r="310" spans="1:30" ht="15.75" customHeight="1"/>
    <row r="311" spans="1:30" ht="15.75" customHeight="1"/>
    <row r="312" spans="1:30" ht="15.75" customHeight="1"/>
    <row r="313" spans="1:30" ht="15.75" customHeight="1"/>
    <row r="314" spans="1:30" ht="15.75" customHeight="1"/>
    <row r="315" spans="1:30" ht="15.75" customHeight="1"/>
    <row r="316" spans="1:30" ht="15.75" customHeight="1"/>
    <row r="317" spans="1:30" ht="15.75" customHeight="1"/>
    <row r="318" spans="1:30" ht="15.75" customHeight="1"/>
    <row r="319" spans="1:30" ht="15.75" customHeight="1"/>
    <row r="320" spans="1:3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99">
    <mergeCell ref="M164:O164"/>
    <mergeCell ref="B168:C168"/>
    <mergeCell ref="M168:O168"/>
    <mergeCell ref="B169:C169"/>
    <mergeCell ref="M169:O169"/>
    <mergeCell ref="B165:C165"/>
    <mergeCell ref="M165:O165"/>
    <mergeCell ref="B166:C166"/>
    <mergeCell ref="M166:O166"/>
    <mergeCell ref="B167:C167"/>
    <mergeCell ref="M167:O167"/>
    <mergeCell ref="M152:O152"/>
    <mergeCell ref="B155:C155"/>
    <mergeCell ref="M155:O155"/>
    <mergeCell ref="M158:O158"/>
    <mergeCell ref="B159:C159"/>
    <mergeCell ref="M159:O159"/>
    <mergeCell ref="P155:T155"/>
    <mergeCell ref="B156:C156"/>
    <mergeCell ref="M156:O156"/>
    <mergeCell ref="P156:T169"/>
    <mergeCell ref="B157:C157"/>
    <mergeCell ref="M157:O157"/>
    <mergeCell ref="B158:C158"/>
    <mergeCell ref="B161:C161"/>
    <mergeCell ref="M161:O161"/>
    <mergeCell ref="B160:C160"/>
    <mergeCell ref="M160:O160"/>
    <mergeCell ref="B162:C162"/>
    <mergeCell ref="M162:O162"/>
    <mergeCell ref="B163:C163"/>
    <mergeCell ref="M163:O163"/>
    <mergeCell ref="B164:C164"/>
    <mergeCell ref="M151:O151"/>
    <mergeCell ref="M138:O138"/>
    <mergeCell ref="P138:T138"/>
    <mergeCell ref="M139:O139"/>
    <mergeCell ref="P139:T152"/>
    <mergeCell ref="M140:O140"/>
    <mergeCell ref="M141:O141"/>
    <mergeCell ref="M142:O142"/>
    <mergeCell ref="M143:O143"/>
    <mergeCell ref="M144:O144"/>
    <mergeCell ref="M145:O145"/>
    <mergeCell ref="M146:O146"/>
    <mergeCell ref="M147:O147"/>
    <mergeCell ref="M148:O148"/>
    <mergeCell ref="M149:O149"/>
    <mergeCell ref="M150:O150"/>
    <mergeCell ref="M135:O135"/>
    <mergeCell ref="P121:R121"/>
    <mergeCell ref="M123:O123"/>
    <mergeCell ref="P123:T123"/>
    <mergeCell ref="M124:O124"/>
    <mergeCell ref="P124:T135"/>
    <mergeCell ref="M125:O125"/>
    <mergeCell ref="M126:O126"/>
    <mergeCell ref="M127:O127"/>
    <mergeCell ref="M128:O128"/>
    <mergeCell ref="M129:O129"/>
    <mergeCell ref="M130:O130"/>
    <mergeCell ref="M131:O131"/>
    <mergeCell ref="M132:O132"/>
    <mergeCell ref="M133:O133"/>
    <mergeCell ref="M134:O134"/>
    <mergeCell ref="K70:O70"/>
    <mergeCell ref="P120:R120"/>
    <mergeCell ref="K71:O87"/>
    <mergeCell ref="P71:Q87"/>
    <mergeCell ref="H91:I91"/>
    <mergeCell ref="J91:K91"/>
    <mergeCell ref="H92:I105"/>
    <mergeCell ref="J92:K105"/>
    <mergeCell ref="P115:R115"/>
    <mergeCell ref="P116:R116"/>
    <mergeCell ref="P117:R117"/>
    <mergeCell ref="P118:R118"/>
    <mergeCell ref="P119:R119"/>
    <mergeCell ref="P70:Q70"/>
    <mergeCell ref="AG29:AH29"/>
    <mergeCell ref="AI29:AJ29"/>
    <mergeCell ref="A30:F30"/>
    <mergeCell ref="AG30:AH40"/>
    <mergeCell ref="AI30:AJ40"/>
    <mergeCell ref="A31:F31"/>
    <mergeCell ref="A32:F32"/>
    <mergeCell ref="A34:F34"/>
    <mergeCell ref="H37:J37"/>
    <mergeCell ref="H38:J42"/>
    <mergeCell ref="A29:F29"/>
    <mergeCell ref="I45:K45"/>
    <mergeCell ref="I46:K50"/>
    <mergeCell ref="K54:M54"/>
    <mergeCell ref="K55:M67"/>
    <mergeCell ref="A1:C1"/>
    <mergeCell ref="E1:H1"/>
    <mergeCell ref="D7:I7"/>
    <mergeCell ref="D8:I8"/>
    <mergeCell ref="A28:F28"/>
  </mergeCells>
  <conditionalFormatting sqref="I55:I66">
    <cfRule type="containsText" dxfId="27" priority="1" operator="containsText" text="5">
      <formula>NOT(ISERROR(SEARCH(("5"),(I55))))</formula>
    </cfRule>
    <cfRule type="containsText" dxfId="26" priority="2" operator="containsText" text="42">
      <formula>NOT(ISERROR(SEARCH(("42"),(I55))))</formula>
    </cfRule>
    <cfRule type="containsText" dxfId="25" priority="3" operator="containsText" text="Please fill in">
      <formula>NOT(ISERROR(SEARCH(("Please fill in"),(I55))))</formula>
    </cfRule>
  </conditionalFormatting>
  <dataValidations count="3">
    <dataValidation type="list" allowBlank="1" sqref="G46:G50" xr:uid="{85635729-3252-4B83-BE0F-83BA7041A6CF}">
      <formula1>"yes,no"</formula1>
    </dataValidation>
    <dataValidation type="list" allowBlank="1" showErrorMessage="1" sqref="B9" xr:uid="{4D5A123B-A0B3-4650-9472-0D572025BDDC}">
      <formula1>"yes,no,partial"</formula1>
    </dataValidation>
    <dataValidation type="list" allowBlank="1" showErrorMessage="1" sqref="D46:D50 H55:H67" xr:uid="{D14EAA4C-278F-46FF-B1C1-E55A60CBEDB3}">
      <formula1>Leap!TypesOfTrainers</formula1>
    </dataValidation>
  </dataValidations>
  <pageMargins left="0.7" right="0.7" top="0.75" bottom="0.75" header="0" footer="0"/>
  <pageSetup paperSize="9" orientation="portrait"/>
  <drawing r:id="rId1"/>
  <legacyDrawing r:id="rId2"/>
  <tableParts count="6">
    <tablePart r:id="rId3"/>
    <tablePart r:id="rId4"/>
    <tablePart r:id="rId5"/>
    <tablePart r:id="rId6"/>
    <tablePart r:id="rId7"/>
    <tablePart r:id="rId8"/>
  </tableParts>
  <extLst>
    <ext xmlns:x14="http://schemas.microsoft.com/office/spreadsheetml/2009/9/main" uri="{CCE6A557-97BC-4b89-ADB6-D9C93CAAB3DF}">
      <x14:dataValidations xmlns:xm="http://schemas.microsoft.com/office/excel/2006/main" count="4">
        <x14:dataValidation type="list" allowBlank="1" showErrorMessage="1" xr:uid="{0B1A9A82-EDBA-4413-AA8D-0E01D10222D2}">
          <x14:formula1>
            <xm:f>Constants!$A$2:$AD$2</xm:f>
          </x14:formula1>
          <xm:sqref>B71:B87</xm:sqref>
        </x14:dataValidation>
        <x14:dataValidation type="list" allowBlank="1" showErrorMessage="1" xr:uid="{E3FC23D7-5FA7-4858-B487-782593115E6C}">
          <x14:formula1>
            <xm:f>Constants!$H$6:$H$13</xm:f>
          </x14:formula1>
          <xm:sqref>B55:B67</xm:sqref>
        </x14:dataValidation>
        <x14:dataValidation type="list" allowBlank="1" showInputMessage="1" showErrorMessage="1" xr:uid="{724C0710-37F5-4251-82F6-4A7750B4A59F}">
          <x14:formula1>
            <xm:f>Constants!$C$55:$C$56</xm:f>
          </x14:formula1>
          <xm:sqref>B12</xm:sqref>
        </x14:dataValidation>
        <x14:dataValidation type="list" allowBlank="1" showInputMessage="1" showErrorMessage="1" xr:uid="{CBB125BD-200D-4428-B5AA-79356CB28B5C}">
          <x14:formula1>
            <xm:f>Constants!$M$6:$M$7</xm:f>
          </x14:formula1>
          <xm:sqref>B92:B107</xm:sqref>
        </x14:dataValidation>
      </x14:dataValidations>
    </ext>
  </extLs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6C1AA-A690-48AB-A76F-4A2BDC858DEC}">
  <dimension ref="A1:BG1003"/>
  <sheetViews>
    <sheetView topLeftCell="W1" workbookViewId="0">
      <selection activeCell="AF30" sqref="AF30"/>
    </sheetView>
  </sheetViews>
  <sheetFormatPr defaultColWidth="12.625" defaultRowHeight="15" customHeight="1"/>
  <cols>
    <col min="1" max="1" width="36.625" customWidth="1"/>
    <col min="2" max="2" width="28.125" customWidth="1"/>
    <col min="3" max="3" width="21" customWidth="1"/>
    <col min="4" max="4" width="17.5" customWidth="1"/>
    <col min="5" max="5" width="16.125" customWidth="1"/>
    <col min="6" max="6" width="21.5" customWidth="1"/>
    <col min="7" max="7" width="22.625" customWidth="1"/>
    <col min="8" max="8" width="18.625" customWidth="1"/>
    <col min="9" max="9" width="19.625" customWidth="1"/>
    <col min="10" max="10" width="18.875" customWidth="1"/>
    <col min="11" max="11" width="21.625" customWidth="1"/>
    <col min="12" max="12" width="17.375" customWidth="1"/>
    <col min="13" max="13" width="15.125" customWidth="1"/>
    <col min="14" max="14" width="15.625" customWidth="1"/>
    <col min="15" max="15" width="28.5" customWidth="1"/>
    <col min="16" max="16" width="13.125" customWidth="1"/>
    <col min="17" max="17" width="21.875" customWidth="1"/>
    <col min="18" max="18" width="27" customWidth="1"/>
    <col min="19" max="19" width="20.5" customWidth="1"/>
    <col min="20" max="22" width="7.625" customWidth="1"/>
    <col min="23" max="23" width="31.875" customWidth="1"/>
    <col min="24" max="24" width="7.625" customWidth="1"/>
    <col min="25" max="25" width="8.375" customWidth="1"/>
    <col min="26" max="26" width="21.625" customWidth="1"/>
    <col min="27" max="27" width="12" customWidth="1"/>
    <col min="28" max="28" width="16.5" customWidth="1"/>
    <col min="29" max="29" width="6" customWidth="1"/>
    <col min="30" max="30" width="13.625" customWidth="1"/>
  </cols>
  <sheetData>
    <row r="1" spans="1:59" ht="171" customHeight="1">
      <c r="A1" s="703"/>
      <c r="B1" s="704"/>
      <c r="C1" s="705"/>
      <c r="D1" s="16"/>
      <c r="E1" s="572"/>
      <c r="F1" s="704"/>
      <c r="G1" s="704"/>
      <c r="H1" s="705"/>
      <c r="I1" s="16"/>
      <c r="J1" s="16"/>
      <c r="K1" s="16"/>
      <c r="L1" s="16"/>
      <c r="M1" s="16"/>
      <c r="N1" s="16"/>
      <c r="O1" s="16"/>
      <c r="P1" s="16"/>
      <c r="Q1" s="16"/>
      <c r="R1" s="16"/>
      <c r="S1" s="16"/>
      <c r="T1" s="16"/>
      <c r="U1" s="16"/>
      <c r="V1" s="16"/>
      <c r="W1" s="16"/>
      <c r="X1" s="16"/>
      <c r="Y1" s="16"/>
      <c r="Z1" s="16"/>
      <c r="AA1" s="16"/>
      <c r="AB1" s="16"/>
      <c r="AC1" s="16"/>
      <c r="AD1" s="16"/>
    </row>
    <row r="2" spans="1:59">
      <c r="A2" s="58" t="s">
        <v>404</v>
      </c>
      <c r="B2" s="152" t="s">
        <v>532</v>
      </c>
      <c r="C2" s="59"/>
      <c r="D2" s="16"/>
      <c r="E2" s="60" t="s">
        <v>406</v>
      </c>
      <c r="F2" s="153" t="s">
        <v>1942</v>
      </c>
      <c r="G2" s="154"/>
      <c r="H2" s="61"/>
      <c r="I2" s="16"/>
      <c r="J2" s="16"/>
      <c r="K2" s="16"/>
      <c r="L2" s="16"/>
      <c r="M2" s="16"/>
      <c r="N2" s="16"/>
      <c r="O2" s="16"/>
      <c r="P2" s="16"/>
      <c r="Q2" s="16"/>
      <c r="R2" s="16"/>
      <c r="S2" s="16"/>
      <c r="T2" s="16"/>
      <c r="U2" s="16"/>
      <c r="V2" s="16"/>
      <c r="W2" s="16"/>
      <c r="X2" s="16"/>
      <c r="Y2" s="16"/>
      <c r="Z2" s="15"/>
      <c r="AA2" s="15"/>
      <c r="AB2" s="15"/>
      <c r="AC2" s="15"/>
      <c r="AD2" s="16"/>
      <c r="AE2" s="16"/>
      <c r="AF2" s="16"/>
      <c r="AG2" s="16"/>
      <c r="AH2" s="16"/>
      <c r="AI2" s="17"/>
      <c r="AJ2" s="17"/>
      <c r="AK2" s="17"/>
      <c r="AL2" s="17"/>
      <c r="AM2" s="17"/>
      <c r="AN2" s="17"/>
      <c r="AO2" s="17"/>
      <c r="AP2" s="17"/>
      <c r="AQ2" s="17"/>
      <c r="AR2" s="18"/>
      <c r="AS2" s="17"/>
      <c r="AT2" s="17"/>
      <c r="AU2" s="16"/>
      <c r="AV2" s="16"/>
      <c r="AW2" s="16"/>
      <c r="AX2" s="16"/>
      <c r="AY2" s="16"/>
      <c r="AZ2" s="16"/>
      <c r="BA2" s="16"/>
    </row>
    <row r="3" spans="1:59">
      <c r="A3" s="62" t="s">
        <v>408</v>
      </c>
      <c r="B3" s="155">
        <v>7</v>
      </c>
      <c r="C3" s="156"/>
      <c r="D3" s="16"/>
      <c r="E3" s="63" t="s">
        <v>409</v>
      </c>
      <c r="F3" s="311">
        <v>45804</v>
      </c>
      <c r="G3" s="158"/>
      <c r="H3" s="159"/>
      <c r="I3" s="16"/>
      <c r="J3" s="16"/>
      <c r="K3" s="16"/>
      <c r="L3" s="16"/>
      <c r="M3" s="16"/>
      <c r="N3" s="16"/>
      <c r="O3" s="16"/>
      <c r="P3" s="16"/>
      <c r="Q3" s="16"/>
      <c r="R3" s="16"/>
      <c r="S3" s="16"/>
      <c r="T3" s="16"/>
      <c r="U3" s="16"/>
      <c r="V3" s="16"/>
      <c r="W3" s="16"/>
      <c r="X3" s="16"/>
      <c r="Y3" s="16"/>
      <c r="Z3" s="16"/>
      <c r="AA3" s="16"/>
      <c r="AB3" s="16"/>
      <c r="AC3" s="16"/>
      <c r="AD3" s="16"/>
    </row>
    <row r="4" spans="1:59">
      <c r="A4" s="160" t="s">
        <v>410</v>
      </c>
      <c r="B4" s="161"/>
      <c r="C4" s="162"/>
      <c r="D4" s="16"/>
      <c r="E4" s="163"/>
      <c r="F4" s="164"/>
      <c r="G4" s="165"/>
      <c r="H4" s="166"/>
      <c r="I4" s="16"/>
      <c r="J4" s="16"/>
      <c r="K4" s="16"/>
      <c r="L4" s="16"/>
      <c r="M4" s="16"/>
      <c r="N4" s="16"/>
      <c r="O4" s="16"/>
      <c r="P4" s="16"/>
      <c r="Q4" s="16"/>
      <c r="R4" s="16"/>
      <c r="S4" s="16"/>
      <c r="T4" s="16"/>
      <c r="U4" s="16"/>
      <c r="V4" s="16"/>
      <c r="W4" s="16"/>
      <c r="X4" s="16"/>
      <c r="Y4" s="16"/>
      <c r="Z4" s="16"/>
      <c r="AA4" s="16"/>
      <c r="AB4" s="16"/>
      <c r="AC4" s="16"/>
      <c r="AD4" s="16"/>
    </row>
    <row r="5" spans="1:59">
      <c r="A5" s="167" t="s">
        <v>411</v>
      </c>
      <c r="B5" s="168"/>
      <c r="C5" s="167"/>
      <c r="D5" s="16"/>
      <c r="E5" s="169" t="s">
        <v>412</v>
      </c>
      <c r="F5" s="169"/>
      <c r="G5" s="158"/>
      <c r="H5" s="169"/>
      <c r="I5" s="16"/>
      <c r="J5" s="16"/>
      <c r="K5" s="16"/>
      <c r="L5" s="16"/>
      <c r="M5" s="16"/>
      <c r="N5" s="16"/>
      <c r="O5" s="16"/>
      <c r="P5" s="16"/>
      <c r="Q5" s="16"/>
      <c r="R5" s="16"/>
      <c r="S5" s="16"/>
      <c r="T5" s="16"/>
      <c r="U5" s="16"/>
      <c r="V5" s="16"/>
      <c r="W5" s="16"/>
      <c r="X5" s="16"/>
      <c r="Y5" s="16"/>
      <c r="Z5" s="16"/>
      <c r="AA5" s="16"/>
      <c r="AB5" s="16"/>
      <c r="AC5" s="16"/>
      <c r="AD5" s="16"/>
    </row>
    <row r="6" spans="1:59">
      <c r="A6" s="15"/>
      <c r="B6" s="64"/>
      <c r="C6" s="16"/>
      <c r="D6" s="16"/>
      <c r="E6" s="16"/>
      <c r="F6" s="16"/>
      <c r="G6" s="16"/>
      <c r="H6" s="16"/>
      <c r="I6" s="16"/>
      <c r="J6" s="64"/>
      <c r="K6" s="16"/>
      <c r="L6" s="16"/>
      <c r="M6" s="16"/>
      <c r="N6" s="16"/>
      <c r="O6" s="16"/>
      <c r="P6" s="16"/>
      <c r="Q6" s="16"/>
      <c r="R6" s="16"/>
      <c r="S6" s="16"/>
      <c r="T6" s="16"/>
      <c r="U6" s="16"/>
      <c r="V6" s="16"/>
      <c r="W6" s="16"/>
      <c r="X6" s="16"/>
      <c r="Y6" s="16"/>
      <c r="Z6" s="16"/>
      <c r="AA6" s="16"/>
      <c r="AB6" s="16"/>
      <c r="AC6" s="16"/>
      <c r="AD6" s="16"/>
    </row>
    <row r="7" spans="1:59">
      <c r="A7" s="170" t="s">
        <v>413</v>
      </c>
      <c r="B7" s="59">
        <v>24</v>
      </c>
      <c r="C7" s="16"/>
      <c r="D7" s="573" t="s">
        <v>414</v>
      </c>
      <c r="E7" s="701"/>
      <c r="F7" s="701"/>
      <c r="G7" s="701"/>
      <c r="H7" s="701"/>
      <c r="I7" s="701"/>
      <c r="J7" s="16"/>
      <c r="K7" s="16"/>
      <c r="L7" s="16"/>
      <c r="M7" s="16"/>
      <c r="N7" s="16"/>
      <c r="O7" s="16"/>
      <c r="P7" s="16"/>
      <c r="Q7" s="16"/>
      <c r="R7" s="16"/>
      <c r="S7" s="16"/>
      <c r="T7" s="16"/>
      <c r="U7" s="16"/>
      <c r="V7" s="16"/>
      <c r="W7" s="16"/>
      <c r="X7" s="16"/>
      <c r="Y7" s="16"/>
      <c r="Z7" s="16"/>
      <c r="AA7" s="16"/>
      <c r="AB7" s="16"/>
      <c r="AC7" s="16"/>
      <c r="AD7" s="16"/>
    </row>
    <row r="8" spans="1:59" ht="14.25" customHeight="1">
      <c r="A8" s="171" t="s">
        <v>415</v>
      </c>
      <c r="B8" s="172">
        <f>M21</f>
        <v>0</v>
      </c>
      <c r="C8" s="16" t="s">
        <v>416</v>
      </c>
      <c r="D8" s="574" t="s">
        <v>417</v>
      </c>
      <c r="E8" s="704"/>
      <c r="F8" s="704"/>
      <c r="G8" s="704"/>
      <c r="H8" s="704"/>
      <c r="I8" s="704"/>
      <c r="J8" s="16"/>
      <c r="K8" s="16"/>
      <c r="L8" s="16"/>
      <c r="M8" s="16"/>
      <c r="N8" s="16"/>
      <c r="O8" s="16"/>
      <c r="P8" s="16"/>
      <c r="Q8" s="16"/>
      <c r="R8" s="16"/>
      <c r="S8" s="16"/>
      <c r="T8" s="16"/>
      <c r="U8" s="16"/>
      <c r="V8" s="16"/>
      <c r="W8" s="16"/>
      <c r="X8" s="16"/>
      <c r="Y8" s="16"/>
      <c r="Z8" s="16"/>
      <c r="AA8" s="16"/>
      <c r="AB8" s="16"/>
      <c r="AC8" s="16"/>
    </row>
    <row r="9" spans="1:59">
      <c r="A9" s="65" t="s">
        <v>418</v>
      </c>
      <c r="B9" s="173" t="s">
        <v>419</v>
      </c>
      <c r="C9" s="16"/>
      <c r="D9" s="16"/>
      <c r="E9" s="17"/>
      <c r="F9" s="17"/>
      <c r="G9" s="17"/>
      <c r="H9" s="17"/>
      <c r="I9" s="17"/>
      <c r="J9" s="17"/>
      <c r="K9" s="17"/>
      <c r="L9" s="17"/>
      <c r="M9" s="17"/>
      <c r="N9" s="17"/>
      <c r="O9" s="17"/>
      <c r="P9" s="17"/>
      <c r="Q9" s="16"/>
      <c r="R9" s="17"/>
      <c r="S9" s="17"/>
      <c r="T9" s="17"/>
      <c r="U9" s="17"/>
      <c r="V9" s="17"/>
      <c r="W9" s="17"/>
      <c r="X9" s="17"/>
      <c r="Y9" s="17"/>
      <c r="Z9" s="17"/>
      <c r="AA9" s="17"/>
      <c r="AB9" s="17"/>
      <c r="AC9" s="17"/>
      <c r="AD9" s="18" t="s">
        <v>242</v>
      </c>
    </row>
    <row r="10" spans="1:59">
      <c r="A10" s="174" t="s">
        <v>420</v>
      </c>
      <c r="B10" s="66">
        <v>1</v>
      </c>
      <c r="C10" s="16"/>
      <c r="D10" s="16"/>
      <c r="E10" s="17"/>
      <c r="F10" s="17"/>
      <c r="G10" s="17"/>
      <c r="H10" s="17"/>
      <c r="I10" s="17"/>
      <c r="J10" s="17"/>
      <c r="K10" s="17"/>
      <c r="L10" s="17"/>
      <c r="M10" s="17"/>
      <c r="N10" s="17"/>
      <c r="O10" s="17"/>
      <c r="P10" s="17"/>
      <c r="Q10" s="16"/>
      <c r="R10" s="17"/>
      <c r="S10" s="17"/>
      <c r="T10" s="17"/>
      <c r="U10" s="17"/>
      <c r="V10" s="17"/>
      <c r="W10" s="17"/>
      <c r="X10" s="17"/>
      <c r="Y10" s="17"/>
      <c r="Z10" s="17"/>
      <c r="AA10" s="17"/>
      <c r="AB10" s="17"/>
      <c r="AC10" s="17"/>
      <c r="AD10" s="18"/>
    </row>
    <row r="11" spans="1:59">
      <c r="A11" s="171" t="s">
        <v>421</v>
      </c>
      <c r="B11" s="238">
        <v>24</v>
      </c>
      <c r="C11" s="16"/>
      <c r="D11" s="16"/>
      <c r="E11" s="17"/>
      <c r="F11" s="17"/>
      <c r="G11" s="17"/>
      <c r="H11" s="17"/>
      <c r="I11" s="17"/>
      <c r="J11" s="17"/>
      <c r="K11" s="17"/>
      <c r="L11" s="17"/>
      <c r="M11" s="17"/>
      <c r="N11" s="17"/>
      <c r="O11" s="17"/>
      <c r="P11" s="17"/>
      <c r="Q11" s="16"/>
      <c r="R11" s="17"/>
      <c r="S11" s="17"/>
      <c r="T11" s="17"/>
      <c r="U11" s="17"/>
      <c r="V11" s="17"/>
      <c r="W11" s="17"/>
      <c r="X11" s="17"/>
      <c r="Y11" s="17"/>
      <c r="Z11" s="17"/>
      <c r="AA11" s="17"/>
      <c r="AB11" s="17"/>
      <c r="AC11" s="17"/>
      <c r="AD11" s="18"/>
    </row>
    <row r="12" spans="1:59">
      <c r="A12" s="239" t="s">
        <v>422</v>
      </c>
      <c r="B12" s="240" t="s">
        <v>319</v>
      </c>
      <c r="C12" s="16"/>
      <c r="D12" s="16"/>
      <c r="E12" s="17"/>
      <c r="F12" s="17"/>
      <c r="G12" s="17"/>
      <c r="H12" s="17"/>
      <c r="I12" s="17"/>
      <c r="J12" s="17"/>
      <c r="K12" s="17"/>
      <c r="L12" s="17"/>
      <c r="M12" s="17"/>
      <c r="N12" s="17"/>
      <c r="O12" s="17"/>
      <c r="P12" s="17"/>
      <c r="Q12" s="16"/>
      <c r="R12" s="17"/>
      <c r="S12" s="17"/>
      <c r="T12" s="17"/>
      <c r="U12" s="17"/>
      <c r="V12" s="17"/>
      <c r="W12" s="17"/>
      <c r="X12" s="17"/>
      <c r="Y12" s="17"/>
      <c r="Z12" s="17"/>
      <c r="AA12" s="17"/>
      <c r="AB12" s="17"/>
      <c r="AC12" s="17"/>
      <c r="AD12" s="18"/>
    </row>
    <row r="13" spans="1:59">
      <c r="A13" s="16"/>
      <c r="B13" s="16"/>
      <c r="C13" s="16"/>
      <c r="D13" s="16"/>
      <c r="E13" s="17"/>
      <c r="F13" s="17"/>
      <c r="G13" s="17"/>
      <c r="H13" s="17"/>
      <c r="I13" s="17"/>
      <c r="J13" s="17"/>
      <c r="K13" s="17"/>
      <c r="L13" s="17"/>
      <c r="M13" s="17"/>
      <c r="N13" s="17"/>
      <c r="O13" s="17"/>
      <c r="P13" s="17"/>
      <c r="Q13" s="16"/>
      <c r="R13" s="17"/>
      <c r="S13" s="17"/>
      <c r="T13" s="17"/>
      <c r="U13" s="17"/>
      <c r="V13" s="17"/>
      <c r="W13" s="17"/>
      <c r="X13" s="17"/>
      <c r="Y13" s="17"/>
      <c r="Z13" s="17"/>
      <c r="AA13" s="17"/>
      <c r="AB13" s="17"/>
      <c r="AC13" s="17"/>
      <c r="AD13" s="17" t="str">
        <f t="array" ref="AD13:BF13">[0]!LocationNames</f>
        <v>SC1</v>
      </c>
      <c r="AE13" s="17" t="str">
        <v>SC1 - Half</v>
      </c>
      <c r="AF13" s="17" t="str">
        <v>SC2</v>
      </c>
      <c r="AG13" s="17" t="e">
        <v>#N/A</v>
      </c>
      <c r="AH13" s="17" t="e">
        <v>#N/A</v>
      </c>
      <c r="AI13" s="17" t="e">
        <v>#N/A</v>
      </c>
      <c r="AJ13" s="17" t="e">
        <v>#N/A</v>
      </c>
      <c r="AK13" s="17" t="e">
        <v>#N/A</v>
      </c>
      <c r="AL13" s="17" t="e">
        <v>#N/A</v>
      </c>
      <c r="AM13" s="17" t="e">
        <v>#N/A</v>
      </c>
      <c r="AN13" s="17" t="e">
        <v>#N/A</v>
      </c>
      <c r="AO13" s="17" t="e">
        <v>#N/A</v>
      </c>
      <c r="AP13" s="17" t="e">
        <v>#N/A</v>
      </c>
      <c r="AQ13" s="17" t="e">
        <v>#N/A</v>
      </c>
      <c r="AR13" s="17" t="e">
        <v>#N/A</v>
      </c>
      <c r="AS13" s="17" t="e">
        <v>#N/A</v>
      </c>
      <c r="AT13" s="17" t="e">
        <v>#N/A</v>
      </c>
      <c r="AU13" s="17" t="e">
        <v>#N/A</v>
      </c>
      <c r="AV13" s="17" t="e">
        <v>#N/A</v>
      </c>
      <c r="AW13" s="17" t="e">
        <v>#N/A</v>
      </c>
      <c r="AX13" s="17" t="e">
        <v>#N/A</v>
      </c>
      <c r="AY13" s="17" t="e">
        <v>#N/A</v>
      </c>
      <c r="AZ13" s="17" t="e">
        <v>#N/A</v>
      </c>
      <c r="BA13" s="17" t="e">
        <v>#N/A</v>
      </c>
      <c r="BB13" s="17" t="e">
        <v>#N/A</v>
      </c>
      <c r="BC13" s="22" t="e">
        <v>#N/A</v>
      </c>
      <c r="BD13" s="22" t="e">
        <v>#N/A</v>
      </c>
      <c r="BE13" s="22" t="e">
        <v>#N/A</v>
      </c>
      <c r="BF13" s="22" t="e">
        <v>#N/A</v>
      </c>
      <c r="BG13" s="22" t="s">
        <v>270</v>
      </c>
    </row>
    <row r="14" spans="1:59" ht="15.95" thickBot="1">
      <c r="A14" s="175" t="s">
        <v>423</v>
      </c>
      <c r="B14" s="16"/>
      <c r="C14" s="16"/>
      <c r="D14" s="16"/>
      <c r="E14" s="16"/>
      <c r="F14" s="16"/>
      <c r="G14" s="175" t="s">
        <v>424</v>
      </c>
      <c r="I14" s="17"/>
      <c r="J14" s="17"/>
      <c r="K14" s="176" t="s">
        <v>425</v>
      </c>
      <c r="L14" s="17"/>
      <c r="M14" s="176" t="s">
        <v>426</v>
      </c>
      <c r="N14" s="17"/>
      <c r="O14" s="17"/>
      <c r="P14" s="17"/>
      <c r="Q14" s="17"/>
      <c r="R14" s="17"/>
      <c r="S14" s="16"/>
      <c r="T14" s="17"/>
      <c r="U14" s="17"/>
      <c r="V14" s="17"/>
      <c r="W14" s="17"/>
      <c r="X14" s="17"/>
      <c r="Y14" s="17"/>
      <c r="Z14" s="17"/>
      <c r="AA14" s="17"/>
      <c r="AB14" s="17"/>
      <c r="AC14" s="17"/>
      <c r="AD14" s="19">
        <f t="array" ref="AD14:BF14">Constants!A3:AC3</f>
        <v>67.5</v>
      </c>
      <c r="AE14" s="19">
        <v>35</v>
      </c>
      <c r="AF14" s="19">
        <v>67.5</v>
      </c>
      <c r="AG14" s="19">
        <v>35</v>
      </c>
      <c r="AH14" s="19">
        <v>40</v>
      </c>
      <c r="AI14" s="19">
        <v>40</v>
      </c>
      <c r="AJ14" s="19">
        <v>35</v>
      </c>
      <c r="AK14" s="19">
        <v>35</v>
      </c>
      <c r="AL14" s="19">
        <v>40</v>
      </c>
      <c r="AM14" s="19">
        <v>27.5</v>
      </c>
      <c r="AN14" s="19">
        <v>45</v>
      </c>
      <c r="AO14" s="19">
        <v>75</v>
      </c>
      <c r="AP14" s="19">
        <v>40</v>
      </c>
      <c r="AQ14" s="19">
        <v>75</v>
      </c>
      <c r="AR14" s="19">
        <v>40</v>
      </c>
      <c r="AS14" s="19">
        <v>30</v>
      </c>
      <c r="AT14" s="19">
        <v>50</v>
      </c>
      <c r="AU14" s="19">
        <v>75</v>
      </c>
      <c r="AV14" s="19">
        <v>40</v>
      </c>
      <c r="AW14" s="19">
        <v>75</v>
      </c>
      <c r="AX14" s="19">
        <v>40</v>
      </c>
      <c r="AY14" s="19">
        <v>50</v>
      </c>
      <c r="AZ14" s="19">
        <v>65</v>
      </c>
      <c r="BA14" s="19">
        <v>35</v>
      </c>
      <c r="BB14" s="19">
        <v>45</v>
      </c>
      <c r="BC14" s="19">
        <v>50</v>
      </c>
      <c r="BD14" s="19">
        <v>0</v>
      </c>
      <c r="BE14" s="19">
        <v>65</v>
      </c>
      <c r="BF14" s="20">
        <v>70</v>
      </c>
      <c r="BG14" s="20"/>
    </row>
    <row r="15" spans="1:59" ht="15.95" thickTop="1">
      <c r="A15" s="67"/>
      <c r="B15" s="68" t="str">
        <f>Constants!H6</f>
        <v>Performance training</v>
      </c>
      <c r="C15" s="68" t="str">
        <f>Constants!H7</f>
        <v>Performance coaching</v>
      </c>
      <c r="D15" s="68" t="str">
        <f>Constants!H8</f>
        <v>Dangerous</v>
      </c>
      <c r="E15" s="69" t="str">
        <f>Constants!H9</f>
        <v>Recreational</v>
      </c>
      <c r="F15" s="69" t="s">
        <v>290</v>
      </c>
      <c r="G15" s="70"/>
      <c r="H15" s="71" t="s">
        <v>427</v>
      </c>
      <c r="I15" s="72" t="s">
        <v>272</v>
      </c>
      <c r="J15" s="70" t="s">
        <v>5</v>
      </c>
      <c r="K15" s="72" t="s">
        <v>428</v>
      </c>
      <c r="L15" s="70" t="s">
        <v>429</v>
      </c>
      <c r="M15" s="73" cm="1">
        <f t="array" ref="M15">(SUM(IF($D$46:$D$50="PT",($F$46:$F$50)/1.5+IF($G$46:$G$50="yes",1)))+SUM(IF($D$46:$D$50="Extern",($F$46:$F$50)/1.5+IF($G$46:$G$50="yes",1)))+SUM(IF($D$46:$D$50="PT-ZZP",($F$46:$F$50)/1.5+IF($G$46:$G$50="yes",1))))*Constants!B10</f>
        <v>0</v>
      </c>
      <c r="N15" s="17"/>
      <c r="O15" s="17"/>
      <c r="P15" s="17"/>
      <c r="Q15" s="17"/>
      <c r="R15" s="16"/>
      <c r="S15" s="17"/>
      <c r="T15" s="17"/>
      <c r="U15" s="17"/>
      <c r="V15" s="17"/>
      <c r="W15" s="17"/>
      <c r="X15" s="17"/>
      <c r="Y15" s="17"/>
      <c r="Z15" s="17"/>
      <c r="AA15" s="17"/>
      <c r="AB15" s="17"/>
      <c r="AC15" s="17"/>
      <c r="AD15" s="16">
        <f t="shared" ref="AD15:BF15" si="0">SUMIF($B$71:$B$88,AD13,$F$71:$F$88)</f>
        <v>0</v>
      </c>
      <c r="AE15" s="16">
        <f t="shared" si="0"/>
        <v>0</v>
      </c>
      <c r="AF15" s="16">
        <f t="shared" si="0"/>
        <v>0</v>
      </c>
      <c r="AG15" s="16">
        <f t="shared" si="0"/>
        <v>0</v>
      </c>
      <c r="AH15" s="16">
        <f t="shared" si="0"/>
        <v>0</v>
      </c>
      <c r="AI15" s="16">
        <f t="shared" si="0"/>
        <v>0</v>
      </c>
      <c r="AJ15" s="16">
        <f t="shared" si="0"/>
        <v>0</v>
      </c>
      <c r="AK15" s="16">
        <f t="shared" si="0"/>
        <v>0</v>
      </c>
      <c r="AL15" s="16">
        <f t="shared" si="0"/>
        <v>0</v>
      </c>
      <c r="AM15" s="16">
        <f t="shared" si="0"/>
        <v>0</v>
      </c>
      <c r="AN15" s="16">
        <f t="shared" si="0"/>
        <v>0</v>
      </c>
      <c r="AO15" s="16">
        <f t="shared" si="0"/>
        <v>0</v>
      </c>
      <c r="AP15" s="16">
        <f t="shared" si="0"/>
        <v>0</v>
      </c>
      <c r="AQ15" s="16">
        <f t="shared" si="0"/>
        <v>0</v>
      </c>
      <c r="AR15" s="16">
        <f t="shared" si="0"/>
        <v>0</v>
      </c>
      <c r="AS15" s="16">
        <f t="shared" si="0"/>
        <v>0</v>
      </c>
      <c r="AT15" s="16">
        <f t="shared" si="0"/>
        <v>0</v>
      </c>
      <c r="AU15" s="16">
        <f t="shared" si="0"/>
        <v>0</v>
      </c>
      <c r="AV15" s="16">
        <f t="shared" si="0"/>
        <v>0</v>
      </c>
      <c r="AW15" s="16">
        <f t="shared" si="0"/>
        <v>0</v>
      </c>
      <c r="AX15" s="16">
        <f t="shared" si="0"/>
        <v>0</v>
      </c>
      <c r="AY15" s="16">
        <f t="shared" si="0"/>
        <v>0</v>
      </c>
      <c r="AZ15" s="16">
        <f t="shared" si="0"/>
        <v>0</v>
      </c>
      <c r="BA15" s="16">
        <f t="shared" si="0"/>
        <v>0</v>
      </c>
      <c r="BB15" s="16">
        <f t="shared" si="0"/>
        <v>0</v>
      </c>
      <c r="BC15" s="16">
        <f t="shared" si="0"/>
        <v>0</v>
      </c>
      <c r="BD15" s="16">
        <f t="shared" si="0"/>
        <v>0</v>
      </c>
      <c r="BE15" s="16">
        <f t="shared" si="0"/>
        <v>0</v>
      </c>
      <c r="BF15" s="16">
        <f t="shared" si="0"/>
        <v>0</v>
      </c>
    </row>
    <row r="16" spans="1:59">
      <c r="A16" s="74" t="str">
        <f>Constants!E6</f>
        <v>PT</v>
      </c>
      <c r="B16" s="16">
        <f>SUMIFS(TheStrals!$F$55:$F$67,TheStrals!$B$55:$B$67, B$15,TheStrals!$H$55:$H$67,$A16)*(1+Constants!$B$7)</f>
        <v>0</v>
      </c>
      <c r="C16" s="16">
        <f>SUMIFS(TheStrals!$F$55:$F$67,TheStrals!$B$55:$B$67, C$15,TheStrals!$H$55:$H$67,$A16)</f>
        <v>0</v>
      </c>
      <c r="D16" s="16">
        <f>SUMIFS(TheStrals!$F$55:$F$67,TheStrals!$B$55:$B$67, D$15,TheStrals!$H$55:$H$67,$A16)*(1+Constants!$B$7)</f>
        <v>0</v>
      </c>
      <c r="E16" s="16">
        <f>SUMIFS(TheStrals!$F$55:$F$67,TheStrals!$B$55:$B$67, E$15,TheStrals!$H$55:$H$67,$A16)*(1+Constants!$B$7)</f>
        <v>0</v>
      </c>
      <c r="F16" s="16">
        <f>SUMIFS(TheStrals!$F$55:$F$67,TheStrals!$B$55:$B$67, F$15,TheStrals!$H$55:$H$67,$A16)*(1+Constants!$B$7)</f>
        <v>0</v>
      </c>
      <c r="G16" s="74" t="s">
        <v>430</v>
      </c>
      <c r="H16" s="16">
        <f>SUMIF(TheStrals!$B$73:$B$89,"&lt;&gt;External",TheStrals!$F$73:$F$89)</f>
        <v>0</v>
      </c>
      <c r="I16" s="75">
        <f>SUMIF(TheStrals!$B$73:$B$89,"External",TheStrals!$F$73:$F$89)</f>
        <v>0</v>
      </c>
      <c r="J16" s="234">
        <f>SUM($F$92:$F$105)</f>
        <v>0</v>
      </c>
      <c r="K16" s="76">
        <f>IF(OR(ISBLANK(B7),ISBLANK(B9)), "ERROR",MAX(MIN(J16,B7*Constants!B15)-Constants!B14*B7,0)*IF(B9="yes",Constants!B16,IF(B9="no",Constants!B17,0)))</f>
        <v>0</v>
      </c>
      <c r="L16" s="77" t="s">
        <v>360</v>
      </c>
      <c r="M16" s="76">
        <f>E16*Constants!B6+E17*Constants!B8+E22+E21</f>
        <v>0</v>
      </c>
      <c r="N16" s="17"/>
      <c r="O16" s="17"/>
      <c r="P16" s="17"/>
      <c r="Q16" s="17"/>
      <c r="R16" s="16"/>
      <c r="S16" s="17"/>
      <c r="T16" s="17"/>
      <c r="U16" s="17"/>
      <c r="V16" s="17"/>
      <c r="W16" s="17"/>
      <c r="X16" s="17"/>
      <c r="Y16" s="17"/>
      <c r="Z16" s="17"/>
      <c r="AA16" s="17"/>
      <c r="AB16" s="17"/>
      <c r="AC16" s="17"/>
      <c r="AD16" s="19">
        <f t="shared" ref="AD16:BF16" si="1">AD14*AD15</f>
        <v>0</v>
      </c>
      <c r="AE16" s="19">
        <f t="shared" si="1"/>
        <v>0</v>
      </c>
      <c r="AF16" s="19">
        <f t="shared" si="1"/>
        <v>0</v>
      </c>
      <c r="AG16" s="19">
        <f t="shared" si="1"/>
        <v>0</v>
      </c>
      <c r="AH16" s="19">
        <f t="shared" si="1"/>
        <v>0</v>
      </c>
      <c r="AI16" s="19">
        <f t="shared" si="1"/>
        <v>0</v>
      </c>
      <c r="AJ16" s="19">
        <f t="shared" si="1"/>
        <v>0</v>
      </c>
      <c r="AK16" s="19">
        <f t="shared" si="1"/>
        <v>0</v>
      </c>
      <c r="AL16" s="19">
        <f t="shared" si="1"/>
        <v>0</v>
      </c>
      <c r="AM16" s="19">
        <f t="shared" si="1"/>
        <v>0</v>
      </c>
      <c r="AN16" s="19">
        <f t="shared" si="1"/>
        <v>0</v>
      </c>
      <c r="AO16" s="19">
        <f t="shared" si="1"/>
        <v>0</v>
      </c>
      <c r="AP16" s="19">
        <f t="shared" si="1"/>
        <v>0</v>
      </c>
      <c r="AQ16" s="19">
        <f t="shared" si="1"/>
        <v>0</v>
      </c>
      <c r="AR16" s="19">
        <f t="shared" si="1"/>
        <v>0</v>
      </c>
      <c r="AS16" s="19">
        <f t="shared" si="1"/>
        <v>0</v>
      </c>
      <c r="AT16" s="19">
        <f t="shared" si="1"/>
        <v>0</v>
      </c>
      <c r="AU16" s="19">
        <f t="shared" si="1"/>
        <v>0</v>
      </c>
      <c r="AV16" s="19">
        <f t="shared" si="1"/>
        <v>0</v>
      </c>
      <c r="AW16" s="19">
        <f t="shared" si="1"/>
        <v>0</v>
      </c>
      <c r="AX16" s="19">
        <f t="shared" si="1"/>
        <v>0</v>
      </c>
      <c r="AY16" s="19">
        <f t="shared" si="1"/>
        <v>0</v>
      </c>
      <c r="AZ16" s="19">
        <f t="shared" si="1"/>
        <v>0</v>
      </c>
      <c r="BA16" s="19">
        <f t="shared" si="1"/>
        <v>0</v>
      </c>
      <c r="BB16" s="19">
        <f t="shared" si="1"/>
        <v>0</v>
      </c>
      <c r="BC16" s="19">
        <f t="shared" si="1"/>
        <v>0</v>
      </c>
      <c r="BD16" s="19">
        <f t="shared" si="1"/>
        <v>0</v>
      </c>
      <c r="BE16" s="19">
        <f t="shared" si="1"/>
        <v>0</v>
      </c>
      <c r="BF16" s="19">
        <f t="shared" si="1"/>
        <v>0</v>
      </c>
    </row>
    <row r="17" spans="1:36">
      <c r="A17" s="74" t="str">
        <f>Constants!E7</f>
        <v>PT-V</v>
      </c>
      <c r="B17" s="16">
        <f>SUMIFS(TheStrals!$F$55:$F$67,TheStrals!$B$55:$B$67, B$15,TheStrals!$H$55:$H$67,$A17)*(1+Constants!$B$9)</f>
        <v>0</v>
      </c>
      <c r="C17" s="16">
        <f>SUMIFS(TheStrals!$F$55:$F$67,TheStrals!$B$55:$B$67, C$15,TheStrals!$H$55:$H$67,$A17)</f>
        <v>0</v>
      </c>
      <c r="D17" s="16">
        <f>SUMIFS(TheStrals!$F$55:$F$67,TheStrals!$B$55:$B$67, D$15,TheStrals!$H$55:$H$67,$A17)*(1+Constants!$B$9)</f>
        <v>0</v>
      </c>
      <c r="E17" s="16">
        <f>SUMIFS(TheStrals!$F$55:$F$67,TheStrals!$B$55:$B$67, E$15,TheStrals!$H$55:$H$67,$A17)*(1+Constants!$B$9)</f>
        <v>0</v>
      </c>
      <c r="F17" s="16">
        <f>SUMIFS(TheStrals!$F$55:$F$67,TheStrals!$B$55:$B$67, F$15,TheStrals!$H$55:$H$67,$A17)</f>
        <v>0</v>
      </c>
      <c r="G17" s="74" t="s">
        <v>38</v>
      </c>
      <c r="H17" s="78">
        <f>SUM(AD16:BZ16)</f>
        <v>0</v>
      </c>
      <c r="I17" s="76" cm="1">
        <f t="array" ref="I17">SUM(IF($B$71:$B$87="External",$F$71:$F$87*$H$71:$H$87,0))</f>
        <v>0</v>
      </c>
      <c r="J17" s="79"/>
      <c r="K17" s="80"/>
      <c r="L17" s="77" t="s">
        <v>63</v>
      </c>
      <c r="M17" s="76">
        <f>J16-K16</f>
        <v>0</v>
      </c>
      <c r="N17" s="17"/>
      <c r="O17" s="17"/>
      <c r="P17" s="17"/>
      <c r="Q17" s="17"/>
      <c r="R17" s="16"/>
      <c r="S17" s="17"/>
      <c r="T17" s="17"/>
      <c r="U17" s="17"/>
      <c r="V17" s="17"/>
      <c r="W17" s="17"/>
      <c r="X17" s="17"/>
      <c r="Y17" s="17"/>
      <c r="Z17" s="17"/>
      <c r="AA17" s="17"/>
      <c r="AB17" s="17"/>
      <c r="AC17" s="17"/>
      <c r="AD17" s="17"/>
      <c r="AE17" s="17"/>
    </row>
    <row r="18" spans="1:36">
      <c r="A18" s="74" t="str">
        <f>Constants!E8</f>
        <v>PT-ZZP</v>
      </c>
      <c r="B18" s="16">
        <f>SUMIFS(TheStrals!$F$55:$F$67,TheStrals!$B$55:$B$67, B$15,TheStrals!$H$55:$H$67,$A18)*(1+Constants!$B$7)</f>
        <v>0</v>
      </c>
      <c r="C18" s="16">
        <f>SUMIFS(TheStrals!$F$55:$F$67,TheStrals!$B$55:$B$67, C$15,TheStrals!$H$55:$H$67,$A18)</f>
        <v>0</v>
      </c>
      <c r="D18" s="16">
        <f>SUMIFS(TheStrals!$F$55:$F$67,TheStrals!$B$55:$B$67, D$15,TheStrals!$H$55:$H$67,$A18)*(1+Constants!$B$7)</f>
        <v>0</v>
      </c>
      <c r="E18" s="16">
        <f>SUMIFS(TheStrals!$F$55:$F$67,TheStrals!$B$55:$B$67, E$15,TheStrals!$H$55:$H$67,$A18)*(1+Constants!$B$7)</f>
        <v>0</v>
      </c>
      <c r="F18" s="16">
        <f>SUMIFS(TheStrals!$F$55:$F$67,TheStrals!$B$55:$B$67, F$15,TheStrals!$H$55:$H$67,$A18)*(1+Constants!$B$7)</f>
        <v>0</v>
      </c>
      <c r="G18" s="74"/>
      <c r="H18" s="78"/>
      <c r="I18" s="76"/>
      <c r="J18" s="79"/>
      <c r="K18" s="80"/>
      <c r="L18" s="77" t="s">
        <v>60</v>
      </c>
      <c r="M18" s="76" t="str">
        <f>IF(I17-Constants!I17*$B$7&gt;0,$I$17-Constants!I17*$B$7,"-")</f>
        <v>-</v>
      </c>
      <c r="N18" s="17"/>
      <c r="O18" s="17"/>
      <c r="P18" s="17"/>
      <c r="Q18" s="17"/>
      <c r="R18" s="16"/>
      <c r="S18" s="17"/>
      <c r="T18" s="17"/>
      <c r="U18" s="17"/>
      <c r="V18" s="17"/>
      <c r="W18" s="17"/>
      <c r="X18" s="17"/>
      <c r="Y18" s="17"/>
      <c r="Z18" s="17"/>
      <c r="AA18" s="17"/>
      <c r="AB18" s="17"/>
      <c r="AC18" s="17"/>
      <c r="AD18" s="17"/>
      <c r="AE18" s="17"/>
    </row>
    <row r="19" spans="1:36">
      <c r="A19" s="74" t="str">
        <f>Constants!E9</f>
        <v>RT</v>
      </c>
      <c r="B19" s="16">
        <f>SUMIFS(TheStrals!$F$55:$F$67,TheStrals!$B$55:$B$67, B$15,TheStrals!$H$55:$H$67,$A19)</f>
        <v>0</v>
      </c>
      <c r="C19" s="16">
        <f>SUMIFS(TheStrals!$F$55:$F$67,TheStrals!$B$55:$B$67, C$15,TheStrals!$H$55:$H$67,$A19)</f>
        <v>0</v>
      </c>
      <c r="D19" s="16">
        <f>SUMIFS(TheStrals!$F$55:$F$67,TheStrals!$B$55:$B$67, D$15,TheStrals!$H$55:$H$67,$A19)</f>
        <v>0</v>
      </c>
      <c r="E19" s="16">
        <f>SUMIFS(TheStrals!$F$55:$F$67,TheStrals!$B$55:$B$67, E$15,TheStrals!$H$55:$H$67,$A19)</f>
        <v>0</v>
      </c>
      <c r="F19" s="16">
        <f>SUMIFS(TheStrals!$F$55:$F$67,TheStrals!$B$55:$B$67, F$15,TheStrals!$H$55:$H$67,$A19)</f>
        <v>0</v>
      </c>
      <c r="G19" s="74" t="s">
        <v>396</v>
      </c>
      <c r="H19" s="78"/>
      <c r="I19" s="76">
        <f>IF(B7*Constants!I17&lt;I17,B7*Constants!I17,I17)</f>
        <v>0</v>
      </c>
      <c r="J19" s="79"/>
      <c r="K19" s="80"/>
      <c r="L19" s="77" t="s">
        <v>431</v>
      </c>
      <c r="M19" s="255"/>
      <c r="N19" s="17"/>
      <c r="O19" s="17"/>
      <c r="P19" s="17"/>
      <c r="Q19" s="17"/>
      <c r="R19" s="16"/>
      <c r="S19" s="17"/>
      <c r="T19" s="17"/>
      <c r="U19" s="17"/>
      <c r="V19" s="17"/>
      <c r="W19" s="17"/>
      <c r="X19" s="17"/>
      <c r="Y19" s="17"/>
      <c r="Z19" s="17"/>
      <c r="AA19" s="17"/>
      <c r="AB19" s="17"/>
      <c r="AC19" s="17"/>
      <c r="AD19" s="17"/>
      <c r="AE19" s="17"/>
    </row>
    <row r="20" spans="1:36">
      <c r="A20" s="74" t="str">
        <f>Constants!E10</f>
        <v>Extern</v>
      </c>
      <c r="B20" s="16">
        <f>SUMIFS(TheStrals!$F$55:$F$67,TheStrals!$B$55:$B$67, B$15,TheStrals!$H$55:$H$67,$A20)</f>
        <v>0</v>
      </c>
      <c r="C20" s="16">
        <f>SUMIFS(TheStrals!$F$55:$F$67,TheStrals!$B$55:$B$67, C$15,TheStrals!$H$55:$H$67,$A20)</f>
        <v>0</v>
      </c>
      <c r="D20" s="16">
        <f>SUMIFS(TheStrals!$F$55:$F$67,TheStrals!$B$55:$B$67, D$15,TheStrals!$H$55:$H$67,$A20)</f>
        <v>0</v>
      </c>
      <c r="E20" s="16">
        <f>SUMIFS(TheStrals!$F$55:$F$67,TheStrals!$B$55:$B$67, E$15,TheStrals!$H$55:$H$67,$A20)</f>
        <v>0</v>
      </c>
      <c r="F20" s="16">
        <f>SUMIFS(TheStrals!$F$55:$F$67,TheStrals!$B$55:$B$67, F$15,TheStrals!$H$55:$H$67,$A20)</f>
        <v>0</v>
      </c>
      <c r="G20" s="81"/>
      <c r="H20" s="16"/>
      <c r="I20" s="75"/>
      <c r="J20" s="79"/>
      <c r="K20" s="82"/>
      <c r="L20" s="83"/>
      <c r="M20" s="84"/>
      <c r="N20" s="17"/>
      <c r="O20" s="17"/>
      <c r="P20" s="17"/>
      <c r="Q20" s="17"/>
      <c r="R20" s="16"/>
      <c r="S20" s="17"/>
      <c r="T20" s="17"/>
      <c r="U20" s="17"/>
      <c r="V20" s="17"/>
      <c r="W20" s="17"/>
      <c r="X20" s="17"/>
      <c r="Y20" s="17"/>
      <c r="Z20" s="17"/>
      <c r="AA20" s="17"/>
      <c r="AB20" s="17"/>
      <c r="AC20" s="17"/>
      <c r="AD20" s="17"/>
      <c r="AE20" s="17"/>
    </row>
    <row r="21" spans="1:36">
      <c r="A21" s="74" t="str">
        <f>CONCATENATE(A18," Costs")</f>
        <v>PT-ZZP Costs</v>
      </c>
      <c r="B21" s="78">
        <f t="array" ref="B21">SUM(IF(TheStrals!$B$55:$B$67=B$15,IF(TheStrals!$H$55:$H$67="PT-ZZP",TheStrals!$F$55:$F$67*TheStrals!$I$55:$I$67*(1+Constants!$B$7),0),0))</f>
        <v>0</v>
      </c>
      <c r="C21" s="78">
        <f t="array" ref="C21">SUM(IF(TheStrals!$B$55:$B$67=C$15,IF(TheStrals!$H$55:$H$67="PT-ZZP",TheStrals!$F$55:$F$67*TheStrals!$I$55:$I$67,0),0))</f>
        <v>0</v>
      </c>
      <c r="D21" s="78">
        <f t="array" ref="D21">SUM(IF(TheStrals!$B$55:$B$67=D$15,IF(TheStrals!$H$55:$H$67="PT-ZZP",TheStrals!$F$55:$F$67*TheStrals!$I$55:$I$67*(1+Constants!$B$7),0),0))</f>
        <v>0</v>
      </c>
      <c r="E21" s="78">
        <f t="array" ref="E21">SUM(IF(TheStrals!$B$55:$B$67=E$15,IF(TheStrals!$H$55:$H$67="PT-ZZP",TheStrals!$F$55:$F$67*TheStrals!$I$55:$I$67*(1+Constants!$B$7),0),0))</f>
        <v>0</v>
      </c>
      <c r="F21" s="78">
        <f t="array" ref="F21">SUM(IF(TheStrals!$B$55:$B$67=F$15,IF(TheStrals!$H$55:$H$67="PT-ZZP",TheStrals!$F$55:$F$67*TheStrals!$I$55:$I$67*(1+Constants!$B$7),0),0))</f>
        <v>0</v>
      </c>
      <c r="G21" s="81"/>
      <c r="H21" s="16"/>
      <c r="I21" s="75"/>
      <c r="J21" s="79"/>
      <c r="K21" s="82"/>
      <c r="L21" s="77" t="s">
        <v>5</v>
      </c>
      <c r="M21" s="76">
        <f>SUM(M15:M20)</f>
        <v>0</v>
      </c>
      <c r="N21" s="17"/>
      <c r="O21" s="17"/>
      <c r="P21" s="17"/>
      <c r="Q21" s="17"/>
      <c r="R21" s="16"/>
      <c r="S21" s="17"/>
      <c r="T21" s="17"/>
      <c r="U21" s="17"/>
      <c r="V21" s="17"/>
      <c r="W21" s="17"/>
      <c r="X21" s="17"/>
      <c r="Y21" s="17"/>
      <c r="Z21" s="17"/>
      <c r="AA21" s="17"/>
      <c r="AB21" s="17"/>
      <c r="AC21" s="17"/>
      <c r="AD21" s="17"/>
      <c r="AE21" s="17"/>
    </row>
    <row r="22" spans="1:36" ht="15.75" customHeight="1" thickBot="1">
      <c r="A22" s="74" t="str">
        <f>CONCATENATE(A20," Costs")</f>
        <v>Extern Costs</v>
      </c>
      <c r="B22" s="78">
        <f t="array" ref="B22">SUM(IF(TheStrals!$B$55:$B$67=B$15,IF(TheStrals!$H$55:$H$67="Extern",TheStrals!$F$55:$F$67*TheStrals!$I$55:$I$67,0),0))</f>
        <v>0</v>
      </c>
      <c r="C22" s="78">
        <f t="array" ref="C22">SUM(IF(TheStrals!$B$55:$B$67=C$15,IF(TheStrals!$H$55:$H$67="Extern",TheStrals!$F$55:$F$67*TheStrals!$I$55:$I$67,0),0))</f>
        <v>0</v>
      </c>
      <c r="D22" s="78">
        <f t="array" ref="D22">SUM(IF(TheStrals!$B$55:$B$67=D$15,IF(TheStrals!$H$55:$H$67="Extern",TheStrals!$F$55:$F$67*TheStrals!$I$55:$I$67,0),0))</f>
        <v>0</v>
      </c>
      <c r="E22" s="78">
        <f t="array" ref="E22">SUM(IF(TheStrals!$B$55:$B$67=E$15,IF(TheStrals!$H$55:$H$67="Extern",TheStrals!$F$55:$F$67*TheStrals!$I$55:$I$67,0),0))</f>
        <v>0</v>
      </c>
      <c r="F22" s="76">
        <f t="array" ref="F22">SUM(IF(TheStrals!$B$55:$B$67=F$15,IF(TheStrals!$H$55:$H$67="Extern",TheStrals!$F$55:$F$67*TheStrals!$I$55:$I$67,0),0))</f>
        <v>0</v>
      </c>
      <c r="G22" s="85"/>
      <c r="H22" s="177"/>
      <c r="I22" s="86"/>
      <c r="J22" s="87"/>
      <c r="K22" s="88"/>
      <c r="L22" s="87"/>
      <c r="M22" s="88"/>
      <c r="N22" s="17"/>
      <c r="O22" s="17"/>
      <c r="P22" s="17"/>
      <c r="Q22" s="17"/>
      <c r="R22" s="16"/>
      <c r="S22" s="17"/>
      <c r="T22" s="17"/>
      <c r="U22" s="17"/>
      <c r="V22" s="17"/>
      <c r="W22" s="17"/>
      <c r="X22" s="17"/>
      <c r="Y22" s="17"/>
      <c r="Z22" s="17"/>
      <c r="AA22" s="17"/>
      <c r="AB22" s="17"/>
      <c r="AC22" s="17"/>
      <c r="AD22" s="17"/>
      <c r="AE22" s="17"/>
    </row>
    <row r="23" spans="1:36" ht="15" customHeight="1" thickTop="1">
      <c r="A23" s="74" t="s">
        <v>432</v>
      </c>
      <c r="B23" s="78"/>
      <c r="C23" s="78"/>
      <c r="D23" s="78"/>
      <c r="E23" s="78"/>
      <c r="F23" s="76">
        <f t="array" ref="F23">SUMIFS(TheStrals!$F$55:$F$67,TheStrals!$B$55:$B$67,"Mentorship",TheStrals!$H$55:$H$67,"PT-V")*Constants!B8+SUMIFS(TheStrals!$F$55:$F$67,TheStrals!$B$55:$B$67,"Mentorship",TheStrals!$H$55:$H$67,"PT")*Constants!B6+SUMPRODUCT(IF(TheStrals!$B$55:$B$67="Mentorship",IF(TheStrals!$H$55:$H$67="PT-ZZP",TheStrals!$F$55:$F$67*TheStrals!$I$55:$I$67,0)))</f>
        <v>0</v>
      </c>
    </row>
    <row r="24" spans="1:36" ht="15" customHeight="1" thickBot="1">
      <c r="A24" s="89" t="s">
        <v>433</v>
      </c>
      <c r="B24" s="178"/>
      <c r="C24" s="178"/>
      <c r="D24" s="178"/>
      <c r="E24" s="178">
        <f>SUMIF(TheStrals!$B$55:$B$67,"External Trainer Course",TheStrals!$I$55:$I$67)</f>
        <v>0</v>
      </c>
      <c r="F24" s="90"/>
    </row>
    <row r="25" spans="1:36" ht="15.75" customHeight="1" thickTop="1">
      <c r="A25" s="16"/>
      <c r="B25" s="16"/>
      <c r="C25" s="16"/>
      <c r="D25" s="16"/>
      <c r="E25" s="17"/>
      <c r="F25" s="17"/>
      <c r="G25" s="17"/>
      <c r="H25" s="17"/>
      <c r="I25" s="17"/>
      <c r="J25" s="17"/>
      <c r="K25" s="17"/>
      <c r="L25" s="17"/>
      <c r="M25" s="17"/>
      <c r="N25" s="17"/>
      <c r="O25" s="17"/>
      <c r="P25" s="17"/>
      <c r="Q25" s="16"/>
      <c r="R25" s="17"/>
      <c r="S25" s="17"/>
      <c r="T25" s="17"/>
      <c r="U25" s="17"/>
      <c r="V25" s="17"/>
      <c r="W25" s="17"/>
      <c r="X25" s="17"/>
      <c r="Y25" s="17"/>
      <c r="Z25" s="17"/>
      <c r="AA25" s="17"/>
      <c r="AB25" s="17"/>
      <c r="AC25" s="17"/>
      <c r="AD25" s="17"/>
    </row>
    <row r="26" spans="1:36" ht="15.75" customHeight="1">
      <c r="A26" s="16"/>
      <c r="B26" s="16"/>
      <c r="C26" s="16"/>
      <c r="D26" s="16"/>
      <c r="E26" s="17"/>
      <c r="F26" s="17"/>
      <c r="G26" s="17"/>
      <c r="H26" s="17"/>
      <c r="I26" s="17"/>
      <c r="J26" s="17"/>
      <c r="K26" s="17"/>
      <c r="L26" s="17"/>
      <c r="M26" s="17"/>
      <c r="N26" s="17"/>
      <c r="O26" s="17"/>
      <c r="P26" s="17"/>
      <c r="Q26" s="16"/>
      <c r="R26" s="17"/>
      <c r="S26" s="17"/>
      <c r="T26" s="17"/>
      <c r="U26" s="17"/>
      <c r="V26" s="17"/>
      <c r="W26" s="17"/>
      <c r="X26" s="17"/>
      <c r="Y26" s="17"/>
      <c r="Z26" s="17"/>
      <c r="AA26" s="17"/>
      <c r="AB26" s="17"/>
      <c r="AC26" s="17"/>
      <c r="AD26" s="17"/>
    </row>
    <row r="27" spans="1:36" ht="15.75" customHeight="1" thickBot="1">
      <c r="A27" s="91" t="s">
        <v>434</v>
      </c>
      <c r="B27" s="17"/>
      <c r="C27" s="17"/>
      <c r="D27" s="17"/>
      <c r="E27" s="17"/>
      <c r="F27" s="17"/>
      <c r="G27" s="92"/>
      <c r="H27" s="19"/>
      <c r="I27" s="17"/>
      <c r="J27" s="17"/>
      <c r="K27" s="17"/>
      <c r="L27" s="17"/>
      <c r="M27" s="17"/>
      <c r="N27" s="17"/>
      <c r="O27" s="17"/>
      <c r="P27" s="17"/>
      <c r="Q27" s="16"/>
      <c r="R27" s="17"/>
      <c r="S27" s="17"/>
      <c r="T27" s="17"/>
      <c r="U27" s="17"/>
      <c r="V27" s="17"/>
      <c r="W27" s="17"/>
      <c r="X27" s="17"/>
      <c r="Y27" s="17"/>
      <c r="Z27" s="17"/>
      <c r="AA27" s="17"/>
      <c r="AB27" s="17"/>
      <c r="AC27" s="17"/>
      <c r="AD27" s="17"/>
    </row>
    <row r="28" spans="1:36" ht="15.75" customHeight="1" thickTop="1" thickBot="1">
      <c r="A28" s="706" t="s">
        <v>435</v>
      </c>
      <c r="B28" s="707"/>
      <c r="C28" s="707"/>
      <c r="D28" s="707"/>
      <c r="E28" s="707"/>
      <c r="F28" s="708"/>
      <c r="G28" s="15"/>
      <c r="H28" s="17"/>
      <c r="I28" s="17"/>
      <c r="J28" s="17"/>
      <c r="K28" s="17"/>
      <c r="L28" s="17"/>
      <c r="M28" s="17"/>
      <c r="N28" s="17"/>
      <c r="O28" s="17"/>
      <c r="P28" s="17"/>
      <c r="Q28" s="16"/>
      <c r="R28" s="17"/>
      <c r="S28" s="17"/>
      <c r="T28" s="17"/>
      <c r="U28" s="17"/>
      <c r="V28" s="17"/>
      <c r="W28" s="17"/>
      <c r="X28" s="17"/>
      <c r="Y28" s="17"/>
      <c r="Z28" s="17"/>
      <c r="AA28" s="17"/>
      <c r="AB28" s="17"/>
      <c r="AC28" s="17"/>
      <c r="AD28" s="242" t="s">
        <v>436</v>
      </c>
      <c r="AE28" s="16"/>
      <c r="AF28" s="128"/>
      <c r="AG28" s="51"/>
      <c r="AH28" s="51"/>
      <c r="AI28" s="51"/>
      <c r="AJ28" s="51"/>
    </row>
    <row r="29" spans="1:36" ht="15.75" customHeight="1" thickBot="1">
      <c r="A29" s="709" t="s">
        <v>437</v>
      </c>
      <c r="B29" s="696"/>
      <c r="C29" s="696"/>
      <c r="D29" s="696"/>
      <c r="E29" s="696"/>
      <c r="F29" s="710"/>
      <c r="G29" s="17"/>
      <c r="H29" s="17"/>
      <c r="I29" s="17"/>
      <c r="J29" s="17"/>
      <c r="K29" s="17"/>
      <c r="L29" s="17"/>
      <c r="M29" s="17"/>
      <c r="N29" s="17"/>
      <c r="O29" s="17"/>
      <c r="P29" s="17"/>
      <c r="Q29" s="16"/>
      <c r="R29" s="17"/>
      <c r="S29" s="17"/>
      <c r="T29" s="17"/>
      <c r="U29" s="17"/>
      <c r="V29" s="17"/>
      <c r="W29" s="17"/>
      <c r="X29" s="17"/>
      <c r="Y29" s="17"/>
      <c r="Z29" s="17"/>
      <c r="AA29" s="17"/>
      <c r="AB29" s="17"/>
      <c r="AC29" s="17"/>
      <c r="AD29" s="243" t="s">
        <v>438</v>
      </c>
      <c r="AE29" s="243" t="s">
        <v>439</v>
      </c>
      <c r="AF29" s="243" t="s">
        <v>440</v>
      </c>
      <c r="AG29" s="711" t="s">
        <v>441</v>
      </c>
      <c r="AH29" s="712"/>
      <c r="AI29" s="711" t="s">
        <v>434</v>
      </c>
      <c r="AJ29" s="712"/>
    </row>
    <row r="30" spans="1:36" ht="15.75" customHeight="1" thickBot="1">
      <c r="A30" s="709" t="s">
        <v>442</v>
      </c>
      <c r="B30" s="696"/>
      <c r="C30" s="696"/>
      <c r="D30" s="696"/>
      <c r="E30" s="696"/>
      <c r="F30" s="710"/>
      <c r="G30" s="17"/>
      <c r="H30" s="17"/>
      <c r="I30" s="17"/>
      <c r="J30" s="17"/>
      <c r="K30" s="17"/>
      <c r="L30" s="17"/>
      <c r="M30" s="17"/>
      <c r="N30" s="17"/>
      <c r="O30" s="17"/>
      <c r="P30" s="17"/>
      <c r="Q30" s="16"/>
      <c r="R30" s="17"/>
      <c r="S30" s="17"/>
      <c r="T30" s="17"/>
      <c r="U30" s="17"/>
      <c r="V30" s="17"/>
      <c r="W30" s="17"/>
      <c r="X30" s="17"/>
      <c r="Y30" s="17"/>
      <c r="Z30" s="17"/>
      <c r="AA30" s="17"/>
      <c r="AB30" s="17"/>
      <c r="AC30" s="17"/>
      <c r="AD30" s="244" t="str">
        <f>IF($B$12="individual",Constants!F55,Constants!L55)</f>
        <v>member count</v>
      </c>
      <c r="AE30" s="244">
        <f>B7</f>
        <v>24</v>
      </c>
      <c r="AF30" s="269">
        <f>IF(AE30&gt;=301,5,IF(AE30&gt;=176,4,IF(AE30&gt;=101,3,IF(AE30&gt;=51,2,1))))</f>
        <v>1</v>
      </c>
      <c r="AG30" s="560"/>
      <c r="AH30" s="560"/>
      <c r="AI30" s="560" t="s">
        <v>443</v>
      </c>
      <c r="AJ30" s="560"/>
    </row>
    <row r="31" spans="1:36" ht="15" customHeight="1" thickBot="1">
      <c r="A31" s="709" t="s">
        <v>444</v>
      </c>
      <c r="B31" s="696"/>
      <c r="C31" s="696"/>
      <c r="D31" s="696"/>
      <c r="E31" s="696"/>
      <c r="F31" s="710"/>
      <c r="G31" s="17"/>
      <c r="H31" s="17"/>
      <c r="I31" s="17"/>
      <c r="J31" s="17"/>
      <c r="K31" s="17"/>
      <c r="L31" s="17"/>
      <c r="M31" s="17"/>
      <c r="N31" s="17"/>
      <c r="O31" s="17"/>
      <c r="P31" s="17"/>
      <c r="Q31" s="16"/>
      <c r="R31" s="17"/>
      <c r="S31" s="17"/>
      <c r="T31" s="17"/>
      <c r="U31" s="17"/>
      <c r="V31" s="17"/>
      <c r="W31" s="17"/>
      <c r="X31" s="17"/>
      <c r="Y31" s="17"/>
      <c r="Z31" s="17"/>
      <c r="AA31" s="17"/>
      <c r="AB31" s="17"/>
      <c r="AC31" s="17"/>
      <c r="AD31" s="244" t="str">
        <f>IF($B$12="individual",Constants!F56,Constants!L56)</f>
        <v>number of trainings per week</v>
      </c>
      <c r="AE31" s="244">
        <v>1</v>
      </c>
      <c r="AF31" s="270">
        <f>IF(AE31&gt;=4,3,IF(AE31&gt;=3,2,IF(AE31&gt;=2,1,0)))</f>
        <v>0</v>
      </c>
      <c r="AG31" s="560"/>
      <c r="AH31" s="560"/>
      <c r="AI31" s="560"/>
      <c r="AJ31" s="560"/>
    </row>
    <row r="32" spans="1:36" ht="15.75" customHeight="1" thickBot="1">
      <c r="A32" s="709" t="s">
        <v>445</v>
      </c>
      <c r="B32" s="696"/>
      <c r="C32" s="696"/>
      <c r="D32" s="696"/>
      <c r="E32" s="696"/>
      <c r="F32" s="710"/>
      <c r="G32" s="17"/>
      <c r="H32" s="16"/>
      <c r="I32" s="16"/>
      <c r="J32" s="16"/>
      <c r="K32" s="17"/>
      <c r="L32" s="17"/>
      <c r="M32" s="17"/>
      <c r="N32" s="17"/>
      <c r="O32" s="17"/>
      <c r="P32" s="17"/>
      <c r="Q32" s="16"/>
      <c r="R32" s="17"/>
      <c r="S32" s="17"/>
      <c r="T32" s="17"/>
      <c r="U32" s="17"/>
      <c r="V32" s="17"/>
      <c r="W32" s="17"/>
      <c r="X32" s="17"/>
      <c r="Y32" s="17"/>
      <c r="Z32" s="17"/>
      <c r="AA32" s="17"/>
      <c r="AB32" s="17"/>
      <c r="AC32" s="17"/>
      <c r="AD32" s="244" t="str">
        <f>IF($B$12="individual",Constants!F57,Constants!L57)</f>
        <v>number of trainings weeks per year</v>
      </c>
      <c r="AE32" s="252">
        <v>42</v>
      </c>
      <c r="AF32" s="250">
        <f>IF(AE32&gt;=40,3,IF(AE32&gt;=35,2,1))</f>
        <v>3</v>
      </c>
      <c r="AG32" s="560"/>
      <c r="AH32" s="560"/>
      <c r="AI32" s="560"/>
      <c r="AJ32" s="560"/>
    </row>
    <row r="33" spans="1:58" ht="15.75" customHeight="1" thickBot="1">
      <c r="A33" s="93" t="s">
        <v>446</v>
      </c>
      <c r="F33" s="94"/>
      <c r="G33" s="17"/>
      <c r="H33" s="16"/>
      <c r="I33" s="16"/>
      <c r="J33" s="16"/>
      <c r="K33" s="17"/>
      <c r="L33" s="17"/>
      <c r="M33" s="17"/>
      <c r="N33" s="17"/>
      <c r="O33" s="17"/>
      <c r="P33" s="17"/>
      <c r="Q33" s="16"/>
      <c r="R33" s="17"/>
      <c r="S33" s="17"/>
      <c r="T33" s="17"/>
      <c r="U33" s="17"/>
      <c r="V33" s="17"/>
      <c r="W33" s="17"/>
      <c r="X33" s="17"/>
      <c r="Y33" s="17"/>
      <c r="Z33" s="17"/>
      <c r="AA33" s="17"/>
      <c r="AB33" s="17"/>
      <c r="AC33" s="17"/>
      <c r="AD33" s="244" t="str">
        <f>IF($B$12="individual",Constants!F58,Constants!L58)</f>
        <v>number of training hours by RT / PT-V</v>
      </c>
      <c r="AE33" s="251">
        <v>0</v>
      </c>
      <c r="AF33" s="270">
        <f>IF(AE33&gt;0.9,3,IF(AE33&gt;0.6,2,IF(AE33&gt;0.3,1,0)))</f>
        <v>0</v>
      </c>
      <c r="AG33" s="560"/>
      <c r="AH33" s="560"/>
      <c r="AI33" s="560"/>
      <c r="AJ33" s="560"/>
    </row>
    <row r="34" spans="1:58" ht="15.75" customHeight="1" thickBot="1">
      <c r="A34" s="713" t="s">
        <v>447</v>
      </c>
      <c r="B34" s="714"/>
      <c r="C34" s="714"/>
      <c r="D34" s="714"/>
      <c r="E34" s="714"/>
      <c r="F34" s="715"/>
      <c r="G34" s="17"/>
      <c r="H34" s="16"/>
      <c r="I34" s="16"/>
      <c r="J34" s="16"/>
      <c r="K34" s="17"/>
      <c r="L34" s="17"/>
      <c r="M34" s="17"/>
      <c r="N34" s="17"/>
      <c r="O34" s="17"/>
      <c r="P34" s="17"/>
      <c r="Q34" s="16"/>
      <c r="R34" s="17"/>
      <c r="S34" s="17"/>
      <c r="T34" s="17"/>
      <c r="U34" s="17"/>
      <c r="V34" s="17"/>
      <c r="W34" s="17"/>
      <c r="X34" s="17"/>
      <c r="Y34" s="17"/>
      <c r="Z34" s="17"/>
      <c r="AA34" s="17"/>
      <c r="AB34" s="17"/>
      <c r="AC34" s="17"/>
      <c r="AD34" s="244" t="str">
        <f>IF($B$12="individual",Constants!F59,Constants!L59)</f>
        <v>number of training groups / teams</v>
      </c>
      <c r="AE34" s="244">
        <f>B10</f>
        <v>1</v>
      </c>
      <c r="AF34" s="271">
        <f>IF(AE34&gt;9,3,IF(AE34&gt;4,2,IF(AE34&gt;2,1,0)))</f>
        <v>0</v>
      </c>
      <c r="AG34" s="560"/>
      <c r="AH34" s="560"/>
      <c r="AI34" s="560"/>
      <c r="AJ34" s="560"/>
    </row>
    <row r="35" spans="1:58" ht="15.75" customHeight="1" thickTop="1" thickBot="1">
      <c r="A35" s="16"/>
      <c r="G35" s="17"/>
      <c r="H35" s="16"/>
      <c r="I35" s="16"/>
      <c r="J35" s="16"/>
      <c r="K35" s="17"/>
      <c r="L35" s="17"/>
      <c r="M35" s="17"/>
      <c r="N35" s="17"/>
      <c r="O35" s="17"/>
      <c r="P35" s="17"/>
      <c r="Q35" s="16"/>
      <c r="R35" s="17"/>
      <c r="S35" s="17"/>
      <c r="T35" s="17"/>
      <c r="U35" s="17"/>
      <c r="V35" s="17"/>
      <c r="W35" s="17"/>
      <c r="X35" s="17"/>
      <c r="Y35" s="17"/>
      <c r="Z35" s="17"/>
      <c r="AA35" s="17"/>
      <c r="AB35" s="17"/>
      <c r="AC35" s="17"/>
      <c r="AD35" s="244" t="str">
        <f>IF($B$12="individual",Constants!F60,Constants!L60)</f>
        <v>number of competitions organised</v>
      </c>
      <c r="AE35" s="249">
        <v>0</v>
      </c>
      <c r="AF35" s="271">
        <f>IF(AE35&gt;=4,5,IF(AE35&gt;=2,3,IF(AE35&gt;=1,1,0)))</f>
        <v>0</v>
      </c>
      <c r="AG35" s="560"/>
      <c r="AH35" s="560"/>
      <c r="AI35" s="560"/>
      <c r="AJ35" s="560"/>
    </row>
    <row r="36" spans="1:58" ht="15.75" customHeight="1" thickBot="1">
      <c r="A36" s="179" t="s">
        <v>448</v>
      </c>
      <c r="B36" s="16"/>
      <c r="C36" s="16"/>
      <c r="D36" s="16"/>
      <c r="E36" s="16"/>
      <c r="F36" s="16"/>
      <c r="G36" s="16"/>
      <c r="H36" s="16"/>
      <c r="I36" s="16"/>
      <c r="J36" s="16"/>
      <c r="K36" s="16"/>
      <c r="L36" s="16"/>
      <c r="M36" s="16"/>
      <c r="N36" s="16"/>
      <c r="O36" s="16"/>
      <c r="P36" s="16"/>
      <c r="Q36" s="16"/>
      <c r="R36" s="16"/>
      <c r="S36" s="16"/>
      <c r="T36" s="16"/>
      <c r="U36" s="16"/>
      <c r="V36" s="16"/>
      <c r="W36" s="16"/>
      <c r="X36" s="16"/>
      <c r="Y36" s="16"/>
      <c r="Z36" s="16"/>
      <c r="AA36" s="16"/>
      <c r="AB36" s="18"/>
      <c r="AC36" s="16"/>
      <c r="AD36" s="244" t="str">
        <f>IF($B$12="individual",Constants!F61,Constants!L61)</f>
        <v>number of social activities</v>
      </c>
      <c r="AE36" s="249">
        <v>4</v>
      </c>
      <c r="AF36" s="271">
        <f>IF(AE36&gt;=20,2,IF(AE36&gt;=10,1,0))</f>
        <v>0</v>
      </c>
      <c r="AG36" s="560"/>
      <c r="AH36" s="560"/>
      <c r="AI36" s="560"/>
      <c r="AJ36" s="560"/>
    </row>
    <row r="37" spans="1:58" ht="15" customHeight="1" thickTop="1" thickBot="1">
      <c r="A37" s="95" t="s">
        <v>449</v>
      </c>
      <c r="B37" s="96" t="s">
        <v>450</v>
      </c>
      <c r="C37" s="95" t="s">
        <v>451</v>
      </c>
      <c r="D37" s="95" t="s">
        <v>452</v>
      </c>
      <c r="E37" s="95" t="s">
        <v>453</v>
      </c>
      <c r="F37" s="95" t="s">
        <v>454</v>
      </c>
      <c r="G37" s="97" t="s">
        <v>455</v>
      </c>
      <c r="H37" s="561" t="s">
        <v>456</v>
      </c>
      <c r="I37" s="716"/>
      <c r="J37" s="717"/>
      <c r="K37" s="98"/>
      <c r="L37" s="98"/>
      <c r="M37" s="98"/>
      <c r="N37" s="98"/>
      <c r="O37" s="98"/>
      <c r="P37" s="98"/>
      <c r="Q37" s="98"/>
      <c r="R37" s="98"/>
      <c r="S37" s="98"/>
      <c r="T37" s="98"/>
      <c r="U37" s="96"/>
      <c r="V37" s="96"/>
      <c r="W37" s="96"/>
      <c r="X37" s="96"/>
      <c r="Y37" s="99"/>
      <c r="Z37" s="96"/>
      <c r="AA37" s="96"/>
      <c r="AB37" s="100"/>
      <c r="AC37" s="100"/>
      <c r="AD37" s="244" t="str">
        <f>IF($B$12="individual",Constants!F62,Constants!L62)</f>
        <v>number of bar days</v>
      </c>
      <c r="AE37" s="249">
        <v>4</v>
      </c>
      <c r="AF37" s="271">
        <f>IF(AE37&gt;=15,2,IF(AE37&gt;=8,1,0))</f>
        <v>0</v>
      </c>
      <c r="AG37" s="560"/>
      <c r="AH37" s="560"/>
      <c r="AI37" s="560"/>
      <c r="AJ37" s="560"/>
      <c r="AK37" s="100"/>
      <c r="AL37" s="100"/>
      <c r="AM37" s="100"/>
      <c r="AN37" s="100"/>
      <c r="AO37" s="100"/>
      <c r="AP37" s="100"/>
      <c r="AQ37" s="100"/>
      <c r="AR37" s="100"/>
      <c r="AS37" s="100"/>
      <c r="AT37" s="100"/>
      <c r="AU37" s="100"/>
      <c r="AV37" s="100"/>
      <c r="AW37" s="100"/>
      <c r="AX37" s="100"/>
      <c r="AY37" s="100"/>
      <c r="AZ37" s="100"/>
      <c r="BA37" s="100"/>
      <c r="BB37" s="100"/>
      <c r="BC37" s="100"/>
      <c r="BD37" s="100"/>
      <c r="BE37" s="100"/>
      <c r="BF37" s="100"/>
    </row>
    <row r="38" spans="1:58" ht="14.25" customHeight="1" thickBot="1">
      <c r="A38" s="101"/>
      <c r="B38" s="51"/>
      <c r="C38" s="101"/>
      <c r="D38" s="136"/>
      <c r="E38" s="101"/>
      <c r="F38" s="103"/>
      <c r="G38" s="102"/>
      <c r="H38" s="571"/>
      <c r="I38" s="696"/>
      <c r="J38" s="718"/>
      <c r="K38" s="16"/>
      <c r="L38" s="16"/>
      <c r="M38" s="16"/>
      <c r="N38" s="16"/>
      <c r="O38" s="16"/>
      <c r="P38" s="16"/>
      <c r="Q38" s="16"/>
      <c r="R38" s="16"/>
      <c r="S38" s="16"/>
      <c r="T38" s="16"/>
      <c r="U38" s="16"/>
      <c r="V38" s="16"/>
      <c r="W38" s="16"/>
      <c r="X38" s="16"/>
      <c r="Y38" s="17"/>
      <c r="Z38" s="16"/>
      <c r="AA38" s="16"/>
      <c r="AD38" s="244" t="str">
        <f>IF($B$12="individual",Constants!F63,Constants!L63)</f>
        <v>own bar / extra location</v>
      </c>
      <c r="AE38" s="249">
        <v>0</v>
      </c>
      <c r="AF38" s="271">
        <f>IF(AE38&gt;=15,2,IF(AE38&gt;=8,1,0))</f>
        <v>0</v>
      </c>
      <c r="AG38" s="560"/>
      <c r="AH38" s="560"/>
      <c r="AI38" s="560"/>
      <c r="AJ38" s="560"/>
    </row>
    <row r="39" spans="1:58" ht="14.25" customHeight="1" thickBot="1">
      <c r="A39" s="101"/>
      <c r="B39" s="51"/>
      <c r="C39" s="104"/>
      <c r="D39" s="136"/>
      <c r="E39" s="105"/>
      <c r="F39" s="106"/>
      <c r="G39" s="107"/>
      <c r="H39" s="696"/>
      <c r="I39" s="696"/>
      <c r="J39" s="718"/>
      <c r="K39" s="16"/>
      <c r="L39" s="16"/>
      <c r="M39" s="16"/>
      <c r="N39" s="16"/>
      <c r="O39" s="16"/>
      <c r="P39" s="16"/>
      <c r="Q39" s="16"/>
      <c r="R39" s="16"/>
      <c r="S39" s="16"/>
      <c r="T39" s="16"/>
      <c r="U39" s="16"/>
      <c r="V39" s="16"/>
      <c r="W39" s="16"/>
      <c r="X39" s="16"/>
      <c r="Y39" s="17"/>
      <c r="Z39" s="16"/>
      <c r="AA39" s="16"/>
      <c r="AD39" s="244" t="str">
        <f>IF($B$12="individual",Constants!F65,Constants!L64)</f>
        <v>number of facilities used</v>
      </c>
      <c r="AE39" s="249">
        <v>1</v>
      </c>
      <c r="AF39" s="273">
        <f>IF(B12="individual", IF(AE39&gt;10, 5, IF(AE39&gt;6, 3, IF(AE39&gt;2, 1, 0))), IF(AE39&gt;3, 3, IF(AE39&gt;1, 2, 1)))</f>
        <v>1</v>
      </c>
      <c r="AG39" s="560"/>
      <c r="AH39" s="560"/>
      <c r="AI39" s="560"/>
      <c r="AJ39" s="560"/>
    </row>
    <row r="40" spans="1:58" ht="15.75" customHeight="1" thickBot="1">
      <c r="A40" s="16"/>
      <c r="B40" s="51"/>
      <c r="C40" s="16"/>
      <c r="D40" s="51"/>
      <c r="E40" s="105"/>
      <c r="F40" s="106"/>
      <c r="G40" s="16"/>
      <c r="H40" s="696"/>
      <c r="I40" s="696"/>
      <c r="J40" s="718"/>
      <c r="K40" s="16"/>
      <c r="L40" s="16"/>
      <c r="M40" s="16"/>
      <c r="N40" s="16"/>
      <c r="O40" s="16"/>
      <c r="P40" s="16"/>
      <c r="Q40" s="16"/>
      <c r="R40" s="16"/>
      <c r="S40" s="16"/>
      <c r="T40" s="16"/>
      <c r="U40" s="16"/>
      <c r="V40" s="16"/>
      <c r="W40" s="16"/>
      <c r="X40" s="16"/>
      <c r="Y40" s="16"/>
      <c r="Z40" s="16"/>
      <c r="AA40" s="16"/>
      <c r="AD40" s="231" t="str">
        <f>IF($B$12="individual",Constants!F64,Constants!L65)</f>
        <v>ratio of competing teams / training teams</v>
      </c>
      <c r="AE40" s="231">
        <v>1</v>
      </c>
      <c r="AF40" s="273">
        <f>IF(B12="group", IF(AE40&gt;0.15, 5, IF(AE40&gt;0.1, 3, IF(AE40&gt;0.05, 1, 0))), " ")</f>
        <v>5</v>
      </c>
      <c r="AG40" s="560"/>
      <c r="AH40" s="560"/>
      <c r="AI40" s="560"/>
      <c r="AJ40" s="560"/>
    </row>
    <row r="41" spans="1:58" ht="15.75" customHeight="1" thickBot="1">
      <c r="A41" s="16"/>
      <c r="B41" s="51"/>
      <c r="C41" s="16"/>
      <c r="D41" s="51"/>
      <c r="E41" s="105"/>
      <c r="F41" s="106"/>
      <c r="G41" s="16"/>
      <c r="H41" s="696"/>
      <c r="I41" s="696"/>
      <c r="J41" s="718"/>
      <c r="K41" s="16"/>
      <c r="L41" s="16"/>
      <c r="M41" s="16"/>
      <c r="N41" s="16"/>
      <c r="O41" s="16"/>
      <c r="P41" s="16"/>
      <c r="Q41" s="16"/>
      <c r="R41" s="16"/>
      <c r="S41" s="16"/>
      <c r="T41" s="16"/>
      <c r="U41" s="16"/>
      <c r="V41" s="16"/>
      <c r="W41" s="16"/>
      <c r="X41" s="16"/>
      <c r="Y41" s="16"/>
      <c r="Z41" s="16"/>
      <c r="AA41" s="16"/>
      <c r="AD41" s="16"/>
      <c r="AE41" s="275" t="s">
        <v>461</v>
      </c>
      <c r="AF41" s="277">
        <f>SUM(AF30:AF40)</f>
        <v>10</v>
      </c>
      <c r="AG41" s="247"/>
      <c r="AH41" s="245"/>
      <c r="AI41" s="246"/>
      <c r="AJ41" s="247"/>
    </row>
    <row r="42" spans="1:58" ht="15.75" customHeight="1" thickBot="1">
      <c r="A42" s="180"/>
      <c r="B42" s="181"/>
      <c r="C42" s="182"/>
      <c r="D42" s="183"/>
      <c r="E42" s="184"/>
      <c r="F42" s="184"/>
      <c r="G42" s="180"/>
      <c r="H42" s="719"/>
      <c r="I42" s="719"/>
      <c r="J42" s="720"/>
      <c r="K42" s="16"/>
      <c r="L42" s="16"/>
      <c r="M42" s="16"/>
      <c r="N42" s="16"/>
      <c r="O42" s="16"/>
      <c r="P42" s="16"/>
      <c r="Q42" s="16"/>
      <c r="R42" s="16"/>
      <c r="S42" s="16"/>
      <c r="T42" s="16"/>
      <c r="U42" s="16"/>
      <c r="V42" s="16"/>
      <c r="W42" s="16"/>
      <c r="X42" s="16"/>
      <c r="Y42" s="16"/>
      <c r="Z42" s="16"/>
      <c r="AA42" s="16"/>
    </row>
    <row r="43" spans="1:58" ht="15.75" customHeight="1" thickTop="1">
      <c r="A43" s="18"/>
      <c r="B43" s="18"/>
      <c r="C43" s="18"/>
      <c r="D43" s="18"/>
      <c r="E43" s="18"/>
      <c r="F43" s="18"/>
      <c r="G43" s="17"/>
      <c r="H43" s="17"/>
      <c r="I43" s="17"/>
      <c r="J43" s="17"/>
      <c r="K43" s="17"/>
      <c r="L43" s="17"/>
      <c r="M43" s="17"/>
      <c r="N43" s="17"/>
      <c r="O43" s="17"/>
      <c r="P43" s="17"/>
      <c r="Q43" s="16"/>
      <c r="R43" s="17"/>
      <c r="S43" s="17"/>
      <c r="T43" s="17"/>
      <c r="U43" s="17"/>
      <c r="V43" s="17"/>
      <c r="W43" s="17"/>
      <c r="X43" s="17"/>
      <c r="Y43" s="17"/>
      <c r="Z43" s="17"/>
      <c r="AA43" s="17"/>
      <c r="AB43" s="17"/>
      <c r="AC43" s="17"/>
      <c r="AD43" s="17"/>
    </row>
    <row r="44" spans="1:58" ht="15.75" customHeight="1" thickBot="1">
      <c r="A44" s="179" t="s">
        <v>462</v>
      </c>
      <c r="B44" s="169"/>
      <c r="C44" s="16"/>
      <c r="D44" s="16"/>
      <c r="E44" s="16"/>
      <c r="F44" s="16"/>
      <c r="G44" s="16"/>
      <c r="H44" s="16"/>
      <c r="I44" s="16"/>
      <c r="J44" s="16"/>
      <c r="K44" s="16"/>
      <c r="L44" s="16"/>
      <c r="M44" s="16"/>
      <c r="N44" s="16"/>
      <c r="O44" s="16"/>
      <c r="P44" s="16"/>
      <c r="Q44" s="16"/>
      <c r="R44" s="16"/>
      <c r="S44" s="16"/>
      <c r="T44" s="16"/>
      <c r="U44" s="16"/>
      <c r="V44" s="16"/>
      <c r="W44" s="16"/>
      <c r="X44" s="16"/>
      <c r="Y44" s="16"/>
      <c r="Z44" s="16"/>
      <c r="AA44" s="16"/>
      <c r="AB44" s="18"/>
      <c r="AC44" s="16"/>
      <c r="AD44" s="16"/>
    </row>
    <row r="45" spans="1:58" ht="15" customHeight="1" thickTop="1">
      <c r="A45" s="95" t="s">
        <v>449</v>
      </c>
      <c r="B45" s="96" t="s">
        <v>450</v>
      </c>
      <c r="C45" s="95" t="s">
        <v>463</v>
      </c>
      <c r="D45" s="95" t="s">
        <v>464</v>
      </c>
      <c r="E45" s="95" t="s">
        <v>465</v>
      </c>
      <c r="F45" s="95" t="s">
        <v>466</v>
      </c>
      <c r="G45" s="95" t="s">
        <v>467</v>
      </c>
      <c r="H45" s="97" t="s">
        <v>455</v>
      </c>
      <c r="I45" s="561" t="s">
        <v>456</v>
      </c>
      <c r="J45" s="716"/>
      <c r="K45" s="717"/>
      <c r="L45" s="98"/>
      <c r="M45" s="98"/>
      <c r="N45" s="98"/>
      <c r="O45" s="98"/>
      <c r="P45" s="98"/>
      <c r="Q45" s="98"/>
      <c r="R45" s="98"/>
      <c r="S45" s="98"/>
      <c r="T45" s="98"/>
      <c r="U45" s="98"/>
      <c r="V45" s="96"/>
      <c r="W45" s="96"/>
      <c r="X45" s="96"/>
      <c r="Y45" s="96"/>
      <c r="Z45" s="99"/>
      <c r="AA45" s="96"/>
      <c r="AB45" s="96"/>
      <c r="AC45" s="100"/>
      <c r="AD45" s="100"/>
      <c r="AE45" s="100"/>
      <c r="AF45" s="100"/>
      <c r="AG45" s="100"/>
      <c r="AH45" s="100"/>
      <c r="AI45" s="100"/>
      <c r="AJ45" s="100"/>
      <c r="AK45" s="100"/>
      <c r="AL45" s="100"/>
      <c r="AM45" s="100"/>
      <c r="AN45" s="100"/>
      <c r="AO45" s="100"/>
      <c r="AP45" s="100"/>
      <c r="AQ45" s="100"/>
      <c r="AR45" s="100"/>
      <c r="AS45" s="100"/>
      <c r="AT45" s="100"/>
      <c r="AU45" s="100"/>
      <c r="AV45" s="100"/>
      <c r="AW45" s="100"/>
      <c r="AX45" s="100"/>
      <c r="AY45" s="100"/>
      <c r="AZ45" s="100"/>
      <c r="BA45" s="100"/>
      <c r="BB45" s="100"/>
      <c r="BC45" s="100"/>
      <c r="BD45" s="100"/>
      <c r="BE45" s="100"/>
      <c r="BF45" s="100"/>
    </row>
    <row r="46" spans="1:58" ht="14.25" customHeight="1">
      <c r="A46" s="101"/>
      <c r="B46" s="102"/>
      <c r="C46" s="101"/>
      <c r="D46" s="101"/>
      <c r="E46" s="108"/>
      <c r="F46" s="108"/>
      <c r="G46" s="102"/>
      <c r="H46" s="102"/>
      <c r="I46" s="571"/>
      <c r="J46" s="696"/>
      <c r="K46" s="718"/>
      <c r="L46" s="16"/>
      <c r="M46" s="16"/>
      <c r="N46" s="16"/>
      <c r="O46" s="16"/>
      <c r="P46" s="16"/>
      <c r="Q46" s="16"/>
      <c r="R46" s="16"/>
      <c r="S46" s="16"/>
      <c r="T46" s="16"/>
      <c r="U46" s="16"/>
      <c r="V46" s="16"/>
      <c r="W46" s="16"/>
      <c r="X46" s="16"/>
      <c r="Y46" s="16"/>
      <c r="Z46" s="17"/>
      <c r="AA46" s="16"/>
      <c r="AB46" s="16"/>
    </row>
    <row r="47" spans="1:58" ht="14.25" customHeight="1">
      <c r="A47" s="101"/>
      <c r="B47" s="102"/>
      <c r="C47" s="101"/>
      <c r="D47" s="101"/>
      <c r="E47" s="109"/>
      <c r="F47" s="108"/>
      <c r="G47" s="102"/>
      <c r="H47" s="102"/>
      <c r="I47" s="696"/>
      <c r="J47" s="696"/>
      <c r="K47" s="718"/>
      <c r="L47" s="16"/>
      <c r="M47" s="16"/>
      <c r="N47" s="16"/>
      <c r="O47" s="16"/>
      <c r="P47" s="16"/>
      <c r="Q47" s="16"/>
      <c r="R47" s="16"/>
      <c r="S47" s="16"/>
      <c r="T47" s="16"/>
      <c r="U47" s="16"/>
      <c r="V47" s="16"/>
      <c r="W47" s="16"/>
      <c r="X47" s="16"/>
      <c r="Y47" s="16"/>
      <c r="Z47" s="17"/>
      <c r="AA47" s="16"/>
      <c r="AB47" s="16"/>
    </row>
    <row r="48" spans="1:58" ht="15.75" customHeight="1">
      <c r="A48" s="102"/>
      <c r="B48" s="102"/>
      <c r="C48" s="102"/>
      <c r="D48" s="101"/>
      <c r="E48" s="109"/>
      <c r="F48" s="108"/>
      <c r="G48" s="110"/>
      <c r="H48" s="102"/>
      <c r="I48" s="696"/>
      <c r="J48" s="696"/>
      <c r="K48" s="718"/>
      <c r="L48" s="16"/>
      <c r="M48" s="16"/>
      <c r="N48" s="16"/>
      <c r="O48" s="16"/>
      <c r="P48" s="16"/>
      <c r="Q48" s="16"/>
      <c r="R48" s="16"/>
      <c r="S48" s="16"/>
      <c r="T48" s="16"/>
      <c r="U48" s="16"/>
      <c r="V48" s="16"/>
      <c r="W48" s="16"/>
      <c r="X48" s="16"/>
      <c r="Y48" s="16"/>
      <c r="Z48" s="16"/>
      <c r="AA48" s="16"/>
      <c r="AB48" s="16"/>
    </row>
    <row r="49" spans="1:30" ht="15.75" customHeight="1">
      <c r="A49" s="16"/>
      <c r="B49" s="51"/>
      <c r="C49" s="16"/>
      <c r="D49" s="104"/>
      <c r="E49" s="105"/>
      <c r="F49" s="106"/>
      <c r="G49" s="111"/>
      <c r="H49" s="16"/>
      <c r="I49" s="696"/>
      <c r="J49" s="696"/>
      <c r="K49" s="718"/>
      <c r="L49" s="16"/>
      <c r="M49" s="16"/>
      <c r="N49" s="16"/>
      <c r="O49" s="16"/>
      <c r="P49" s="16"/>
      <c r="Q49" s="16"/>
      <c r="R49" s="16"/>
      <c r="S49" s="16"/>
      <c r="T49" s="16"/>
      <c r="U49" s="16"/>
      <c r="V49" s="16"/>
      <c r="W49" s="16"/>
      <c r="X49" s="16"/>
      <c r="Y49" s="16"/>
      <c r="Z49" s="16"/>
      <c r="AA49" s="16"/>
      <c r="AB49" s="16"/>
    </row>
    <row r="50" spans="1:30" ht="15.75" customHeight="1" thickBot="1">
      <c r="A50" s="180"/>
      <c r="B50" s="181"/>
      <c r="C50" s="182"/>
      <c r="D50" s="182"/>
      <c r="E50" s="184"/>
      <c r="F50" s="184"/>
      <c r="G50" s="112"/>
      <c r="H50" s="180"/>
      <c r="I50" s="719"/>
      <c r="J50" s="719"/>
      <c r="K50" s="720"/>
      <c r="L50" s="16"/>
      <c r="M50" s="16"/>
      <c r="N50" s="16"/>
      <c r="O50" s="16"/>
      <c r="P50" s="16"/>
      <c r="Q50" s="16"/>
      <c r="R50" s="16"/>
      <c r="S50" s="16"/>
      <c r="T50" s="16"/>
      <c r="U50" s="16"/>
      <c r="V50" s="16"/>
      <c r="W50" s="16"/>
      <c r="X50" s="16"/>
      <c r="Y50" s="16"/>
      <c r="Z50" s="16"/>
      <c r="AA50" s="16"/>
      <c r="AB50" s="16"/>
    </row>
    <row r="51" spans="1:30" ht="15.75" customHeight="1" thickTop="1">
      <c r="A51" s="15"/>
      <c r="B51" s="16"/>
      <c r="C51" s="16"/>
      <c r="D51" s="16"/>
      <c r="E51" s="16"/>
      <c r="F51" s="16"/>
      <c r="G51" s="16"/>
      <c r="H51" s="16"/>
      <c r="I51" s="16"/>
      <c r="J51" s="16"/>
      <c r="K51" s="16"/>
      <c r="L51" s="16"/>
      <c r="M51" s="16"/>
      <c r="N51" s="16"/>
      <c r="O51" s="16"/>
      <c r="P51" s="16"/>
      <c r="Q51" s="16"/>
      <c r="R51" s="16"/>
      <c r="S51" s="16"/>
      <c r="T51" s="16"/>
      <c r="U51" s="16"/>
      <c r="V51" s="16"/>
      <c r="W51" s="16"/>
      <c r="X51" s="16"/>
      <c r="Y51" s="16"/>
      <c r="Z51" s="16"/>
      <c r="AA51" s="16"/>
      <c r="AB51" s="16"/>
      <c r="AC51" s="16"/>
      <c r="AD51" s="16"/>
    </row>
    <row r="52" spans="1:30" ht="15.75" customHeight="1">
      <c r="A52" s="15"/>
      <c r="B52" s="16"/>
      <c r="C52" s="16"/>
      <c r="D52" s="16"/>
      <c r="E52" s="16"/>
      <c r="F52" s="16"/>
      <c r="G52" s="16"/>
      <c r="H52" s="16"/>
      <c r="I52" s="16"/>
      <c r="J52" s="16"/>
      <c r="K52" s="16"/>
      <c r="L52" s="16"/>
      <c r="M52" s="16"/>
      <c r="N52" s="16"/>
      <c r="O52" s="16"/>
      <c r="P52" s="16"/>
      <c r="Q52" s="16"/>
      <c r="W52" s="16"/>
      <c r="X52" s="16"/>
      <c r="Y52" s="16"/>
      <c r="Z52" s="16"/>
      <c r="AA52" s="16"/>
      <c r="AB52" s="16"/>
      <c r="AC52" s="16"/>
      <c r="AD52" s="16"/>
    </row>
    <row r="53" spans="1:30" ht="15.75" customHeight="1" thickBot="1">
      <c r="A53" s="113" t="s">
        <v>475</v>
      </c>
      <c r="B53" s="180"/>
      <c r="C53" s="180"/>
      <c r="D53" s="180"/>
      <c r="E53" s="180"/>
      <c r="F53" s="180"/>
      <c r="G53" s="180"/>
      <c r="H53" s="180"/>
      <c r="I53" s="180"/>
      <c r="J53" s="16"/>
      <c r="K53" s="16"/>
      <c r="L53" s="16"/>
      <c r="M53" s="16"/>
      <c r="N53" s="16"/>
      <c r="O53" s="16"/>
      <c r="P53" s="16"/>
      <c r="Q53" s="16"/>
      <c r="W53" s="16"/>
      <c r="X53" s="16"/>
      <c r="Y53" s="16"/>
      <c r="Z53" s="16"/>
      <c r="AA53" s="16"/>
      <c r="AB53" s="16"/>
      <c r="AC53" s="16"/>
      <c r="AD53" s="16"/>
    </row>
    <row r="54" spans="1:30" ht="15.75" customHeight="1" thickTop="1">
      <c r="A54" s="114" t="s">
        <v>476</v>
      </c>
      <c r="B54" s="15" t="s">
        <v>477</v>
      </c>
      <c r="C54" s="15" t="s">
        <v>478</v>
      </c>
      <c r="D54" s="15" t="s">
        <v>479</v>
      </c>
      <c r="E54" s="15" t="s">
        <v>480</v>
      </c>
      <c r="F54" s="15" t="s">
        <v>481</v>
      </c>
      <c r="G54" s="15" t="s">
        <v>482</v>
      </c>
      <c r="H54" s="15" t="s">
        <v>453</v>
      </c>
      <c r="I54" s="15" t="s">
        <v>483</v>
      </c>
      <c r="J54" s="15" t="s">
        <v>484</v>
      </c>
      <c r="K54" s="721" t="s">
        <v>485</v>
      </c>
      <c r="L54" s="716"/>
      <c r="M54" s="722"/>
      <c r="N54" s="15"/>
      <c r="O54" s="16"/>
      <c r="P54" s="16"/>
      <c r="Q54" s="16"/>
      <c r="W54" s="16"/>
      <c r="X54" s="16"/>
      <c r="Y54" s="16"/>
      <c r="Z54" s="16"/>
      <c r="AA54" s="16"/>
      <c r="AB54" s="16"/>
    </row>
    <row r="55" spans="1:30" ht="15" customHeight="1">
      <c r="A55" s="116"/>
      <c r="B55" s="117"/>
      <c r="C55" s="16"/>
      <c r="D55" s="16"/>
      <c r="E55" s="16"/>
      <c r="F55" s="16"/>
      <c r="G55" s="118"/>
      <c r="H55" s="117"/>
      <c r="I55" s="119"/>
      <c r="J55" s="16"/>
      <c r="K55" s="588"/>
      <c r="L55" s="696"/>
      <c r="M55" s="723"/>
      <c r="N55" s="16"/>
      <c r="O55" s="16"/>
      <c r="P55" s="16"/>
      <c r="Q55" s="16"/>
      <c r="W55" s="16"/>
      <c r="X55" s="16"/>
      <c r="Y55" s="16"/>
      <c r="Z55" s="16"/>
      <c r="AA55" s="16"/>
      <c r="AB55" s="16"/>
    </row>
    <row r="56" spans="1:30" ht="15.75" customHeight="1">
      <c r="A56" s="16"/>
      <c r="B56" s="117"/>
      <c r="C56" s="16"/>
      <c r="D56" s="16"/>
      <c r="E56" s="16"/>
      <c r="F56" s="16"/>
      <c r="G56" s="16"/>
      <c r="H56" s="117"/>
      <c r="I56" s="119"/>
      <c r="J56" s="16"/>
      <c r="K56" s="738"/>
      <c r="L56" s="696"/>
      <c r="M56" s="723"/>
      <c r="N56" s="16"/>
      <c r="O56" s="16"/>
      <c r="P56" s="16"/>
      <c r="Q56" s="16"/>
      <c r="W56" s="16"/>
      <c r="X56" s="16"/>
      <c r="Y56" s="16"/>
      <c r="Z56" s="16"/>
      <c r="AA56" s="16"/>
      <c r="AB56" s="16"/>
    </row>
    <row r="57" spans="1:30" ht="14.25" customHeight="1">
      <c r="A57" s="16"/>
      <c r="B57" s="117"/>
      <c r="C57" s="16"/>
      <c r="D57" s="16"/>
      <c r="E57" s="16"/>
      <c r="F57" s="16"/>
      <c r="H57" s="117"/>
      <c r="I57" s="119"/>
      <c r="J57" s="16"/>
      <c r="K57" s="738"/>
      <c r="L57" s="696"/>
      <c r="M57" s="723"/>
      <c r="N57" s="16"/>
      <c r="O57" s="16"/>
      <c r="P57" s="16"/>
      <c r="Q57" s="16"/>
      <c r="W57" s="16"/>
      <c r="X57" s="16"/>
      <c r="Y57" s="16"/>
      <c r="Z57" s="16"/>
      <c r="AA57" s="16"/>
      <c r="AB57" s="16"/>
    </row>
    <row r="58" spans="1:30" ht="15.75" customHeight="1">
      <c r="A58" s="116"/>
      <c r="B58" s="117"/>
      <c r="C58" s="16"/>
      <c r="D58" s="16"/>
      <c r="E58" s="16"/>
      <c r="F58" s="16"/>
      <c r="G58" s="16"/>
      <c r="H58" s="117"/>
      <c r="I58" s="119"/>
      <c r="J58" s="16"/>
      <c r="K58" s="738"/>
      <c r="L58" s="696"/>
      <c r="M58" s="723"/>
      <c r="N58" s="16"/>
      <c r="O58" s="16"/>
      <c r="P58" s="16"/>
      <c r="Q58" s="16"/>
      <c r="W58" s="16"/>
      <c r="X58" s="16"/>
      <c r="Y58" s="16"/>
      <c r="Z58" s="16"/>
      <c r="AA58" s="16"/>
      <c r="AB58" s="16"/>
    </row>
    <row r="59" spans="1:30" ht="15.75" customHeight="1">
      <c r="A59" s="116"/>
      <c r="B59" s="117"/>
      <c r="C59" s="16"/>
      <c r="D59" s="16"/>
      <c r="E59" s="16"/>
      <c r="F59" s="16"/>
      <c r="G59" s="16"/>
      <c r="H59" s="117"/>
      <c r="I59" s="119"/>
      <c r="J59" s="16"/>
      <c r="K59" s="738"/>
      <c r="L59" s="696"/>
      <c r="M59" s="723"/>
      <c r="N59" s="16"/>
      <c r="O59" s="16"/>
      <c r="P59" s="16"/>
      <c r="Q59" s="16"/>
      <c r="W59" s="16"/>
      <c r="X59" s="16"/>
      <c r="Y59" s="16"/>
      <c r="Z59" s="16"/>
      <c r="AA59" s="16"/>
      <c r="AB59" s="16"/>
    </row>
    <row r="60" spans="1:30" ht="15.75" customHeight="1">
      <c r="A60" s="116"/>
      <c r="B60" s="117"/>
      <c r="C60" s="16"/>
      <c r="D60" s="16"/>
      <c r="E60" s="16"/>
      <c r="F60" s="16"/>
      <c r="G60" s="117"/>
      <c r="H60" s="117"/>
      <c r="I60" s="119"/>
      <c r="J60" s="16"/>
      <c r="K60" s="738"/>
      <c r="L60" s="696"/>
      <c r="M60" s="723"/>
      <c r="N60" s="16"/>
      <c r="O60" s="16"/>
      <c r="P60" s="16"/>
      <c r="Q60" s="16"/>
      <c r="W60" s="16"/>
      <c r="X60" s="16"/>
      <c r="Y60" s="16"/>
      <c r="Z60" s="16"/>
      <c r="AA60" s="16"/>
      <c r="AB60" s="16"/>
    </row>
    <row r="61" spans="1:30" ht="15.75" customHeight="1">
      <c r="A61" s="116"/>
      <c r="B61" s="117"/>
      <c r="C61" s="16"/>
      <c r="D61" s="16"/>
      <c r="E61" s="16"/>
      <c r="F61" s="16"/>
      <c r="G61" s="117"/>
      <c r="H61" s="117"/>
      <c r="I61" s="119"/>
      <c r="J61" s="16"/>
      <c r="K61" s="738"/>
      <c r="L61" s="696"/>
      <c r="M61" s="723"/>
      <c r="N61" s="16"/>
      <c r="O61" s="16"/>
      <c r="P61" s="16"/>
      <c r="Q61" s="16"/>
      <c r="W61" s="16"/>
      <c r="X61" s="16"/>
      <c r="Y61" s="16"/>
      <c r="Z61" s="16"/>
      <c r="AA61" s="16"/>
      <c r="AB61" s="16"/>
    </row>
    <row r="62" spans="1:30" ht="15.75" customHeight="1">
      <c r="A62" s="116"/>
      <c r="B62" s="117"/>
      <c r="C62" s="106"/>
      <c r="D62" s="106"/>
      <c r="E62" s="106"/>
      <c r="F62" s="120"/>
      <c r="G62" s="117"/>
      <c r="H62" s="117"/>
      <c r="I62" s="119"/>
      <c r="J62" s="16"/>
      <c r="K62" s="738"/>
      <c r="L62" s="696"/>
      <c r="M62" s="723"/>
      <c r="N62" s="16"/>
      <c r="O62" s="16"/>
      <c r="P62" s="16"/>
      <c r="Q62" s="16"/>
      <c r="W62" s="16"/>
      <c r="X62" s="16"/>
      <c r="Y62" s="16"/>
      <c r="Z62" s="16"/>
      <c r="AA62" s="16"/>
      <c r="AB62" s="16"/>
    </row>
    <row r="63" spans="1:30" ht="15.75" customHeight="1">
      <c r="A63" s="116"/>
      <c r="B63" s="117"/>
      <c r="C63" s="106"/>
      <c r="D63" s="106"/>
      <c r="E63" s="106"/>
      <c r="F63" s="120"/>
      <c r="G63" s="117"/>
      <c r="H63" s="117"/>
      <c r="I63" s="119"/>
      <c r="J63" s="16"/>
      <c r="K63" s="738"/>
      <c r="L63" s="696"/>
      <c r="M63" s="723"/>
      <c r="N63" s="16"/>
      <c r="O63" s="16"/>
      <c r="P63" s="16"/>
      <c r="Q63" s="16"/>
      <c r="W63" s="16"/>
      <c r="X63" s="16"/>
      <c r="Y63" s="16"/>
      <c r="Z63" s="16"/>
      <c r="AA63" s="16"/>
      <c r="AB63" s="16"/>
    </row>
    <row r="64" spans="1:30" ht="15.75" customHeight="1">
      <c r="A64" s="16"/>
      <c r="B64" s="117"/>
      <c r="C64" s="51"/>
      <c r="D64" s="51"/>
      <c r="E64" s="106"/>
      <c r="F64" s="120"/>
      <c r="G64" s="16"/>
      <c r="H64" s="117"/>
      <c r="I64" s="119"/>
      <c r="J64" s="16"/>
      <c r="K64" s="738"/>
      <c r="L64" s="696"/>
      <c r="M64" s="723"/>
      <c r="N64" s="16"/>
      <c r="O64" s="16"/>
      <c r="P64" s="16"/>
      <c r="Q64" s="16"/>
      <c r="W64" s="16"/>
      <c r="X64" s="16"/>
      <c r="Y64" s="16"/>
      <c r="Z64" s="16"/>
      <c r="AA64" s="16"/>
      <c r="AB64" s="16"/>
    </row>
    <row r="65" spans="1:30" ht="15.75" customHeight="1">
      <c r="A65" s="16"/>
      <c r="B65" s="117"/>
      <c r="C65" s="51"/>
      <c r="D65" s="51"/>
      <c r="E65" s="106"/>
      <c r="F65" s="120"/>
      <c r="G65" s="16"/>
      <c r="H65" s="117"/>
      <c r="I65" s="119"/>
      <c r="J65" s="16"/>
      <c r="K65" s="738"/>
      <c r="L65" s="696"/>
      <c r="M65" s="723"/>
      <c r="N65" s="16"/>
      <c r="O65" s="16"/>
      <c r="P65" s="16"/>
      <c r="Q65" s="16"/>
      <c r="W65" s="16"/>
      <c r="X65" s="16"/>
      <c r="Y65" s="16"/>
      <c r="Z65" s="16"/>
      <c r="AA65" s="16"/>
      <c r="AB65" s="16"/>
    </row>
    <row r="66" spans="1:30" ht="15.75" customHeight="1">
      <c r="A66" s="16"/>
      <c r="B66" s="117"/>
      <c r="C66" s="51"/>
      <c r="D66" s="51"/>
      <c r="E66" s="106"/>
      <c r="F66" s="120"/>
      <c r="G66" s="16"/>
      <c r="H66" s="117"/>
      <c r="I66" s="119"/>
      <c r="J66" s="16"/>
      <c r="K66" s="738"/>
      <c r="L66" s="696"/>
      <c r="M66" s="723"/>
      <c r="N66" s="16"/>
      <c r="O66" s="16"/>
      <c r="P66" s="16"/>
      <c r="Q66" s="16"/>
      <c r="W66" s="16"/>
      <c r="X66" s="16"/>
      <c r="Y66" s="16"/>
      <c r="Z66" s="16"/>
      <c r="AA66" s="16"/>
      <c r="AB66" s="16"/>
    </row>
    <row r="67" spans="1:30" ht="15.75" customHeight="1" thickBot="1">
      <c r="A67" s="121"/>
      <c r="B67" s="117"/>
      <c r="C67" s="182"/>
      <c r="D67" s="183"/>
      <c r="E67" s="184"/>
      <c r="F67" s="185"/>
      <c r="G67" s="112"/>
      <c r="H67" s="112"/>
      <c r="I67" s="122"/>
      <c r="J67" s="180"/>
      <c r="K67" s="739"/>
      <c r="L67" s="724"/>
      <c r="M67" s="725"/>
      <c r="N67" s="16"/>
      <c r="O67" s="16"/>
      <c r="P67" s="16"/>
      <c r="Q67" s="16"/>
      <c r="W67" s="16"/>
      <c r="X67" s="16"/>
      <c r="Y67" s="16"/>
      <c r="Z67" s="16"/>
      <c r="AA67" s="16"/>
      <c r="AB67" s="16"/>
    </row>
    <row r="68" spans="1:30" ht="15.75" customHeight="1" thickTop="1">
      <c r="A68" s="16"/>
      <c r="B68" s="16"/>
      <c r="C68" s="16"/>
      <c r="D68" s="16"/>
      <c r="E68" s="16"/>
      <c r="F68" s="16"/>
      <c r="G68" s="16"/>
      <c r="H68" s="16"/>
      <c r="I68" s="16"/>
      <c r="J68" s="16"/>
      <c r="K68" s="16"/>
      <c r="L68" s="16"/>
      <c r="M68" s="16"/>
      <c r="N68" s="16"/>
      <c r="O68" s="16"/>
      <c r="P68" s="16"/>
      <c r="Q68" s="16"/>
      <c r="W68" s="16"/>
      <c r="X68" s="16"/>
      <c r="Y68" s="16"/>
      <c r="Z68" s="16"/>
      <c r="AA68" s="16"/>
      <c r="AB68" s="16"/>
      <c r="AC68" s="16"/>
      <c r="AD68" s="16"/>
    </row>
    <row r="69" spans="1:30" ht="15.75" customHeight="1" thickBot="1">
      <c r="A69" s="186" t="s">
        <v>499</v>
      </c>
      <c r="B69" s="16"/>
      <c r="C69" s="16"/>
      <c r="D69" s="16"/>
      <c r="E69" s="16"/>
      <c r="F69" s="16"/>
      <c r="G69" s="16"/>
      <c r="H69" s="16"/>
      <c r="I69" s="123"/>
      <c r="J69" s="123"/>
      <c r="K69" s="123"/>
      <c r="L69" s="123"/>
      <c r="M69" s="16"/>
      <c r="N69" s="16"/>
      <c r="O69" s="16"/>
      <c r="P69" s="16"/>
      <c r="Q69" s="16"/>
      <c r="W69" s="16"/>
      <c r="X69" s="16"/>
      <c r="Y69" s="16"/>
      <c r="Z69" s="16"/>
      <c r="AA69" s="16"/>
      <c r="AB69" s="16"/>
      <c r="AC69" s="16"/>
      <c r="AD69" s="16"/>
    </row>
    <row r="70" spans="1:30" ht="15.75" customHeight="1" thickTop="1" thickBot="1">
      <c r="A70" s="124" t="s">
        <v>476</v>
      </c>
      <c r="B70" s="115" t="s">
        <v>500</v>
      </c>
      <c r="C70" s="115" t="s">
        <v>501</v>
      </c>
      <c r="D70" s="115" t="s">
        <v>502</v>
      </c>
      <c r="E70" s="115" t="s">
        <v>503</v>
      </c>
      <c r="F70" s="115" t="s">
        <v>504</v>
      </c>
      <c r="G70" s="115" t="s">
        <v>505</v>
      </c>
      <c r="H70" s="115" t="s">
        <v>506</v>
      </c>
      <c r="I70" s="15" t="s">
        <v>507</v>
      </c>
      <c r="J70" s="15" t="s">
        <v>508</v>
      </c>
      <c r="K70" s="691" t="s">
        <v>441</v>
      </c>
      <c r="L70" s="561"/>
      <c r="M70" s="561"/>
      <c r="N70" s="561"/>
      <c r="O70" s="570"/>
      <c r="P70" s="758" t="s">
        <v>434</v>
      </c>
      <c r="Q70" s="759"/>
      <c r="R70" s="16"/>
      <c r="S70" s="16"/>
      <c r="V70" s="16"/>
      <c r="W70" s="16"/>
      <c r="X70" s="16"/>
      <c r="Y70" s="16"/>
      <c r="Z70" s="16"/>
      <c r="AA70" s="16"/>
    </row>
    <row r="71" spans="1:30" ht="15.75" customHeight="1" thickTop="1">
      <c r="A71" s="16"/>
      <c r="B71" s="16"/>
      <c r="C71" s="51"/>
      <c r="D71" s="106"/>
      <c r="E71" s="105"/>
      <c r="F71" s="128">
        <f>TheStrals!$D71*TheStrals!$E71</f>
        <v>0</v>
      </c>
      <c r="G71" s="105"/>
      <c r="H71" s="126" t="str">
        <f>IF($B71= "","-",IF($B71= "External","Specify location tariff", INDEX(Constants!$3:$3,MATCH($B71,Constants!$2:$2,0))))</f>
        <v>-</v>
      </c>
      <c r="I71" s="236" t="str">
        <f t="shared" ref="I71:I87" si="2">IF($H71="-","-",IF($H71="Specify location tariff","-",$H71*$F71))</f>
        <v>-</v>
      </c>
      <c r="J71" s="127"/>
      <c r="K71" s="686"/>
      <c r="L71" s="562"/>
      <c r="M71" s="562"/>
      <c r="N71" s="562"/>
      <c r="O71" s="687"/>
      <c r="P71" s="690" t="s">
        <v>511</v>
      </c>
      <c r="Q71" s="628"/>
      <c r="R71" s="16"/>
      <c r="S71" s="16"/>
      <c r="V71" s="16"/>
      <c r="W71" s="16"/>
      <c r="X71" s="16"/>
      <c r="Y71" s="16"/>
      <c r="Z71" s="16"/>
      <c r="AA71" s="16"/>
    </row>
    <row r="72" spans="1:30" ht="15.75" customHeight="1">
      <c r="A72" s="16"/>
      <c r="B72" s="16"/>
      <c r="C72" s="51"/>
      <c r="D72" s="106"/>
      <c r="E72" s="105"/>
      <c r="F72" s="128">
        <f>TheStrals!$D72*TheStrals!$E72</f>
        <v>0</v>
      </c>
      <c r="G72" s="105"/>
      <c r="H72" s="126" t="str">
        <f>IF($B72= "","-",IF($B72= "External","Specify location tariff", INDEX(Constants!$3:$3,MATCH($B72,Constants!$2:$2,0))))</f>
        <v>-</v>
      </c>
      <c r="I72" s="236" t="str">
        <f t="shared" si="2"/>
        <v>-</v>
      </c>
      <c r="J72" s="127"/>
      <c r="K72" s="686"/>
      <c r="L72" s="562"/>
      <c r="M72" s="562"/>
      <c r="N72" s="562"/>
      <c r="O72" s="687"/>
      <c r="P72" s="588"/>
      <c r="Q72" s="575"/>
      <c r="R72" s="16"/>
      <c r="S72" s="16"/>
      <c r="V72" s="16"/>
      <c r="W72" s="16"/>
      <c r="X72" s="16"/>
      <c r="Y72" s="16"/>
      <c r="Z72" s="16"/>
      <c r="AA72" s="16"/>
    </row>
    <row r="73" spans="1:30" ht="15.75" customHeight="1">
      <c r="A73" s="16"/>
      <c r="B73" s="16"/>
      <c r="C73" s="51"/>
      <c r="D73" s="106"/>
      <c r="E73" s="105"/>
      <c r="F73" s="128">
        <f>TheStrals!$D73*TheStrals!$E73</f>
        <v>0</v>
      </c>
      <c r="G73" s="105"/>
      <c r="H73" s="126" t="str">
        <f>IF($B73= "","-",IF($B73= "External","Specify location tariff", INDEX(Constants!$3:$3,MATCH($B73,Constants!$2:$2,0))))</f>
        <v>-</v>
      </c>
      <c r="I73" s="236" t="str">
        <f t="shared" si="2"/>
        <v>-</v>
      </c>
      <c r="J73" s="127"/>
      <c r="K73" s="686"/>
      <c r="L73" s="562"/>
      <c r="M73" s="562"/>
      <c r="N73" s="562"/>
      <c r="O73" s="687"/>
      <c r="P73" s="588"/>
      <c r="Q73" s="575"/>
      <c r="R73" s="16"/>
      <c r="S73" s="16"/>
      <c r="V73" s="16"/>
      <c r="W73" s="16"/>
      <c r="X73" s="16"/>
      <c r="Y73" s="16"/>
      <c r="Z73" s="16"/>
      <c r="AA73" s="16"/>
    </row>
    <row r="74" spans="1:30" ht="15.75" customHeight="1">
      <c r="A74" s="16"/>
      <c r="B74" s="16"/>
      <c r="C74" s="51"/>
      <c r="D74" s="106"/>
      <c r="E74" s="105"/>
      <c r="F74" s="128">
        <f>TheStrals!$D74*TheStrals!$E74</f>
        <v>0</v>
      </c>
      <c r="G74" s="105"/>
      <c r="H74" s="126" t="str">
        <f>IF($B74= "","-",IF($B74= "External","Specify location tariff", INDEX(Constants!$3:$3,MATCH($B74,Constants!$2:$2,0))))</f>
        <v>-</v>
      </c>
      <c r="I74" s="236" t="str">
        <f t="shared" si="2"/>
        <v>-</v>
      </c>
      <c r="J74" s="127"/>
      <c r="K74" s="686"/>
      <c r="L74" s="562"/>
      <c r="M74" s="562"/>
      <c r="N74" s="562"/>
      <c r="O74" s="687"/>
      <c r="P74" s="588"/>
      <c r="Q74" s="575"/>
      <c r="R74" s="16"/>
      <c r="S74" s="16"/>
      <c r="V74" s="16"/>
      <c r="W74" s="16"/>
      <c r="X74" s="16"/>
      <c r="Y74" s="16"/>
      <c r="Z74" s="16"/>
      <c r="AA74" s="16"/>
    </row>
    <row r="75" spans="1:30" ht="15.75" customHeight="1">
      <c r="A75" s="16"/>
      <c r="B75" s="16"/>
      <c r="C75" s="51"/>
      <c r="D75" s="106"/>
      <c r="E75" s="105"/>
      <c r="F75" s="128">
        <f>TheStrals!$D75*TheStrals!$E75</f>
        <v>0</v>
      </c>
      <c r="G75" s="105"/>
      <c r="H75" s="126" t="str">
        <f>IF($B75= "","-",IF($B75= "External","Specify location tariff", INDEX(Constants!$3:$3,MATCH($B75,Constants!$2:$2,0))))</f>
        <v>-</v>
      </c>
      <c r="I75" s="236" t="str">
        <f t="shared" si="2"/>
        <v>-</v>
      </c>
      <c r="J75" s="127"/>
      <c r="K75" s="686"/>
      <c r="L75" s="562"/>
      <c r="M75" s="562"/>
      <c r="N75" s="562"/>
      <c r="O75" s="687"/>
      <c r="P75" s="588"/>
      <c r="Q75" s="575"/>
      <c r="R75" s="16"/>
      <c r="S75" s="16"/>
      <c r="V75" s="16"/>
      <c r="W75" s="16"/>
      <c r="X75" s="16"/>
      <c r="Y75" s="16"/>
      <c r="Z75" s="16"/>
      <c r="AA75" s="16"/>
    </row>
    <row r="76" spans="1:30" ht="15.75" customHeight="1">
      <c r="A76" s="16"/>
      <c r="B76" s="16"/>
      <c r="C76" s="51"/>
      <c r="D76" s="106"/>
      <c r="E76" s="105"/>
      <c r="F76" s="128">
        <f>TheStrals!$D76*TheStrals!$E76</f>
        <v>0</v>
      </c>
      <c r="G76" s="105"/>
      <c r="H76" s="126" t="str">
        <f>IF($B76= "","-",IF($B76= "External","Specify location tariff", INDEX(Constants!$3:$3,MATCH($B76,Constants!$2:$2,0))))</f>
        <v>-</v>
      </c>
      <c r="I76" s="236" t="str">
        <f t="shared" si="2"/>
        <v>-</v>
      </c>
      <c r="J76" s="127"/>
      <c r="K76" s="686"/>
      <c r="L76" s="562"/>
      <c r="M76" s="562"/>
      <c r="N76" s="562"/>
      <c r="O76" s="687"/>
      <c r="P76" s="588"/>
      <c r="Q76" s="575"/>
      <c r="R76" s="16"/>
      <c r="S76" s="16"/>
      <c r="V76" s="16"/>
      <c r="W76" s="16"/>
      <c r="X76" s="16"/>
      <c r="Y76" s="16"/>
      <c r="Z76" s="16"/>
      <c r="AA76" s="16"/>
    </row>
    <row r="77" spans="1:30" ht="15.75" customHeight="1">
      <c r="A77" s="16"/>
      <c r="B77" s="16"/>
      <c r="C77" s="51"/>
      <c r="D77" s="106"/>
      <c r="E77" s="105"/>
      <c r="F77" s="128">
        <f>TheStrals!$D77*TheStrals!$E77</f>
        <v>0</v>
      </c>
      <c r="G77" s="105"/>
      <c r="H77" s="126" t="str">
        <f>IF($B77= "","-",IF($B77= "External","Specify location tariff", INDEX(Constants!$3:$3,MATCH($B77,Constants!$2:$2,0))))</f>
        <v>-</v>
      </c>
      <c r="I77" s="236" t="str">
        <f t="shared" si="2"/>
        <v>-</v>
      </c>
      <c r="J77" s="127"/>
      <c r="K77" s="686"/>
      <c r="L77" s="562"/>
      <c r="M77" s="562"/>
      <c r="N77" s="562"/>
      <c r="O77" s="687"/>
      <c r="P77" s="588"/>
      <c r="Q77" s="575"/>
      <c r="R77" s="16"/>
      <c r="S77" s="16"/>
      <c r="V77" s="16"/>
      <c r="W77" s="16"/>
      <c r="X77" s="16"/>
      <c r="Y77" s="16"/>
      <c r="Z77" s="16"/>
      <c r="AA77" s="16"/>
    </row>
    <row r="78" spans="1:30" ht="15.75" customHeight="1">
      <c r="A78" s="16"/>
      <c r="B78" s="16"/>
      <c r="C78" s="51"/>
      <c r="D78" s="106"/>
      <c r="E78" s="105"/>
      <c r="F78" s="128">
        <f>TheStrals!$D78*TheStrals!$E78</f>
        <v>0</v>
      </c>
      <c r="G78" s="105"/>
      <c r="H78" s="126" t="str">
        <f>IF($B78= "","-",IF($B78= "External","Specify location tariff", INDEX(Constants!$3:$3,MATCH($B78,Constants!$2:$2,0))))</f>
        <v>-</v>
      </c>
      <c r="I78" s="236" t="str">
        <f t="shared" si="2"/>
        <v>-</v>
      </c>
      <c r="J78" s="127"/>
      <c r="K78" s="686"/>
      <c r="L78" s="562"/>
      <c r="M78" s="562"/>
      <c r="N78" s="562"/>
      <c r="O78" s="687"/>
      <c r="P78" s="588"/>
      <c r="Q78" s="575"/>
      <c r="R78" s="16"/>
      <c r="S78" s="16"/>
      <c r="V78" s="16"/>
      <c r="W78" s="16"/>
      <c r="X78" s="16"/>
      <c r="Y78" s="16"/>
      <c r="Z78" s="16"/>
      <c r="AA78" s="16"/>
    </row>
    <row r="79" spans="1:30" ht="15.75" customHeight="1">
      <c r="A79" s="16"/>
      <c r="B79" s="16"/>
      <c r="C79" s="51"/>
      <c r="D79" s="106"/>
      <c r="E79" s="105"/>
      <c r="F79" s="128">
        <f>TheStrals!$D79*TheStrals!$E79</f>
        <v>0</v>
      </c>
      <c r="G79" s="105"/>
      <c r="H79" s="126" t="str">
        <f>IF($B79= "","-",IF($B79= "External","Specify location tariff", INDEX(Constants!$3:$3,MATCH($B79,Constants!$2:$2,0))))</f>
        <v>-</v>
      </c>
      <c r="I79" s="236" t="str">
        <f t="shared" si="2"/>
        <v>-</v>
      </c>
      <c r="J79" s="127"/>
      <c r="K79" s="686"/>
      <c r="L79" s="562"/>
      <c r="M79" s="562"/>
      <c r="N79" s="562"/>
      <c r="O79" s="687"/>
      <c r="P79" s="588"/>
      <c r="Q79" s="575"/>
      <c r="R79" s="16"/>
      <c r="S79" s="16"/>
      <c r="V79" s="16"/>
      <c r="W79" s="16"/>
      <c r="X79" s="16"/>
      <c r="Y79" s="16"/>
      <c r="Z79" s="16"/>
      <c r="AA79" s="16"/>
    </row>
    <row r="80" spans="1:30" ht="15.75" customHeight="1">
      <c r="A80" s="16"/>
      <c r="B80" s="16"/>
      <c r="C80" s="51"/>
      <c r="D80" s="106"/>
      <c r="E80" s="105"/>
      <c r="F80" s="128">
        <f>TheStrals!$D80*TheStrals!$E80</f>
        <v>0</v>
      </c>
      <c r="G80" s="105"/>
      <c r="H80" s="126" t="str">
        <f>IF($B80= "","-",IF($B80= "External","Specify location tariff", INDEX(Constants!$3:$3,MATCH($B80,Constants!$2:$2,0))))</f>
        <v>-</v>
      </c>
      <c r="I80" s="236" t="str">
        <f t="shared" si="2"/>
        <v>-</v>
      </c>
      <c r="J80" s="127"/>
      <c r="K80" s="686"/>
      <c r="L80" s="562"/>
      <c r="M80" s="562"/>
      <c r="N80" s="562"/>
      <c r="O80" s="687"/>
      <c r="P80" s="588"/>
      <c r="Q80" s="575"/>
      <c r="R80" s="16"/>
      <c r="S80" s="16"/>
      <c r="V80" s="16"/>
      <c r="W80" s="16"/>
      <c r="X80" s="16"/>
      <c r="Y80" s="16"/>
      <c r="Z80" s="16"/>
      <c r="AA80" s="16"/>
    </row>
    <row r="81" spans="1:30" ht="15.75" customHeight="1">
      <c r="A81" s="16"/>
      <c r="B81" s="16"/>
      <c r="C81" s="51"/>
      <c r="D81" s="106"/>
      <c r="E81" s="105"/>
      <c r="F81" s="128">
        <f>TheStrals!$D81*TheStrals!$E81</f>
        <v>0</v>
      </c>
      <c r="G81" s="105"/>
      <c r="H81" s="126" t="str">
        <f>IF($B81= "","-",IF($B81= "External","Specify location tariff", INDEX(Constants!$3:$3,MATCH($B81,Constants!$2:$2,0))))</f>
        <v>-</v>
      </c>
      <c r="I81" s="236" t="str">
        <f t="shared" si="2"/>
        <v>-</v>
      </c>
      <c r="J81" s="127"/>
      <c r="K81" s="686"/>
      <c r="L81" s="562"/>
      <c r="M81" s="562"/>
      <c r="N81" s="562"/>
      <c r="O81" s="687"/>
      <c r="P81" s="588"/>
      <c r="Q81" s="575"/>
      <c r="R81" s="16"/>
      <c r="S81" s="16"/>
      <c r="V81" s="16"/>
      <c r="W81" s="16"/>
      <c r="X81" s="16"/>
      <c r="Y81" s="16"/>
      <c r="Z81" s="16"/>
      <c r="AA81" s="16"/>
    </row>
    <row r="82" spans="1:30" ht="15.75" customHeight="1">
      <c r="A82" s="16"/>
      <c r="B82" s="16"/>
      <c r="C82" s="51"/>
      <c r="D82" s="106"/>
      <c r="E82" s="105"/>
      <c r="F82" s="128">
        <f>TheStrals!$D82*TheStrals!$E82</f>
        <v>0</v>
      </c>
      <c r="G82" s="105"/>
      <c r="H82" s="126" t="str">
        <f>IF($B82= "","-",IF($B82= "External","Specify location tariff", INDEX(Constants!$3:$3,MATCH($B82,Constants!$2:$2,0))))</f>
        <v>-</v>
      </c>
      <c r="I82" s="236" t="str">
        <f t="shared" si="2"/>
        <v>-</v>
      </c>
      <c r="J82" s="127"/>
      <c r="K82" s="686"/>
      <c r="L82" s="562"/>
      <c r="M82" s="562"/>
      <c r="N82" s="562"/>
      <c r="O82" s="687"/>
      <c r="P82" s="588"/>
      <c r="Q82" s="575"/>
      <c r="R82" s="16"/>
      <c r="S82" s="16"/>
      <c r="V82" s="16"/>
      <c r="W82" s="16"/>
      <c r="X82" s="16"/>
      <c r="Y82" s="16"/>
      <c r="Z82" s="16"/>
      <c r="AA82" s="16"/>
    </row>
    <row r="83" spans="1:30" ht="15.75" customHeight="1">
      <c r="A83" s="16"/>
      <c r="B83" s="16"/>
      <c r="C83" s="51"/>
      <c r="D83" s="106"/>
      <c r="E83" s="105"/>
      <c r="F83" s="128">
        <f>TheStrals!$D83*TheStrals!$E83</f>
        <v>0</v>
      </c>
      <c r="G83" s="105"/>
      <c r="H83" s="126" t="str">
        <f>IF($B83= "","-",IF($B83= "External","Specify location tariff", INDEX(Constants!$3:$3,MATCH($B83,Constants!$2:$2,0))))</f>
        <v>-</v>
      </c>
      <c r="I83" s="236" t="str">
        <f t="shared" si="2"/>
        <v>-</v>
      </c>
      <c r="J83" s="127"/>
      <c r="K83" s="686"/>
      <c r="L83" s="562"/>
      <c r="M83" s="562"/>
      <c r="N83" s="562"/>
      <c r="O83" s="687"/>
      <c r="P83" s="588"/>
      <c r="Q83" s="575"/>
      <c r="R83" s="16"/>
      <c r="S83" s="16"/>
      <c r="V83" s="16"/>
      <c r="W83" s="16"/>
      <c r="X83" s="16"/>
      <c r="Y83" s="16"/>
      <c r="Z83" s="16"/>
      <c r="AA83" s="16"/>
    </row>
    <row r="84" spans="1:30" ht="15.75" customHeight="1">
      <c r="A84" s="16"/>
      <c r="B84" s="16"/>
      <c r="C84" s="51"/>
      <c r="D84" s="106"/>
      <c r="E84" s="105"/>
      <c r="F84" s="128">
        <f>TheStrals!$D84*TheStrals!$E84</f>
        <v>0</v>
      </c>
      <c r="G84" s="105"/>
      <c r="H84" s="126" t="str">
        <f>IF($B84= "","-",IF($B84= "External","Specify location tariff", INDEX(Constants!$3:$3,MATCH($B84,Constants!$2:$2,0))))</f>
        <v>-</v>
      </c>
      <c r="I84" s="236" t="str">
        <f t="shared" si="2"/>
        <v>-</v>
      </c>
      <c r="J84" s="127"/>
      <c r="K84" s="686"/>
      <c r="L84" s="562"/>
      <c r="M84" s="562"/>
      <c r="N84" s="562"/>
      <c r="O84" s="687"/>
      <c r="P84" s="588"/>
      <c r="Q84" s="575"/>
      <c r="R84" s="16"/>
      <c r="S84" s="16"/>
      <c r="V84" s="16"/>
      <c r="W84" s="16"/>
      <c r="X84" s="16"/>
      <c r="Y84" s="16"/>
      <c r="Z84" s="16"/>
      <c r="AA84" s="16"/>
    </row>
    <row r="85" spans="1:30" ht="15.75" customHeight="1">
      <c r="A85" s="16"/>
      <c r="B85" s="16"/>
      <c r="C85" s="51"/>
      <c r="D85" s="106"/>
      <c r="E85" s="105"/>
      <c r="F85" s="128">
        <f>TheStrals!$D85*TheStrals!$E85</f>
        <v>0</v>
      </c>
      <c r="G85" s="105"/>
      <c r="H85" s="126" t="str">
        <f>IF($B85= "","-",IF($B85= "External","Specify location tariff", INDEX(Constants!$3:$3,MATCH($B85,Constants!$2:$2,0))))</f>
        <v>-</v>
      </c>
      <c r="I85" s="236" t="str">
        <f t="shared" si="2"/>
        <v>-</v>
      </c>
      <c r="J85" s="127"/>
      <c r="K85" s="686"/>
      <c r="L85" s="562"/>
      <c r="M85" s="562"/>
      <c r="N85" s="562"/>
      <c r="O85" s="687"/>
      <c r="P85" s="588"/>
      <c r="Q85" s="575"/>
      <c r="R85" s="16"/>
      <c r="S85" s="16"/>
      <c r="V85" s="16"/>
      <c r="W85" s="16"/>
      <c r="X85" s="16"/>
      <c r="Y85" s="16"/>
      <c r="Z85" s="16"/>
      <c r="AA85" s="16"/>
    </row>
    <row r="86" spans="1:30" ht="15.75" customHeight="1">
      <c r="A86" s="16"/>
      <c r="B86" s="16"/>
      <c r="C86" s="51"/>
      <c r="D86" s="106"/>
      <c r="E86" s="105"/>
      <c r="F86" s="128">
        <f>TheStrals!$D86*TheStrals!$E86</f>
        <v>0</v>
      </c>
      <c r="G86" s="105"/>
      <c r="H86" s="126" t="str">
        <f>IF($B86= "","-",IF($B86= "External","Specify location tariff", INDEX(Constants!$3:$3,MATCH($B86,Constants!$2:$2,0))))</f>
        <v>-</v>
      </c>
      <c r="I86" s="236" t="str">
        <f t="shared" si="2"/>
        <v>-</v>
      </c>
      <c r="J86" s="127"/>
      <c r="K86" s="686"/>
      <c r="L86" s="562"/>
      <c r="M86" s="562"/>
      <c r="N86" s="562"/>
      <c r="O86" s="687"/>
      <c r="P86" s="588"/>
      <c r="Q86" s="575"/>
      <c r="R86" s="16"/>
      <c r="S86" s="16"/>
      <c r="V86" s="16"/>
      <c r="W86" s="16"/>
      <c r="X86" s="16"/>
      <c r="Y86" s="16"/>
      <c r="Z86" s="16"/>
      <c r="AA86" s="16"/>
    </row>
    <row r="87" spans="1:30" ht="15.75" customHeight="1" thickBot="1">
      <c r="A87" s="121"/>
      <c r="B87" s="16"/>
      <c r="C87" s="183"/>
      <c r="D87" s="184"/>
      <c r="E87" s="182"/>
      <c r="F87" s="181">
        <f>TheStrals!$D87*TheStrals!$E87</f>
        <v>0</v>
      </c>
      <c r="G87" s="182"/>
      <c r="H87" s="126" t="str">
        <f>IF($B87= "","-",IF($B87= "External","Specify location tariff", INDEX(Constants!$3:$3,MATCH($B87,Constants!$2:$2,0))))</f>
        <v>-</v>
      </c>
      <c r="I87" s="236" t="str">
        <f t="shared" si="2"/>
        <v>-</v>
      </c>
      <c r="J87" s="187"/>
      <c r="K87" s="688"/>
      <c r="L87" s="563"/>
      <c r="M87" s="563"/>
      <c r="N87" s="563"/>
      <c r="O87" s="689"/>
      <c r="P87" s="588"/>
      <c r="Q87" s="575"/>
      <c r="R87" s="16"/>
      <c r="S87" s="16"/>
      <c r="V87" s="16"/>
      <c r="W87" s="16"/>
      <c r="X87" s="16"/>
      <c r="Y87" s="16"/>
      <c r="Z87" s="16"/>
      <c r="AA87" s="16"/>
    </row>
    <row r="88" spans="1:30" ht="15.75" customHeight="1" thickTop="1">
      <c r="A88" s="15"/>
      <c r="B88" s="16"/>
      <c r="C88" s="16"/>
      <c r="D88" s="16"/>
      <c r="E88" s="16"/>
      <c r="F88" s="16"/>
      <c r="G88" s="16"/>
      <c r="H88" s="16"/>
      <c r="I88" s="16"/>
      <c r="J88" s="16"/>
      <c r="K88" s="16"/>
      <c r="L88" s="16"/>
      <c r="M88" s="16"/>
      <c r="N88" s="16"/>
      <c r="O88" s="16">
        <v>0</v>
      </c>
      <c r="P88" s="16"/>
      <c r="Q88" s="16"/>
      <c r="R88" s="16"/>
      <c r="S88" s="16"/>
      <c r="T88" s="16"/>
      <c r="U88" s="16"/>
      <c r="V88" s="16"/>
      <c r="W88" s="16"/>
      <c r="X88" s="16"/>
      <c r="Y88" s="16"/>
      <c r="Z88" s="16"/>
      <c r="AA88" s="16"/>
      <c r="AB88" s="16"/>
      <c r="AC88" s="16"/>
      <c r="AD88" s="16"/>
    </row>
    <row r="89" spans="1:30" ht="15.75" customHeight="1">
      <c r="A89" s="15"/>
      <c r="B89" s="16"/>
      <c r="C89" s="16"/>
      <c r="D89" s="16"/>
      <c r="E89" s="16"/>
      <c r="F89" s="16"/>
      <c r="G89" s="16"/>
      <c r="H89" s="16"/>
      <c r="I89" s="16"/>
      <c r="J89" s="16"/>
      <c r="K89" s="16"/>
      <c r="L89" s="16"/>
      <c r="M89" s="16"/>
      <c r="N89" s="16"/>
      <c r="O89" s="16"/>
      <c r="P89" s="16"/>
      <c r="Q89" s="16"/>
      <c r="R89" s="16"/>
      <c r="S89" s="16"/>
      <c r="T89" s="16"/>
      <c r="U89" s="16"/>
      <c r="V89" s="16"/>
      <c r="W89" s="16"/>
      <c r="X89" s="16"/>
      <c r="Y89" s="16"/>
      <c r="Z89" s="16"/>
      <c r="AA89" s="16"/>
      <c r="AB89" s="16"/>
      <c r="AC89" s="16"/>
      <c r="AD89" s="16"/>
    </row>
    <row r="90" spans="1:30" ht="15.75" customHeight="1" thickBot="1">
      <c r="A90" s="186" t="s">
        <v>519</v>
      </c>
      <c r="B90" s="16"/>
      <c r="C90" s="128"/>
      <c r="D90" s="51"/>
      <c r="E90" s="51"/>
      <c r="F90" s="51"/>
      <c r="G90" s="51"/>
      <c r="H90" s="51"/>
      <c r="I90" s="51"/>
      <c r="J90" s="51"/>
      <c r="K90" s="51"/>
      <c r="L90" s="129"/>
      <c r="M90" s="123"/>
      <c r="N90" s="16"/>
      <c r="O90" s="16"/>
      <c r="P90" s="16"/>
      <c r="Q90" s="16"/>
      <c r="R90" s="16"/>
      <c r="S90" s="16"/>
      <c r="T90" s="16"/>
      <c r="U90" s="16"/>
      <c r="V90" s="16"/>
      <c r="W90" s="16"/>
      <c r="X90" s="16"/>
      <c r="Y90" s="16"/>
      <c r="Z90" s="16"/>
      <c r="AA90" s="16"/>
      <c r="AB90" s="16"/>
      <c r="AC90" s="16"/>
      <c r="AD90" s="16"/>
    </row>
    <row r="91" spans="1:30" ht="15" customHeight="1" thickTop="1" thickBot="1">
      <c r="A91" s="15" t="s">
        <v>438</v>
      </c>
      <c r="B91" s="15" t="s">
        <v>439</v>
      </c>
      <c r="C91" s="15" t="s">
        <v>520</v>
      </c>
      <c r="D91" s="15" t="s">
        <v>521</v>
      </c>
      <c r="E91" s="15" t="s">
        <v>522</v>
      </c>
      <c r="F91" s="15" t="s">
        <v>523</v>
      </c>
      <c r="G91" s="15" t="s">
        <v>508</v>
      </c>
      <c r="H91" s="721" t="s">
        <v>441</v>
      </c>
      <c r="I91" s="728"/>
      <c r="J91" s="729" t="s">
        <v>434</v>
      </c>
      <c r="K91" s="730"/>
      <c r="L91" s="16"/>
      <c r="M91" s="16"/>
      <c r="N91" s="16"/>
      <c r="O91" s="16"/>
      <c r="P91" s="117"/>
      <c r="Q91" s="15"/>
      <c r="R91" s="16"/>
      <c r="S91" s="130"/>
      <c r="T91" s="16"/>
      <c r="U91" s="16"/>
      <c r="V91" s="16"/>
      <c r="W91" s="241"/>
      <c r="X91" s="16"/>
      <c r="Y91" s="16"/>
      <c r="Z91" s="16"/>
      <c r="AA91" s="16"/>
      <c r="AB91" s="16"/>
    </row>
    <row r="92" spans="1:30" ht="14.25" customHeight="1" thickTop="1">
      <c r="A92" s="16"/>
      <c r="C92" s="134">
        <v>0</v>
      </c>
      <c r="D92" s="127"/>
      <c r="E92" s="105"/>
      <c r="F92" s="134">
        <f>IF(Table_6170346[[#This Row],[Item]]="",0,Table_6170346[[#This Row],[Amount]]*Table_6170346[[#This Row],[Purchase / Running costs]]/Table_6170346[[#This Row],[Depreciation period]])</f>
        <v>0</v>
      </c>
      <c r="G92" s="127"/>
      <c r="H92" s="558"/>
      <c r="I92" s="696"/>
      <c r="J92" s="559" t="s">
        <v>526</v>
      </c>
      <c r="K92" s="730"/>
      <c r="L92" s="16"/>
      <c r="M92" s="16"/>
      <c r="N92" s="16"/>
      <c r="O92" s="16"/>
      <c r="P92" s="16"/>
      <c r="Q92" s="133"/>
      <c r="R92" s="16"/>
      <c r="S92" s="16"/>
      <c r="T92" s="16"/>
      <c r="U92" s="16"/>
      <c r="V92" s="16"/>
      <c r="W92" s="16"/>
      <c r="X92" s="16"/>
      <c r="Y92" s="16"/>
      <c r="Z92" s="16"/>
      <c r="AA92" s="16"/>
      <c r="AB92" s="16"/>
    </row>
    <row r="93" spans="1:30" ht="15.75" customHeight="1">
      <c r="A93" s="16"/>
      <c r="C93" s="134">
        <v>0</v>
      </c>
      <c r="D93" s="127"/>
      <c r="E93" s="105"/>
      <c r="F93" s="134">
        <f>IF(Table_6170346[[#This Row],[Item]]="",0,Table_6170346[[#This Row],[Amount]]*Table_6170346[[#This Row],[Purchase / Running costs]]/Table_6170346[[#This Row],[Depreciation period]])</f>
        <v>0</v>
      </c>
      <c r="G93" s="127"/>
      <c r="H93" s="696"/>
      <c r="I93" s="696"/>
      <c r="J93" s="731"/>
      <c r="K93" s="732"/>
      <c r="L93" s="16"/>
      <c r="M93" s="16"/>
      <c r="N93" s="16"/>
      <c r="O93" s="16"/>
      <c r="P93" s="16"/>
      <c r="Q93" s="16"/>
      <c r="R93" s="16"/>
      <c r="S93" s="16"/>
      <c r="T93" s="16"/>
      <c r="U93" s="16"/>
      <c r="V93" s="16"/>
      <c r="W93" s="16"/>
      <c r="X93" s="16"/>
      <c r="Y93" s="16"/>
      <c r="Z93" s="16"/>
      <c r="AA93" s="16"/>
      <c r="AB93" s="16"/>
    </row>
    <row r="94" spans="1:30" ht="15.75" customHeight="1">
      <c r="A94" s="16"/>
      <c r="C94" s="134">
        <v>0</v>
      </c>
      <c r="D94" s="127"/>
      <c r="E94" s="105"/>
      <c r="F94" s="134">
        <f>IF(Table_6170346[[#This Row],[Item]]="",0,Table_6170346[[#This Row],[Amount]]*Table_6170346[[#This Row],[Purchase / Running costs]]/Table_6170346[[#This Row],[Depreciation period]])</f>
        <v>0</v>
      </c>
      <c r="G94" s="127"/>
      <c r="H94" s="696"/>
      <c r="I94" s="696"/>
      <c r="J94" s="731"/>
      <c r="K94" s="732"/>
      <c r="L94" s="16"/>
      <c r="M94" s="16"/>
      <c r="N94" s="16"/>
      <c r="O94" s="16"/>
      <c r="P94" s="16"/>
      <c r="Q94" s="16"/>
      <c r="R94" s="16"/>
      <c r="S94" s="16"/>
      <c r="T94" s="16"/>
      <c r="U94" s="16"/>
      <c r="V94" s="16"/>
      <c r="W94" s="16"/>
      <c r="X94" s="16"/>
      <c r="Y94" s="16"/>
      <c r="Z94" s="16"/>
      <c r="AA94" s="16"/>
      <c r="AB94" s="16"/>
    </row>
    <row r="95" spans="1:30" ht="15.75" customHeight="1">
      <c r="A95" s="16"/>
      <c r="C95" s="134">
        <v>0</v>
      </c>
      <c r="D95" s="127"/>
      <c r="E95" s="105"/>
      <c r="F95" s="134">
        <f>IF(Table_6170346[[#This Row],[Item]]="",0,Table_6170346[[#This Row],[Amount]]*Table_6170346[[#This Row],[Purchase / Running costs]]/Table_6170346[[#This Row],[Depreciation period]])</f>
        <v>0</v>
      </c>
      <c r="G95" s="127"/>
      <c r="H95" s="696"/>
      <c r="I95" s="696"/>
      <c r="J95" s="731"/>
      <c r="K95" s="732"/>
      <c r="L95" s="16"/>
      <c r="M95" s="16"/>
      <c r="N95" s="16"/>
      <c r="O95" s="16"/>
      <c r="P95" s="16"/>
      <c r="Q95" s="16"/>
      <c r="R95" s="16"/>
      <c r="S95" s="16"/>
      <c r="T95" s="16"/>
      <c r="U95" s="16"/>
      <c r="V95" s="16"/>
      <c r="W95" s="16"/>
      <c r="X95" s="16"/>
      <c r="Y95" s="16"/>
      <c r="Z95" s="16"/>
      <c r="AA95" s="16"/>
      <c r="AB95" s="16"/>
    </row>
    <row r="96" spans="1:30" ht="15.75" customHeight="1">
      <c r="A96" s="16"/>
      <c r="C96" s="134">
        <v>0</v>
      </c>
      <c r="D96" s="127"/>
      <c r="E96" s="105"/>
      <c r="F96" s="134">
        <f>IF(Table_6170346[[#This Row],[Item]]="",0,Table_6170346[[#This Row],[Amount]]*Table_6170346[[#This Row],[Purchase / Running costs]]/Table_6170346[[#This Row],[Depreciation period]])</f>
        <v>0</v>
      </c>
      <c r="G96" s="127"/>
      <c r="H96" s="696"/>
      <c r="I96" s="696"/>
      <c r="J96" s="731"/>
      <c r="K96" s="732"/>
      <c r="L96" s="16"/>
      <c r="M96" s="16"/>
      <c r="N96" s="16"/>
      <c r="O96" s="16"/>
      <c r="P96" s="16"/>
      <c r="Q96" s="16"/>
      <c r="R96" s="16"/>
      <c r="S96" s="16"/>
      <c r="T96" s="16"/>
      <c r="U96" s="16"/>
      <c r="V96" s="16"/>
      <c r="W96" s="16"/>
      <c r="X96" s="16"/>
      <c r="Y96" s="16"/>
      <c r="Z96" s="16"/>
      <c r="AA96" s="16"/>
      <c r="AB96" s="16"/>
    </row>
    <row r="97" spans="1:30" ht="15.75" customHeight="1">
      <c r="A97" s="16"/>
      <c r="C97" s="134">
        <v>0</v>
      </c>
      <c r="D97" s="127"/>
      <c r="E97" s="105"/>
      <c r="F97" s="134">
        <f>IF(Table_6170346[[#This Row],[Item]]="",0,Table_6170346[[#This Row],[Amount]]*Table_6170346[[#This Row],[Purchase / Running costs]]/Table_6170346[[#This Row],[Depreciation period]])</f>
        <v>0</v>
      </c>
      <c r="G97" s="127"/>
      <c r="H97" s="696"/>
      <c r="I97" s="696"/>
      <c r="J97" s="731"/>
      <c r="K97" s="732"/>
      <c r="L97" s="16"/>
      <c r="M97" s="16"/>
      <c r="N97" s="16"/>
      <c r="O97" s="16"/>
      <c r="P97" s="16"/>
      <c r="Q97" s="16"/>
      <c r="R97" s="16"/>
      <c r="S97" s="16"/>
      <c r="T97" s="16"/>
      <c r="U97" s="16"/>
      <c r="V97" s="16"/>
      <c r="W97" s="16"/>
      <c r="X97" s="16"/>
      <c r="Y97" s="16"/>
      <c r="Z97" s="16"/>
      <c r="AA97" s="16"/>
      <c r="AB97" s="16"/>
    </row>
    <row r="98" spans="1:30" ht="15.75" customHeight="1">
      <c r="A98" s="16"/>
      <c r="B98" s="131"/>
      <c r="C98" s="134">
        <v>0</v>
      </c>
      <c r="D98" s="127"/>
      <c r="E98" s="105"/>
      <c r="F98" s="134">
        <f>IF(Table_6170346[[#This Row],[Item]]="",0,Table_6170346[[#This Row],[Amount]]*Table_6170346[[#This Row],[Purchase / Running costs]]/Table_6170346[[#This Row],[Depreciation period]])</f>
        <v>0</v>
      </c>
      <c r="G98" s="127"/>
      <c r="H98" s="696"/>
      <c r="I98" s="696"/>
      <c r="J98" s="731"/>
      <c r="K98" s="732"/>
      <c r="L98" s="16"/>
      <c r="M98" s="16"/>
      <c r="N98" s="16"/>
      <c r="O98" s="16"/>
      <c r="P98" s="16"/>
      <c r="Q98" s="16"/>
      <c r="R98" s="16"/>
      <c r="S98" s="16"/>
      <c r="T98" s="16"/>
      <c r="U98" s="16"/>
      <c r="V98" s="16"/>
      <c r="W98" s="16"/>
      <c r="X98" s="16"/>
      <c r="Y98" s="16"/>
      <c r="Z98" s="16"/>
      <c r="AA98" s="16"/>
      <c r="AB98" s="16"/>
    </row>
    <row r="99" spans="1:30" ht="15.75" customHeight="1">
      <c r="A99" s="16"/>
      <c r="B99" s="131"/>
      <c r="C99" s="134">
        <v>0</v>
      </c>
      <c r="D99" s="127"/>
      <c r="E99" s="105"/>
      <c r="F99" s="134">
        <f>IF(Table_6170346[[#This Row],[Item]]="",0,Table_6170346[[#This Row],[Amount]]*Table_6170346[[#This Row],[Purchase / Running costs]]/Table_6170346[[#This Row],[Depreciation period]])</f>
        <v>0</v>
      </c>
      <c r="G99" s="127"/>
      <c r="H99" s="696"/>
      <c r="I99" s="696"/>
      <c r="J99" s="731"/>
      <c r="K99" s="732"/>
      <c r="L99" s="16"/>
      <c r="M99" s="16"/>
      <c r="N99" s="16"/>
      <c r="O99" s="16"/>
      <c r="P99" s="16"/>
      <c r="Q99" s="16"/>
      <c r="R99" s="16"/>
      <c r="S99" s="16"/>
      <c r="T99" s="16"/>
      <c r="U99" s="16"/>
      <c r="V99" s="16"/>
      <c r="W99" s="16"/>
      <c r="X99" s="16"/>
      <c r="Y99" s="16"/>
      <c r="Z99" s="16"/>
      <c r="AA99" s="16"/>
      <c r="AB99" s="16"/>
    </row>
    <row r="100" spans="1:30" ht="15.75" customHeight="1">
      <c r="A100" s="16"/>
      <c r="B100" s="131"/>
      <c r="C100" s="134">
        <v>0</v>
      </c>
      <c r="D100" s="127"/>
      <c r="E100" s="105"/>
      <c r="F100" s="134">
        <f>IF(Table_6170346[[#This Row],[Item]]="",0,Table_6170346[[#This Row],[Amount]]*Table_6170346[[#This Row],[Purchase / Running costs]]/Table_6170346[[#This Row],[Depreciation period]])</f>
        <v>0</v>
      </c>
      <c r="G100" s="127"/>
      <c r="H100" s="696"/>
      <c r="I100" s="696"/>
      <c r="J100" s="731"/>
      <c r="K100" s="732"/>
      <c r="L100" s="16"/>
      <c r="M100" s="16"/>
      <c r="N100" s="16"/>
      <c r="O100" s="16"/>
      <c r="P100" s="16"/>
      <c r="Q100" s="16"/>
      <c r="R100" s="16"/>
      <c r="S100" s="16"/>
      <c r="T100" s="16"/>
      <c r="U100" s="16"/>
      <c r="V100" s="16"/>
      <c r="W100" s="16"/>
      <c r="X100" s="16"/>
      <c r="Y100" s="16"/>
      <c r="Z100" s="16"/>
      <c r="AA100" s="16"/>
      <c r="AB100" s="16"/>
    </row>
    <row r="101" spans="1:30" ht="15.75" customHeight="1">
      <c r="A101" s="16"/>
      <c r="B101" s="131"/>
      <c r="C101" s="134">
        <v>0</v>
      </c>
      <c r="D101" s="127"/>
      <c r="E101" s="105"/>
      <c r="F101" s="134">
        <f>IF(Table_6170346[[#This Row],[Item]]="",0,Table_6170346[[#This Row],[Amount]]*Table_6170346[[#This Row],[Purchase / Running costs]]/Table_6170346[[#This Row],[Depreciation period]])</f>
        <v>0</v>
      </c>
      <c r="G101" s="127"/>
      <c r="H101" s="696"/>
      <c r="I101" s="696"/>
      <c r="J101" s="731"/>
      <c r="K101" s="732"/>
      <c r="L101" s="16"/>
      <c r="M101" s="16"/>
      <c r="N101" s="16"/>
      <c r="O101" s="16"/>
      <c r="P101" s="16"/>
      <c r="Q101" s="16"/>
      <c r="R101" s="16"/>
      <c r="S101" s="16"/>
      <c r="T101" s="16"/>
      <c r="U101" s="16"/>
      <c r="V101" s="16"/>
      <c r="W101" s="16"/>
      <c r="X101" s="16"/>
      <c r="Y101" s="16"/>
      <c r="Z101" s="16"/>
      <c r="AA101" s="16"/>
      <c r="AB101" s="16"/>
    </row>
    <row r="102" spans="1:30" ht="15.75" customHeight="1">
      <c r="A102" s="16"/>
      <c r="B102" s="131"/>
      <c r="C102" s="134">
        <v>0</v>
      </c>
      <c r="D102" s="127"/>
      <c r="E102" s="105"/>
      <c r="F102" s="134">
        <f>IF(Table_6170346[[#This Row],[Item]]="",0,Table_6170346[[#This Row],[Amount]]*Table_6170346[[#This Row],[Purchase / Running costs]]/Table_6170346[[#This Row],[Depreciation period]])</f>
        <v>0</v>
      </c>
      <c r="G102" s="127"/>
      <c r="H102" s="696"/>
      <c r="I102" s="696"/>
      <c r="J102" s="731"/>
      <c r="K102" s="732"/>
      <c r="L102" s="16"/>
      <c r="M102" s="16"/>
      <c r="N102" s="16"/>
      <c r="O102" s="16"/>
      <c r="P102" s="16"/>
      <c r="Q102" s="16"/>
      <c r="R102" s="16"/>
      <c r="S102" s="16"/>
      <c r="T102" s="16"/>
      <c r="U102" s="16"/>
      <c r="V102" s="16"/>
      <c r="W102" s="16"/>
      <c r="X102" s="16"/>
      <c r="Y102" s="16"/>
      <c r="Z102" s="16"/>
      <c r="AA102" s="16"/>
      <c r="AB102" s="16"/>
    </row>
    <row r="103" spans="1:30" ht="15.75" customHeight="1">
      <c r="A103" s="16"/>
      <c r="B103" s="131"/>
      <c r="C103" s="134">
        <v>0</v>
      </c>
      <c r="D103" s="127"/>
      <c r="E103" s="105"/>
      <c r="F103" s="134">
        <f>IF(Table_6170346[[#This Row],[Item]]="",0,Table_6170346[[#This Row],[Amount]]*Table_6170346[[#This Row],[Purchase / Running costs]]/Table_6170346[[#This Row],[Depreciation period]])</f>
        <v>0</v>
      </c>
      <c r="G103" s="127"/>
      <c r="H103" s="696"/>
      <c r="I103" s="696"/>
      <c r="J103" s="731"/>
      <c r="K103" s="732"/>
      <c r="L103" s="16"/>
      <c r="M103" s="16"/>
      <c r="N103" s="16"/>
      <c r="O103" s="16"/>
      <c r="P103" s="16"/>
      <c r="Q103" s="16"/>
      <c r="R103" s="16"/>
      <c r="S103" s="16"/>
      <c r="T103" s="16"/>
      <c r="U103" s="16"/>
      <c r="V103" s="16"/>
      <c r="W103" s="16"/>
      <c r="X103" s="16"/>
      <c r="Y103" s="16"/>
      <c r="Z103" s="16"/>
      <c r="AA103" s="16"/>
      <c r="AB103" s="16"/>
    </row>
    <row r="104" spans="1:30" ht="15.75" customHeight="1">
      <c r="A104" s="16"/>
      <c r="B104" s="131"/>
      <c r="C104" s="134">
        <v>0</v>
      </c>
      <c r="D104" s="127"/>
      <c r="E104" s="105"/>
      <c r="F104" s="134">
        <f>IF(Table_6170346[[#This Row],[Item]]="",0,Table_6170346[[#This Row],[Amount]]*Table_6170346[[#This Row],[Purchase / Running costs]]/Table_6170346[[#This Row],[Depreciation period]])</f>
        <v>0</v>
      </c>
      <c r="G104" s="127"/>
      <c r="H104" s="696"/>
      <c r="I104" s="696"/>
      <c r="J104" s="731"/>
      <c r="K104" s="732"/>
      <c r="L104" s="16"/>
      <c r="M104" s="16"/>
      <c r="N104" s="16"/>
      <c r="O104" s="16"/>
      <c r="P104" s="16"/>
      <c r="Q104" s="16"/>
      <c r="R104" s="16"/>
      <c r="S104" s="16"/>
      <c r="T104" s="16"/>
      <c r="U104" s="16"/>
      <c r="V104" s="16"/>
      <c r="W104" s="16"/>
      <c r="X104" s="16"/>
      <c r="Y104" s="16"/>
      <c r="Z104" s="16"/>
      <c r="AA104" s="16"/>
      <c r="AB104" s="16"/>
    </row>
    <row r="105" spans="1:30" ht="15.75" customHeight="1" thickBot="1">
      <c r="A105" s="16"/>
      <c r="B105" s="131"/>
      <c r="C105" s="134">
        <v>0</v>
      </c>
      <c r="D105" s="127"/>
      <c r="E105" s="105"/>
      <c r="F105" s="134">
        <f>IF(Table_6170346[[#This Row],[Item]]="",0,Table_6170346[[#This Row],[Amount]]*Table_6170346[[#This Row],[Purchase / Running costs]]/Table_6170346[[#This Row],[Depreciation period]])</f>
        <v>0</v>
      </c>
      <c r="G105" s="127"/>
      <c r="H105" s="724"/>
      <c r="I105" s="724"/>
      <c r="J105" s="733"/>
      <c r="K105" s="734"/>
      <c r="L105" s="16"/>
      <c r="M105" s="16"/>
      <c r="N105" s="16"/>
      <c r="O105" s="16"/>
      <c r="P105" s="16"/>
      <c r="Q105" s="16"/>
      <c r="R105" s="16"/>
      <c r="S105" s="16"/>
      <c r="T105" s="16"/>
      <c r="U105" s="16"/>
      <c r="V105" s="16"/>
      <c r="W105" s="16"/>
      <c r="X105" s="16"/>
      <c r="Y105" s="16"/>
      <c r="Z105" s="16"/>
      <c r="AA105" s="16"/>
      <c r="AB105" s="16"/>
    </row>
    <row r="106" spans="1:30" ht="15.75" customHeight="1" thickTop="1">
      <c r="A106" s="15"/>
      <c r="B106" s="131"/>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c r="AD106" s="16"/>
    </row>
    <row r="107" spans="1:30" ht="15.75" customHeight="1">
      <c r="A107" s="15"/>
      <c r="B107" s="131"/>
      <c r="C107" s="16"/>
      <c r="D107" s="16"/>
      <c r="E107" s="16"/>
      <c r="F107" s="16"/>
      <c r="G107" s="16"/>
      <c r="I107" s="16"/>
      <c r="J107" s="16"/>
      <c r="K107" s="16"/>
      <c r="L107" s="16"/>
      <c r="M107" s="16"/>
      <c r="N107" s="16"/>
      <c r="O107" s="16"/>
      <c r="P107" s="16"/>
      <c r="Q107" s="16"/>
      <c r="R107" s="16"/>
      <c r="S107" s="16"/>
      <c r="T107" s="16"/>
      <c r="U107" s="16"/>
      <c r="V107" s="16"/>
      <c r="W107" s="16"/>
      <c r="X107" s="16"/>
      <c r="Y107" s="16"/>
      <c r="Z107" s="16"/>
      <c r="AA107" s="16"/>
      <c r="AB107" s="16"/>
      <c r="AC107" s="16"/>
      <c r="AD107" s="16"/>
    </row>
    <row r="108" spans="1:30" ht="15.75" customHeight="1">
      <c r="H108" s="51"/>
      <c r="I108" s="51"/>
      <c r="J108" s="51"/>
      <c r="K108" s="51"/>
      <c r="L108" s="16"/>
      <c r="M108" s="16"/>
      <c r="N108" s="16"/>
      <c r="O108" s="16"/>
      <c r="P108" s="16"/>
      <c r="Q108" s="16"/>
      <c r="R108" s="16"/>
      <c r="S108" s="16"/>
      <c r="T108" s="16"/>
      <c r="U108" s="16"/>
      <c r="V108" s="16"/>
      <c r="W108" s="16"/>
      <c r="X108" s="16"/>
      <c r="Y108" s="16"/>
      <c r="Z108" s="16"/>
      <c r="AA108" s="16"/>
      <c r="AB108" s="16"/>
      <c r="AC108" s="16"/>
      <c r="AD108" s="16"/>
    </row>
    <row r="109" spans="1:30" ht="15.75" customHeight="1">
      <c r="L109" s="16"/>
      <c r="M109" s="16"/>
      <c r="N109" s="16"/>
      <c r="O109" s="16"/>
      <c r="P109" s="16"/>
      <c r="Q109" s="16"/>
      <c r="R109" s="16"/>
      <c r="S109" s="16"/>
      <c r="T109" s="16"/>
      <c r="U109" s="16"/>
      <c r="V109" s="16"/>
      <c r="W109" s="16"/>
      <c r="X109" s="16"/>
      <c r="Y109" s="16"/>
      <c r="Z109" s="16"/>
      <c r="AA109" s="16"/>
      <c r="AB109" s="16"/>
      <c r="AC109" s="16"/>
      <c r="AD109" s="16"/>
    </row>
    <row r="110" spans="1:30" ht="15.75" customHeight="1">
      <c r="L110" s="16"/>
      <c r="M110" s="16"/>
      <c r="N110" s="16"/>
      <c r="O110" s="16"/>
      <c r="P110" s="16"/>
      <c r="Q110" s="16"/>
      <c r="R110" s="16"/>
      <c r="S110" s="16"/>
      <c r="T110" s="16"/>
      <c r="U110" s="16"/>
      <c r="V110" s="16"/>
      <c r="W110" s="16"/>
      <c r="X110" s="16"/>
      <c r="Y110" s="16"/>
      <c r="Z110" s="16"/>
      <c r="AA110" s="16"/>
      <c r="AB110" s="16"/>
      <c r="AC110" s="16"/>
      <c r="AD110" s="16"/>
    </row>
    <row r="111" spans="1:30" ht="15.75" customHeight="1">
      <c r="L111" s="16"/>
      <c r="M111" s="16"/>
      <c r="N111" s="16"/>
      <c r="O111" s="16"/>
      <c r="P111" s="16"/>
      <c r="Q111" s="16"/>
      <c r="R111" s="16"/>
      <c r="S111" s="16"/>
      <c r="T111" s="16"/>
      <c r="U111" s="16"/>
      <c r="V111" s="16"/>
      <c r="W111" s="16"/>
      <c r="X111" s="16"/>
      <c r="Y111" s="16"/>
      <c r="Z111" s="16"/>
      <c r="AA111" s="16"/>
      <c r="AB111" s="16"/>
      <c r="AC111" s="16"/>
      <c r="AD111" s="16"/>
    </row>
    <row r="112" spans="1:30" ht="15.75" customHeight="1">
      <c r="L112" s="16"/>
      <c r="M112" s="16"/>
      <c r="N112" s="16"/>
      <c r="O112" s="16"/>
      <c r="P112" s="16"/>
      <c r="Q112" s="16"/>
      <c r="R112" s="16"/>
      <c r="S112" s="16"/>
      <c r="T112" s="16"/>
      <c r="U112" s="16"/>
      <c r="V112" s="16"/>
      <c r="W112" s="16"/>
      <c r="X112" s="16"/>
      <c r="Y112" s="16"/>
      <c r="Z112" s="16"/>
      <c r="AA112" s="16"/>
      <c r="AB112" s="16"/>
      <c r="AC112" s="16"/>
      <c r="AD112" s="16"/>
    </row>
    <row r="113" spans="1:30" ht="15.75" customHeight="1">
      <c r="L113" s="16"/>
      <c r="M113" s="16"/>
      <c r="N113" s="16"/>
      <c r="O113" s="16"/>
      <c r="P113" s="16"/>
      <c r="Q113" s="16"/>
      <c r="R113" s="16"/>
      <c r="S113" s="16"/>
      <c r="T113" s="16"/>
      <c r="U113" s="16"/>
      <c r="V113" s="16"/>
      <c r="W113" s="16"/>
      <c r="X113" s="16"/>
      <c r="Y113" s="16"/>
      <c r="Z113" s="16"/>
      <c r="AA113" s="16"/>
      <c r="AB113" s="16"/>
      <c r="AC113" s="16"/>
      <c r="AD113" s="16"/>
    </row>
    <row r="114" spans="1:30" ht="15.75" customHeight="1">
      <c r="L114" s="16"/>
      <c r="M114" s="16"/>
      <c r="N114" s="16"/>
      <c r="O114" s="16"/>
      <c r="P114" s="16"/>
      <c r="Q114" s="16"/>
      <c r="R114" s="16"/>
      <c r="S114" s="16"/>
      <c r="T114" s="16"/>
      <c r="U114" s="16"/>
      <c r="V114" s="16"/>
      <c r="W114" s="16"/>
      <c r="X114" s="16"/>
      <c r="Y114" s="16"/>
      <c r="Z114" s="16"/>
      <c r="AA114" s="16"/>
      <c r="AB114" s="16"/>
      <c r="AC114" s="16"/>
      <c r="AD114" s="16"/>
    </row>
    <row r="115" spans="1:30" ht="15.75" customHeight="1">
      <c r="L115" s="16"/>
      <c r="M115" s="16"/>
      <c r="N115" s="16"/>
      <c r="O115" s="16"/>
      <c r="P115" s="735"/>
      <c r="Q115" s="696"/>
      <c r="R115" s="696"/>
      <c r="S115" s="16"/>
      <c r="T115" s="16"/>
      <c r="U115" s="16"/>
      <c r="V115" s="16"/>
      <c r="W115" s="16"/>
      <c r="X115" s="16"/>
      <c r="Y115" s="16"/>
      <c r="Z115" s="16"/>
      <c r="AA115" s="16"/>
      <c r="AB115" s="16"/>
      <c r="AC115" s="16"/>
      <c r="AD115" s="16"/>
    </row>
    <row r="116" spans="1:30" ht="15.75" customHeight="1">
      <c r="L116" s="16"/>
      <c r="M116" s="16"/>
      <c r="N116" s="16"/>
      <c r="O116" s="16"/>
      <c r="P116" s="735"/>
      <c r="Q116" s="696"/>
      <c r="R116" s="696"/>
      <c r="S116" s="16"/>
      <c r="T116" s="16"/>
      <c r="U116" s="16"/>
      <c r="V116" s="16"/>
      <c r="W116" s="16"/>
      <c r="X116" s="16"/>
      <c r="Y116" s="16"/>
      <c r="Z116" s="16"/>
      <c r="AA116" s="16"/>
      <c r="AB116" s="16"/>
      <c r="AC116" s="16"/>
      <c r="AD116" s="16"/>
    </row>
    <row r="117" spans="1:30" ht="15.75" customHeight="1">
      <c r="L117" s="16"/>
      <c r="M117" s="16"/>
      <c r="N117" s="16"/>
      <c r="O117" s="16"/>
      <c r="P117" s="735"/>
      <c r="Q117" s="696"/>
      <c r="R117" s="696"/>
      <c r="S117" s="16"/>
      <c r="T117" s="16"/>
      <c r="U117" s="16"/>
      <c r="V117" s="16"/>
      <c r="W117" s="16"/>
      <c r="X117" s="16"/>
      <c r="Y117" s="16"/>
      <c r="Z117" s="16"/>
      <c r="AA117" s="16"/>
      <c r="AB117" s="16"/>
      <c r="AC117" s="16"/>
      <c r="AD117" s="16"/>
    </row>
    <row r="118" spans="1:30" ht="15.75" customHeight="1">
      <c r="L118" s="16"/>
      <c r="M118" s="16"/>
      <c r="N118" s="16"/>
      <c r="O118" s="16"/>
      <c r="P118" s="735"/>
      <c r="Q118" s="696"/>
      <c r="R118" s="696"/>
      <c r="S118" s="16"/>
      <c r="T118" s="16"/>
      <c r="U118" s="16"/>
      <c r="V118" s="16"/>
      <c r="W118" s="16"/>
      <c r="X118" s="16"/>
      <c r="Y118" s="16"/>
      <c r="Z118" s="16"/>
      <c r="AA118" s="16"/>
      <c r="AB118" s="16"/>
      <c r="AC118" s="16"/>
      <c r="AD118" s="16"/>
    </row>
    <row r="119" spans="1:30" ht="15.75" customHeight="1">
      <c r="L119" s="16"/>
      <c r="M119" s="16"/>
      <c r="N119" s="16"/>
      <c r="O119" s="16"/>
      <c r="P119" s="735"/>
      <c r="Q119" s="696"/>
      <c r="R119" s="696"/>
      <c r="S119" s="16"/>
      <c r="T119" s="16"/>
      <c r="U119" s="16"/>
      <c r="V119" s="16"/>
      <c r="W119" s="16"/>
      <c r="X119" s="16"/>
      <c r="Y119" s="16"/>
      <c r="Z119" s="16"/>
      <c r="AA119" s="16"/>
      <c r="AB119" s="16"/>
      <c r="AC119" s="16"/>
      <c r="AD119" s="16"/>
    </row>
    <row r="120" spans="1:30" ht="15.75" customHeight="1">
      <c r="L120" s="16"/>
      <c r="M120" s="16"/>
      <c r="N120" s="16"/>
      <c r="O120" s="16"/>
      <c r="P120" s="735"/>
      <c r="Q120" s="696"/>
      <c r="R120" s="696"/>
      <c r="S120" s="16"/>
      <c r="T120" s="16"/>
      <c r="U120" s="16"/>
      <c r="V120" s="16"/>
      <c r="W120" s="16"/>
      <c r="X120" s="16"/>
      <c r="Y120" s="16"/>
      <c r="Z120" s="16"/>
      <c r="AA120" s="16"/>
      <c r="AB120" s="16"/>
      <c r="AC120" s="16"/>
      <c r="AD120" s="16"/>
    </row>
    <row r="121" spans="1:30" ht="15.75" customHeight="1">
      <c r="H121" s="248"/>
      <c r="I121" s="248"/>
      <c r="J121" s="228"/>
      <c r="K121" s="228"/>
      <c r="L121" s="16"/>
      <c r="M121" s="16"/>
      <c r="N121" s="16"/>
      <c r="O121" s="16"/>
      <c r="P121" s="735"/>
      <c r="Q121" s="696"/>
      <c r="R121" s="696"/>
      <c r="S121" s="16"/>
      <c r="T121" s="16"/>
      <c r="U121" s="16"/>
      <c r="V121" s="16"/>
      <c r="W121" s="16"/>
      <c r="X121" s="16"/>
      <c r="Y121" s="16"/>
      <c r="Z121" s="16"/>
      <c r="AA121" s="16"/>
      <c r="AB121" s="16"/>
      <c r="AC121" s="16"/>
      <c r="AD121" s="16"/>
    </row>
    <row r="122" spans="1:30" ht="15.75" customHeight="1">
      <c r="A122" s="231"/>
      <c r="B122" s="231"/>
      <c r="C122" s="246"/>
      <c r="D122" s="247"/>
      <c r="E122" s="245"/>
      <c r="F122" s="246"/>
      <c r="G122" s="247"/>
      <c r="H122" s="248"/>
      <c r="I122" s="248"/>
      <c r="J122" s="228"/>
      <c r="K122" s="228"/>
      <c r="L122" s="16"/>
      <c r="M122" s="16"/>
      <c r="N122" s="16"/>
      <c r="O122" s="16"/>
      <c r="P122" s="16"/>
      <c r="Q122" s="16"/>
      <c r="R122" s="16"/>
      <c r="S122" s="16"/>
      <c r="T122" s="16"/>
      <c r="U122" s="16"/>
      <c r="V122" s="16"/>
      <c r="W122" s="16"/>
      <c r="X122" s="16"/>
      <c r="Y122" s="16"/>
      <c r="Z122" s="16"/>
      <c r="AA122" s="16"/>
      <c r="AB122" s="16"/>
      <c r="AC122" s="16"/>
      <c r="AD122" s="16"/>
    </row>
    <row r="123" spans="1:30" ht="15.75" customHeight="1">
      <c r="A123" s="231"/>
      <c r="B123" s="16"/>
      <c r="C123" s="246"/>
      <c r="D123" s="247"/>
      <c r="E123" s="245"/>
      <c r="F123" s="246"/>
      <c r="G123" s="247"/>
      <c r="H123" s="228"/>
      <c r="I123" s="228"/>
      <c r="J123" s="228"/>
      <c r="K123" s="228"/>
      <c r="L123" s="16"/>
      <c r="M123" s="735"/>
      <c r="N123" s="696"/>
      <c r="O123" s="696"/>
      <c r="P123" s="735"/>
      <c r="Q123" s="696"/>
      <c r="R123" s="696"/>
      <c r="S123" s="696"/>
      <c r="T123" s="696"/>
      <c r="U123" s="16"/>
      <c r="V123" s="16"/>
      <c r="W123" s="16"/>
      <c r="X123" s="16"/>
      <c r="Y123" s="16"/>
      <c r="Z123" s="16"/>
      <c r="AA123" s="16"/>
      <c r="AB123" s="16"/>
      <c r="AC123" s="16"/>
      <c r="AD123" s="16"/>
    </row>
    <row r="124" spans="1:30" ht="15.75" customHeight="1">
      <c r="A124" s="16"/>
      <c r="B124" s="16"/>
      <c r="C124" s="16"/>
      <c r="D124" s="16"/>
      <c r="E124" s="16"/>
      <c r="F124" s="16"/>
      <c r="G124" s="16"/>
      <c r="H124" s="16"/>
      <c r="I124" s="16"/>
      <c r="J124" s="16"/>
      <c r="K124" s="16"/>
      <c r="L124" s="16"/>
      <c r="M124" s="735"/>
      <c r="N124" s="696"/>
      <c r="O124" s="696"/>
      <c r="P124" s="735"/>
      <c r="Q124" s="696"/>
      <c r="R124" s="696"/>
      <c r="S124" s="696"/>
      <c r="T124" s="696"/>
      <c r="U124" s="16"/>
      <c r="V124" s="16"/>
      <c r="W124" s="16"/>
      <c r="X124" s="16"/>
      <c r="Y124" s="16"/>
      <c r="Z124" s="16"/>
      <c r="AA124" s="16"/>
      <c r="AB124" s="16"/>
      <c r="AC124" s="16"/>
      <c r="AD124" s="16"/>
    </row>
    <row r="125" spans="1:30" ht="15.75" customHeight="1">
      <c r="A125" s="16"/>
      <c r="B125" s="16"/>
      <c r="C125" s="16"/>
      <c r="D125" s="16"/>
      <c r="E125" s="16"/>
      <c r="F125" s="16"/>
      <c r="G125" s="16"/>
      <c r="H125" s="16"/>
      <c r="I125" s="16"/>
      <c r="J125" s="16"/>
      <c r="K125" s="16"/>
      <c r="L125" s="16"/>
      <c r="M125" s="735"/>
      <c r="N125" s="696"/>
      <c r="O125" s="696"/>
      <c r="P125" s="696"/>
      <c r="Q125" s="696"/>
      <c r="R125" s="696"/>
      <c r="S125" s="696"/>
      <c r="T125" s="696"/>
      <c r="U125" s="16"/>
      <c r="V125" s="16"/>
      <c r="W125" s="16"/>
      <c r="X125" s="16"/>
      <c r="Y125" s="16"/>
      <c r="Z125" s="16"/>
      <c r="AA125" s="16"/>
      <c r="AB125" s="16"/>
      <c r="AC125" s="16"/>
      <c r="AD125" s="16"/>
    </row>
    <row r="126" spans="1:30" ht="15.75" customHeight="1">
      <c r="A126" s="16"/>
      <c r="B126" s="16"/>
      <c r="C126" s="16"/>
      <c r="D126" s="16"/>
      <c r="E126" s="16"/>
      <c r="F126" s="16"/>
      <c r="G126" s="16"/>
      <c r="H126" s="16"/>
      <c r="I126" s="16"/>
      <c r="J126" s="16"/>
      <c r="K126" s="16"/>
      <c r="L126" s="16"/>
      <c r="M126" s="735"/>
      <c r="N126" s="696"/>
      <c r="O126" s="696"/>
      <c r="P126" s="696"/>
      <c r="Q126" s="696"/>
      <c r="R126" s="696"/>
      <c r="S126" s="696"/>
      <c r="T126" s="696"/>
      <c r="U126" s="16"/>
      <c r="V126" s="16"/>
      <c r="W126" s="16"/>
      <c r="X126" s="16"/>
      <c r="Y126" s="16"/>
      <c r="Z126" s="16"/>
      <c r="AA126" s="16"/>
      <c r="AB126" s="16"/>
      <c r="AC126" s="16"/>
      <c r="AD126" s="16"/>
    </row>
    <row r="127" spans="1:30" ht="15.75" customHeight="1">
      <c r="A127" s="16"/>
      <c r="B127" s="16"/>
      <c r="C127" s="16"/>
      <c r="D127" s="16"/>
      <c r="E127" s="16"/>
      <c r="F127" s="16"/>
      <c r="G127" s="16"/>
      <c r="H127" s="16"/>
      <c r="I127" s="16"/>
      <c r="J127" s="16"/>
      <c r="K127" s="16"/>
      <c r="L127" s="16"/>
      <c r="M127" s="735"/>
      <c r="N127" s="696"/>
      <c r="O127" s="696"/>
      <c r="P127" s="696"/>
      <c r="Q127" s="696"/>
      <c r="R127" s="696"/>
      <c r="S127" s="696"/>
      <c r="T127" s="696"/>
      <c r="U127" s="16"/>
      <c r="V127" s="16"/>
      <c r="W127" s="16"/>
      <c r="X127" s="16"/>
      <c r="Y127" s="16"/>
      <c r="Z127" s="16"/>
      <c r="AA127" s="16"/>
      <c r="AB127" s="16"/>
      <c r="AC127" s="16"/>
      <c r="AD127" s="16"/>
    </row>
    <row r="128" spans="1:30" ht="15.75" customHeight="1">
      <c r="A128" s="16"/>
      <c r="B128" s="16"/>
      <c r="C128" s="16"/>
      <c r="D128" s="16"/>
      <c r="E128" s="16"/>
      <c r="F128" s="16"/>
      <c r="G128" s="16"/>
      <c r="H128" s="16"/>
      <c r="I128" s="16"/>
      <c r="J128" s="16"/>
      <c r="K128" s="16"/>
      <c r="L128" s="16"/>
      <c r="M128" s="735"/>
      <c r="N128" s="696"/>
      <c r="O128" s="696"/>
      <c r="P128" s="696"/>
      <c r="Q128" s="696"/>
      <c r="R128" s="696"/>
      <c r="S128" s="696"/>
      <c r="T128" s="696"/>
      <c r="U128" s="16"/>
      <c r="V128" s="16"/>
      <c r="W128" s="16"/>
      <c r="X128" s="16"/>
      <c r="Y128" s="16"/>
      <c r="Z128" s="16"/>
      <c r="AA128" s="16"/>
      <c r="AB128" s="16"/>
      <c r="AC128" s="16"/>
      <c r="AD128" s="16"/>
    </row>
    <row r="129" spans="1:30" ht="15.75" customHeight="1">
      <c r="A129" s="16"/>
      <c r="B129" s="16"/>
      <c r="C129" s="16"/>
      <c r="D129" s="16"/>
      <c r="E129" s="16"/>
      <c r="F129" s="16"/>
      <c r="G129" s="16"/>
      <c r="H129" s="16"/>
      <c r="I129" s="16"/>
      <c r="J129" s="16"/>
      <c r="K129" s="16"/>
      <c r="L129" s="16"/>
      <c r="M129" s="735"/>
      <c r="N129" s="696"/>
      <c r="O129" s="696"/>
      <c r="P129" s="696"/>
      <c r="Q129" s="696"/>
      <c r="R129" s="696"/>
      <c r="S129" s="696"/>
      <c r="T129" s="696"/>
      <c r="U129" s="16"/>
      <c r="V129" s="16"/>
      <c r="W129" s="16"/>
      <c r="X129" s="16"/>
      <c r="Y129" s="16"/>
      <c r="Z129" s="16"/>
      <c r="AA129" s="16"/>
      <c r="AB129" s="16"/>
      <c r="AC129" s="16"/>
      <c r="AD129" s="16"/>
    </row>
    <row r="130" spans="1:30" ht="15.75" customHeight="1">
      <c r="A130" s="16"/>
      <c r="B130" s="16"/>
      <c r="C130" s="16"/>
      <c r="D130" s="16"/>
      <c r="E130" s="16"/>
      <c r="F130" s="16"/>
      <c r="G130" s="16"/>
      <c r="H130" s="16"/>
      <c r="I130" s="16"/>
      <c r="J130" s="16"/>
      <c r="K130" s="16"/>
      <c r="L130" s="16"/>
      <c r="M130" s="735"/>
      <c r="N130" s="696"/>
      <c r="O130" s="696"/>
      <c r="P130" s="696"/>
      <c r="Q130" s="696"/>
      <c r="R130" s="696"/>
      <c r="S130" s="696"/>
      <c r="T130" s="696"/>
      <c r="U130" s="16"/>
      <c r="V130" s="16"/>
      <c r="W130" s="16"/>
      <c r="X130" s="16"/>
      <c r="Y130" s="16"/>
      <c r="Z130" s="16"/>
      <c r="AA130" s="16"/>
      <c r="AB130" s="16"/>
      <c r="AC130" s="16"/>
      <c r="AD130" s="16"/>
    </row>
    <row r="131" spans="1:30" ht="15.75" customHeight="1">
      <c r="A131" s="16"/>
      <c r="B131" s="16"/>
      <c r="C131" s="16"/>
      <c r="D131" s="16"/>
      <c r="E131" s="16"/>
      <c r="F131" s="16"/>
      <c r="G131" s="16"/>
      <c r="H131" s="16"/>
      <c r="I131" s="16"/>
      <c r="J131" s="16"/>
      <c r="K131" s="16"/>
      <c r="L131" s="16"/>
      <c r="M131" s="735"/>
      <c r="N131" s="696"/>
      <c r="O131" s="696"/>
      <c r="P131" s="696"/>
      <c r="Q131" s="696"/>
      <c r="R131" s="696"/>
      <c r="S131" s="696"/>
      <c r="T131" s="696"/>
      <c r="U131" s="16"/>
      <c r="V131" s="16"/>
      <c r="W131" s="16"/>
      <c r="X131" s="16"/>
      <c r="Y131" s="16"/>
      <c r="Z131" s="16"/>
      <c r="AA131" s="16"/>
      <c r="AB131" s="16"/>
      <c r="AC131" s="16"/>
      <c r="AD131" s="16"/>
    </row>
    <row r="132" spans="1:30" ht="15.75" customHeight="1">
      <c r="A132" s="16"/>
      <c r="B132" s="16"/>
      <c r="C132" s="16"/>
      <c r="D132" s="16"/>
      <c r="E132" s="16"/>
      <c r="F132" s="16"/>
      <c r="G132" s="16"/>
      <c r="H132" s="16"/>
      <c r="I132" s="16"/>
      <c r="J132" s="16"/>
      <c r="K132" s="16"/>
      <c r="L132" s="16"/>
      <c r="M132" s="735"/>
      <c r="N132" s="696"/>
      <c r="O132" s="696"/>
      <c r="P132" s="696"/>
      <c r="Q132" s="696"/>
      <c r="R132" s="696"/>
      <c r="S132" s="696"/>
      <c r="T132" s="696"/>
      <c r="U132" s="16"/>
      <c r="V132" s="16"/>
      <c r="W132" s="16"/>
      <c r="X132" s="16"/>
      <c r="Y132" s="16"/>
      <c r="Z132" s="16"/>
      <c r="AA132" s="16"/>
      <c r="AB132" s="16"/>
      <c r="AC132" s="16"/>
      <c r="AD132" s="16"/>
    </row>
    <row r="133" spans="1:30" ht="15.75" customHeight="1">
      <c r="A133" s="16"/>
      <c r="B133" s="16"/>
      <c r="C133" s="16"/>
      <c r="D133" s="16"/>
      <c r="E133" s="16"/>
      <c r="F133" s="16"/>
      <c r="G133" s="16"/>
      <c r="H133" s="16"/>
      <c r="I133" s="16"/>
      <c r="J133" s="16"/>
      <c r="K133" s="16"/>
      <c r="L133" s="16"/>
      <c r="M133" s="735"/>
      <c r="N133" s="696"/>
      <c r="O133" s="696"/>
      <c r="P133" s="696"/>
      <c r="Q133" s="696"/>
      <c r="R133" s="696"/>
      <c r="S133" s="696"/>
      <c r="T133" s="696"/>
      <c r="U133" s="16"/>
      <c r="V133" s="16"/>
      <c r="W133" s="16"/>
      <c r="X133" s="16"/>
      <c r="Y133" s="16"/>
      <c r="Z133" s="16"/>
      <c r="AA133" s="16"/>
      <c r="AB133" s="16"/>
      <c r="AC133" s="16"/>
      <c r="AD133" s="16"/>
    </row>
    <row r="134" spans="1:30" ht="15.75" customHeight="1">
      <c r="A134" s="16"/>
      <c r="B134" s="16"/>
      <c r="C134" s="16"/>
      <c r="D134" s="16"/>
      <c r="E134" s="16"/>
      <c r="F134" s="16"/>
      <c r="G134" s="16"/>
      <c r="H134" s="16"/>
      <c r="I134" s="16"/>
      <c r="J134" s="16"/>
      <c r="K134" s="16"/>
      <c r="L134" s="16"/>
      <c r="M134" s="735"/>
      <c r="N134" s="696"/>
      <c r="O134" s="696"/>
      <c r="P134" s="696"/>
      <c r="Q134" s="696"/>
      <c r="R134" s="696"/>
      <c r="S134" s="696"/>
      <c r="T134" s="696"/>
      <c r="U134" s="16"/>
      <c r="V134" s="16"/>
      <c r="W134" s="16"/>
      <c r="X134" s="16"/>
      <c r="Y134" s="16"/>
      <c r="Z134" s="16"/>
      <c r="AA134" s="16"/>
      <c r="AB134" s="16"/>
      <c r="AC134" s="16"/>
      <c r="AD134" s="16"/>
    </row>
    <row r="135" spans="1:30" ht="15.75" customHeight="1">
      <c r="A135" s="16"/>
      <c r="B135" s="16"/>
      <c r="C135" s="16"/>
      <c r="D135" s="16"/>
      <c r="E135" s="16"/>
      <c r="F135" s="16"/>
      <c r="G135" s="16"/>
      <c r="H135" s="16"/>
      <c r="I135" s="16"/>
      <c r="J135" s="16"/>
      <c r="K135" s="16"/>
      <c r="L135" s="16"/>
      <c r="M135" s="735"/>
      <c r="N135" s="696"/>
      <c r="O135" s="696"/>
      <c r="P135" s="696"/>
      <c r="Q135" s="696"/>
      <c r="R135" s="696"/>
      <c r="S135" s="696"/>
      <c r="T135" s="696"/>
      <c r="U135" s="16"/>
      <c r="V135" s="16"/>
      <c r="W135" s="16"/>
      <c r="X135" s="16"/>
      <c r="Y135" s="16"/>
      <c r="Z135" s="16"/>
      <c r="AA135" s="16"/>
      <c r="AB135" s="16"/>
      <c r="AC135" s="16"/>
      <c r="AD135" s="16"/>
    </row>
    <row r="136" spans="1:30" ht="15.75" customHeight="1">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c r="AA136" s="16"/>
      <c r="AB136" s="16"/>
      <c r="AC136" s="16"/>
      <c r="AD136" s="16"/>
    </row>
    <row r="137" spans="1:30" ht="15.75" customHeight="1">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c r="AA137" s="16"/>
      <c r="AB137" s="16"/>
      <c r="AC137" s="16"/>
      <c r="AD137" s="16"/>
    </row>
    <row r="138" spans="1:30" ht="15.75" customHeight="1">
      <c r="A138" s="16"/>
      <c r="B138" s="16"/>
      <c r="C138" s="16"/>
      <c r="D138" s="16"/>
      <c r="E138" s="16"/>
      <c r="F138" s="16"/>
      <c r="G138" s="16"/>
      <c r="H138" s="16"/>
      <c r="I138" s="16"/>
      <c r="J138" s="16"/>
      <c r="K138" s="16"/>
      <c r="L138" s="16"/>
      <c r="M138" s="735"/>
      <c r="N138" s="696"/>
      <c r="O138" s="696"/>
      <c r="P138" s="735"/>
      <c r="Q138" s="696"/>
      <c r="R138" s="696"/>
      <c r="S138" s="696"/>
      <c r="T138" s="696"/>
      <c r="U138" s="16"/>
      <c r="V138" s="16"/>
      <c r="W138" s="16"/>
      <c r="X138" s="16"/>
      <c r="Y138" s="16"/>
      <c r="Z138" s="16"/>
      <c r="AA138" s="16"/>
      <c r="AB138" s="16"/>
      <c r="AC138" s="16"/>
      <c r="AD138" s="16"/>
    </row>
    <row r="139" spans="1:30" ht="15.75" customHeight="1">
      <c r="A139" s="16"/>
      <c r="B139" s="16"/>
      <c r="C139" s="16"/>
      <c r="D139" s="16"/>
      <c r="E139" s="16"/>
      <c r="F139" s="16"/>
      <c r="G139" s="16"/>
      <c r="H139" s="16"/>
      <c r="I139" s="16"/>
      <c r="J139" s="16"/>
      <c r="K139" s="16"/>
      <c r="L139" s="16"/>
      <c r="M139" s="735"/>
      <c r="N139" s="696"/>
      <c r="O139" s="696"/>
      <c r="P139" s="735"/>
      <c r="Q139" s="696"/>
      <c r="R139" s="696"/>
      <c r="S139" s="696"/>
      <c r="T139" s="696"/>
      <c r="U139" s="16"/>
      <c r="V139" s="16"/>
      <c r="W139" s="16"/>
      <c r="X139" s="16"/>
      <c r="Y139" s="16"/>
      <c r="Z139" s="16"/>
      <c r="AA139" s="16"/>
      <c r="AB139" s="16"/>
      <c r="AC139" s="16"/>
      <c r="AD139" s="16"/>
    </row>
    <row r="140" spans="1:30" ht="15.75" customHeight="1">
      <c r="A140" s="16"/>
      <c r="B140" s="16"/>
      <c r="C140" s="16"/>
      <c r="D140" s="16"/>
      <c r="E140" s="16"/>
      <c r="F140" s="16"/>
      <c r="G140" s="16"/>
      <c r="H140" s="16"/>
      <c r="I140" s="16"/>
      <c r="J140" s="16"/>
      <c r="K140" s="16"/>
      <c r="L140" s="16"/>
      <c r="M140" s="735"/>
      <c r="N140" s="696"/>
      <c r="O140" s="696"/>
      <c r="P140" s="696"/>
      <c r="Q140" s="696"/>
      <c r="R140" s="696"/>
      <c r="S140" s="696"/>
      <c r="T140" s="696"/>
      <c r="U140" s="16"/>
      <c r="V140" s="16"/>
      <c r="W140" s="16"/>
      <c r="X140" s="16"/>
      <c r="Y140" s="16"/>
      <c r="Z140" s="16"/>
      <c r="AA140" s="16"/>
      <c r="AB140" s="16"/>
      <c r="AC140" s="16"/>
      <c r="AD140" s="16"/>
    </row>
    <row r="141" spans="1:30" ht="15.75" customHeight="1">
      <c r="A141" s="16"/>
      <c r="B141" s="16"/>
      <c r="C141" s="16"/>
      <c r="D141" s="16"/>
      <c r="E141" s="16"/>
      <c r="F141" s="16"/>
      <c r="G141" s="16"/>
      <c r="H141" s="16"/>
      <c r="I141" s="16"/>
      <c r="J141" s="16"/>
      <c r="K141" s="16"/>
      <c r="L141" s="16"/>
      <c r="M141" s="735"/>
      <c r="N141" s="696"/>
      <c r="O141" s="696"/>
      <c r="P141" s="696"/>
      <c r="Q141" s="696"/>
      <c r="R141" s="696"/>
      <c r="S141" s="696"/>
      <c r="T141" s="696"/>
      <c r="U141" s="16"/>
      <c r="V141" s="16"/>
      <c r="W141" s="16"/>
      <c r="X141" s="16"/>
      <c r="Y141" s="16"/>
      <c r="Z141" s="16"/>
      <c r="AA141" s="16"/>
      <c r="AB141" s="16"/>
      <c r="AC141" s="16"/>
      <c r="AD141" s="16"/>
    </row>
    <row r="142" spans="1:30" ht="15.75" customHeight="1">
      <c r="A142" s="16"/>
      <c r="B142" s="16"/>
      <c r="C142" s="16"/>
      <c r="D142" s="16"/>
      <c r="E142" s="16"/>
      <c r="F142" s="16"/>
      <c r="G142" s="16"/>
      <c r="H142" s="16"/>
      <c r="I142" s="16"/>
      <c r="J142" s="16"/>
      <c r="K142" s="16"/>
      <c r="L142" s="16"/>
      <c r="M142" s="735"/>
      <c r="N142" s="696"/>
      <c r="O142" s="696"/>
      <c r="P142" s="696"/>
      <c r="Q142" s="696"/>
      <c r="R142" s="696"/>
      <c r="S142" s="696"/>
      <c r="T142" s="696"/>
      <c r="U142" s="16"/>
      <c r="V142" s="16"/>
      <c r="W142" s="16"/>
      <c r="X142" s="16"/>
      <c r="Y142" s="16"/>
      <c r="Z142" s="16"/>
      <c r="AA142" s="16"/>
      <c r="AB142" s="16"/>
      <c r="AC142" s="16"/>
      <c r="AD142" s="16"/>
    </row>
    <row r="143" spans="1:30" ht="15.75" customHeight="1">
      <c r="A143" s="16"/>
      <c r="B143" s="16"/>
      <c r="C143" s="16"/>
      <c r="D143" s="16"/>
      <c r="E143" s="16"/>
      <c r="F143" s="16"/>
      <c r="G143" s="16"/>
      <c r="H143" s="16"/>
      <c r="I143" s="16"/>
      <c r="J143" s="16"/>
      <c r="K143" s="16"/>
      <c r="L143" s="16"/>
      <c r="M143" s="735"/>
      <c r="N143" s="696"/>
      <c r="O143" s="696"/>
      <c r="P143" s="696"/>
      <c r="Q143" s="696"/>
      <c r="R143" s="696"/>
      <c r="S143" s="696"/>
      <c r="T143" s="696"/>
      <c r="U143" s="16"/>
      <c r="V143" s="16"/>
      <c r="W143" s="16"/>
      <c r="X143" s="16"/>
      <c r="Y143" s="16"/>
      <c r="Z143" s="16"/>
      <c r="AA143" s="16"/>
      <c r="AB143" s="16"/>
      <c r="AC143" s="16"/>
      <c r="AD143" s="16"/>
    </row>
    <row r="144" spans="1:30" ht="15.75" customHeight="1">
      <c r="A144" s="16"/>
      <c r="B144" s="16"/>
      <c r="C144" s="16"/>
      <c r="D144" s="16"/>
      <c r="E144" s="16"/>
      <c r="F144" s="16"/>
      <c r="G144" s="16"/>
      <c r="H144" s="16"/>
      <c r="I144" s="16"/>
      <c r="J144" s="16"/>
      <c r="K144" s="16"/>
      <c r="L144" s="16"/>
      <c r="M144" s="735"/>
      <c r="N144" s="696"/>
      <c r="O144" s="696"/>
      <c r="P144" s="696"/>
      <c r="Q144" s="696"/>
      <c r="R144" s="696"/>
      <c r="S144" s="696"/>
      <c r="T144" s="696"/>
      <c r="U144" s="16"/>
      <c r="V144" s="16"/>
      <c r="W144" s="16"/>
      <c r="X144" s="16"/>
      <c r="Y144" s="16"/>
      <c r="Z144" s="16"/>
      <c r="AA144" s="16"/>
      <c r="AB144" s="16"/>
      <c r="AC144" s="16"/>
      <c r="AD144" s="16"/>
    </row>
    <row r="145" spans="1:30" ht="15.75" customHeight="1">
      <c r="A145" s="16"/>
      <c r="B145" s="16"/>
      <c r="C145" s="16"/>
      <c r="D145" s="16"/>
      <c r="E145" s="16"/>
      <c r="F145" s="16"/>
      <c r="G145" s="16"/>
      <c r="H145" s="16"/>
      <c r="I145" s="16"/>
      <c r="J145" s="16"/>
      <c r="K145" s="16"/>
      <c r="L145" s="16"/>
      <c r="M145" s="735"/>
      <c r="N145" s="696"/>
      <c r="O145" s="696"/>
      <c r="P145" s="696"/>
      <c r="Q145" s="696"/>
      <c r="R145" s="696"/>
      <c r="S145" s="696"/>
      <c r="T145" s="696"/>
      <c r="U145" s="16"/>
      <c r="V145" s="16"/>
      <c r="W145" s="16"/>
      <c r="X145" s="16"/>
      <c r="Y145" s="16"/>
      <c r="Z145" s="16"/>
      <c r="AA145" s="16"/>
      <c r="AB145" s="16"/>
      <c r="AC145" s="16"/>
      <c r="AD145" s="16"/>
    </row>
    <row r="146" spans="1:30" ht="15.75" customHeight="1">
      <c r="A146" s="16"/>
      <c r="B146" s="16"/>
      <c r="C146" s="16"/>
      <c r="D146" s="16"/>
      <c r="E146" s="16"/>
      <c r="F146" s="16"/>
      <c r="G146" s="16"/>
      <c r="H146" s="16"/>
      <c r="I146" s="16"/>
      <c r="J146" s="16"/>
      <c r="K146" s="16"/>
      <c r="L146" s="16"/>
      <c r="M146" s="735"/>
      <c r="N146" s="696"/>
      <c r="O146" s="696"/>
      <c r="P146" s="696"/>
      <c r="Q146" s="696"/>
      <c r="R146" s="696"/>
      <c r="S146" s="696"/>
      <c r="T146" s="696"/>
      <c r="U146" s="16"/>
      <c r="V146" s="16"/>
      <c r="W146" s="16"/>
      <c r="X146" s="16"/>
      <c r="Y146" s="16"/>
      <c r="Z146" s="16"/>
      <c r="AA146" s="16"/>
      <c r="AB146" s="16"/>
      <c r="AC146" s="16"/>
      <c r="AD146" s="16"/>
    </row>
    <row r="147" spans="1:30" ht="15.75" customHeight="1">
      <c r="A147" s="16"/>
      <c r="B147" s="16"/>
      <c r="C147" s="16"/>
      <c r="D147" s="16"/>
      <c r="E147" s="16"/>
      <c r="F147" s="16"/>
      <c r="G147" s="16"/>
      <c r="H147" s="16"/>
      <c r="I147" s="16"/>
      <c r="J147" s="16"/>
      <c r="K147" s="16"/>
      <c r="L147" s="16"/>
      <c r="M147" s="735"/>
      <c r="N147" s="696"/>
      <c r="O147" s="696"/>
      <c r="P147" s="696"/>
      <c r="Q147" s="696"/>
      <c r="R147" s="696"/>
      <c r="S147" s="696"/>
      <c r="T147" s="696"/>
      <c r="U147" s="16"/>
      <c r="V147" s="16"/>
      <c r="W147" s="16"/>
      <c r="X147" s="16"/>
      <c r="Y147" s="16"/>
      <c r="Z147" s="16"/>
      <c r="AA147" s="16"/>
      <c r="AB147" s="16"/>
      <c r="AC147" s="16"/>
      <c r="AD147" s="16"/>
    </row>
    <row r="148" spans="1:30" ht="15.75" customHeight="1">
      <c r="A148" s="16"/>
      <c r="B148" s="16"/>
      <c r="C148" s="16"/>
      <c r="D148" s="16"/>
      <c r="E148" s="16"/>
      <c r="F148" s="16"/>
      <c r="G148" s="16"/>
      <c r="H148" s="16"/>
      <c r="I148" s="16"/>
      <c r="J148" s="16"/>
      <c r="K148" s="16"/>
      <c r="L148" s="16"/>
      <c r="M148" s="735"/>
      <c r="N148" s="696"/>
      <c r="O148" s="696"/>
      <c r="P148" s="696"/>
      <c r="Q148" s="696"/>
      <c r="R148" s="696"/>
      <c r="S148" s="696"/>
      <c r="T148" s="696"/>
      <c r="U148" s="16"/>
      <c r="V148" s="16"/>
      <c r="W148" s="16"/>
      <c r="X148" s="16"/>
      <c r="Y148" s="16"/>
      <c r="Z148" s="16"/>
      <c r="AA148" s="16"/>
      <c r="AB148" s="16"/>
      <c r="AC148" s="16"/>
      <c r="AD148" s="16"/>
    </row>
    <row r="149" spans="1:30" ht="15.75" customHeight="1">
      <c r="A149" s="16"/>
      <c r="B149" s="16"/>
      <c r="C149" s="16"/>
      <c r="D149" s="16"/>
      <c r="E149" s="16"/>
      <c r="F149" s="16"/>
      <c r="G149" s="16"/>
      <c r="H149" s="16"/>
      <c r="I149" s="16"/>
      <c r="J149" s="16"/>
      <c r="K149" s="16"/>
      <c r="L149" s="16"/>
      <c r="M149" s="735"/>
      <c r="N149" s="696"/>
      <c r="O149" s="696"/>
      <c r="P149" s="696"/>
      <c r="Q149" s="696"/>
      <c r="R149" s="696"/>
      <c r="S149" s="696"/>
      <c r="T149" s="696"/>
      <c r="U149" s="16"/>
      <c r="V149" s="16"/>
      <c r="W149" s="16"/>
      <c r="X149" s="16"/>
      <c r="Y149" s="16"/>
      <c r="Z149" s="16"/>
      <c r="AA149" s="16"/>
      <c r="AB149" s="16"/>
      <c r="AC149" s="16"/>
      <c r="AD149" s="16"/>
    </row>
    <row r="150" spans="1:30" ht="15.75" customHeight="1">
      <c r="A150" s="16"/>
      <c r="B150" s="16"/>
      <c r="C150" s="16"/>
      <c r="D150" s="16"/>
      <c r="E150" s="16"/>
      <c r="F150" s="16"/>
      <c r="G150" s="16"/>
      <c r="H150" s="16"/>
      <c r="I150" s="16"/>
      <c r="J150" s="16"/>
      <c r="K150" s="16"/>
      <c r="L150" s="16"/>
      <c r="M150" s="735"/>
      <c r="N150" s="696"/>
      <c r="O150" s="696"/>
      <c r="P150" s="696"/>
      <c r="Q150" s="696"/>
      <c r="R150" s="696"/>
      <c r="S150" s="696"/>
      <c r="T150" s="696"/>
      <c r="U150" s="16"/>
      <c r="V150" s="16"/>
      <c r="W150" s="16"/>
      <c r="X150" s="16"/>
      <c r="Y150" s="16"/>
      <c r="Z150" s="16"/>
      <c r="AA150" s="16"/>
      <c r="AB150" s="16"/>
      <c r="AC150" s="16"/>
      <c r="AD150" s="16"/>
    </row>
    <row r="151" spans="1:30" ht="15.75" customHeight="1">
      <c r="A151" s="16"/>
      <c r="B151" s="16"/>
      <c r="C151" s="16"/>
      <c r="D151" s="16"/>
      <c r="E151" s="16"/>
      <c r="F151" s="16"/>
      <c r="G151" s="16"/>
      <c r="H151" s="16"/>
      <c r="I151" s="16"/>
      <c r="J151" s="16"/>
      <c r="K151" s="16"/>
      <c r="L151" s="16"/>
      <c r="M151" s="735"/>
      <c r="N151" s="696"/>
      <c r="O151" s="696"/>
      <c r="P151" s="696"/>
      <c r="Q151" s="696"/>
      <c r="R151" s="696"/>
      <c r="S151" s="696"/>
      <c r="T151" s="696"/>
      <c r="U151" s="16"/>
      <c r="V151" s="16"/>
      <c r="W151" s="16"/>
      <c r="X151" s="16"/>
      <c r="Y151" s="16"/>
      <c r="Z151" s="16"/>
      <c r="AA151" s="16"/>
      <c r="AB151" s="16"/>
      <c r="AC151" s="16"/>
      <c r="AD151" s="16"/>
    </row>
    <row r="152" spans="1:30" ht="15.75" customHeight="1">
      <c r="A152" s="16"/>
      <c r="B152" s="16"/>
      <c r="C152" s="16"/>
      <c r="D152" s="16"/>
      <c r="E152" s="16"/>
      <c r="F152" s="16"/>
      <c r="G152" s="16"/>
      <c r="H152" s="16"/>
      <c r="I152" s="16"/>
      <c r="J152" s="16"/>
      <c r="K152" s="16"/>
      <c r="L152" s="16"/>
      <c r="M152" s="735"/>
      <c r="N152" s="696"/>
      <c r="O152" s="696"/>
      <c r="P152" s="696"/>
      <c r="Q152" s="696"/>
      <c r="R152" s="696"/>
      <c r="S152" s="696"/>
      <c r="T152" s="696"/>
      <c r="U152" s="16"/>
      <c r="V152" s="16"/>
      <c r="W152" s="16"/>
      <c r="X152" s="16"/>
      <c r="Y152" s="16"/>
      <c r="Z152" s="16"/>
      <c r="AA152" s="16"/>
      <c r="AB152" s="16"/>
      <c r="AC152" s="16"/>
      <c r="AD152" s="16"/>
    </row>
    <row r="153" spans="1:30" ht="15.75" customHeight="1">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c r="AA153" s="16"/>
      <c r="AB153" s="16"/>
      <c r="AC153" s="16"/>
      <c r="AD153" s="16"/>
    </row>
    <row r="154" spans="1:30" ht="15.75" customHeight="1">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c r="AA154" s="16"/>
      <c r="AB154" s="16"/>
      <c r="AC154" s="16"/>
      <c r="AD154" s="16"/>
    </row>
    <row r="155" spans="1:30" ht="15.75" customHeight="1">
      <c r="A155" s="16"/>
      <c r="B155" s="735"/>
      <c r="C155" s="696"/>
      <c r="D155" s="16"/>
      <c r="E155" s="16"/>
      <c r="F155" s="16"/>
      <c r="G155" s="16"/>
      <c r="H155" s="16"/>
      <c r="I155" s="16"/>
      <c r="J155" s="16"/>
      <c r="K155" s="16"/>
      <c r="L155" s="16"/>
      <c r="M155" s="735"/>
      <c r="N155" s="696"/>
      <c r="O155" s="696"/>
      <c r="P155" s="735"/>
      <c r="Q155" s="696"/>
      <c r="R155" s="696"/>
      <c r="S155" s="696"/>
      <c r="T155" s="696"/>
      <c r="U155" s="16"/>
      <c r="V155" s="16"/>
      <c r="W155" s="16"/>
      <c r="X155" s="16"/>
      <c r="Y155" s="16"/>
      <c r="Z155" s="16"/>
      <c r="AA155" s="16"/>
      <c r="AB155" s="16"/>
      <c r="AC155" s="16"/>
      <c r="AD155" s="16"/>
    </row>
    <row r="156" spans="1:30" ht="15.75" customHeight="1">
      <c r="A156" s="16"/>
      <c r="B156" s="735"/>
      <c r="C156" s="696"/>
      <c r="D156" s="16"/>
      <c r="E156" s="16"/>
      <c r="F156" s="16"/>
      <c r="G156" s="16"/>
      <c r="H156" s="16"/>
      <c r="I156" s="16"/>
      <c r="J156" s="16"/>
      <c r="K156" s="16"/>
      <c r="L156" s="16"/>
      <c r="M156" s="735"/>
      <c r="N156" s="696"/>
      <c r="O156" s="696"/>
      <c r="P156" s="735"/>
      <c r="Q156" s="696"/>
      <c r="R156" s="696"/>
      <c r="S156" s="696"/>
      <c r="T156" s="696"/>
      <c r="U156" s="16"/>
      <c r="V156" s="16"/>
      <c r="W156" s="16"/>
      <c r="X156" s="16"/>
      <c r="Y156" s="16"/>
      <c r="Z156" s="16"/>
      <c r="AA156" s="16"/>
      <c r="AB156" s="16"/>
      <c r="AC156" s="16"/>
      <c r="AD156" s="16"/>
    </row>
    <row r="157" spans="1:30" ht="15.75" customHeight="1">
      <c r="A157" s="16"/>
      <c r="B157" s="735"/>
      <c r="C157" s="696"/>
      <c r="D157" s="16"/>
      <c r="E157" s="16"/>
      <c r="F157" s="16"/>
      <c r="G157" s="16"/>
      <c r="H157" s="16"/>
      <c r="I157" s="16"/>
      <c r="J157" s="16"/>
      <c r="K157" s="16"/>
      <c r="L157" s="16"/>
      <c r="M157" s="735"/>
      <c r="N157" s="696"/>
      <c r="O157" s="696"/>
      <c r="P157" s="696"/>
      <c r="Q157" s="696"/>
      <c r="R157" s="696"/>
      <c r="S157" s="696"/>
      <c r="T157" s="696"/>
      <c r="U157" s="16"/>
      <c r="V157" s="16"/>
      <c r="W157" s="16"/>
      <c r="X157" s="16"/>
      <c r="Y157" s="16"/>
      <c r="Z157" s="16"/>
      <c r="AA157" s="16"/>
      <c r="AB157" s="16"/>
      <c r="AC157" s="16"/>
      <c r="AD157" s="16"/>
    </row>
    <row r="158" spans="1:30" ht="15.75" customHeight="1">
      <c r="A158" s="16"/>
      <c r="B158" s="735"/>
      <c r="C158" s="696"/>
      <c r="D158" s="16"/>
      <c r="E158" s="16"/>
      <c r="F158" s="16"/>
      <c r="G158" s="16"/>
      <c r="H158" s="16"/>
      <c r="I158" s="16"/>
      <c r="J158" s="16"/>
      <c r="K158" s="16"/>
      <c r="L158" s="16"/>
      <c r="M158" s="735"/>
      <c r="N158" s="696"/>
      <c r="O158" s="696"/>
      <c r="P158" s="696"/>
      <c r="Q158" s="696"/>
      <c r="R158" s="696"/>
      <c r="S158" s="696"/>
      <c r="T158" s="696"/>
      <c r="U158" s="16"/>
      <c r="V158" s="16"/>
      <c r="W158" s="16"/>
      <c r="X158" s="16"/>
      <c r="Y158" s="16"/>
      <c r="Z158" s="16"/>
      <c r="AA158" s="16"/>
      <c r="AB158" s="16"/>
      <c r="AC158" s="16"/>
      <c r="AD158" s="16"/>
    </row>
    <row r="159" spans="1:30" ht="15.75" customHeight="1">
      <c r="A159" s="16"/>
      <c r="B159" s="735"/>
      <c r="C159" s="696"/>
      <c r="D159" s="16"/>
      <c r="E159" s="16"/>
      <c r="F159" s="16"/>
      <c r="G159" s="16"/>
      <c r="H159" s="16"/>
      <c r="I159" s="16"/>
      <c r="J159" s="16"/>
      <c r="K159" s="16"/>
      <c r="L159" s="16"/>
      <c r="M159" s="735"/>
      <c r="N159" s="696"/>
      <c r="O159" s="696"/>
      <c r="P159" s="696"/>
      <c r="Q159" s="696"/>
      <c r="R159" s="696"/>
      <c r="S159" s="696"/>
      <c r="T159" s="696"/>
      <c r="U159" s="16"/>
      <c r="V159" s="16"/>
      <c r="W159" s="16"/>
      <c r="X159" s="16"/>
      <c r="Y159" s="16"/>
      <c r="Z159" s="16"/>
      <c r="AA159" s="16"/>
      <c r="AB159" s="16"/>
      <c r="AC159" s="16"/>
      <c r="AD159" s="16"/>
    </row>
    <row r="160" spans="1:30" ht="15.75" customHeight="1">
      <c r="A160" s="16"/>
      <c r="B160" s="735"/>
      <c r="C160" s="696"/>
      <c r="D160" s="16"/>
      <c r="E160" s="16"/>
      <c r="F160" s="16"/>
      <c r="G160" s="16"/>
      <c r="H160" s="16"/>
      <c r="I160" s="16"/>
      <c r="J160" s="16"/>
      <c r="K160" s="16"/>
      <c r="L160" s="16"/>
      <c r="M160" s="735"/>
      <c r="N160" s="696"/>
      <c r="O160" s="696"/>
      <c r="P160" s="696"/>
      <c r="Q160" s="696"/>
      <c r="R160" s="696"/>
      <c r="S160" s="696"/>
      <c r="T160" s="696"/>
      <c r="U160" s="16"/>
      <c r="V160" s="16"/>
      <c r="W160" s="16"/>
      <c r="X160" s="16"/>
      <c r="Y160" s="16"/>
      <c r="Z160" s="16"/>
      <c r="AA160" s="16"/>
      <c r="AB160" s="16"/>
      <c r="AC160" s="16"/>
      <c r="AD160" s="16"/>
    </row>
    <row r="161" spans="1:30" ht="15.75" customHeight="1">
      <c r="A161" s="16"/>
      <c r="B161" s="735"/>
      <c r="C161" s="696"/>
      <c r="D161" s="16"/>
      <c r="E161" s="16"/>
      <c r="F161" s="16"/>
      <c r="G161" s="16"/>
      <c r="H161" s="16"/>
      <c r="I161" s="16"/>
      <c r="J161" s="16"/>
      <c r="K161" s="16"/>
      <c r="L161" s="16"/>
      <c r="M161" s="735"/>
      <c r="N161" s="696"/>
      <c r="O161" s="696"/>
      <c r="P161" s="696"/>
      <c r="Q161" s="696"/>
      <c r="R161" s="696"/>
      <c r="S161" s="696"/>
      <c r="T161" s="696"/>
      <c r="U161" s="16"/>
      <c r="V161" s="16"/>
      <c r="W161" s="16"/>
      <c r="X161" s="16"/>
      <c r="Y161" s="16"/>
      <c r="Z161" s="16"/>
      <c r="AA161" s="16"/>
      <c r="AB161" s="16"/>
      <c r="AC161" s="16"/>
      <c r="AD161" s="16"/>
    </row>
    <row r="162" spans="1:30" ht="15.75" customHeight="1">
      <c r="A162" s="16"/>
      <c r="B162" s="735"/>
      <c r="C162" s="696"/>
      <c r="D162" s="16"/>
      <c r="E162" s="16"/>
      <c r="F162" s="16"/>
      <c r="G162" s="16"/>
      <c r="H162" s="16"/>
      <c r="I162" s="16"/>
      <c r="J162" s="16"/>
      <c r="K162" s="16"/>
      <c r="L162" s="16"/>
      <c r="M162" s="735"/>
      <c r="N162" s="696"/>
      <c r="O162" s="696"/>
      <c r="P162" s="696"/>
      <c r="Q162" s="696"/>
      <c r="R162" s="696"/>
      <c r="S162" s="696"/>
      <c r="T162" s="696"/>
      <c r="U162" s="16"/>
      <c r="V162" s="16"/>
      <c r="W162" s="16"/>
      <c r="X162" s="16"/>
      <c r="Y162" s="16"/>
      <c r="Z162" s="16"/>
      <c r="AA162" s="16"/>
      <c r="AB162" s="16"/>
      <c r="AC162" s="16"/>
      <c r="AD162" s="16"/>
    </row>
    <row r="163" spans="1:30" ht="15.75" customHeight="1">
      <c r="A163" s="16"/>
      <c r="B163" s="735"/>
      <c r="C163" s="696"/>
      <c r="D163" s="16"/>
      <c r="E163" s="16"/>
      <c r="F163" s="16"/>
      <c r="G163" s="16"/>
      <c r="H163" s="16"/>
      <c r="I163" s="16"/>
      <c r="J163" s="16"/>
      <c r="K163" s="16"/>
      <c r="L163" s="16"/>
      <c r="M163" s="735"/>
      <c r="N163" s="696"/>
      <c r="O163" s="696"/>
      <c r="P163" s="696"/>
      <c r="Q163" s="696"/>
      <c r="R163" s="696"/>
      <c r="S163" s="696"/>
      <c r="T163" s="696"/>
      <c r="U163" s="16"/>
      <c r="V163" s="16"/>
      <c r="W163" s="16"/>
      <c r="X163" s="16"/>
      <c r="Y163" s="16"/>
      <c r="Z163" s="16"/>
      <c r="AA163" s="16"/>
      <c r="AB163" s="16"/>
      <c r="AC163" s="16"/>
      <c r="AD163" s="16"/>
    </row>
    <row r="164" spans="1:30" ht="15.75" customHeight="1">
      <c r="A164" s="16"/>
      <c r="B164" s="735"/>
      <c r="C164" s="696"/>
      <c r="D164" s="16"/>
      <c r="E164" s="16"/>
      <c r="F164" s="16"/>
      <c r="G164" s="16"/>
      <c r="H164" s="16"/>
      <c r="I164" s="16"/>
      <c r="J164" s="16"/>
      <c r="K164" s="16"/>
      <c r="L164" s="16"/>
      <c r="M164" s="735"/>
      <c r="N164" s="696"/>
      <c r="O164" s="696"/>
      <c r="P164" s="696"/>
      <c r="Q164" s="696"/>
      <c r="R164" s="696"/>
      <c r="S164" s="696"/>
      <c r="T164" s="696"/>
      <c r="U164" s="16"/>
      <c r="V164" s="16"/>
      <c r="W164" s="16"/>
      <c r="X164" s="16"/>
      <c r="Y164" s="16"/>
      <c r="Z164" s="16"/>
      <c r="AA164" s="16"/>
      <c r="AB164" s="16"/>
      <c r="AC164" s="16"/>
      <c r="AD164" s="16"/>
    </row>
    <row r="165" spans="1:30" ht="15.75" customHeight="1">
      <c r="A165" s="16"/>
      <c r="B165" s="735"/>
      <c r="C165" s="696"/>
      <c r="D165" s="16"/>
      <c r="E165" s="16"/>
      <c r="F165" s="16"/>
      <c r="G165" s="16"/>
      <c r="H165" s="16"/>
      <c r="I165" s="16"/>
      <c r="J165" s="16"/>
      <c r="K165" s="16"/>
      <c r="L165" s="16"/>
      <c r="M165" s="735"/>
      <c r="N165" s="696"/>
      <c r="O165" s="696"/>
      <c r="P165" s="696"/>
      <c r="Q165" s="696"/>
      <c r="R165" s="696"/>
      <c r="S165" s="696"/>
      <c r="T165" s="696"/>
      <c r="U165" s="16"/>
      <c r="V165" s="16"/>
      <c r="W165" s="16"/>
      <c r="X165" s="16"/>
      <c r="Y165" s="16"/>
      <c r="Z165" s="16"/>
      <c r="AA165" s="16"/>
      <c r="AB165" s="16"/>
      <c r="AC165" s="16"/>
      <c r="AD165" s="16"/>
    </row>
    <row r="166" spans="1:30" ht="15.75" customHeight="1">
      <c r="A166" s="16"/>
      <c r="B166" s="735"/>
      <c r="C166" s="696"/>
      <c r="D166" s="16"/>
      <c r="E166" s="16"/>
      <c r="F166" s="16"/>
      <c r="G166" s="16"/>
      <c r="H166" s="16"/>
      <c r="I166" s="16"/>
      <c r="J166" s="16"/>
      <c r="K166" s="16"/>
      <c r="L166" s="16"/>
      <c r="M166" s="735"/>
      <c r="N166" s="696"/>
      <c r="O166" s="696"/>
      <c r="P166" s="696"/>
      <c r="Q166" s="696"/>
      <c r="R166" s="696"/>
      <c r="S166" s="696"/>
      <c r="T166" s="696"/>
      <c r="U166" s="16"/>
      <c r="V166" s="16"/>
      <c r="W166" s="16"/>
      <c r="X166" s="16"/>
      <c r="Y166" s="16"/>
      <c r="Z166" s="16"/>
      <c r="AA166" s="16"/>
      <c r="AB166" s="16"/>
      <c r="AC166" s="16"/>
      <c r="AD166" s="16"/>
    </row>
    <row r="167" spans="1:30" ht="15.75" customHeight="1">
      <c r="A167" s="16"/>
      <c r="B167" s="735"/>
      <c r="C167" s="696"/>
      <c r="D167" s="16"/>
      <c r="E167" s="16"/>
      <c r="F167" s="16"/>
      <c r="G167" s="16"/>
      <c r="H167" s="16"/>
      <c r="I167" s="16"/>
      <c r="J167" s="16"/>
      <c r="K167" s="16"/>
      <c r="L167" s="16"/>
      <c r="M167" s="735"/>
      <c r="N167" s="696"/>
      <c r="O167" s="696"/>
      <c r="P167" s="696"/>
      <c r="Q167" s="696"/>
      <c r="R167" s="696"/>
      <c r="S167" s="696"/>
      <c r="T167" s="696"/>
      <c r="U167" s="16"/>
      <c r="V167" s="16"/>
      <c r="W167" s="16"/>
      <c r="X167" s="16"/>
      <c r="Y167" s="16"/>
      <c r="Z167" s="16"/>
      <c r="AA167" s="16"/>
      <c r="AB167" s="16"/>
      <c r="AC167" s="16"/>
      <c r="AD167" s="16"/>
    </row>
    <row r="168" spans="1:30" ht="15.75" customHeight="1">
      <c r="A168" s="16"/>
      <c r="B168" s="735"/>
      <c r="C168" s="696"/>
      <c r="D168" s="16"/>
      <c r="E168" s="16"/>
      <c r="F168" s="16"/>
      <c r="G168" s="16"/>
      <c r="H168" s="16"/>
      <c r="I168" s="16"/>
      <c r="J168" s="16"/>
      <c r="K168" s="16"/>
      <c r="L168" s="16"/>
      <c r="M168" s="735"/>
      <c r="N168" s="696"/>
      <c r="O168" s="696"/>
      <c r="P168" s="696"/>
      <c r="Q168" s="696"/>
      <c r="R168" s="696"/>
      <c r="S168" s="696"/>
      <c r="T168" s="696"/>
      <c r="U168" s="16"/>
      <c r="V168" s="16"/>
      <c r="W168" s="16"/>
      <c r="X168" s="16"/>
      <c r="Y168" s="16"/>
      <c r="Z168" s="16"/>
      <c r="AA168" s="16"/>
      <c r="AB168" s="16"/>
      <c r="AC168" s="16"/>
      <c r="AD168" s="16"/>
    </row>
    <row r="169" spans="1:30" ht="15.75" customHeight="1">
      <c r="A169" s="16"/>
      <c r="B169" s="735"/>
      <c r="C169" s="696"/>
      <c r="D169" s="16"/>
      <c r="E169" s="16"/>
      <c r="F169" s="16"/>
      <c r="G169" s="16"/>
      <c r="H169" s="16"/>
      <c r="I169" s="16"/>
      <c r="J169" s="16"/>
      <c r="K169" s="16"/>
      <c r="L169" s="16"/>
      <c r="M169" s="735"/>
      <c r="N169" s="696"/>
      <c r="O169" s="696"/>
      <c r="P169" s="696"/>
      <c r="Q169" s="696"/>
      <c r="R169" s="696"/>
      <c r="S169" s="696"/>
      <c r="T169" s="696"/>
      <c r="U169" s="16"/>
      <c r="V169" s="16"/>
      <c r="W169" s="16"/>
      <c r="X169" s="16"/>
      <c r="Y169" s="16"/>
      <c r="Z169" s="16"/>
      <c r="AA169" s="16"/>
      <c r="AB169" s="16"/>
      <c r="AC169" s="16"/>
      <c r="AD169" s="16"/>
    </row>
    <row r="170" spans="1:30" ht="15.75" customHeight="1">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c r="AA170" s="16"/>
      <c r="AB170" s="16"/>
      <c r="AC170" s="16"/>
      <c r="AD170" s="16"/>
    </row>
    <row r="171" spans="1:30" ht="15.75" customHeight="1">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c r="AA171" s="16"/>
      <c r="AB171" s="16"/>
      <c r="AC171" s="16"/>
      <c r="AD171" s="16"/>
    </row>
    <row r="172" spans="1:30" ht="15.75" customHeight="1">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row>
    <row r="173" spans="1:30" ht="15.75" customHeight="1">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c r="AC173" s="16"/>
      <c r="AD173" s="16"/>
    </row>
    <row r="174" spans="1:30" ht="15.75" customHeight="1">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c r="AC174" s="16"/>
      <c r="AD174" s="16"/>
    </row>
    <row r="175" spans="1:30" ht="15.75" customHeight="1">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c r="AA175" s="16"/>
      <c r="AB175" s="16"/>
      <c r="AC175" s="16"/>
      <c r="AD175" s="16"/>
    </row>
    <row r="176" spans="1:30" ht="15.75" customHeight="1">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c r="AD176" s="16"/>
    </row>
    <row r="177" spans="1:30" ht="15.75" customHeight="1">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c r="AD177" s="16"/>
    </row>
    <row r="178" spans="1:30" ht="15.75" customHeight="1">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c r="AA178" s="16"/>
      <c r="AB178" s="16"/>
      <c r="AC178" s="16"/>
      <c r="AD178" s="16"/>
    </row>
    <row r="179" spans="1:30" ht="15.75" customHeight="1">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c r="AD179" s="16"/>
    </row>
    <row r="180" spans="1:30" ht="15.75" customHeight="1">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c r="AD180" s="16"/>
    </row>
    <row r="181" spans="1:30" ht="15.75" customHeight="1">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c r="AD181" s="16"/>
    </row>
    <row r="182" spans="1:30" ht="15.75" customHeight="1">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c r="AD182" s="16"/>
    </row>
    <row r="183" spans="1:30" ht="15.75" customHeight="1">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c r="AD183" s="16"/>
    </row>
    <row r="184" spans="1:30" ht="15.75" customHeight="1">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c r="AD184" s="16"/>
    </row>
    <row r="185" spans="1:30" ht="15.75" customHeight="1">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c r="AD185" s="16"/>
    </row>
    <row r="186" spans="1:30" ht="15.75" customHeight="1">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c r="AD186" s="16"/>
    </row>
    <row r="187" spans="1:30" ht="15.75" customHeight="1">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16"/>
      <c r="AB187" s="16"/>
      <c r="AC187" s="16"/>
      <c r="AD187" s="16"/>
    </row>
    <row r="188" spans="1:30" ht="15.75" customHeight="1">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c r="AD188" s="16"/>
    </row>
    <row r="189" spans="1:30" ht="15.75" customHeight="1">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c r="AD189" s="16"/>
    </row>
    <row r="190" spans="1:30" ht="15.75" customHeight="1">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c r="AD190" s="16"/>
    </row>
    <row r="191" spans="1:30" ht="15.75" customHeight="1">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c r="AD191" s="16"/>
    </row>
    <row r="192" spans="1:30" ht="15.75" customHeight="1">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c r="AD192" s="16"/>
    </row>
    <row r="193" spans="1:30" ht="15.75" customHeight="1">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c r="AA193" s="16"/>
      <c r="AB193" s="16"/>
      <c r="AC193" s="16"/>
      <c r="AD193" s="16"/>
    </row>
    <row r="194" spans="1:30" ht="15.75" customHeight="1">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c r="AA194" s="16"/>
      <c r="AB194" s="16"/>
      <c r="AC194" s="16"/>
      <c r="AD194" s="16"/>
    </row>
    <row r="195" spans="1:30" ht="15.75" customHeight="1">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c r="AA195" s="16"/>
      <c r="AB195" s="16"/>
      <c r="AC195" s="16"/>
      <c r="AD195" s="16"/>
    </row>
    <row r="196" spans="1:30" ht="15.75" customHeight="1">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c r="AA196" s="16"/>
      <c r="AB196" s="16"/>
      <c r="AC196" s="16"/>
      <c r="AD196" s="16"/>
    </row>
    <row r="197" spans="1:30" ht="15.75" customHeight="1">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c r="AD197" s="16"/>
    </row>
    <row r="198" spans="1:30" ht="15.75" customHeight="1">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c r="AD198" s="16"/>
    </row>
    <row r="199" spans="1:30" ht="15.75" customHeight="1">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c r="AA199" s="16"/>
      <c r="AB199" s="16"/>
      <c r="AC199" s="16"/>
      <c r="AD199" s="16"/>
    </row>
    <row r="200" spans="1:30" ht="15.75" customHeight="1">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c r="AA200" s="16"/>
      <c r="AB200" s="16"/>
      <c r="AC200" s="16"/>
      <c r="AD200" s="16"/>
    </row>
    <row r="201" spans="1:30" ht="15.75" customHeight="1">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c r="AD201" s="16"/>
    </row>
    <row r="202" spans="1:30" ht="15.75" customHeight="1">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c r="AD202" s="16"/>
    </row>
    <row r="203" spans="1:30" ht="15.75" customHeight="1">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c r="AA203" s="16"/>
      <c r="AB203" s="16"/>
      <c r="AC203" s="16"/>
      <c r="AD203" s="16"/>
    </row>
    <row r="204" spans="1:30" ht="15.75" customHeight="1">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c r="AA204" s="16"/>
      <c r="AB204" s="16"/>
      <c r="AC204" s="16"/>
      <c r="AD204" s="16"/>
    </row>
    <row r="205" spans="1:30" ht="15.75" customHeight="1">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c r="AD205" s="16"/>
    </row>
    <row r="206" spans="1:30" ht="15.75" customHeight="1">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row>
    <row r="207" spans="1:30" ht="15.75" customHeight="1">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c r="AD207" s="16"/>
    </row>
    <row r="208" spans="1:30" ht="15.75" customHeight="1">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c r="AD208" s="16"/>
    </row>
    <row r="209" spans="1:30" ht="15.75" customHeight="1">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c r="AD209" s="16"/>
    </row>
    <row r="210" spans="1:30" ht="15.75" customHeight="1">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c r="AD210" s="16"/>
    </row>
    <row r="211" spans="1:30" ht="15.75" customHeight="1">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row>
    <row r="212" spans="1:30" ht="15.75" customHeight="1">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c r="AD212" s="16"/>
    </row>
    <row r="213" spans="1:30" ht="15.75" customHeight="1">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c r="AD213" s="16"/>
    </row>
    <row r="214" spans="1:30" ht="15.75" customHeight="1">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row>
    <row r="215" spans="1:30" ht="15.75" customHeight="1">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c r="AD215" s="16"/>
    </row>
    <row r="216" spans="1:30" ht="15.75" customHeight="1">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c r="AD216" s="16"/>
    </row>
    <row r="217" spans="1:30" ht="15.75" customHeight="1">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c r="AD217" s="16"/>
    </row>
    <row r="218" spans="1:30" ht="15.75" customHeight="1">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c r="AD218" s="16"/>
    </row>
    <row r="219" spans="1:30" ht="15.75" customHeight="1">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c r="AD219" s="16"/>
    </row>
    <row r="220" spans="1:30" ht="15.75" customHeight="1">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c r="AD220" s="16"/>
    </row>
    <row r="221" spans="1:30" ht="15.75" customHeight="1">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row>
    <row r="222" spans="1:30" ht="15.75" customHeight="1">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row>
    <row r="223" spans="1:30" ht="15.75" customHeight="1">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c r="AD223" s="16"/>
    </row>
    <row r="224" spans="1:30" ht="15.75" customHeight="1">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c r="AD224" s="16"/>
    </row>
    <row r="225" spans="1:30" ht="15.75" customHeight="1">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16"/>
    </row>
    <row r="226" spans="1:30" ht="15.75" customHeight="1">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row>
    <row r="227" spans="1:30" ht="15.75" customHeight="1">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16"/>
    </row>
    <row r="228" spans="1:30" ht="15.75" customHeight="1">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c r="AD228" s="16"/>
    </row>
    <row r="229" spans="1:30" ht="15.75" customHeight="1">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c r="AD229" s="16"/>
    </row>
    <row r="230" spans="1:30" ht="15.75" customHeight="1">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row>
    <row r="231" spans="1:30" ht="15.75" customHeight="1">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c r="AD231" s="16"/>
    </row>
    <row r="232" spans="1:30" ht="15.75" customHeight="1">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c r="AD232" s="16"/>
    </row>
    <row r="233" spans="1:30" ht="15.75" customHeight="1">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c r="AD233" s="16"/>
    </row>
    <row r="234" spans="1:30" ht="15.75" customHeight="1">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c r="AD234" s="16"/>
    </row>
    <row r="235" spans="1:30" ht="15.75" customHeight="1">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row>
    <row r="236" spans="1:30" ht="15.75" customHeight="1">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c r="AD236" s="16"/>
    </row>
    <row r="237" spans="1:30" ht="15.75" customHeight="1">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c r="AD237" s="16"/>
    </row>
    <row r="238" spans="1:30" ht="15.75" customHeight="1">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c r="AD238" s="16"/>
    </row>
    <row r="239" spans="1:30" ht="15.75" customHeight="1">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c r="AD239" s="16"/>
    </row>
    <row r="240" spans="1:30" ht="15.75" customHeight="1">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c r="AD240" s="16"/>
    </row>
    <row r="241" spans="1:30" ht="15.75" customHeight="1">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c r="AD241" s="16"/>
    </row>
    <row r="242" spans="1:30" ht="15.75" customHeight="1">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c r="AD242" s="16"/>
    </row>
    <row r="243" spans="1:30" ht="15.75" customHeight="1">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c r="AD243" s="16"/>
    </row>
    <row r="244" spans="1:30" ht="15.75" customHeight="1">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16"/>
    </row>
    <row r="245" spans="1:30" ht="15.75" customHeight="1">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c r="AD245" s="16"/>
    </row>
    <row r="246" spans="1:30" ht="15.75" customHeight="1">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row>
    <row r="247" spans="1:30" ht="15.75" customHeight="1">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c r="AD247" s="16"/>
    </row>
    <row r="248" spans="1:30" ht="15.75" customHeight="1">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row>
    <row r="249" spans="1:30" ht="15.75" customHeight="1">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row>
    <row r="250" spans="1:30" ht="15.75" customHeight="1">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c r="AD250" s="16"/>
    </row>
    <row r="251" spans="1:30" ht="15.75" customHeight="1">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row>
    <row r="252" spans="1:30" ht="15.75" customHeight="1">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16"/>
    </row>
    <row r="253" spans="1:30" ht="15.75" customHeight="1">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c r="AD253" s="16"/>
    </row>
    <row r="254" spans="1:30" ht="15.75" customHeight="1">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row>
    <row r="255" spans="1:30" ht="15.75" customHeight="1">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c r="AD255" s="16"/>
    </row>
    <row r="256" spans="1:30" ht="15.75" customHeight="1">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row>
    <row r="257" spans="1:30" ht="15.75" customHeight="1">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c r="AD257" s="16"/>
    </row>
    <row r="258" spans="1:30" ht="15.75" customHeight="1">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c r="AD258" s="16"/>
    </row>
    <row r="259" spans="1:30" ht="15.75" customHeight="1">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row>
    <row r="260" spans="1:30" ht="15.75" customHeight="1">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row>
    <row r="261" spans="1:30" ht="15.75" customHeight="1">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c r="AD261" s="16"/>
    </row>
    <row r="262" spans="1:30" ht="15.75" customHeight="1">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row>
    <row r="263" spans="1:30" ht="15.75" customHeight="1">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row>
    <row r="264" spans="1:30" ht="15.75" customHeight="1">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c r="AD264" s="16"/>
    </row>
    <row r="265" spans="1:30" ht="15.75" customHeight="1">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row>
    <row r="266" spans="1:30" ht="15.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row>
    <row r="267" spans="1:30" ht="15.75" customHeight="1">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row>
    <row r="268" spans="1:30" ht="15.75" customHeight="1">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c r="AD268" s="16"/>
    </row>
    <row r="269" spans="1:30" ht="15.75" customHeight="1">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row>
    <row r="270" spans="1:30" ht="15.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row>
    <row r="271" spans="1:30" ht="15.75" customHeight="1">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c r="AD271" s="16"/>
    </row>
    <row r="272" spans="1:30" ht="15.75" customHeight="1">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c r="AD272" s="16"/>
    </row>
    <row r="273" spans="1:30" ht="15.75" customHeight="1">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c r="AD273" s="16"/>
    </row>
    <row r="274" spans="1:30" ht="15.75" customHeight="1">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c r="AD274" s="16"/>
    </row>
    <row r="275" spans="1:30" ht="15.75" customHeight="1">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c r="AD275" s="16"/>
    </row>
    <row r="276" spans="1:30" ht="15.75" customHeight="1">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row>
    <row r="277" spans="1:30" ht="15.75" customHeight="1">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16"/>
    </row>
    <row r="278" spans="1:30" ht="15.75" customHeight="1">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row>
    <row r="279" spans="1:30" ht="15.75" customHeight="1">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16"/>
    </row>
    <row r="280" spans="1:30" ht="15.75" customHeight="1">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c r="AD280" s="16"/>
    </row>
    <row r="281" spans="1:30" ht="15.75" customHeight="1">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c r="AD281" s="16"/>
    </row>
    <row r="282" spans="1:30" ht="15.75" customHeight="1">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c r="AD282" s="16"/>
    </row>
    <row r="283" spans="1:30" ht="15.75" customHeight="1">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c r="AD283" s="16"/>
    </row>
    <row r="284" spans="1:30" ht="15.75" customHeight="1">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c r="AD284" s="16"/>
    </row>
    <row r="285" spans="1:30" ht="15.75" customHeight="1">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c r="AD285" s="16"/>
    </row>
    <row r="286" spans="1:30" ht="15.75" customHeight="1">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row>
    <row r="287" spans="1:30" ht="15.75" customHeight="1">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row>
    <row r="288" spans="1:30" ht="15.75" customHeight="1">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row>
    <row r="289" spans="1:30" ht="15.75" customHeight="1">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row>
    <row r="290" spans="1:30" ht="15.75" customHeight="1">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row>
    <row r="291" spans="1:30" ht="15.75" customHeight="1">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c r="AD291" s="16"/>
    </row>
    <row r="292" spans="1:30" ht="15.75" customHeight="1">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row>
    <row r="293" spans="1:30" ht="15.75" customHeight="1">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row>
    <row r="294" spans="1:30" ht="15.75" customHeight="1">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row>
    <row r="295" spans="1:30" ht="15.75" customHeight="1">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row>
    <row r="296" spans="1:30" ht="15.75" customHeight="1">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row>
    <row r="297" spans="1:30" ht="15.75" customHeight="1">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row>
    <row r="298" spans="1:30" ht="15.75" customHeight="1">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row>
    <row r="299" spans="1:30" ht="15.75" customHeight="1">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row>
    <row r="300" spans="1:30" ht="15.75" customHeight="1">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row>
    <row r="301" spans="1:30" ht="15.75" customHeight="1">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c r="AD301" s="16"/>
    </row>
    <row r="302" spans="1:30" ht="15.75" customHeight="1">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c r="AD302" s="16"/>
    </row>
    <row r="303" spans="1:30" ht="15.75" customHeight="1">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row>
    <row r="304" spans="1:30" ht="15.75" customHeight="1">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c r="AD304" s="16"/>
    </row>
    <row r="305" spans="1:30" ht="15.75" customHeight="1">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c r="AD305" s="16"/>
    </row>
    <row r="306" spans="1:30" ht="15.75" customHeight="1"/>
    <row r="307" spans="1:30" ht="15.75" customHeight="1"/>
    <row r="308" spans="1:30" ht="15.75" customHeight="1"/>
    <row r="309" spans="1:30" ht="15.75" customHeight="1"/>
    <row r="310" spans="1:30" ht="15.75" customHeight="1"/>
    <row r="311" spans="1:30" ht="15.75" customHeight="1"/>
    <row r="312" spans="1:30" ht="15.75" customHeight="1"/>
    <row r="313" spans="1:30" ht="15.75" customHeight="1"/>
    <row r="314" spans="1:30" ht="15.75" customHeight="1"/>
    <row r="315" spans="1:30" ht="15.75" customHeight="1"/>
    <row r="316" spans="1:30" ht="15.75" customHeight="1"/>
    <row r="317" spans="1:30" ht="15.75" customHeight="1"/>
    <row r="318" spans="1:30" ht="15.75" customHeight="1"/>
    <row r="319" spans="1:30" ht="15.75" customHeight="1"/>
    <row r="320" spans="1:3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99">
    <mergeCell ref="K55:M67"/>
    <mergeCell ref="A30:F30"/>
    <mergeCell ref="A31:F31"/>
    <mergeCell ref="A32:F32"/>
    <mergeCell ref="A34:F34"/>
    <mergeCell ref="A29:F29"/>
    <mergeCell ref="A1:C1"/>
    <mergeCell ref="E1:H1"/>
    <mergeCell ref="D7:I7"/>
    <mergeCell ref="D8:I8"/>
    <mergeCell ref="A28:F28"/>
    <mergeCell ref="H92:I105"/>
    <mergeCell ref="J92:K105"/>
    <mergeCell ref="AG29:AH29"/>
    <mergeCell ref="AI29:AJ29"/>
    <mergeCell ref="AG30:AH40"/>
    <mergeCell ref="AI30:AJ40"/>
    <mergeCell ref="H37:J37"/>
    <mergeCell ref="K71:O87"/>
    <mergeCell ref="P71:Q87"/>
    <mergeCell ref="H91:I91"/>
    <mergeCell ref="J91:K91"/>
    <mergeCell ref="K70:O70"/>
    <mergeCell ref="H38:J42"/>
    <mergeCell ref="I45:K45"/>
    <mergeCell ref="I46:K50"/>
    <mergeCell ref="K54:M54"/>
    <mergeCell ref="P115:R115"/>
    <mergeCell ref="P70:Q70"/>
    <mergeCell ref="P116:R116"/>
    <mergeCell ref="P117:R117"/>
    <mergeCell ref="P118:R118"/>
    <mergeCell ref="P119:R119"/>
    <mergeCell ref="P120:R120"/>
    <mergeCell ref="M135:O135"/>
    <mergeCell ref="P121:R121"/>
    <mergeCell ref="M123:O123"/>
    <mergeCell ref="P123:T123"/>
    <mergeCell ref="M124:O124"/>
    <mergeCell ref="P124:T135"/>
    <mergeCell ref="M125:O125"/>
    <mergeCell ref="M126:O126"/>
    <mergeCell ref="M127:O127"/>
    <mergeCell ref="M128:O128"/>
    <mergeCell ref="M129:O129"/>
    <mergeCell ref="M130:O130"/>
    <mergeCell ref="M131:O131"/>
    <mergeCell ref="M132:O132"/>
    <mergeCell ref="M133:O133"/>
    <mergeCell ref="M134:O134"/>
    <mergeCell ref="M151:O151"/>
    <mergeCell ref="M138:O138"/>
    <mergeCell ref="P138:T138"/>
    <mergeCell ref="M139:O139"/>
    <mergeCell ref="P139:T152"/>
    <mergeCell ref="M140:O140"/>
    <mergeCell ref="M141:O141"/>
    <mergeCell ref="M142:O142"/>
    <mergeCell ref="M143:O143"/>
    <mergeCell ref="M144:O144"/>
    <mergeCell ref="M145:O145"/>
    <mergeCell ref="M146:O146"/>
    <mergeCell ref="M147:O147"/>
    <mergeCell ref="M148:O148"/>
    <mergeCell ref="M149:O149"/>
    <mergeCell ref="M150:O150"/>
    <mergeCell ref="P155:T155"/>
    <mergeCell ref="B156:C156"/>
    <mergeCell ref="M156:O156"/>
    <mergeCell ref="P156:T169"/>
    <mergeCell ref="B157:C157"/>
    <mergeCell ref="M157:O157"/>
    <mergeCell ref="B158:C158"/>
    <mergeCell ref="B161:C161"/>
    <mergeCell ref="M161:O161"/>
    <mergeCell ref="B160:C160"/>
    <mergeCell ref="M160:O160"/>
    <mergeCell ref="B162:C162"/>
    <mergeCell ref="M162:O162"/>
    <mergeCell ref="B163:C163"/>
    <mergeCell ref="M163:O163"/>
    <mergeCell ref="B164:C164"/>
    <mergeCell ref="M152:O152"/>
    <mergeCell ref="B155:C155"/>
    <mergeCell ref="M155:O155"/>
    <mergeCell ref="M158:O158"/>
    <mergeCell ref="B159:C159"/>
    <mergeCell ref="M159:O159"/>
    <mergeCell ref="M164:O164"/>
    <mergeCell ref="B168:C168"/>
    <mergeCell ref="M168:O168"/>
    <mergeCell ref="B169:C169"/>
    <mergeCell ref="M169:O169"/>
    <mergeCell ref="B165:C165"/>
    <mergeCell ref="M165:O165"/>
    <mergeCell ref="B166:C166"/>
    <mergeCell ref="M166:O166"/>
    <mergeCell ref="B167:C167"/>
    <mergeCell ref="M167:O167"/>
  </mergeCells>
  <conditionalFormatting sqref="I55:I66">
    <cfRule type="containsText" dxfId="13" priority="1" operator="containsText" text="5">
      <formula>NOT(ISERROR(SEARCH(("5"),(I55))))</formula>
    </cfRule>
    <cfRule type="containsText" dxfId="12" priority="2" operator="containsText" text="42">
      <formula>NOT(ISERROR(SEARCH(("42"),(I55))))</formula>
    </cfRule>
    <cfRule type="containsText" dxfId="11" priority="3" operator="containsText" text="Please fill in">
      <formula>NOT(ISERROR(SEARCH(("Please fill in"),(I55))))</formula>
    </cfRule>
  </conditionalFormatting>
  <dataValidations count="3">
    <dataValidation type="list" allowBlank="1" showErrorMessage="1" sqref="D46:D50 H55:H67" xr:uid="{B38D200F-85A4-4A50-B9F0-C9068C672CD8}">
      <formula1>TheStrals!TypesOfTrainers</formula1>
    </dataValidation>
    <dataValidation type="list" allowBlank="1" showErrorMessage="1" sqref="B9" xr:uid="{1DCDA445-4918-4262-949A-8DB4E1C03BAF}">
      <formula1>"yes,no,partial"</formula1>
    </dataValidation>
    <dataValidation type="list" allowBlank="1" sqref="G46:G50" xr:uid="{5CF39733-26C2-4CD7-B88F-135E9154BBDC}">
      <formula1>"yes,no"</formula1>
    </dataValidation>
  </dataValidations>
  <pageMargins left="0.7" right="0.7" top="0.75" bottom="0.75" header="0" footer="0"/>
  <pageSetup paperSize="9" orientation="portrait"/>
  <drawing r:id="rId1"/>
  <legacyDrawing r:id="rId2"/>
  <tableParts count="6">
    <tablePart r:id="rId3"/>
    <tablePart r:id="rId4"/>
    <tablePart r:id="rId5"/>
    <tablePart r:id="rId6"/>
    <tablePart r:id="rId7"/>
    <tablePart r:id="rId8"/>
  </tableParts>
  <extLst>
    <ext xmlns:x14="http://schemas.microsoft.com/office/spreadsheetml/2009/9/main" uri="{CCE6A557-97BC-4b89-ADB6-D9C93CAAB3DF}">
      <x14:dataValidations xmlns:xm="http://schemas.microsoft.com/office/excel/2006/main" count="4">
        <x14:dataValidation type="list" allowBlank="1" showInputMessage="1" showErrorMessage="1" xr:uid="{0E364374-6E30-42ED-B09C-0C9D1534BDD1}">
          <x14:formula1>
            <xm:f>Constants!$M$6:$M$7</xm:f>
          </x14:formula1>
          <xm:sqref>B92:B107</xm:sqref>
        </x14:dataValidation>
        <x14:dataValidation type="list" allowBlank="1" showInputMessage="1" showErrorMessage="1" xr:uid="{C1195BEF-337A-48CE-871B-2BBF3DAFDF9A}">
          <x14:formula1>
            <xm:f>Constants!$C$55:$C$56</xm:f>
          </x14:formula1>
          <xm:sqref>B12</xm:sqref>
        </x14:dataValidation>
        <x14:dataValidation type="list" allowBlank="1" showErrorMessage="1" xr:uid="{590F7126-08CB-43F7-83EB-0ADE2AC5DFA3}">
          <x14:formula1>
            <xm:f>Constants!$H$6:$H$13</xm:f>
          </x14:formula1>
          <xm:sqref>B55:B67</xm:sqref>
        </x14:dataValidation>
        <x14:dataValidation type="list" allowBlank="1" showErrorMessage="1" xr:uid="{45512E47-28CA-4A6D-B2E0-9F771642C3CE}">
          <x14:formula1>
            <xm:f>Constants!$A$2:$AD$2</xm:f>
          </x14:formula1>
          <xm:sqref>B71:B87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V999"/>
  <sheetViews>
    <sheetView zoomScale="120" zoomScaleNormal="120" workbookViewId="0">
      <pane xSplit="1" topLeftCell="BQ3" activePane="topRight" state="frozen"/>
      <selection pane="topRight" activeCell="BT45" sqref="BT45"/>
    </sheetView>
  </sheetViews>
  <sheetFormatPr defaultColWidth="12.625" defaultRowHeight="15" customHeight="1"/>
  <cols>
    <col min="1" max="1" width="17.125" customWidth="1"/>
    <col min="2" max="2" width="7.125" customWidth="1"/>
    <col min="3" max="3" width="10.375" customWidth="1"/>
    <col min="4" max="4" width="16.125" customWidth="1"/>
    <col min="5" max="5" width="2.375" customWidth="1"/>
    <col min="6" max="6" width="12.125" customWidth="1"/>
    <col min="7" max="7" width="11.125" customWidth="1"/>
    <col min="8" max="12" width="15.125" customWidth="1"/>
    <col min="13" max="13" width="13.5" customWidth="1"/>
    <col min="14" max="14" width="2.375" customWidth="1"/>
    <col min="15" max="18" width="11.125" customWidth="1"/>
    <col min="19" max="20" width="14.875" customWidth="1"/>
    <col min="21" max="21" width="10.875" customWidth="1"/>
    <col min="22" max="22" width="12.5" customWidth="1"/>
    <col min="23" max="23" width="2.375" customWidth="1"/>
    <col min="24" max="24" width="13" customWidth="1"/>
    <col min="25" max="25" width="12.125" customWidth="1"/>
    <col min="26" max="26" width="11.875" customWidth="1"/>
    <col min="27" max="27" width="11.125" customWidth="1"/>
    <col min="28" max="29" width="14.875" customWidth="1"/>
    <col min="30" max="30" width="10.875" customWidth="1"/>
    <col min="31" max="31" width="12.5" customWidth="1"/>
    <col min="32" max="32" width="2.375" customWidth="1"/>
    <col min="33" max="36" width="11.125" customWidth="1"/>
    <col min="37" max="38" width="14.875" customWidth="1"/>
    <col min="39" max="39" width="12.5" customWidth="1"/>
    <col min="40" max="41" width="10.875" customWidth="1"/>
    <col min="42" max="42" width="12.5" customWidth="1"/>
    <col min="43" max="43" width="2.375" customWidth="1"/>
    <col min="44" max="47" width="11.125" customWidth="1"/>
    <col min="48" max="49" width="14.875" customWidth="1"/>
    <col min="50" max="51" width="10.875" customWidth="1"/>
    <col min="52" max="52" width="13.375" customWidth="1"/>
    <col min="53" max="53" width="11.5" customWidth="1"/>
    <col min="54" max="54" width="12.5" customWidth="1"/>
    <col min="55" max="55" width="13.375" customWidth="1"/>
    <col min="56" max="56" width="2.375" customWidth="1"/>
    <col min="57" max="57" width="13.625" customWidth="1"/>
    <col min="58" max="58" width="15" customWidth="1"/>
    <col min="59" max="59" width="2.375" customWidth="1"/>
    <col min="60" max="60" width="13.375" customWidth="1"/>
    <col min="61" max="61" width="14.125" customWidth="1"/>
    <col min="62" max="63" width="15.5" customWidth="1"/>
    <col min="64" max="64" width="2.375" customWidth="1"/>
    <col min="65" max="65" width="12.125" customWidth="1"/>
    <col min="66" max="66" width="15" customWidth="1"/>
    <col min="67" max="67" width="8.625" customWidth="1"/>
    <col min="68" max="68" width="13.625" customWidth="1"/>
    <col min="69" max="69" width="15" customWidth="1"/>
    <col min="70" max="70" width="17.5" customWidth="1"/>
    <col min="71" max="71" width="19.375" customWidth="1"/>
    <col min="72" max="72" width="13.625" bestFit="1" customWidth="1"/>
    <col min="73" max="73" width="16.625" bestFit="1" customWidth="1"/>
    <col min="74" max="74" width="14.625" bestFit="1" customWidth="1"/>
  </cols>
  <sheetData>
    <row r="1" spans="1:74" ht="14.25" customHeight="1">
      <c r="A1" s="552" t="s">
        <v>332</v>
      </c>
      <c r="B1" s="701"/>
      <c r="C1" s="701"/>
      <c r="D1" s="701"/>
      <c r="E1" s="16"/>
      <c r="F1" s="553" t="s">
        <v>357</v>
      </c>
      <c r="G1" s="701"/>
      <c r="H1" s="701"/>
      <c r="I1" s="701"/>
      <c r="J1" s="701"/>
      <c r="K1" s="701"/>
      <c r="L1" s="701"/>
      <c r="M1" s="701"/>
      <c r="N1" s="16"/>
      <c r="O1" s="552" t="s">
        <v>358</v>
      </c>
      <c r="P1" s="701"/>
      <c r="Q1" s="701"/>
      <c r="R1" s="701"/>
      <c r="S1" s="701"/>
      <c r="T1" s="701"/>
      <c r="U1" s="701"/>
      <c r="V1" s="701"/>
      <c r="W1" s="16"/>
      <c r="X1" s="552" t="s">
        <v>359</v>
      </c>
      <c r="Y1" s="701"/>
      <c r="Z1" s="701"/>
      <c r="AA1" s="701"/>
      <c r="AB1" s="701"/>
      <c r="AC1" s="701"/>
      <c r="AD1" s="701"/>
      <c r="AE1" s="701"/>
      <c r="AF1" s="16"/>
      <c r="AG1" s="552" t="s">
        <v>360</v>
      </c>
      <c r="AH1" s="701"/>
      <c r="AI1" s="701"/>
      <c r="AJ1" s="701"/>
      <c r="AK1" s="701"/>
      <c r="AL1" s="701"/>
      <c r="AM1" s="701"/>
      <c r="AN1" s="701"/>
      <c r="AO1" s="701"/>
      <c r="AP1" s="701"/>
      <c r="AQ1" s="16"/>
      <c r="AR1" s="552" t="s">
        <v>361</v>
      </c>
      <c r="AS1" s="701"/>
      <c r="AT1" s="701"/>
      <c r="AU1" s="701"/>
      <c r="AV1" s="701"/>
      <c r="AW1" s="701"/>
      <c r="AX1" s="701"/>
      <c r="AY1" s="701"/>
      <c r="AZ1" s="701"/>
      <c r="BA1" s="701"/>
      <c r="BB1" s="701"/>
      <c r="BC1" s="701"/>
      <c r="BD1" s="16"/>
      <c r="BE1" s="554" t="s">
        <v>362</v>
      </c>
      <c r="BF1" s="701"/>
      <c r="BG1" s="16"/>
      <c r="BH1" s="554" t="s">
        <v>363</v>
      </c>
      <c r="BI1" s="554"/>
      <c r="BJ1" s="554"/>
      <c r="BK1" s="555"/>
      <c r="BL1" s="16"/>
      <c r="BM1" s="551" t="s">
        <v>364</v>
      </c>
      <c r="BN1" s="702"/>
      <c r="BO1" s="16"/>
      <c r="BP1" s="556" t="s">
        <v>5</v>
      </c>
      <c r="BQ1" s="557"/>
      <c r="BR1" s="557"/>
      <c r="BS1" s="557"/>
      <c r="BU1" s="550" t="s">
        <v>9</v>
      </c>
      <c r="BV1" s="550"/>
    </row>
    <row r="2" spans="1:74" ht="48">
      <c r="A2" s="510" t="s">
        <v>332</v>
      </c>
      <c r="B2" s="510" t="s">
        <v>365</v>
      </c>
      <c r="C2" s="510" t="s">
        <v>366</v>
      </c>
      <c r="D2" s="510" t="s">
        <v>367</v>
      </c>
      <c r="E2" s="16"/>
      <c r="F2" s="507" t="s">
        <v>368</v>
      </c>
      <c r="G2" s="507" t="s">
        <v>369</v>
      </c>
      <c r="H2" s="507" t="s">
        <v>63</v>
      </c>
      <c r="I2" s="507" t="s">
        <v>370</v>
      </c>
      <c r="J2" s="507" t="s">
        <v>371</v>
      </c>
      <c r="K2" s="507" t="s">
        <v>372</v>
      </c>
      <c r="L2" s="507" t="s">
        <v>373</v>
      </c>
      <c r="M2" s="508" t="s">
        <v>5</v>
      </c>
      <c r="N2" s="16"/>
      <c r="O2" s="504" t="s">
        <v>374</v>
      </c>
      <c r="P2" s="504" t="s">
        <v>375</v>
      </c>
      <c r="Q2" s="504" t="s">
        <v>376</v>
      </c>
      <c r="R2" s="504" t="s">
        <v>377</v>
      </c>
      <c r="S2" s="503" t="s">
        <v>378</v>
      </c>
      <c r="T2" s="503" t="s">
        <v>379</v>
      </c>
      <c r="U2" s="506" t="s">
        <v>289</v>
      </c>
      <c r="V2" s="504" t="s">
        <v>380</v>
      </c>
      <c r="W2" s="16"/>
      <c r="X2" s="504" t="s">
        <v>374</v>
      </c>
      <c r="Y2" s="504" t="s">
        <v>375</v>
      </c>
      <c r="Z2" s="504" t="s">
        <v>376</v>
      </c>
      <c r="AA2" s="504" t="s">
        <v>377</v>
      </c>
      <c r="AB2" s="503" t="s">
        <v>381</v>
      </c>
      <c r="AC2" s="503" t="s">
        <v>379</v>
      </c>
      <c r="AD2" s="506" t="s">
        <v>289</v>
      </c>
      <c r="AE2" s="504" t="s">
        <v>382</v>
      </c>
      <c r="AF2" s="16"/>
      <c r="AG2" s="503" t="s">
        <v>383</v>
      </c>
      <c r="AH2" s="503" t="s">
        <v>384</v>
      </c>
      <c r="AI2" s="504" t="s">
        <v>385</v>
      </c>
      <c r="AJ2" s="504" t="s">
        <v>386</v>
      </c>
      <c r="AK2" s="503" t="s">
        <v>387</v>
      </c>
      <c r="AL2" s="503" t="s">
        <v>388</v>
      </c>
      <c r="AM2" s="503" t="s">
        <v>389</v>
      </c>
      <c r="AN2" s="503" t="s">
        <v>390</v>
      </c>
      <c r="AO2" s="503" t="s">
        <v>290</v>
      </c>
      <c r="AP2" s="503" t="s">
        <v>380</v>
      </c>
      <c r="AQ2" s="16"/>
      <c r="AR2" s="503" t="s">
        <v>383</v>
      </c>
      <c r="AS2" s="503" t="s">
        <v>384</v>
      </c>
      <c r="AT2" s="504" t="s">
        <v>385</v>
      </c>
      <c r="AU2" s="504" t="s">
        <v>386</v>
      </c>
      <c r="AV2" s="503" t="s">
        <v>387</v>
      </c>
      <c r="AW2" s="503" t="s">
        <v>388</v>
      </c>
      <c r="AX2" s="503" t="s">
        <v>389</v>
      </c>
      <c r="AY2" s="503" t="s">
        <v>390</v>
      </c>
      <c r="AZ2" s="503" t="s">
        <v>290</v>
      </c>
      <c r="BA2" s="503" t="s">
        <v>391</v>
      </c>
      <c r="BB2" s="503" t="s">
        <v>382</v>
      </c>
      <c r="BC2" s="505" t="s">
        <v>392</v>
      </c>
      <c r="BD2" s="16"/>
      <c r="BE2" s="502" t="s">
        <v>393</v>
      </c>
      <c r="BF2" s="502" t="s">
        <v>289</v>
      </c>
      <c r="BG2" s="16"/>
      <c r="BH2" s="502" t="s">
        <v>393</v>
      </c>
      <c r="BI2" s="539" t="s">
        <v>394</v>
      </c>
      <c r="BJ2" s="502" t="s">
        <v>289</v>
      </c>
      <c r="BK2" s="502" t="s">
        <v>395</v>
      </c>
      <c r="BL2" s="16"/>
      <c r="BM2" s="511" t="s">
        <v>5</v>
      </c>
      <c r="BN2" s="511" t="s">
        <v>396</v>
      </c>
      <c r="BO2" s="16"/>
      <c r="BP2" s="512" t="s">
        <v>5</v>
      </c>
      <c r="BQ2" s="512" t="s">
        <v>397</v>
      </c>
      <c r="BR2" s="513" t="s">
        <v>398</v>
      </c>
      <c r="BS2" s="513" t="s">
        <v>32</v>
      </c>
      <c r="BU2" s="514" t="s">
        <v>5</v>
      </c>
      <c r="BV2" s="514" t="s">
        <v>399</v>
      </c>
    </row>
    <row r="3" spans="1:74" ht="14.25" customHeight="1" thickTop="1">
      <c r="A3" s="509" t="s">
        <v>91</v>
      </c>
      <c r="B3" s="148">
        <v>1</v>
      </c>
      <c r="C3" s="148">
        <f t="array" aca="1" ref="C3" ca="1">INDIRECT("'"&amp;A3&amp;"'!B$7")</f>
        <v>103</v>
      </c>
      <c r="D3" s="148" t="str">
        <f t="array" aca="1" ref="D3" ca="1">INDIRECT("'"&amp;A3&amp;"'!B$9")</f>
        <v>yes</v>
      </c>
      <c r="E3" s="45"/>
      <c r="F3" s="282" cm="1">
        <f t="array" aca="1" ref="F3" ca="1">INDIRECT("'"&amp;A3&amp;"'!M$15")</f>
        <v>0</v>
      </c>
      <c r="G3" s="282" cm="1">
        <f t="array" aca="1" ref="G3" ca="1">INDIRECT("'"&amp;A3&amp;"'!M$16")</f>
        <v>0</v>
      </c>
      <c r="H3" s="282" cm="1">
        <f t="array" aca="1" ref="H3" ca="1">INDIRECT("'"&amp;$A3&amp;"'!M$17")</f>
        <v>772</v>
      </c>
      <c r="I3" s="282">
        <f t="shared" ref="I3:I35" ca="1" si="0">BJ3-BK3</f>
        <v>0</v>
      </c>
      <c r="J3" s="282">
        <f ca="1">BS3</f>
        <v>0</v>
      </c>
      <c r="K3" s="282">
        <f ca="1">C3*Constants!C$31</f>
        <v>4635</v>
      </c>
      <c r="L3" s="282">
        <f t="shared" ref="L3:L35" ca="1" si="1">BU3</f>
        <v>892.50045733415584</v>
      </c>
      <c r="M3" s="282" cm="1">
        <f t="array" aca="1" ref="M3" ca="1">INDIRECT("'"&amp;$A3&amp;"'!M$21")+J3</f>
        <v>6299.5004573341557</v>
      </c>
      <c r="N3" s="45"/>
      <c r="O3" s="149" cm="1">
        <f t="array" aca="1" ref="O3" ca="1">INDIRECT("'"&amp;$A3&amp;"'!B$16")</f>
        <v>0</v>
      </c>
      <c r="P3" s="149" cm="1">
        <f t="array" aca="1" ref="P3" ca="1">INDIRECT("'"&amp;$A3&amp;"'!C$16")</f>
        <v>0</v>
      </c>
      <c r="Q3" s="149" cm="1">
        <f t="array" aca="1" ref="Q3" ca="1">INDIRECT("'"&amp;$A3&amp;"'!B$18")</f>
        <v>0</v>
      </c>
      <c r="R3" s="149" cm="1">
        <f t="array" aca="1" ref="R3" ca="1">INDIRECT("'"&amp;$A3&amp;"'!C$18")</f>
        <v>0</v>
      </c>
      <c r="S3" s="149" cm="1">
        <f t="array" aca="1" ref="S3" ca="1">INDIRECT("'"&amp;A3&amp;"'!B$17")</f>
        <v>529.19999999999993</v>
      </c>
      <c r="T3" s="149" cm="1">
        <f t="array" aca="1" ref="T3" ca="1">INDIRECT("'"&amp;A3&amp;"'!C$17")</f>
        <v>0</v>
      </c>
      <c r="U3" s="149" cm="1">
        <f t="array" aca="1" ref="U3" ca="1">INDIRECT("'"&amp;A3&amp;"'!B$20")+INDIRECT("'"&amp;A3&amp;"'!C$20")</f>
        <v>0</v>
      </c>
      <c r="V3" s="149" cm="1">
        <f t="array" aca="1" ref="V3" ca="1">INDIRECT("'"&amp;A3&amp;"'!B$19")+INDIRECT("'"&amp;A3&amp;"'!C$19")</f>
        <v>105</v>
      </c>
      <c r="W3" s="45"/>
      <c r="X3" s="284">
        <f ca="1">O3*Constants!$B$6</f>
        <v>0</v>
      </c>
      <c r="Y3" s="284">
        <f ca="1">P3*Constants!$B$6</f>
        <v>0</v>
      </c>
      <c r="Z3" s="284" cm="1">
        <f t="array" aca="1" ref="Z3" ca="1">INDIRECT("'"&amp;$A3&amp;"'!B$21")</f>
        <v>0</v>
      </c>
      <c r="AA3" s="284" cm="1">
        <f t="array" aca="1" ref="AA3" ca="1">INDIRECT("'"&amp;$A3&amp;"'!C$21")</f>
        <v>0</v>
      </c>
      <c r="AB3" s="284">
        <f ca="1">S3*Constants!$B$8</f>
        <v>2645.9999999999995</v>
      </c>
      <c r="AC3" s="284">
        <f ca="1">T3*Constants!$B$8</f>
        <v>0</v>
      </c>
      <c r="AD3" s="284" cm="1">
        <f t="array" aca="1" ref="AD3" ca="1">INDIRECT("'"&amp;A3&amp;"'!B$22")+INDIRECT("'"&amp;A3&amp;"'!C$22")</f>
        <v>0</v>
      </c>
      <c r="AE3" s="149">
        <f ca="1">ROUND(V3/Constants!$B$22,0)</f>
        <v>2</v>
      </c>
      <c r="AF3" s="45"/>
      <c r="AG3" s="149" cm="1">
        <f t="array" aca="1" ref="AG3" ca="1">INDIRECT("'"&amp;A3&amp;"'!E16")</f>
        <v>0</v>
      </c>
      <c r="AH3" s="149" cm="1">
        <f t="array" aca="1" ref="AH3" ca="1">INDIRECT("'"&amp;A3&amp;"'!D16")</f>
        <v>0</v>
      </c>
      <c r="AI3" s="149" cm="1">
        <f t="array" aca="1" ref="AI3" ca="1">INDIRECT("'"&amp;A3&amp;"'!E18")</f>
        <v>0</v>
      </c>
      <c r="AJ3" s="149" cm="1">
        <f t="array" aca="1" ref="AJ3" ca="1">INDIRECT("'"&amp;A3&amp;"'!D18")</f>
        <v>0</v>
      </c>
      <c r="AK3" s="149" cm="1">
        <f t="array" aca="1" ref="AK3" ca="1">INDIRECT("'"&amp;A3&amp;"'!E$17")</f>
        <v>0</v>
      </c>
      <c r="AL3" s="149" cm="1">
        <f t="array" aca="1" ref="AL3" ca="1">INDIRECT("'"&amp;A3&amp;"'!D$17")</f>
        <v>0</v>
      </c>
      <c r="AM3" s="149" cm="1">
        <f t="array" aca="1" ref="AM3" ca="1">INDIRECT("'"&amp;A3&amp;"'!E$20")</f>
        <v>0</v>
      </c>
      <c r="AN3" s="149" cm="1">
        <f t="array" aca="1" ref="AN3" ca="1">INDIRECT("'"&amp;A3&amp;"'!D$20")</f>
        <v>0</v>
      </c>
      <c r="AO3" s="149">
        <f ca="1">SUM(INDIRECT("'"&amp;$A3&amp;"'!F$16"):INDIRECT("'"&amp;$A3&amp;"'!F$20"))</f>
        <v>0</v>
      </c>
      <c r="AP3" s="149" cm="1">
        <f t="array" aca="1" ref="AP3" ca="1">INDIRECT("'"&amp;A3&amp;"'!D$19")+INDIRECT("'"&amp;A3&amp;"'!E$19")</f>
        <v>525</v>
      </c>
      <c r="AQ3" s="45"/>
      <c r="AR3" s="284">
        <f ca="1">AG3*Constants!$B$6</f>
        <v>0</v>
      </c>
      <c r="AS3" s="284">
        <f ca="1">AH3*Constants!$B$6</f>
        <v>0</v>
      </c>
      <c r="AT3" s="284" cm="1">
        <f t="array" aca="1" ref="AT3" ca="1">INDIRECT("'"&amp;$A3&amp;"'!E$21")</f>
        <v>0</v>
      </c>
      <c r="AU3" s="284" cm="1">
        <f t="array" aca="1" ref="AU3" ca="1">INDIRECT("'"&amp;$A3&amp;"'!D$21")</f>
        <v>0</v>
      </c>
      <c r="AV3" s="284">
        <f ca="1">AK3*Constants!$B$8</f>
        <v>0</v>
      </c>
      <c r="AW3" s="284">
        <f ca="1">AL3*Constants!$B$8</f>
        <v>0</v>
      </c>
      <c r="AX3" s="284" cm="1">
        <f t="array" aca="1" ref="AX3" ca="1">INDIRECT("'"&amp;A3&amp;"'!E$22")</f>
        <v>0</v>
      </c>
      <c r="AY3" s="284" cm="1">
        <f t="array" aca="1" ref="AY3" ca="1">INDIRECT("'"&amp;A3&amp;"'!D$22")</f>
        <v>0</v>
      </c>
      <c r="AZ3" s="284" cm="1">
        <f t="array" aca="1" ref="AZ3" ca="1">INDIRECT("'"&amp;$A3&amp;"'!F$23")</f>
        <v>0</v>
      </c>
      <c r="BA3" s="284" cm="1">
        <f t="array" aca="1" ref="BA3" ca="1">INDIRECT("'"&amp;$A3&amp;"'!E$24")</f>
        <v>0</v>
      </c>
      <c r="BB3" s="149">
        <f ca="1">ROUND(AP3/Constants!$B$22,0)</f>
        <v>9</v>
      </c>
      <c r="BC3" s="150">
        <f>'Student Trainers'!G2</f>
        <v>525</v>
      </c>
      <c r="BD3" s="46"/>
      <c r="BE3" s="151" cm="1">
        <f t="array" aca="1" ref="BE3" ca="1">INDIRECT("'"&amp;$A3&amp;"'!H$16")</f>
        <v>273</v>
      </c>
      <c r="BF3" s="151" cm="1">
        <f t="array" aca="1" ref="BF3" ca="1">INDIRECT("'"&amp;$A3&amp;"'!I$16")</f>
        <v>1</v>
      </c>
      <c r="BG3" s="46"/>
      <c r="BH3" s="285" cm="1">
        <f t="array" aca="1" ref="BH3" ca="1">INDIRECT("'"&amp;$A3&amp;"'!H$17")</f>
        <v>15540</v>
      </c>
      <c r="BI3" s="285">
        <f ca="1">BH3*'Total Budget'!D$54/$BH$38</f>
        <v>16769.009152968545</v>
      </c>
      <c r="BJ3" s="285" cm="1">
        <f t="array" aca="1" ref="BJ3" ca="1">INDIRECT("'"&amp;$A3&amp;"'!I$17")</f>
        <v>200</v>
      </c>
      <c r="BK3" s="285" cm="1">
        <f t="array" aca="1" ref="BK3" ca="1">INDIRECT("'"&amp;$A3&amp;"'!I$19")</f>
        <v>200</v>
      </c>
      <c r="BL3" s="286"/>
      <c r="BM3" s="287" cm="1">
        <f t="array" aca="1" ref="BM3" ca="1">INDIRECT("'"&amp;$A3&amp;"'!J$16")</f>
        <v>772</v>
      </c>
      <c r="BN3" s="288" cm="1">
        <f t="array" aca="1" ref="BN3" ca="1">INDIRECT("'"&amp;$A3&amp;"'!K$16")</f>
        <v>0</v>
      </c>
      <c r="BO3" s="16"/>
      <c r="BP3" s="289">
        <f t="shared" ref="BP3:BP35" ca="1" si="2">BM3+BK3+BI3+SUM(AR3:BA3)+BC3+SUM(X3:AD3)-F3-G3-H3</f>
        <v>20140.009152968545</v>
      </c>
      <c r="BQ3" s="499">
        <f t="shared" ref="BQ3:BQ35" ca="1" si="3">BP3/C3</f>
        <v>195.53406944629654</v>
      </c>
      <c r="BR3" s="500">
        <f t="shared" ref="BR3:BR35" ca="1" si="4">BQ3/$BQ$38</f>
        <v>0.60778432053967069</v>
      </c>
      <c r="BS3" s="498">
        <f ca="1">MAX(0, BP3-Constants!B$18*C3*$BQ$38)</f>
        <v>0</v>
      </c>
      <c r="BU3" s="497">
        <f t="shared" ref="BU3:BU35" ca="1" si="5">BP3*BT$48</f>
        <v>892.50045733415584</v>
      </c>
      <c r="BV3" s="501">
        <f t="shared" ref="BV3:BV35" ca="1" si="6">BU3/C3</f>
        <v>8.6650529838267563</v>
      </c>
    </row>
    <row r="4" spans="1:74" ht="14.25" customHeight="1">
      <c r="A4" s="44" t="s">
        <v>130</v>
      </c>
      <c r="B4" s="148">
        <v>3</v>
      </c>
      <c r="C4" s="148">
        <f t="array" aca="1" ref="C4" ca="1">INDIRECT("'"&amp;A4&amp;"'!B$7")</f>
        <v>113</v>
      </c>
      <c r="D4" s="148" t="str">
        <f t="array" aca="1" ref="D4" ca="1">INDIRECT("'"&amp;A4&amp;"'!B$9")</f>
        <v>yes</v>
      </c>
      <c r="E4" s="45"/>
      <c r="F4" s="281" cm="1">
        <f t="array" aca="1" ref="F4" ca="1">INDIRECT("'"&amp;A4&amp;"'!M$15")</f>
        <v>5000</v>
      </c>
      <c r="G4" s="281" cm="1">
        <f t="array" aca="1" ref="G4" ca="1">INDIRECT("'"&amp;A4&amp;"'!M$16")</f>
        <v>0</v>
      </c>
      <c r="H4" s="281" cm="1">
        <f t="array" aca="1" ref="H4" ca="1">INDIRECT("'"&amp;$A4&amp;"'!M$17")</f>
        <v>883.5</v>
      </c>
      <c r="I4" s="282">
        <f t="shared" ca="1" si="0"/>
        <v>0</v>
      </c>
      <c r="J4" s="282">
        <f t="shared" ref="J4:J35" ca="1" si="7">BS4</f>
        <v>0</v>
      </c>
      <c r="K4" s="282">
        <f ca="1">C4*Constants!C$31</f>
        <v>5085</v>
      </c>
      <c r="L4" s="282">
        <f t="shared" ca="1" si="1"/>
        <v>2790.9636813249458</v>
      </c>
      <c r="M4" s="281" cm="1">
        <f t="array" aca="1" ref="M4" ca="1">INDIRECT("'"&amp;$A4&amp;"'!M$21")+J4</f>
        <v>13759.463681324945</v>
      </c>
      <c r="N4" s="45"/>
      <c r="O4" s="149" cm="1">
        <f t="array" aca="1" ref="O4" ca="1">INDIRECT("'"&amp;$A4&amp;"'!B$16")</f>
        <v>0</v>
      </c>
      <c r="P4" s="149" cm="1">
        <f t="array" aca="1" ref="P4" ca="1">INDIRECT("'"&amp;$A4&amp;"'!C$16")</f>
        <v>0</v>
      </c>
      <c r="Q4" s="149" cm="1">
        <f t="array" aca="1" ref="Q4" ca="1">INDIRECT("'"&amp;$A4&amp;"'!B$18")</f>
        <v>0</v>
      </c>
      <c r="R4" s="149" cm="1">
        <f t="array" aca="1" ref="R4" ca="1">INDIRECT("'"&amp;$A4&amp;"'!C$18")</f>
        <v>0</v>
      </c>
      <c r="S4" s="149" cm="1">
        <f t="array" aca="1" ref="S4" ca="1">INDIRECT("'"&amp;A4&amp;"'!B$17")</f>
        <v>0</v>
      </c>
      <c r="T4" s="149" cm="1">
        <f t="array" aca="1" ref="T4" ca="1">INDIRECT("'"&amp;A4&amp;"'!C$17")</f>
        <v>0</v>
      </c>
      <c r="U4" s="149" cm="1">
        <f t="array" aca="1" ref="U4" ca="1">INDIRECT("'"&amp;A4&amp;"'!B$20")+INDIRECT("'"&amp;A4&amp;"'!C$20")</f>
        <v>0</v>
      </c>
      <c r="V4" s="149" cm="1">
        <f t="array" aca="1" ref="V4" ca="1">INDIRECT("'"&amp;A4&amp;"'!B$19")+INDIRECT("'"&amp;A4&amp;"'!C$19")</f>
        <v>0</v>
      </c>
      <c r="W4" s="45"/>
      <c r="X4" s="284">
        <f ca="1">O4*Constants!$B$6</f>
        <v>0</v>
      </c>
      <c r="Y4" s="284">
        <f ca="1">P4*Constants!$B$6</f>
        <v>0</v>
      </c>
      <c r="Z4" s="284" cm="1">
        <f t="array" aca="1" ref="Z4" ca="1">INDIRECT("'"&amp;$A4&amp;"'!B$21")</f>
        <v>0</v>
      </c>
      <c r="AA4" s="284" cm="1">
        <f t="array" aca="1" ref="AA4" ca="1">INDIRECT("'"&amp;$A4&amp;"'!C$21")</f>
        <v>0</v>
      </c>
      <c r="AB4" s="284">
        <f ca="1">S4*Constants!$B$8</f>
        <v>0</v>
      </c>
      <c r="AC4" s="284">
        <f ca="1">T4*Constants!$B$8</f>
        <v>0</v>
      </c>
      <c r="AD4" s="284" cm="1">
        <f t="array" aca="1" ref="AD4" ca="1">INDIRECT("'"&amp;A4&amp;"'!B$22")+INDIRECT("'"&amp;A4&amp;"'!C$22")</f>
        <v>0</v>
      </c>
      <c r="AE4" s="149">
        <f ca="1">ROUND(V4/Constants!$B$22,0)</f>
        <v>0</v>
      </c>
      <c r="AF4" s="45"/>
      <c r="AG4" s="149" cm="1">
        <f t="array" aca="1" ref="AG4" ca="1">INDIRECT("'"&amp;A4&amp;"'!E16")</f>
        <v>0</v>
      </c>
      <c r="AH4" s="149" cm="1">
        <f t="array" aca="1" ref="AH4" ca="1">INDIRECT("'"&amp;A4&amp;"'!D16")</f>
        <v>738</v>
      </c>
      <c r="AI4" s="149" cm="1">
        <f t="array" aca="1" ref="AI4" ca="1">INDIRECT("'"&amp;A4&amp;"'!E18")</f>
        <v>0</v>
      </c>
      <c r="AJ4" s="149" cm="1">
        <f t="array" aca="1" ref="AJ4" ca="1">INDIRECT("'"&amp;A4&amp;"'!D18")</f>
        <v>0</v>
      </c>
      <c r="AK4" s="149" cm="1">
        <f t="array" aca="1" ref="AK4" ca="1">INDIRECT("'"&amp;A4&amp;"'!E$17")</f>
        <v>0</v>
      </c>
      <c r="AL4" s="149" cm="1">
        <f t="array" aca="1" ref="AL4" ca="1">INDIRECT("'"&amp;A4&amp;"'!D$17")</f>
        <v>0</v>
      </c>
      <c r="AM4" s="149" cm="1">
        <f t="array" aca="1" ref="AM4" ca="1">INDIRECT("'"&amp;A4&amp;"'!E$20")</f>
        <v>0</v>
      </c>
      <c r="AN4" s="149" cm="1">
        <f t="array" aca="1" ref="AN4" ca="1">INDIRECT("'"&amp;A4&amp;"'!D$20")</f>
        <v>0</v>
      </c>
      <c r="AO4" s="149">
        <f ca="1">SUM(INDIRECT("'"&amp;$A4&amp;"'!F$16"):INDIRECT("'"&amp;$A4&amp;"'!F$20"))</f>
        <v>0</v>
      </c>
      <c r="AP4" s="149" cm="1">
        <f t="array" aca="1" ref="AP4" ca="1">INDIRECT("'"&amp;A4&amp;"'!D$19")+INDIRECT("'"&amp;A4&amp;"'!E$19")</f>
        <v>0</v>
      </c>
      <c r="AQ4" s="45"/>
      <c r="AR4" s="284">
        <f ca="1">AG4*Constants!$B$6</f>
        <v>0</v>
      </c>
      <c r="AS4" s="284">
        <f ca="1">AH4*Constants!$B$6</f>
        <v>36900</v>
      </c>
      <c r="AT4" s="284" cm="1">
        <f t="array" aca="1" ref="AT4" ca="1">INDIRECT("'"&amp;$A4&amp;"'!E$21")</f>
        <v>0</v>
      </c>
      <c r="AU4" s="284" cm="1">
        <f t="array" aca="1" ref="AU4" ca="1">INDIRECT("'"&amp;$A4&amp;"'!D$21")</f>
        <v>0</v>
      </c>
      <c r="AV4" s="284">
        <f ca="1">AK4*Constants!$B$8</f>
        <v>0</v>
      </c>
      <c r="AW4" s="284">
        <f ca="1">AL4*Constants!$B$8</f>
        <v>0</v>
      </c>
      <c r="AX4" s="284" cm="1">
        <f t="array" aca="1" ref="AX4" ca="1">INDIRECT("'"&amp;A4&amp;"'!E$22")</f>
        <v>0</v>
      </c>
      <c r="AY4" s="284" cm="1">
        <f t="array" aca="1" ref="AY4" ca="1">INDIRECT("'"&amp;A4&amp;"'!D$22")</f>
        <v>0</v>
      </c>
      <c r="AZ4" s="284" cm="1">
        <f t="array" aca="1" ref="AZ4" ca="1">INDIRECT("'"&amp;$A4&amp;"'!F$23")</f>
        <v>0</v>
      </c>
      <c r="BA4" s="284" cm="1">
        <f t="array" aca="1" ref="BA4" ca="1">INDIRECT("'"&amp;$A4&amp;"'!E$24")</f>
        <v>0</v>
      </c>
      <c r="BB4" s="149">
        <f ca="1">ROUND(AP4/Constants!$B$22,0)</f>
        <v>0</v>
      </c>
      <c r="BC4" s="150">
        <f>'Student Trainers'!G3</f>
        <v>0</v>
      </c>
      <c r="BD4" s="46"/>
      <c r="BE4" s="151" cm="1">
        <f t="array" aca="1" ref="BE4" ca="1">INDIRECT("'"&amp;$A4&amp;"'!H$16")</f>
        <v>738</v>
      </c>
      <c r="BF4" s="151" cm="1">
        <f t="array" aca="1" ref="BF4" ca="1">INDIRECT("'"&amp;$A4&amp;"'!I$16")</f>
        <v>0</v>
      </c>
      <c r="BG4" s="46"/>
      <c r="BH4" s="285" cm="1">
        <f t="array" aca="1" ref="BH4" ca="1">INDIRECT("'"&amp;$A4&amp;"'!H$17")</f>
        <v>28802.5</v>
      </c>
      <c r="BI4" s="285">
        <f ca="1">BH4*'Total Budget'!D$54/$BH$38</f>
        <v>31080.39807775911</v>
      </c>
      <c r="BJ4" s="285" cm="1">
        <f t="array" aca="1" ref="BJ4" ca="1">INDIRECT("'"&amp;$A4&amp;"'!I$17")</f>
        <v>0</v>
      </c>
      <c r="BK4" s="285" cm="1">
        <f t="array" aca="1" ref="BK4" ca="1">INDIRECT("'"&amp;$A4&amp;"'!I$19")</f>
        <v>0</v>
      </c>
      <c r="BL4" s="286"/>
      <c r="BM4" s="287" cm="1">
        <f t="array" aca="1" ref="BM4" ca="1">INDIRECT("'"&amp;$A4&amp;"'!J$16")</f>
        <v>883.5</v>
      </c>
      <c r="BN4" s="288" cm="1">
        <f t="array" aca="1" ref="BN4" ca="1">INDIRECT("'"&amp;$A4&amp;"'!K$16")</f>
        <v>0</v>
      </c>
      <c r="BO4" s="16"/>
      <c r="BP4" s="289">
        <f t="shared" ca="1" si="2"/>
        <v>62980.398077759106</v>
      </c>
      <c r="BQ4" s="499">
        <f t="shared" ca="1" si="3"/>
        <v>557.34865555539034</v>
      </c>
      <c r="BR4" s="500">
        <f ca="1">BQ4/$BQ$38</f>
        <v>1.7324232798902035</v>
      </c>
      <c r="BS4" s="498">
        <f ca="1">MAX(0, BP4-Constants!B$18*C4*$BQ$38)</f>
        <v>0</v>
      </c>
      <c r="BU4" s="497">
        <f t="shared" ca="1" si="5"/>
        <v>2790.9636813249458</v>
      </c>
      <c r="BV4" s="496">
        <f t="shared" ca="1" si="6"/>
        <v>24.698793640043768</v>
      </c>
    </row>
    <row r="5" spans="1:74" ht="14.25" customHeight="1">
      <c r="A5" s="44" t="s">
        <v>168</v>
      </c>
      <c r="B5" s="148">
        <v>2</v>
      </c>
      <c r="C5" s="148">
        <f t="array" aca="1" ref="C5" ca="1">INDIRECT("'"&amp;A5&amp;"'!B$7")</f>
        <v>110</v>
      </c>
      <c r="D5" s="148" t="str">
        <f t="array" aca="1" ref="D5" ca="1">INDIRECT("'"&amp;A5&amp;"'!B$9")</f>
        <v>yes</v>
      </c>
      <c r="E5" s="45"/>
      <c r="F5" s="281" cm="1">
        <f t="array" aca="1" ref="F5" ca="1">INDIRECT("'"&amp;A5&amp;"'!M$15")</f>
        <v>1500</v>
      </c>
      <c r="G5" s="281" cm="1">
        <f t="array" aca="1" ref="G5" ca="1">INDIRECT("'"&amp;A5&amp;"'!M$16")</f>
        <v>0</v>
      </c>
      <c r="H5" s="281" cm="1">
        <f t="array" aca="1" ref="H5" ca="1">INDIRECT("'"&amp;$A5&amp;"'!M$17")</f>
        <v>203</v>
      </c>
      <c r="I5" s="282">
        <f t="shared" ca="1" si="0"/>
        <v>0</v>
      </c>
      <c r="J5" s="282">
        <f t="shared" ca="1" si="7"/>
        <v>0</v>
      </c>
      <c r="K5" s="282">
        <f ca="1">C5*Constants!C$31</f>
        <v>4950</v>
      </c>
      <c r="L5" s="282">
        <f t="shared" ca="1" si="1"/>
        <v>2676.9483344119922</v>
      </c>
      <c r="M5" s="281" cm="1">
        <f t="array" aca="1" ref="M5" ca="1">INDIRECT("'"&amp;$A5&amp;"'!M$21")+J5</f>
        <v>9329.9483344119926</v>
      </c>
      <c r="N5" s="45"/>
      <c r="O5" s="149" cm="1">
        <f t="array" aca="1" ref="O5" ca="1">INDIRECT("'"&amp;$A5&amp;"'!B$16")</f>
        <v>151.19999999999999</v>
      </c>
      <c r="P5" s="149" cm="1">
        <f t="array" aca="1" ref="P5" ca="1">INDIRECT("'"&amp;$A5&amp;"'!C$16")</f>
        <v>100</v>
      </c>
      <c r="Q5" s="149" cm="1">
        <f t="array" aca="1" ref="Q5" ca="1">INDIRECT("'"&amp;$A5&amp;"'!B$18")</f>
        <v>0</v>
      </c>
      <c r="R5" s="149" cm="1">
        <f t="array" aca="1" ref="R5" ca="1">INDIRECT("'"&amp;$A5&amp;"'!C$18")</f>
        <v>0</v>
      </c>
      <c r="S5" s="149" cm="1">
        <f t="array" aca="1" ref="S5" ca="1">INDIRECT("'"&amp;A5&amp;"'!B$17")</f>
        <v>176.39999999999998</v>
      </c>
      <c r="T5" s="149" cm="1">
        <f t="array" aca="1" ref="T5" ca="1">INDIRECT("'"&amp;A5&amp;"'!C$17")</f>
        <v>100</v>
      </c>
      <c r="U5" s="149" cm="1">
        <f t="array" aca="1" ref="U5" ca="1">INDIRECT("'"&amp;A5&amp;"'!B$20")+INDIRECT("'"&amp;A5&amp;"'!C$20")</f>
        <v>0</v>
      </c>
      <c r="V5" s="149" cm="1">
        <f t="array" aca="1" ref="V5" ca="1">INDIRECT("'"&amp;A5&amp;"'!B$19")+INDIRECT("'"&amp;A5&amp;"'!C$19")</f>
        <v>0</v>
      </c>
      <c r="W5" s="45"/>
      <c r="X5" s="284">
        <f ca="1">O5*Constants!$B$6</f>
        <v>7559.9999999999991</v>
      </c>
      <c r="Y5" s="284">
        <f ca="1">P5*Constants!$B$6</f>
        <v>5000</v>
      </c>
      <c r="Z5" s="284" cm="1">
        <f t="array" aca="1" ref="Z5" ca="1">INDIRECT("'"&amp;$A5&amp;"'!B$21")</f>
        <v>0</v>
      </c>
      <c r="AA5" s="284" cm="1">
        <f t="array" aca="1" ref="AA5" ca="1">INDIRECT("'"&amp;$A5&amp;"'!C$21")</f>
        <v>0</v>
      </c>
      <c r="AB5" s="284">
        <f ca="1">S5*Constants!$B$8</f>
        <v>881.99999999999989</v>
      </c>
      <c r="AC5" s="284">
        <f ca="1">T5*Constants!$B$8</f>
        <v>500</v>
      </c>
      <c r="AD5" s="284" cm="1">
        <f t="array" aca="1" ref="AD5" ca="1">INDIRECT("'"&amp;A5&amp;"'!B$22")+INDIRECT("'"&amp;A5&amp;"'!C$22")</f>
        <v>0</v>
      </c>
      <c r="AE5" s="149">
        <f ca="1">ROUND(V5/Constants!$B$22,0)</f>
        <v>0</v>
      </c>
      <c r="AF5" s="45"/>
      <c r="AG5" s="149" cm="1">
        <f t="array" aca="1" ref="AG5" ca="1">INDIRECT("'"&amp;A5&amp;"'!E16")</f>
        <v>0</v>
      </c>
      <c r="AH5" s="149" cm="1">
        <f t="array" aca="1" ref="AH5" ca="1">INDIRECT("'"&amp;A5&amp;"'!D16")</f>
        <v>0</v>
      </c>
      <c r="AI5" s="149" cm="1">
        <f t="array" aca="1" ref="AI5" ca="1">INDIRECT("'"&amp;A5&amp;"'!E18")</f>
        <v>0</v>
      </c>
      <c r="AJ5" s="149" cm="1">
        <f t="array" aca="1" ref="AJ5" ca="1">INDIRECT("'"&amp;A5&amp;"'!D18")</f>
        <v>0</v>
      </c>
      <c r="AK5" s="149" cm="1">
        <f t="array" aca="1" ref="AK5" ca="1">INDIRECT("'"&amp;A5&amp;"'!E$17")</f>
        <v>0</v>
      </c>
      <c r="AL5" s="149" cm="1">
        <f t="array" aca="1" ref="AL5" ca="1">INDIRECT("'"&amp;A5&amp;"'!D$17")</f>
        <v>0</v>
      </c>
      <c r="AM5" s="149" cm="1">
        <f t="array" aca="1" ref="AM5" ca="1">INDIRECT("'"&amp;A5&amp;"'!E$20")</f>
        <v>0</v>
      </c>
      <c r="AN5" s="149" cm="1">
        <f t="array" aca="1" ref="AN5" ca="1">INDIRECT("'"&amp;A5&amp;"'!D$20")</f>
        <v>0</v>
      </c>
      <c r="AO5" s="149">
        <f ca="1">SUM(INDIRECT("'"&amp;$A5&amp;"'!F$16"):INDIRECT("'"&amp;$A5&amp;"'!F$20"))</f>
        <v>50.4</v>
      </c>
      <c r="AP5" s="149" cm="1">
        <f t="array" aca="1" ref="AP5" ca="1">INDIRECT("'"&amp;A5&amp;"'!D$19")+INDIRECT("'"&amp;A5&amp;"'!E$19")</f>
        <v>630</v>
      </c>
      <c r="AQ5" s="45"/>
      <c r="AR5" s="284">
        <f ca="1">AG5*Constants!$B$6</f>
        <v>0</v>
      </c>
      <c r="AS5" s="284">
        <f ca="1">AH5*Constants!$B$6</f>
        <v>0</v>
      </c>
      <c r="AT5" s="284" cm="1">
        <f t="array" aca="1" ref="AT5" ca="1">INDIRECT("'"&amp;$A5&amp;"'!E$21")</f>
        <v>0</v>
      </c>
      <c r="AU5" s="284" cm="1">
        <f t="array" aca="1" ref="AU5" ca="1">INDIRECT("'"&amp;$A5&amp;"'!D$21")</f>
        <v>0</v>
      </c>
      <c r="AV5" s="284">
        <f ca="1">AK5*Constants!$B$8</f>
        <v>0</v>
      </c>
      <c r="AW5" s="284">
        <f ca="1">AL5*Constants!$B$8</f>
        <v>0</v>
      </c>
      <c r="AX5" s="284" cm="1">
        <f t="array" aca="1" ref="AX5" ca="1">INDIRECT("'"&amp;A5&amp;"'!E$22")</f>
        <v>0</v>
      </c>
      <c r="AY5" s="284" cm="1">
        <f t="array" aca="1" ref="AY5" ca="1">INDIRECT("'"&amp;A5&amp;"'!D$22")</f>
        <v>0</v>
      </c>
      <c r="AZ5" s="284" cm="1">
        <f t="array" aca="1" ref="AZ5" ca="1">INDIRECT("'"&amp;$A5&amp;"'!F$23")</f>
        <v>2100</v>
      </c>
      <c r="BA5" s="284" cm="1">
        <f t="array" aca="1" ref="BA5" ca="1">INDIRECT("'"&amp;$A5&amp;"'!E$24")</f>
        <v>0</v>
      </c>
      <c r="BB5" s="149">
        <f ca="1">ROUND(AP5/Constants!$B$22,0)</f>
        <v>11</v>
      </c>
      <c r="BC5" s="150">
        <f>'Student Trainers'!G4</f>
        <v>900</v>
      </c>
      <c r="BD5" s="46"/>
      <c r="BE5" s="151" cm="1">
        <f t="array" aca="1" ref="BE5" ca="1">INDIRECT("'"&amp;$A5&amp;"'!H$16")</f>
        <v>1014</v>
      </c>
      <c r="BF5" s="151" cm="1">
        <f t="array" aca="1" ref="BF5" ca="1">INDIRECT("'"&amp;$A5&amp;"'!I$16")</f>
        <v>126</v>
      </c>
      <c r="BG5" s="46"/>
      <c r="BH5" s="285" cm="1">
        <f t="array" aca="1" ref="BH5" ca="1">INDIRECT("'"&amp;$A5&amp;"'!H$17")</f>
        <v>41670</v>
      </c>
      <c r="BI5" s="285">
        <f ca="1">BH5*'Total Budget'!D$54/$BH$38</f>
        <v>44965.547709407932</v>
      </c>
      <c r="BJ5" s="285" cm="1">
        <f t="array" aca="1" ref="BJ5" ca="1">INDIRECT("'"&amp;$A5&amp;"'!I$17")</f>
        <v>0</v>
      </c>
      <c r="BK5" s="285" cm="1">
        <f t="array" aca="1" ref="BK5" ca="1">INDIRECT("'"&amp;$A5&amp;"'!I$19")</f>
        <v>0</v>
      </c>
      <c r="BL5" s="286"/>
      <c r="BM5" s="287" cm="1">
        <f t="array" aca="1" ref="BM5" ca="1">INDIRECT("'"&amp;$A5&amp;"'!J$16")</f>
        <v>203</v>
      </c>
      <c r="BN5" s="288" cm="1">
        <f t="array" aca="1" ref="BN5" ca="1">INDIRECT("'"&amp;$A5&amp;"'!K$16")</f>
        <v>0</v>
      </c>
      <c r="BO5" s="16"/>
      <c r="BP5" s="289">
        <f t="shared" ca="1" si="2"/>
        <v>60407.547709407932</v>
      </c>
      <c r="BQ5" s="499">
        <f t="shared" ca="1" si="3"/>
        <v>549.1595246309812</v>
      </c>
      <c r="BR5" s="500">
        <f t="shared" ca="1" si="4"/>
        <v>1.7069687624815664</v>
      </c>
      <c r="BS5" s="498">
        <f ca="1">MAX(0, BP5-Constants!B$18*C5*$BQ$38)</f>
        <v>0</v>
      </c>
      <c r="BU5" s="497">
        <f t="shared" ca="1" si="5"/>
        <v>2676.9483344119922</v>
      </c>
      <c r="BV5" s="496">
        <f t="shared" ca="1" si="6"/>
        <v>24.335893949199928</v>
      </c>
    </row>
    <row r="6" spans="1:74" ht="14.25" customHeight="1">
      <c r="A6" s="44" t="s">
        <v>135</v>
      </c>
      <c r="B6" s="148">
        <v>3</v>
      </c>
      <c r="C6" s="148">
        <f t="array" aca="1" ref="C6" ca="1">INDIRECT("'"&amp;A6&amp;"'!B$7")</f>
        <v>75</v>
      </c>
      <c r="D6" s="148" t="str">
        <f t="array" aca="1" ref="D6" ca="1">INDIRECT("'"&amp;A6&amp;"'!B$9")</f>
        <v>yes</v>
      </c>
      <c r="E6" s="45"/>
      <c r="F6" s="281" cm="1">
        <f t="array" aca="1" ref="F6" ca="1">INDIRECT("'"&amp;A6&amp;"'!M$15")</f>
        <v>2000</v>
      </c>
      <c r="G6" s="281" cm="1">
        <f t="array" aca="1" ref="G6" ca="1">INDIRECT("'"&amp;A6&amp;"'!M$16")</f>
        <v>0</v>
      </c>
      <c r="H6" s="281" cm="1">
        <f t="array" aca="1" ref="H6" ca="1">INDIRECT("'"&amp;$A6&amp;"'!M$17")</f>
        <v>84.344333333333338</v>
      </c>
      <c r="I6" s="282">
        <f t="shared" ca="1" si="0"/>
        <v>0</v>
      </c>
      <c r="J6" s="282">
        <f t="shared" ca="1" si="7"/>
        <v>0</v>
      </c>
      <c r="K6" s="282">
        <f ca="1">C6*Constants!C$31</f>
        <v>3375</v>
      </c>
      <c r="L6" s="282">
        <f t="shared" ca="1" si="1"/>
        <v>1073.4729766616178</v>
      </c>
      <c r="M6" s="281" cm="1">
        <f t="array" aca="1" ref="M6" ca="1">INDIRECT("'"&amp;$A6&amp;"'!M$21")+J6</f>
        <v>2084.3443333333335</v>
      </c>
      <c r="N6" s="45"/>
      <c r="O6" s="149" cm="1">
        <f t="array" aca="1" ref="O6" ca="1">INDIRECT("'"&amp;$A6&amp;"'!B$16")</f>
        <v>0</v>
      </c>
      <c r="P6" s="149" cm="1">
        <f t="array" aca="1" ref="P6" ca="1">INDIRECT("'"&amp;$A6&amp;"'!C$16")</f>
        <v>0</v>
      </c>
      <c r="Q6" s="149" cm="1">
        <f t="array" aca="1" ref="Q6" ca="1">INDIRECT("'"&amp;$A6&amp;"'!B$18")</f>
        <v>0</v>
      </c>
      <c r="R6" s="149" cm="1">
        <f t="array" aca="1" ref="R6" ca="1">INDIRECT("'"&amp;$A6&amp;"'!C$18")</f>
        <v>0</v>
      </c>
      <c r="S6" s="149" cm="1">
        <f t="array" aca="1" ref="S6" ca="1">INDIRECT("'"&amp;A6&amp;"'!B$17")</f>
        <v>0</v>
      </c>
      <c r="T6" s="149" cm="1">
        <f t="array" aca="1" ref="T6" ca="1">INDIRECT("'"&amp;A6&amp;"'!C$17")</f>
        <v>0</v>
      </c>
      <c r="U6" s="149" cm="1">
        <f t="array" aca="1" ref="U6" ca="1">INDIRECT("'"&amp;A6&amp;"'!B$20")+INDIRECT("'"&amp;A6&amp;"'!C$20")</f>
        <v>0</v>
      </c>
      <c r="V6" s="149" cm="1">
        <f t="array" aca="1" ref="V6" ca="1">INDIRECT("'"&amp;A6&amp;"'!B$19")+INDIRECT("'"&amp;A6&amp;"'!C$19")</f>
        <v>0</v>
      </c>
      <c r="W6" s="45"/>
      <c r="X6" s="284">
        <f ca="1">O6*Constants!$B$6</f>
        <v>0</v>
      </c>
      <c r="Y6" s="284">
        <f ca="1">P6*Constants!$B$6</f>
        <v>0</v>
      </c>
      <c r="Z6" s="284" cm="1">
        <f t="array" aca="1" ref="Z6" ca="1">INDIRECT("'"&amp;$A6&amp;"'!B$21")</f>
        <v>0</v>
      </c>
      <c r="AA6" s="284" cm="1">
        <f t="array" aca="1" ref="AA6" ca="1">INDIRECT("'"&amp;$A6&amp;"'!C$21")</f>
        <v>0</v>
      </c>
      <c r="AB6" s="284">
        <f ca="1">S6*Constants!$B$8</f>
        <v>0</v>
      </c>
      <c r="AC6" s="284">
        <f ca="1">T6*Constants!$B$8</f>
        <v>0</v>
      </c>
      <c r="AD6" s="284" cm="1">
        <f t="array" aca="1" ref="AD6" ca="1">INDIRECT("'"&amp;A6&amp;"'!B$22")+INDIRECT("'"&amp;A6&amp;"'!C$22")</f>
        <v>0</v>
      </c>
      <c r="AE6" s="149">
        <f ca="1">ROUND(V6/Constants!$B$22,0)</f>
        <v>0</v>
      </c>
      <c r="AF6" s="45"/>
      <c r="AG6" s="149" cm="1">
        <f t="array" aca="1" ref="AG6" ca="1">INDIRECT("'"&amp;A6&amp;"'!E16")</f>
        <v>0</v>
      </c>
      <c r="AH6" s="149" cm="1">
        <f t="array" aca="1" ref="AH6" ca="1">INDIRECT("'"&amp;A6&amp;"'!D16")</f>
        <v>302.39999999999998</v>
      </c>
      <c r="AI6" s="149" cm="1">
        <f t="array" aca="1" ref="AI6" ca="1">INDIRECT("'"&amp;A6&amp;"'!E18")</f>
        <v>0</v>
      </c>
      <c r="AJ6" s="149" cm="1">
        <f t="array" aca="1" ref="AJ6" ca="1">INDIRECT("'"&amp;A6&amp;"'!D18")</f>
        <v>0</v>
      </c>
      <c r="AK6" s="149" cm="1">
        <f t="array" aca="1" ref="AK6" ca="1">INDIRECT("'"&amp;A6&amp;"'!E$17")</f>
        <v>0</v>
      </c>
      <c r="AL6" s="149" cm="1">
        <f t="array" aca="1" ref="AL6" ca="1">INDIRECT("'"&amp;A6&amp;"'!D$17")</f>
        <v>0</v>
      </c>
      <c r="AM6" s="149" cm="1">
        <f t="array" aca="1" ref="AM6" ca="1">INDIRECT("'"&amp;A6&amp;"'!E$20")</f>
        <v>0</v>
      </c>
      <c r="AN6" s="149" cm="1">
        <f t="array" aca="1" ref="AN6" ca="1">INDIRECT("'"&amp;A6&amp;"'!D$20")</f>
        <v>0</v>
      </c>
      <c r="AO6" s="149">
        <f ca="1">SUM(INDIRECT("'"&amp;$A6&amp;"'!F$16"):INDIRECT("'"&amp;$A6&amp;"'!F$20"))</f>
        <v>0</v>
      </c>
      <c r="AP6" s="149" cm="1">
        <f t="array" aca="1" ref="AP6" ca="1">INDIRECT("'"&amp;A6&amp;"'!D$19")+INDIRECT("'"&amp;A6&amp;"'!E$19")</f>
        <v>63</v>
      </c>
      <c r="AQ6" s="45"/>
      <c r="AR6" s="284">
        <f ca="1">AG6*Constants!$B$6</f>
        <v>0</v>
      </c>
      <c r="AS6" s="284">
        <f ca="1">AH6*Constants!$B$6</f>
        <v>15119.999999999998</v>
      </c>
      <c r="AT6" s="284" cm="1">
        <f t="array" aca="1" ref="AT6" ca="1">INDIRECT("'"&amp;$A6&amp;"'!E$21")</f>
        <v>0</v>
      </c>
      <c r="AU6" s="284" cm="1">
        <f t="array" aca="1" ref="AU6" ca="1">INDIRECT("'"&amp;$A6&amp;"'!D$21")</f>
        <v>0</v>
      </c>
      <c r="AV6" s="284">
        <f ca="1">AK6*Constants!$B$8</f>
        <v>0</v>
      </c>
      <c r="AW6" s="284">
        <f ca="1">AL6*Constants!$B$8</f>
        <v>0</v>
      </c>
      <c r="AX6" s="284" cm="1">
        <f t="array" aca="1" ref="AX6" ca="1">INDIRECT("'"&amp;A6&amp;"'!E$22")</f>
        <v>0</v>
      </c>
      <c r="AY6" s="284" cm="1">
        <f t="array" aca="1" ref="AY6" ca="1">INDIRECT("'"&amp;A6&amp;"'!D$22")</f>
        <v>0</v>
      </c>
      <c r="AZ6" s="284" cm="1">
        <f t="array" aca="1" ref="AZ6" ca="1">INDIRECT("'"&amp;$A6&amp;"'!F$23")</f>
        <v>0</v>
      </c>
      <c r="BA6" s="284" cm="1">
        <f t="array" aca="1" ref="BA6" ca="1">INDIRECT("'"&amp;$A6&amp;"'!E$24")</f>
        <v>0</v>
      </c>
      <c r="BB6" s="149">
        <f ca="1">ROUND(AP6/Constants!$B$22,0)</f>
        <v>1</v>
      </c>
      <c r="BC6" s="150">
        <f>'Student Trainers'!G5</f>
        <v>0</v>
      </c>
      <c r="BD6" s="46"/>
      <c r="BE6" s="151" cm="1">
        <f t="array" aca="1" ref="BE6" ca="1">INDIRECT("'"&amp;$A6&amp;"'!H$16")</f>
        <v>294</v>
      </c>
      <c r="BF6" s="151" cm="1">
        <f t="array" aca="1" ref="BF6" ca="1">INDIRECT("'"&amp;$A6&amp;"'!I$16")</f>
        <v>0</v>
      </c>
      <c r="BG6" s="46"/>
      <c r="BH6" s="285" cm="1">
        <f t="array" aca="1" ref="BH6" ca="1">INDIRECT("'"&amp;$A6&amp;"'!H$17")</f>
        <v>10290</v>
      </c>
      <c r="BI6" s="285">
        <f ca="1">BH6*'Total Budget'!D$54/$BH$38</f>
        <v>11103.80335804674</v>
      </c>
      <c r="BJ6" s="285" cm="1">
        <f t="array" aca="1" ref="BJ6" ca="1">INDIRECT("'"&amp;$A6&amp;"'!I$17")</f>
        <v>0</v>
      </c>
      <c r="BK6" s="285" cm="1">
        <f t="array" aca="1" ref="BK6" ca="1">INDIRECT("'"&amp;$A6&amp;"'!I$19")</f>
        <v>0</v>
      </c>
      <c r="BL6" s="286"/>
      <c r="BM6" s="287" cm="1">
        <f t="array" aca="1" ref="BM6" ca="1">INDIRECT("'"&amp;$A6&amp;"'!J$16")</f>
        <v>84.344333333333338</v>
      </c>
      <c r="BN6" s="288" cm="1">
        <f t="array" aca="1" ref="BN6" ca="1">INDIRECT("'"&amp;$A6&amp;"'!K$16")</f>
        <v>0</v>
      </c>
      <c r="BO6" s="16"/>
      <c r="BP6" s="289">
        <f t="shared" ca="1" si="2"/>
        <v>24223.803358046738</v>
      </c>
      <c r="BQ6" s="499">
        <f t="shared" ca="1" si="3"/>
        <v>322.9840447739565</v>
      </c>
      <c r="BR6" s="500">
        <f t="shared" ca="1" si="4"/>
        <v>1.0039408413785855</v>
      </c>
      <c r="BS6" s="498">
        <f ca="1">MAX(0, BP6-Constants!B$18*C6*$BQ$38)</f>
        <v>0</v>
      </c>
      <c r="BU6" s="497">
        <f t="shared" ca="1" si="5"/>
        <v>1073.4729766616178</v>
      </c>
      <c r="BV6" s="496">
        <f t="shared" ca="1" si="6"/>
        <v>14.312973022154905</v>
      </c>
    </row>
    <row r="7" spans="1:74" ht="14.25" customHeight="1">
      <c r="A7" s="44" t="s">
        <v>346</v>
      </c>
      <c r="B7" s="148">
        <v>2</v>
      </c>
      <c r="C7" s="148">
        <f t="array" aca="1" ref="C7" ca="1">INDIRECT("'"&amp;A7&amp;"'!B$7")</f>
        <v>35</v>
      </c>
      <c r="D7" s="148" t="str">
        <f t="array" aca="1" ref="D7" ca="1">INDIRECT("'"&amp;A7&amp;"'!B$9")</f>
        <v>yes</v>
      </c>
      <c r="E7" s="45"/>
      <c r="F7" s="281" cm="1">
        <f t="array" aca="1" ref="F7" ca="1">INDIRECT("'"&amp;A7&amp;"'!M$15")</f>
        <v>0</v>
      </c>
      <c r="G7" s="281" cm="1">
        <f t="array" aca="1" ref="G7" ca="1">INDIRECT("'"&amp;A7&amp;"'!M$16")</f>
        <v>0</v>
      </c>
      <c r="H7" s="281" cm="1">
        <f t="array" aca="1" ref="H7" ca="1">INDIRECT("'"&amp;$A7&amp;"'!M$17")</f>
        <v>160</v>
      </c>
      <c r="I7" s="282">
        <f t="shared" ca="1" si="0"/>
        <v>0</v>
      </c>
      <c r="J7" s="282">
        <f t="shared" ca="1" si="7"/>
        <v>0</v>
      </c>
      <c r="K7" s="282">
        <f ca="1">C7*Constants!C$31</f>
        <v>1575</v>
      </c>
      <c r="L7" s="282">
        <f t="shared" ca="1" si="1"/>
        <v>722.00163132721991</v>
      </c>
      <c r="M7" s="281" cm="1">
        <f t="array" aca="1" ref="M7" ca="1">INDIRECT("'"&amp;$A7&amp;"'!M$21")+J7</f>
        <v>2457.0016313272199</v>
      </c>
      <c r="N7" s="45"/>
      <c r="O7" s="149" cm="1">
        <f t="array" aca="1" ref="O7" ca="1">INDIRECT("'"&amp;$A7&amp;"'!B$16")</f>
        <v>0</v>
      </c>
      <c r="P7" s="149" cm="1">
        <f t="array" aca="1" ref="P7" ca="1">INDIRECT("'"&amp;$A7&amp;"'!C$16")</f>
        <v>0</v>
      </c>
      <c r="Q7" s="149" cm="1">
        <f t="array" aca="1" ref="Q7" ca="1">INDIRECT("'"&amp;$A7&amp;"'!B$18")</f>
        <v>0</v>
      </c>
      <c r="R7" s="149" cm="1">
        <f t="array" aca="1" ref="R7" ca="1">INDIRECT("'"&amp;$A7&amp;"'!C$18")</f>
        <v>0</v>
      </c>
      <c r="S7" s="149" cm="1">
        <f t="array" aca="1" ref="S7" ca="1">INDIRECT("'"&amp;A7&amp;"'!B$17")</f>
        <v>244.99999999999997</v>
      </c>
      <c r="T7" s="149" cm="1">
        <f t="array" aca="1" ref="T7" ca="1">INDIRECT("'"&amp;A7&amp;"'!C$17")</f>
        <v>0</v>
      </c>
      <c r="U7" s="149" cm="1">
        <f t="array" aca="1" ref="U7" ca="1">INDIRECT("'"&amp;A7&amp;"'!B$20")+INDIRECT("'"&amp;A7&amp;"'!C$20")</f>
        <v>0</v>
      </c>
      <c r="V7" s="149" cm="1">
        <f t="array" aca="1" ref="V7" ca="1">INDIRECT("'"&amp;A7&amp;"'!B$19")+INDIRECT("'"&amp;A7&amp;"'!C$19")</f>
        <v>0</v>
      </c>
      <c r="W7" s="45"/>
      <c r="X7" s="284">
        <f ca="1">O7*Constants!$B$6</f>
        <v>0</v>
      </c>
      <c r="Y7" s="284">
        <f ca="1">P7*Constants!$B$6</f>
        <v>0</v>
      </c>
      <c r="Z7" s="284" cm="1">
        <f t="array" aca="1" ref="Z7" ca="1">INDIRECT("'"&amp;$A7&amp;"'!B$21")</f>
        <v>0</v>
      </c>
      <c r="AA7" s="284" cm="1">
        <f t="array" aca="1" ref="AA7" ca="1">INDIRECT("'"&amp;$A7&amp;"'!C$21")</f>
        <v>0</v>
      </c>
      <c r="AB7" s="284">
        <f ca="1">S7*Constants!$B$8</f>
        <v>1224.9999999999998</v>
      </c>
      <c r="AC7" s="284">
        <f ca="1">T7*Constants!$B$8</f>
        <v>0</v>
      </c>
      <c r="AD7" s="284" cm="1">
        <f t="array" aca="1" ref="AD7" ca="1">INDIRECT("'"&amp;A7&amp;"'!B$22")+INDIRECT("'"&amp;A7&amp;"'!C$22")</f>
        <v>0</v>
      </c>
      <c r="AE7" s="149">
        <f ca="1">ROUND(V7/Constants!$B$22,0)</f>
        <v>0</v>
      </c>
      <c r="AF7" s="45"/>
      <c r="AG7" s="149" cm="1">
        <f t="array" aca="1" ref="AG7" ca="1">INDIRECT("'"&amp;A7&amp;"'!E16")</f>
        <v>0</v>
      </c>
      <c r="AH7" s="149" cm="1">
        <f t="array" aca="1" ref="AH7" ca="1">INDIRECT("'"&amp;A7&amp;"'!D16")</f>
        <v>0</v>
      </c>
      <c r="AI7" s="149" cm="1">
        <f t="array" aca="1" ref="AI7" ca="1">INDIRECT("'"&amp;A7&amp;"'!E18")</f>
        <v>0</v>
      </c>
      <c r="AJ7" s="149" cm="1">
        <f t="array" aca="1" ref="AJ7" ca="1">INDIRECT("'"&amp;A7&amp;"'!D18")</f>
        <v>0</v>
      </c>
      <c r="AK7" s="149" cm="1">
        <f t="array" aca="1" ref="AK7" ca="1">INDIRECT("'"&amp;A7&amp;"'!E$17")</f>
        <v>0</v>
      </c>
      <c r="AL7" s="149" cm="1">
        <f t="array" aca="1" ref="AL7" ca="1">INDIRECT("'"&amp;A7&amp;"'!D$17")</f>
        <v>0</v>
      </c>
      <c r="AM7" s="149" cm="1">
        <f t="array" aca="1" ref="AM7" ca="1">INDIRECT("'"&amp;A7&amp;"'!E$20")</f>
        <v>0</v>
      </c>
      <c r="AN7" s="149" cm="1">
        <f t="array" aca="1" ref="AN7" ca="1">INDIRECT("'"&amp;A7&amp;"'!D$20")</f>
        <v>0</v>
      </c>
      <c r="AO7" s="149">
        <f ca="1">SUM(INDIRECT("'"&amp;$A7&amp;"'!F$16"):INDIRECT("'"&amp;$A7&amp;"'!F$20"))</f>
        <v>0</v>
      </c>
      <c r="AP7" s="149" cm="1">
        <f t="array" aca="1" ref="AP7" ca="1">INDIRECT("'"&amp;A7&amp;"'!D$19")+INDIRECT("'"&amp;A7&amp;"'!E$19")</f>
        <v>211</v>
      </c>
      <c r="AQ7" s="45"/>
      <c r="AR7" s="284">
        <f ca="1">AG7*Constants!$B$6</f>
        <v>0</v>
      </c>
      <c r="AS7" s="284">
        <f ca="1">AH7*Constants!$B$6</f>
        <v>0</v>
      </c>
      <c r="AT7" s="284" cm="1">
        <f t="array" aca="1" ref="AT7" ca="1">INDIRECT("'"&amp;$A7&amp;"'!E$21")</f>
        <v>0</v>
      </c>
      <c r="AU7" s="284" cm="1">
        <f t="array" aca="1" ref="AU7" ca="1">INDIRECT("'"&amp;$A7&amp;"'!D$21")</f>
        <v>0</v>
      </c>
      <c r="AV7" s="284">
        <f ca="1">AK7*Constants!$B$8</f>
        <v>0</v>
      </c>
      <c r="AW7" s="284">
        <f ca="1">AL7*Constants!$B$8</f>
        <v>0</v>
      </c>
      <c r="AX7" s="284" cm="1">
        <f t="array" aca="1" ref="AX7" ca="1">INDIRECT("'"&amp;A7&amp;"'!E$22")</f>
        <v>0</v>
      </c>
      <c r="AY7" s="284" cm="1">
        <f t="array" aca="1" ref="AY7" ca="1">INDIRECT("'"&amp;A7&amp;"'!D$22")</f>
        <v>0</v>
      </c>
      <c r="AZ7" s="284" cm="1">
        <f t="array" aca="1" ref="AZ7" ca="1">INDIRECT("'"&amp;$A7&amp;"'!F$23")</f>
        <v>0</v>
      </c>
      <c r="BA7" s="284" cm="1">
        <f t="array" aca="1" ref="BA7" ca="1">INDIRECT("'"&amp;$A7&amp;"'!E$24")</f>
        <v>0</v>
      </c>
      <c r="BB7" s="149">
        <f ca="1">ROUND(AP7/Constants!$B$22,0)</f>
        <v>4</v>
      </c>
      <c r="BC7" s="150">
        <f>'Student Trainers'!G6</f>
        <v>75</v>
      </c>
      <c r="BD7" s="46"/>
      <c r="BE7" s="151" cm="1">
        <f t="array" aca="1" ref="BE7" ca="1">INDIRECT("'"&amp;$A7&amp;"'!H$16")</f>
        <v>203.5</v>
      </c>
      <c r="BF7" s="151" cm="1">
        <f t="array" aca="1" ref="BF7" ca="1">INDIRECT("'"&amp;$A7&amp;"'!I$16")</f>
        <v>0</v>
      </c>
      <c r="BG7" s="46"/>
      <c r="BH7" s="285" cm="1">
        <f t="array" aca="1" ref="BH7" ca="1">INDIRECT("'"&amp;$A7&amp;"'!H$17")</f>
        <v>13893.75</v>
      </c>
      <c r="BI7" s="285">
        <f ca="1">BH7*'Total Budget'!D$54/$BH$38</f>
        <v>14992.56247870378</v>
      </c>
      <c r="BJ7" s="285" cm="1">
        <f t="array" aca="1" ref="BJ7" ca="1">INDIRECT("'"&amp;$A7&amp;"'!I$17")</f>
        <v>0</v>
      </c>
      <c r="BK7" s="285" cm="1">
        <f t="array" aca="1" ref="BK7" ca="1">INDIRECT("'"&amp;$A7&amp;"'!I$19")</f>
        <v>0</v>
      </c>
      <c r="BL7" s="286"/>
      <c r="BM7" s="287" cm="1">
        <f t="array" aca="1" ref="BM7" ca="1">INDIRECT("'"&amp;$A7&amp;"'!J$16")</f>
        <v>160</v>
      </c>
      <c r="BN7" s="288" cm="1">
        <f t="array" aca="1" ref="BN7" ca="1">INDIRECT("'"&amp;$A7&amp;"'!K$16")</f>
        <v>0</v>
      </c>
      <c r="BO7" s="16"/>
      <c r="BP7" s="289">
        <f t="shared" ca="1" si="2"/>
        <v>16292.562478703778</v>
      </c>
      <c r="BQ7" s="499">
        <f t="shared" ca="1" si="3"/>
        <v>465.50178510582219</v>
      </c>
      <c r="BR7" s="500">
        <f t="shared" ca="1" si="4"/>
        <v>1.4469329410046941</v>
      </c>
      <c r="BS7" s="498">
        <f ca="1">MAX(0, BP7-Constants!B$18*C7*$BQ$38)</f>
        <v>0</v>
      </c>
      <c r="BU7" s="497">
        <f t="shared" ca="1" si="5"/>
        <v>722.00163132721991</v>
      </c>
      <c r="BV7" s="496">
        <f t="shared" ca="1" si="6"/>
        <v>20.628618037920567</v>
      </c>
    </row>
    <row r="8" spans="1:74" ht="14.25" customHeight="1">
      <c r="A8" s="44" t="s">
        <v>83</v>
      </c>
      <c r="B8" s="148">
        <v>4</v>
      </c>
      <c r="C8" s="148">
        <f t="array" aca="1" ref="C8" ca="1">INDIRECT("'"&amp;A8&amp;"'!B$7")</f>
        <v>248</v>
      </c>
      <c r="D8" s="148" t="str">
        <f t="array" aca="1" ref="D8" ca="1">INDIRECT("'"&amp;A8&amp;"'!B$9")</f>
        <v>yes</v>
      </c>
      <c r="E8" s="45"/>
      <c r="F8" s="281" cm="1">
        <f t="array" aca="1" ref="F8" ca="1">INDIRECT("'"&amp;A8&amp;"'!M$15")</f>
        <v>4000</v>
      </c>
      <c r="G8" s="281" cm="1">
        <f t="array" aca="1" ref="G8" ca="1">INDIRECT("'"&amp;A8&amp;"'!M$16")</f>
        <v>0</v>
      </c>
      <c r="H8" s="281" cm="1">
        <f t="array" aca="1" ref="H8" ca="1">INDIRECT("'"&amp;$A8&amp;"'!M$17")</f>
        <v>4805.9334166666667</v>
      </c>
      <c r="I8" s="282">
        <f t="shared" ca="1" si="0"/>
        <v>0</v>
      </c>
      <c r="J8" s="282">
        <f t="shared" ca="1" si="7"/>
        <v>0</v>
      </c>
      <c r="K8" s="282">
        <f ca="1">C8*Constants!C$31</f>
        <v>11160</v>
      </c>
      <c r="L8" s="282">
        <f t="shared" ca="1" si="1"/>
        <v>4931.9083628529315</v>
      </c>
      <c r="M8" s="281" cm="1">
        <f t="array" aca="1" ref="M8" ca="1">INDIRECT("'"&amp;$A8&amp;"'!M$21")+J8</f>
        <v>24897.8417795196</v>
      </c>
      <c r="N8" s="45"/>
      <c r="O8" s="149" cm="1">
        <f t="array" aca="1" ref="O8" ca="1">INDIRECT("'"&amp;$A8&amp;"'!B$16")</f>
        <v>453.59999999999997</v>
      </c>
      <c r="P8" s="149" cm="1">
        <f t="array" aca="1" ref="P8" ca="1">INDIRECT("'"&amp;$A8&amp;"'!C$16")</f>
        <v>280</v>
      </c>
      <c r="Q8" s="149" cm="1">
        <f t="array" aca="1" ref="Q8" ca="1">INDIRECT("'"&amp;$A8&amp;"'!B$18")</f>
        <v>0</v>
      </c>
      <c r="R8" s="149" cm="1">
        <f t="array" aca="1" ref="R8" ca="1">INDIRECT("'"&amp;$A8&amp;"'!C$18")</f>
        <v>0</v>
      </c>
      <c r="S8" s="149" cm="1">
        <f t="array" aca="1" ref="S8" ca="1">INDIRECT("'"&amp;A8&amp;"'!B$17")</f>
        <v>0</v>
      </c>
      <c r="T8" s="149" cm="1">
        <f t="array" aca="1" ref="T8" ca="1">INDIRECT("'"&amp;A8&amp;"'!C$17")</f>
        <v>0</v>
      </c>
      <c r="U8" s="149" cm="1">
        <f t="array" aca="1" ref="U8" ca="1">INDIRECT("'"&amp;A8&amp;"'!B$20")+INDIRECT("'"&amp;A8&amp;"'!C$20")</f>
        <v>0</v>
      </c>
      <c r="V8" s="149" cm="1">
        <f t="array" aca="1" ref="V8" ca="1">INDIRECT("'"&amp;A8&amp;"'!B$19")+INDIRECT("'"&amp;A8&amp;"'!C$19")</f>
        <v>266</v>
      </c>
      <c r="W8" s="45"/>
      <c r="X8" s="284">
        <f ca="1">O8*Constants!$B$6</f>
        <v>22680</v>
      </c>
      <c r="Y8" s="284">
        <f ca="1">P8*Constants!$B$6</f>
        <v>14000</v>
      </c>
      <c r="Z8" s="284" cm="1">
        <f t="array" aca="1" ref="Z8" ca="1">INDIRECT("'"&amp;$A8&amp;"'!B$21")</f>
        <v>0</v>
      </c>
      <c r="AA8" s="284" cm="1">
        <f t="array" aca="1" ref="AA8" ca="1">INDIRECT("'"&amp;$A8&amp;"'!C$21")</f>
        <v>0</v>
      </c>
      <c r="AB8" s="284">
        <f ca="1">S8*Constants!$B$8</f>
        <v>0</v>
      </c>
      <c r="AC8" s="284">
        <f ca="1">T8*Constants!$B$8</f>
        <v>0</v>
      </c>
      <c r="AD8" s="284" cm="1">
        <f t="array" aca="1" ref="AD8" ca="1">INDIRECT("'"&amp;A8&amp;"'!B$22")+INDIRECT("'"&amp;A8&amp;"'!C$22")</f>
        <v>0</v>
      </c>
      <c r="AE8" s="149">
        <f ca="1">ROUND(V8/Constants!$B$22,0)</f>
        <v>4</v>
      </c>
      <c r="AF8" s="45"/>
      <c r="AG8" s="149" cm="1">
        <f t="array" aca="1" ref="AG8" ca="1">INDIRECT("'"&amp;A8&amp;"'!E16")</f>
        <v>0</v>
      </c>
      <c r="AH8" s="149" cm="1">
        <f t="array" aca="1" ref="AH8" ca="1">INDIRECT("'"&amp;A8&amp;"'!D16")</f>
        <v>0</v>
      </c>
      <c r="AI8" s="149" cm="1">
        <f t="array" aca="1" ref="AI8" ca="1">INDIRECT("'"&amp;A8&amp;"'!E18")</f>
        <v>0</v>
      </c>
      <c r="AJ8" s="149" cm="1">
        <f t="array" aca="1" ref="AJ8" ca="1">INDIRECT("'"&amp;A8&amp;"'!D18")</f>
        <v>0</v>
      </c>
      <c r="AK8" s="149" cm="1">
        <f t="array" aca="1" ref="AK8" ca="1">INDIRECT("'"&amp;A8&amp;"'!E$17")</f>
        <v>0</v>
      </c>
      <c r="AL8" s="149" cm="1">
        <f t="array" aca="1" ref="AL8" ca="1">INDIRECT("'"&amp;A8&amp;"'!D$17")</f>
        <v>0</v>
      </c>
      <c r="AM8" s="149" cm="1">
        <f t="array" aca="1" ref="AM8" ca="1">INDIRECT("'"&amp;A8&amp;"'!E$20")</f>
        <v>0</v>
      </c>
      <c r="AN8" s="149" cm="1">
        <f t="array" aca="1" ref="AN8" ca="1">INDIRECT("'"&amp;A8&amp;"'!D$20")</f>
        <v>0</v>
      </c>
      <c r="AO8" s="149">
        <f ca="1">SUM(INDIRECT("'"&amp;$A8&amp;"'!F$16"):INDIRECT("'"&amp;$A8&amp;"'!F$20"))</f>
        <v>75.599999999999994</v>
      </c>
      <c r="AP8" s="149" cm="1">
        <f t="array" aca="1" ref="AP8" ca="1">INDIRECT("'"&amp;A8&amp;"'!D$19")+INDIRECT("'"&amp;A8&amp;"'!E$19")</f>
        <v>883</v>
      </c>
      <c r="AQ8" s="45"/>
      <c r="AR8" s="284">
        <f ca="1">AG8*Constants!$B$6</f>
        <v>0</v>
      </c>
      <c r="AS8" s="284">
        <f ca="1">AH8*Constants!$B$6</f>
        <v>0</v>
      </c>
      <c r="AT8" s="284" cm="1">
        <f t="array" aca="1" ref="AT8" ca="1">INDIRECT("'"&amp;$A8&amp;"'!E$21")</f>
        <v>0</v>
      </c>
      <c r="AU8" s="284" cm="1">
        <f t="array" aca="1" ref="AU8" ca="1">INDIRECT("'"&amp;$A8&amp;"'!D$21")</f>
        <v>0</v>
      </c>
      <c r="AV8" s="284">
        <f ca="1">AK8*Constants!$B$8</f>
        <v>0</v>
      </c>
      <c r="AW8" s="284">
        <f ca="1">AL8*Constants!$B$8</f>
        <v>0</v>
      </c>
      <c r="AX8" s="284" cm="1">
        <f t="array" aca="1" ref="AX8" ca="1">INDIRECT("'"&amp;A8&amp;"'!E$22")</f>
        <v>0</v>
      </c>
      <c r="AY8" s="284" cm="1">
        <f t="array" aca="1" ref="AY8" ca="1">INDIRECT("'"&amp;A8&amp;"'!D$22")</f>
        <v>0</v>
      </c>
      <c r="AZ8" s="284" cm="1">
        <f t="array" aca="1" ref="AZ8" ca="1">INDIRECT("'"&amp;$A8&amp;"'!F$23")</f>
        <v>3150</v>
      </c>
      <c r="BA8" s="284" cm="1">
        <f t="array" aca="1" ref="BA8" ca="1">INDIRECT("'"&amp;$A8&amp;"'!E$24")</f>
        <v>0</v>
      </c>
      <c r="BB8" s="149">
        <f ca="1">ROUND(AP8/Constants!$B$22,0)</f>
        <v>15</v>
      </c>
      <c r="BC8" s="150">
        <f>'Student Trainers'!G7</f>
        <v>750</v>
      </c>
      <c r="BD8" s="46"/>
      <c r="BE8" s="151" cm="1">
        <f t="array" aca="1" ref="BE8" ca="1">INDIRECT("'"&amp;$A8&amp;"'!H$16")</f>
        <v>1191</v>
      </c>
      <c r="BF8" s="151" cm="1">
        <f t="array" aca="1" ref="BF8" ca="1">INDIRECT("'"&amp;$A8&amp;"'!I$16")</f>
        <v>0</v>
      </c>
      <c r="BG8" s="46"/>
      <c r="BH8" s="285" cm="1">
        <f t="array" aca="1" ref="BH8" ca="1">INDIRECT("'"&amp;$A8&amp;"'!H$17")</f>
        <v>60615</v>
      </c>
      <c r="BI8" s="285">
        <f ca="1">BH8*'Total Budget'!D$54/$BH$38</f>
        <v>65408.847477940057</v>
      </c>
      <c r="BJ8" s="285" cm="1">
        <f t="array" aca="1" ref="BJ8" ca="1">INDIRECT("'"&amp;$A8&amp;"'!I$17")</f>
        <v>0</v>
      </c>
      <c r="BK8" s="285" cm="1">
        <f t="array" aca="1" ref="BK8" ca="1">INDIRECT("'"&amp;$A8&amp;"'!I$19")</f>
        <v>0</v>
      </c>
      <c r="BL8" s="286"/>
      <c r="BM8" s="287" cm="1">
        <f t="array" aca="1" ref="BM8" ca="1">INDIRECT("'"&amp;$A8&amp;"'!J$16")</f>
        <v>14109.667083333337</v>
      </c>
      <c r="BN8" s="288" cm="1">
        <f t="array" aca="1" ref="BN8" ca="1">INDIRECT("'"&amp;$A8&amp;"'!K$16")</f>
        <v>9303.7336666666706</v>
      </c>
      <c r="BO8" s="16"/>
      <c r="BP8" s="289">
        <f t="shared" ca="1" si="2"/>
        <v>111292.58114460672</v>
      </c>
      <c r="BQ8" s="499">
        <f t="shared" ca="1" si="3"/>
        <v>448.76040784115617</v>
      </c>
      <c r="BR8" s="500">
        <f t="shared" ca="1" si="4"/>
        <v>1.3948952238205901</v>
      </c>
      <c r="BS8" s="498">
        <f ca="1">MAX(0, BP8-Constants!B$18*C8*$BQ$38)</f>
        <v>0</v>
      </c>
      <c r="BU8" s="497">
        <f t="shared" ca="1" si="5"/>
        <v>4931.9083628529315</v>
      </c>
      <c r="BV8" s="496">
        <f t="shared" ca="1" si="6"/>
        <v>19.886727269568272</v>
      </c>
    </row>
    <row r="9" spans="1:74" ht="14.25" customHeight="1">
      <c r="A9" s="44" t="s">
        <v>72</v>
      </c>
      <c r="B9" s="148">
        <v>3</v>
      </c>
      <c r="C9" s="148">
        <f t="array" aca="1" ref="C9" ca="1">INDIRECT("'"&amp;A9&amp;"'!B$7")</f>
        <v>111</v>
      </c>
      <c r="D9" s="148" t="str">
        <f t="array" aca="1" ref="D9" ca="1">INDIRECT("'"&amp;A9&amp;"'!B$9")</f>
        <v>yes</v>
      </c>
      <c r="E9" s="45"/>
      <c r="F9" s="281" cm="1">
        <f t="array" aca="1" ref="F9" ca="1">INDIRECT("'"&amp;A9&amp;"'!M$15")</f>
        <v>2500</v>
      </c>
      <c r="G9" s="281" cm="1">
        <f t="array" aca="1" ref="G9" ca="1">INDIRECT("'"&amp;A9&amp;"'!M$16")</f>
        <v>0</v>
      </c>
      <c r="H9" s="281" cm="1">
        <f t="array" aca="1" ref="H9" ca="1">INDIRECT("'"&amp;$A9&amp;"'!M$17")</f>
        <v>1898</v>
      </c>
      <c r="I9" s="282">
        <f t="shared" ca="1" si="0"/>
        <v>0</v>
      </c>
      <c r="J9" s="282">
        <f t="shared" ca="1" si="7"/>
        <v>0</v>
      </c>
      <c r="K9" s="282">
        <f ca="1">C9*Constants!C$31</f>
        <v>4995</v>
      </c>
      <c r="L9" s="282">
        <f t="shared" ca="1" si="1"/>
        <v>2184.6424501530523</v>
      </c>
      <c r="M9" s="281" cm="1">
        <f t="array" aca="1" ref="M9" ca="1">INDIRECT("'"&amp;$A9&amp;"'!M$21")+J9</f>
        <v>4398</v>
      </c>
      <c r="N9" s="45"/>
      <c r="O9" s="149" cm="1">
        <f t="array" aca="1" ref="O9" ca="1">INDIRECT("'"&amp;$A9&amp;"'!B$16")</f>
        <v>302.39999999999998</v>
      </c>
      <c r="P9" s="149" cm="1">
        <f t="array" aca="1" ref="P9" ca="1">INDIRECT("'"&amp;$A9&amp;"'!C$16")</f>
        <v>42</v>
      </c>
      <c r="Q9" s="149" cm="1">
        <f t="array" aca="1" ref="Q9" ca="1">INDIRECT("'"&amp;$A9&amp;"'!B$18")</f>
        <v>0</v>
      </c>
      <c r="R9" s="149" cm="1">
        <f t="array" aca="1" ref="R9" ca="1">INDIRECT("'"&amp;$A9&amp;"'!C$18")</f>
        <v>0</v>
      </c>
      <c r="S9" s="149" cm="1">
        <f t="array" aca="1" ref="S9" ca="1">INDIRECT("'"&amp;A9&amp;"'!B$17")</f>
        <v>0</v>
      </c>
      <c r="T9" s="149" cm="1">
        <f t="array" aca="1" ref="T9" ca="1">INDIRECT("'"&amp;A9&amp;"'!C$17")</f>
        <v>0</v>
      </c>
      <c r="U9" s="149" cm="1">
        <f t="array" aca="1" ref="U9" ca="1">INDIRECT("'"&amp;A9&amp;"'!B$20")+INDIRECT("'"&amp;A9&amp;"'!C$20")</f>
        <v>0</v>
      </c>
      <c r="V9" s="149" cm="1">
        <f t="array" aca="1" ref="V9" ca="1">INDIRECT("'"&amp;A9&amp;"'!B$19")+INDIRECT("'"&amp;A9&amp;"'!C$19")</f>
        <v>0</v>
      </c>
      <c r="W9" s="45"/>
      <c r="X9" s="284">
        <f ca="1">O9*Constants!$B$6</f>
        <v>15119.999999999998</v>
      </c>
      <c r="Y9" s="284">
        <f ca="1">P9*Constants!$B$6</f>
        <v>2100</v>
      </c>
      <c r="Z9" s="284" cm="1">
        <f t="array" aca="1" ref="Z9" ca="1">INDIRECT("'"&amp;$A9&amp;"'!B$21")</f>
        <v>0</v>
      </c>
      <c r="AA9" s="284" cm="1">
        <f t="array" aca="1" ref="AA9" ca="1">INDIRECT("'"&amp;$A9&amp;"'!C$21")</f>
        <v>0</v>
      </c>
      <c r="AB9" s="284">
        <f ca="1">S9*Constants!$B$8</f>
        <v>0</v>
      </c>
      <c r="AC9" s="284">
        <f ca="1">T9*Constants!$B$8</f>
        <v>0</v>
      </c>
      <c r="AD9" s="284" cm="1">
        <f t="array" aca="1" ref="AD9" ca="1">INDIRECT("'"&amp;A9&amp;"'!B$22")+INDIRECT("'"&amp;A9&amp;"'!C$22")</f>
        <v>0</v>
      </c>
      <c r="AE9" s="149">
        <f ca="1">ROUND(V9/Constants!$B$22,0)</f>
        <v>0</v>
      </c>
      <c r="AF9" s="45"/>
      <c r="AG9" s="149" cm="1">
        <f t="array" aca="1" ref="AG9" ca="1">INDIRECT("'"&amp;A9&amp;"'!E16")</f>
        <v>0</v>
      </c>
      <c r="AH9" s="149" cm="1">
        <f t="array" aca="1" ref="AH9" ca="1">INDIRECT("'"&amp;A9&amp;"'!D16")</f>
        <v>0</v>
      </c>
      <c r="AI9" s="149" cm="1">
        <f t="array" aca="1" ref="AI9" ca="1">INDIRECT("'"&amp;A9&amp;"'!E18")</f>
        <v>0</v>
      </c>
      <c r="AJ9" s="149" cm="1">
        <f t="array" aca="1" ref="AJ9" ca="1">INDIRECT("'"&amp;A9&amp;"'!D18")</f>
        <v>0</v>
      </c>
      <c r="AK9" s="149" cm="1">
        <f t="array" aca="1" ref="AK9" ca="1">INDIRECT("'"&amp;A9&amp;"'!E$17")</f>
        <v>0</v>
      </c>
      <c r="AL9" s="149" cm="1">
        <f t="array" aca="1" ref="AL9" ca="1">INDIRECT("'"&amp;A9&amp;"'!D$17")</f>
        <v>0</v>
      </c>
      <c r="AM9" s="149" cm="1">
        <f t="array" aca="1" ref="AM9" ca="1">INDIRECT("'"&amp;A9&amp;"'!E$20")</f>
        <v>0</v>
      </c>
      <c r="AN9" s="149" cm="1">
        <f t="array" aca="1" ref="AN9" ca="1">INDIRECT("'"&amp;A9&amp;"'!D$20")</f>
        <v>0</v>
      </c>
      <c r="AO9" s="149">
        <f ca="1">SUM(INDIRECT("'"&amp;$A9&amp;"'!F$16"):INDIRECT("'"&amp;$A9&amp;"'!F$20"))</f>
        <v>0</v>
      </c>
      <c r="AP9" s="149" cm="1">
        <f t="array" aca="1" ref="AP9" ca="1">INDIRECT("'"&amp;A9&amp;"'!D$19")+INDIRECT("'"&amp;A9&amp;"'!E$19")</f>
        <v>315</v>
      </c>
      <c r="AQ9" s="45"/>
      <c r="AR9" s="284">
        <f ca="1">AG9*Constants!$B$6</f>
        <v>0</v>
      </c>
      <c r="AS9" s="284">
        <f ca="1">AH9*Constants!$B$6</f>
        <v>0</v>
      </c>
      <c r="AT9" s="284" cm="1">
        <f t="array" aca="1" ref="AT9" ca="1">INDIRECT("'"&amp;$A9&amp;"'!E$21")</f>
        <v>0</v>
      </c>
      <c r="AU9" s="284" cm="1">
        <f t="array" aca="1" ref="AU9" ca="1">INDIRECT("'"&amp;$A9&amp;"'!D$21")</f>
        <v>0</v>
      </c>
      <c r="AV9" s="284">
        <f ca="1">AK9*Constants!$B$8</f>
        <v>0</v>
      </c>
      <c r="AW9" s="284">
        <f ca="1">AL9*Constants!$B$8</f>
        <v>0</v>
      </c>
      <c r="AX9" s="284" cm="1">
        <f t="array" aca="1" ref="AX9" ca="1">INDIRECT("'"&amp;A9&amp;"'!E$22")</f>
        <v>0</v>
      </c>
      <c r="AY9" s="284" cm="1">
        <f t="array" aca="1" ref="AY9" ca="1">INDIRECT("'"&amp;A9&amp;"'!D$22")</f>
        <v>0</v>
      </c>
      <c r="AZ9" s="284" cm="1">
        <f t="array" aca="1" ref="AZ9" ca="1">INDIRECT("'"&amp;$A9&amp;"'!F$23")</f>
        <v>0</v>
      </c>
      <c r="BA9" s="284" cm="1">
        <f t="array" aca="1" ref="BA9" ca="1">INDIRECT("'"&amp;$A9&amp;"'!E$24")</f>
        <v>0</v>
      </c>
      <c r="BB9" s="149">
        <f ca="1">ROUND(AP9/Constants!$B$22,0)</f>
        <v>5</v>
      </c>
      <c r="BC9" s="150">
        <f>'Student Trainers'!G8</f>
        <v>300</v>
      </c>
      <c r="BD9" s="46"/>
      <c r="BE9" s="151" cm="1">
        <f t="array" aca="1" ref="BE9" ca="1">INDIRECT("'"&amp;$A9&amp;"'!H$16")</f>
        <v>558</v>
      </c>
      <c r="BF9" s="151" cm="1">
        <f t="array" aca="1" ref="BF9" ca="1">INDIRECT("'"&amp;$A9&amp;"'!I$16")</f>
        <v>0</v>
      </c>
      <c r="BG9" s="46"/>
      <c r="BH9" s="285" cm="1">
        <f t="array" aca="1" ref="BH9" ca="1">INDIRECT("'"&amp;$A9&amp;"'!H$17")</f>
        <v>28845</v>
      </c>
      <c r="BI9" s="285">
        <f ca="1">BH9*'Total Budget'!D$54/$BH$38</f>
        <v>31126.259267527523</v>
      </c>
      <c r="BJ9" s="285" cm="1">
        <f t="array" aca="1" ref="BJ9" ca="1">INDIRECT("'"&amp;$A9&amp;"'!I$17")</f>
        <v>0</v>
      </c>
      <c r="BK9" s="285" cm="1">
        <f t="array" aca="1" ref="BK9" ca="1">INDIRECT("'"&amp;$A9&amp;"'!I$19")</f>
        <v>0</v>
      </c>
      <c r="BL9" s="286"/>
      <c r="BM9" s="287" cm="1">
        <f t="array" aca="1" ref="BM9" ca="1">INDIRECT("'"&amp;$A9&amp;"'!J$16")</f>
        <v>5050</v>
      </c>
      <c r="BN9" s="288" cm="1">
        <f t="array" aca="1" ref="BN9" ca="1">INDIRECT("'"&amp;$A9&amp;"'!K$16")</f>
        <v>3152</v>
      </c>
      <c r="BO9" s="16"/>
      <c r="BP9" s="289">
        <f t="shared" ca="1" si="2"/>
        <v>49298.259267527523</v>
      </c>
      <c r="BQ9" s="499">
        <f t="shared" ca="1" si="3"/>
        <v>444.1284618696173</v>
      </c>
      <c r="BR9" s="500">
        <f t="shared" ca="1" si="4"/>
        <v>1.3804976094147721</v>
      </c>
      <c r="BS9" s="498">
        <f ca="1">MAX(0, BP9-Constants!B$18*C9*$BQ$38)</f>
        <v>0</v>
      </c>
      <c r="BU9" s="497">
        <f t="shared" ca="1" si="5"/>
        <v>2184.6424501530523</v>
      </c>
      <c r="BV9" s="496">
        <f t="shared" ca="1" si="6"/>
        <v>19.681463514892364</v>
      </c>
    </row>
    <row r="10" spans="1:74" ht="14.25" customHeight="1">
      <c r="A10" s="44" t="s">
        <v>192</v>
      </c>
      <c r="B10" s="148">
        <v>5</v>
      </c>
      <c r="C10" s="148">
        <f t="array" aca="1" ref="C10" ca="1">INDIRECT("'"&amp;A10&amp;"'!B$7")</f>
        <v>32</v>
      </c>
      <c r="D10" s="148" t="str">
        <f t="array" aca="1" ref="D10" ca="1">INDIRECT("'"&amp;A10&amp;"'!B$9")</f>
        <v>partial</v>
      </c>
      <c r="E10" s="45"/>
      <c r="F10" s="281" cm="1">
        <f t="array" aca="1" ref="F10" ca="1">INDIRECT("'"&amp;A10&amp;"'!M$15")</f>
        <v>0</v>
      </c>
      <c r="G10" s="281" cm="1">
        <f t="array" aca="1" ref="G10" ca="1">INDIRECT("'"&amp;A10&amp;"'!M$16")</f>
        <v>420</v>
      </c>
      <c r="H10" s="281" cm="1">
        <f t="array" aca="1" ref="H10" ca="1">INDIRECT("'"&amp;$A10&amp;"'!M$17")</f>
        <v>1798</v>
      </c>
      <c r="I10" s="282">
        <f t="shared" ca="1" si="0"/>
        <v>0</v>
      </c>
      <c r="J10" s="282">
        <f t="shared" ca="1" si="7"/>
        <v>0</v>
      </c>
      <c r="K10" s="282">
        <f ca="1">C10*Constants!C$31</f>
        <v>1440</v>
      </c>
      <c r="L10" s="282">
        <f t="shared" ca="1" si="1"/>
        <v>252.56461649983459</v>
      </c>
      <c r="M10" s="281" cm="1">
        <f t="array" aca="1" ref="M10" ca="1">INDIRECT("'"&amp;$A10&amp;"'!M$21")+J10</f>
        <v>3910.5646164998343</v>
      </c>
      <c r="N10" s="45"/>
      <c r="O10" s="149" cm="1">
        <f t="array" aca="1" ref="O10" ca="1">INDIRECT("'"&amp;$A10&amp;"'!B$16")</f>
        <v>0</v>
      </c>
      <c r="P10" s="149" cm="1">
        <f t="array" aca="1" ref="P10" ca="1">INDIRECT("'"&amp;$A10&amp;"'!C$16")</f>
        <v>0</v>
      </c>
      <c r="Q10" s="149" cm="1">
        <f t="array" aca="1" ref="Q10" ca="1">INDIRECT("'"&amp;$A10&amp;"'!B$18")</f>
        <v>0</v>
      </c>
      <c r="R10" s="149" cm="1">
        <f t="array" aca="1" ref="R10" ca="1">INDIRECT("'"&amp;$A10&amp;"'!C$18")</f>
        <v>0</v>
      </c>
      <c r="S10" s="149" cm="1">
        <f t="array" aca="1" ref="S10" ca="1">INDIRECT("'"&amp;A10&amp;"'!B$17")</f>
        <v>168</v>
      </c>
      <c r="T10" s="149" cm="1">
        <f t="array" aca="1" ref="T10" ca="1">INDIRECT("'"&amp;A10&amp;"'!C$17")</f>
        <v>0</v>
      </c>
      <c r="U10" s="149" cm="1">
        <f t="array" aca="1" ref="U10" ca="1">INDIRECT("'"&amp;A10&amp;"'!B$20")+INDIRECT("'"&amp;A10&amp;"'!C$20")</f>
        <v>0</v>
      </c>
      <c r="V10" s="149" cm="1">
        <f t="array" aca="1" ref="V10" ca="1">INDIRECT("'"&amp;A10&amp;"'!B$19")+INDIRECT("'"&amp;A10&amp;"'!C$19")</f>
        <v>22.5</v>
      </c>
      <c r="W10" s="45"/>
      <c r="X10" s="284">
        <f ca="1">O10*Constants!$B$6</f>
        <v>0</v>
      </c>
      <c r="Y10" s="284">
        <f ca="1">P10*Constants!$B$6</f>
        <v>0</v>
      </c>
      <c r="Z10" s="284" cm="1">
        <f t="array" aca="1" ref="Z10" ca="1">INDIRECT("'"&amp;$A10&amp;"'!B$21")</f>
        <v>0</v>
      </c>
      <c r="AA10" s="284" cm="1">
        <f t="array" aca="1" ref="AA10" ca="1">INDIRECT("'"&amp;$A10&amp;"'!C$21")</f>
        <v>0</v>
      </c>
      <c r="AB10" s="284">
        <f ca="1">S10*Constants!$B$8</f>
        <v>840</v>
      </c>
      <c r="AC10" s="284">
        <f ca="1">T10*Constants!$B$8</f>
        <v>0</v>
      </c>
      <c r="AD10" s="284" cm="1">
        <f t="array" aca="1" ref="AD10" ca="1">INDIRECT("'"&amp;A10&amp;"'!B$22")+INDIRECT("'"&amp;A10&amp;"'!C$22")</f>
        <v>0</v>
      </c>
      <c r="AE10" s="149">
        <f ca="1">ROUND(V10/Constants!$B$22,0)</f>
        <v>0</v>
      </c>
      <c r="AF10" s="45"/>
      <c r="AG10" s="149" cm="1">
        <f t="array" aca="1" ref="AG10" ca="1">INDIRECT("'"&amp;A10&amp;"'!E16")</f>
        <v>0</v>
      </c>
      <c r="AH10" s="149" cm="1">
        <f t="array" aca="1" ref="AH10" ca="1">INDIRECT("'"&amp;A10&amp;"'!D16")</f>
        <v>0</v>
      </c>
      <c r="AI10" s="149" cm="1">
        <f t="array" aca="1" ref="AI10" ca="1">INDIRECT("'"&amp;A10&amp;"'!E18")</f>
        <v>0</v>
      </c>
      <c r="AJ10" s="149" cm="1">
        <f t="array" aca="1" ref="AJ10" ca="1">INDIRECT("'"&amp;A10&amp;"'!D18")</f>
        <v>0</v>
      </c>
      <c r="AK10" s="149" cm="1">
        <f t="array" aca="1" ref="AK10" ca="1">INDIRECT("'"&amp;A10&amp;"'!E$17")</f>
        <v>84</v>
      </c>
      <c r="AL10" s="149" cm="1">
        <f t="array" aca="1" ref="AL10" ca="1">INDIRECT("'"&amp;A10&amp;"'!D$17")</f>
        <v>0</v>
      </c>
      <c r="AM10" s="149" cm="1">
        <f t="array" aca="1" ref="AM10" ca="1">INDIRECT("'"&amp;A10&amp;"'!E$20")</f>
        <v>0</v>
      </c>
      <c r="AN10" s="149" cm="1">
        <f t="array" aca="1" ref="AN10" ca="1">INDIRECT("'"&amp;A10&amp;"'!D$20")</f>
        <v>0</v>
      </c>
      <c r="AO10" s="149">
        <f ca="1">SUM(INDIRECT("'"&amp;$A10&amp;"'!F$16"):INDIRECT("'"&amp;$A10&amp;"'!F$20"))</f>
        <v>0</v>
      </c>
      <c r="AP10" s="149" cm="1">
        <f t="array" aca="1" ref="AP10" ca="1">INDIRECT("'"&amp;A10&amp;"'!D$19")+INDIRECT("'"&amp;A10&amp;"'!E$19")</f>
        <v>142.5</v>
      </c>
      <c r="AQ10" s="45"/>
      <c r="AR10" s="284">
        <f ca="1">AG10*Constants!$B$6</f>
        <v>0</v>
      </c>
      <c r="AS10" s="284">
        <f ca="1">AH10*Constants!$B$6</f>
        <v>0</v>
      </c>
      <c r="AT10" s="284" cm="1">
        <f t="array" aca="1" ref="AT10" ca="1">INDIRECT("'"&amp;$A10&amp;"'!E$21")</f>
        <v>0</v>
      </c>
      <c r="AU10" s="284" cm="1">
        <f t="array" aca="1" ref="AU10" ca="1">INDIRECT("'"&amp;$A10&amp;"'!D$21")</f>
        <v>0</v>
      </c>
      <c r="AV10" s="284">
        <f ca="1">AK10*Constants!$B$8</f>
        <v>420</v>
      </c>
      <c r="AW10" s="284">
        <f ca="1">AL10*Constants!$B$8</f>
        <v>0</v>
      </c>
      <c r="AX10" s="284" cm="1">
        <f t="array" aca="1" ref="AX10" ca="1">INDIRECT("'"&amp;A10&amp;"'!E$22")</f>
        <v>0</v>
      </c>
      <c r="AY10" s="284" cm="1">
        <f t="array" aca="1" ref="AY10" ca="1">INDIRECT("'"&amp;A10&amp;"'!D$22")</f>
        <v>0</v>
      </c>
      <c r="AZ10" s="284" cm="1">
        <f t="array" aca="1" ref="AZ10" ca="1">INDIRECT("'"&amp;$A10&amp;"'!F$23")</f>
        <v>0</v>
      </c>
      <c r="BA10" s="284" cm="1">
        <f t="array" aca="1" ref="BA10" ca="1">INDIRECT("'"&amp;$A10&amp;"'!E$24")</f>
        <v>0</v>
      </c>
      <c r="BB10" s="149">
        <f ca="1">ROUND(AP10/Constants!$B$22,0)</f>
        <v>2</v>
      </c>
      <c r="BC10" s="150">
        <f>'Student Trainers'!G9</f>
        <v>225</v>
      </c>
      <c r="BD10" s="46"/>
      <c r="BE10" s="151" cm="1">
        <f t="array" aca="1" ref="BE10" ca="1">INDIRECT("'"&amp;$A10&amp;"'!H$16")</f>
        <v>195</v>
      </c>
      <c r="BF10" s="151" cm="1">
        <f t="array" aca="1" ref="BF10" ca="1">INDIRECT("'"&amp;$A10&amp;"'!I$16")</f>
        <v>0</v>
      </c>
      <c r="BG10" s="46"/>
      <c r="BH10" s="285" cm="1">
        <f t="array" aca="1" ref="BH10" ca="1">INDIRECT("'"&amp;$A10&amp;"'!H$17")</f>
        <v>2925</v>
      </c>
      <c r="BI10" s="285">
        <f ca="1">BH10*'Total Budget'!D$54/$BH$38</f>
        <v>3156.3289428850062</v>
      </c>
      <c r="BJ10" s="285" cm="1">
        <f t="array" aca="1" ref="BJ10" ca="1">INDIRECT("'"&amp;$A10&amp;"'!I$17")</f>
        <v>0</v>
      </c>
      <c r="BK10" s="285" cm="1">
        <f t="array" aca="1" ref="BK10" ca="1">INDIRECT("'"&amp;$A10&amp;"'!I$19")</f>
        <v>0</v>
      </c>
      <c r="BL10" s="286"/>
      <c r="BM10" s="287" cm="1">
        <f t="array" aca="1" ref="BM10" ca="1">INDIRECT("'"&amp;$A10&amp;"'!J$16")</f>
        <v>3276</v>
      </c>
      <c r="BN10" s="288" cm="1">
        <f t="array" aca="1" ref="BN10" ca="1">INDIRECT("'"&amp;$A10&amp;"'!K$16")</f>
        <v>1478</v>
      </c>
      <c r="BO10" s="16"/>
      <c r="BP10" s="289">
        <f t="shared" ca="1" si="2"/>
        <v>5699.3289428850057</v>
      </c>
      <c r="BQ10" s="499">
        <f t="shared" ca="1" si="3"/>
        <v>178.10402946515643</v>
      </c>
      <c r="BR10" s="500">
        <f ca="1">BQ10/$BQ$38</f>
        <v>0.55360601270352094</v>
      </c>
      <c r="BS10" s="498">
        <f ca="1">MAX(0, BP10-Constants!B$18*C10*$BQ$38)</f>
        <v>0</v>
      </c>
      <c r="BU10" s="497">
        <f t="shared" ca="1" si="5"/>
        <v>252.56461649983459</v>
      </c>
      <c r="BV10" s="496">
        <f t="shared" ca="1" si="6"/>
        <v>7.8926442656198308</v>
      </c>
    </row>
    <row r="11" spans="1:74" ht="14.25" customHeight="1">
      <c r="A11" s="44" t="s">
        <v>200</v>
      </c>
      <c r="B11" s="148">
        <v>5</v>
      </c>
      <c r="C11" s="148">
        <f t="array" aca="1" ref="C11" ca="1">INDIRECT("'"&amp;A11&amp;"'!B$7")</f>
        <v>307</v>
      </c>
      <c r="D11" s="148" t="str">
        <f t="array" aca="1" ref="D11" ca="1">INDIRECT("'"&amp;A11&amp;"'!B$9")</f>
        <v>yes</v>
      </c>
      <c r="E11" s="45"/>
      <c r="F11" s="281" cm="1">
        <f t="array" aca="1" ref="F11" ca="1">INDIRECT("'"&amp;A11&amp;"'!M$15")</f>
        <v>4500</v>
      </c>
      <c r="G11" s="281" cm="1">
        <f t="array" aca="1" ref="G11" ca="1">INDIRECT("'"&amp;A11&amp;"'!M$16")</f>
        <v>0</v>
      </c>
      <c r="H11" s="281" cm="1">
        <f t="array" aca="1" ref="H11" ca="1">INDIRECT("'"&amp;$A11&amp;"'!M$17")</f>
        <v>41374</v>
      </c>
      <c r="I11" s="282">
        <f t="shared" ca="1" si="0"/>
        <v>0</v>
      </c>
      <c r="J11" s="282">
        <f t="shared" ca="1" si="7"/>
        <v>0</v>
      </c>
      <c r="K11" s="282">
        <f ca="1">C11*Constants!C$31</f>
        <v>13815</v>
      </c>
      <c r="L11" s="282">
        <f t="shared" ca="1" si="1"/>
        <v>3538.0935516137051</v>
      </c>
      <c r="M11" s="281" cm="1">
        <f t="array" aca="1" ref="M11" ca="1">INDIRECT("'"&amp;$A11&amp;"'!M$21")+J11</f>
        <v>63227.093551613703</v>
      </c>
      <c r="N11" s="45"/>
      <c r="O11" s="149" cm="1">
        <f t="array" aca="1" ref="O11" ca="1">INDIRECT("'"&amp;$A11&amp;"'!B$16")</f>
        <v>336</v>
      </c>
      <c r="P11" s="149" cm="1">
        <f t="array" aca="1" ref="P11" ca="1">INDIRECT("'"&amp;$A11&amp;"'!C$16")</f>
        <v>280</v>
      </c>
      <c r="Q11" s="149" cm="1">
        <f t="array" aca="1" ref="Q11" ca="1">INDIRECT("'"&amp;$A11&amp;"'!B$18")</f>
        <v>0</v>
      </c>
      <c r="R11" s="149" cm="1">
        <f t="array" aca="1" ref="R11" ca="1">INDIRECT("'"&amp;$A11&amp;"'!C$18")</f>
        <v>0</v>
      </c>
      <c r="S11" s="149" cm="1">
        <f t="array" aca="1" ref="S11" ca="1">INDIRECT("'"&amp;A11&amp;"'!B$17")</f>
        <v>0</v>
      </c>
      <c r="T11" s="149" cm="1">
        <f t="array" aca="1" ref="T11" ca="1">INDIRECT("'"&amp;A11&amp;"'!C$17")</f>
        <v>0</v>
      </c>
      <c r="U11" s="149" cm="1">
        <f t="array" aca="1" ref="U11" ca="1">INDIRECT("'"&amp;A11&amp;"'!B$20")+INDIRECT("'"&amp;A11&amp;"'!C$20")</f>
        <v>0</v>
      </c>
      <c r="V11" s="149" cm="1">
        <f t="array" aca="1" ref="V11" ca="1">INDIRECT("'"&amp;A11&amp;"'!B$19")+INDIRECT("'"&amp;A11&amp;"'!C$19")</f>
        <v>3528</v>
      </c>
      <c r="W11" s="45"/>
      <c r="X11" s="284">
        <f ca="1">O11*Constants!$B$6</f>
        <v>16800</v>
      </c>
      <c r="Y11" s="284">
        <f ca="1">P11*Constants!$B$6</f>
        <v>14000</v>
      </c>
      <c r="Z11" s="284" cm="1">
        <f t="array" aca="1" ref="Z11" ca="1">INDIRECT("'"&amp;$A11&amp;"'!B$21")</f>
        <v>0</v>
      </c>
      <c r="AA11" s="284" cm="1">
        <f t="array" aca="1" ref="AA11" ca="1">INDIRECT("'"&amp;$A11&amp;"'!C$21")</f>
        <v>0</v>
      </c>
      <c r="AB11" s="284">
        <f ca="1">S11*Constants!$B$8</f>
        <v>0</v>
      </c>
      <c r="AC11" s="284">
        <f ca="1">T11*Constants!$B$8</f>
        <v>0</v>
      </c>
      <c r="AD11" s="284" cm="1">
        <f t="array" aca="1" ref="AD11" ca="1">INDIRECT("'"&amp;A11&amp;"'!B$22")+INDIRECT("'"&amp;A11&amp;"'!C$22")</f>
        <v>0</v>
      </c>
      <c r="AE11" s="149">
        <f ca="1">ROUND(V11/Constants!$B$22,0)</f>
        <v>59</v>
      </c>
      <c r="AF11" s="45"/>
      <c r="AG11" s="149" cm="1">
        <f t="array" aca="1" ref="AG11" ca="1">INDIRECT("'"&amp;A11&amp;"'!E16")</f>
        <v>0</v>
      </c>
      <c r="AH11" s="149" cm="1">
        <f t="array" aca="1" ref="AH11" ca="1">INDIRECT("'"&amp;A11&amp;"'!D16")</f>
        <v>0</v>
      </c>
      <c r="AI11" s="149" cm="1">
        <f t="array" aca="1" ref="AI11" ca="1">INDIRECT("'"&amp;A11&amp;"'!E18")</f>
        <v>0</v>
      </c>
      <c r="AJ11" s="149" cm="1">
        <f t="array" aca="1" ref="AJ11" ca="1">INDIRECT("'"&amp;A11&amp;"'!D18")</f>
        <v>0</v>
      </c>
      <c r="AK11" s="149" cm="1">
        <f t="array" aca="1" ref="AK11" ca="1">INDIRECT("'"&amp;A11&amp;"'!E$17")</f>
        <v>0</v>
      </c>
      <c r="AL11" s="149" cm="1">
        <f t="array" aca="1" ref="AL11" ca="1">INDIRECT("'"&amp;A11&amp;"'!D$17")</f>
        <v>0</v>
      </c>
      <c r="AM11" s="149" cm="1">
        <f t="array" aca="1" ref="AM11" ca="1">INDIRECT("'"&amp;A11&amp;"'!E$20")</f>
        <v>0</v>
      </c>
      <c r="AN11" s="149" cm="1">
        <f t="array" aca="1" ref="AN11" ca="1">INDIRECT("'"&amp;A11&amp;"'!D$20")</f>
        <v>0</v>
      </c>
      <c r="AO11" s="149">
        <f ca="1">SUM(INDIRECT("'"&amp;$A11&amp;"'!F$16"):INDIRECT("'"&amp;$A11&amp;"'!F$20"))</f>
        <v>453.59999999999997</v>
      </c>
      <c r="AP11" s="149" cm="1">
        <f t="array" aca="1" ref="AP11" ca="1">INDIRECT("'"&amp;A11&amp;"'!D$19")+INDIRECT("'"&amp;A11&amp;"'!E$19")</f>
        <v>3178</v>
      </c>
      <c r="AQ11" s="45"/>
      <c r="AR11" s="284">
        <f ca="1">AG11*Constants!$B$6</f>
        <v>0</v>
      </c>
      <c r="AS11" s="284">
        <f ca="1">AH11*Constants!$B$6</f>
        <v>0</v>
      </c>
      <c r="AT11" s="284" cm="1">
        <f t="array" aca="1" ref="AT11" ca="1">INDIRECT("'"&amp;$A11&amp;"'!E$21")</f>
        <v>0</v>
      </c>
      <c r="AU11" s="284" cm="1">
        <f t="array" aca="1" ref="AU11" ca="1">INDIRECT("'"&amp;$A11&amp;"'!D$21")</f>
        <v>0</v>
      </c>
      <c r="AV11" s="284">
        <f ca="1">AK11*Constants!$B$8</f>
        <v>0</v>
      </c>
      <c r="AW11" s="284">
        <f ca="1">AL11*Constants!$B$8</f>
        <v>0</v>
      </c>
      <c r="AX11" s="284" cm="1">
        <f t="array" aca="1" ref="AX11" ca="1">INDIRECT("'"&amp;A11&amp;"'!E$22")</f>
        <v>0</v>
      </c>
      <c r="AY11" s="284" cm="1">
        <f t="array" aca="1" ref="AY11" ca="1">INDIRECT("'"&amp;A11&amp;"'!D$22")</f>
        <v>0</v>
      </c>
      <c r="AZ11" s="284" cm="1">
        <f t="array" aca="1" ref="AZ11" ca="1">INDIRECT("'"&amp;$A11&amp;"'!F$23")</f>
        <v>18900</v>
      </c>
      <c r="BA11" s="284" cm="1">
        <f t="array" aca="1" ref="BA11" ca="1">INDIRECT("'"&amp;$A11&amp;"'!E$24")</f>
        <v>2490</v>
      </c>
      <c r="BB11" s="149">
        <f ca="1">ROUND(AP11/Constants!$B$22,0)</f>
        <v>53</v>
      </c>
      <c r="BC11" s="150">
        <f>'Student Trainers'!G10</f>
        <v>1450</v>
      </c>
      <c r="BD11" s="46"/>
      <c r="BE11" s="151" cm="1">
        <f t="array" aca="1" ref="BE11" ca="1">INDIRECT("'"&amp;$A11&amp;"'!H$16")</f>
        <v>40</v>
      </c>
      <c r="BF11" s="151" cm="1">
        <f t="array" aca="1" ref="BF11" ca="1">INDIRECT("'"&amp;$A11&amp;"'!I$16")</f>
        <v>0</v>
      </c>
      <c r="BG11" s="46"/>
      <c r="BH11" s="285" cm="1">
        <f t="array" aca="1" ref="BH11" ca="1">INDIRECT("'"&amp;$A11&amp;"'!H$17")</f>
        <v>0</v>
      </c>
      <c r="BI11" s="285">
        <f ca="1">BH11*'Total Budget'!D$54/$BH$38</f>
        <v>0</v>
      </c>
      <c r="BJ11" s="285" cm="1">
        <f t="array" aca="1" ref="BJ11" ca="1">INDIRECT("'"&amp;$A11&amp;"'!I$17")</f>
        <v>0</v>
      </c>
      <c r="BK11" s="285" cm="1">
        <f t="array" aca="1" ref="BK11" ca="1">INDIRECT("'"&amp;$A11&amp;"'!I$19")</f>
        <v>0</v>
      </c>
      <c r="BL11" s="286"/>
      <c r="BM11" s="287" cm="1">
        <f t="array" aca="1" ref="BM11" ca="1">INDIRECT("'"&amp;$A11&amp;"'!J$16")</f>
        <v>72074</v>
      </c>
      <c r="BN11" s="288" cm="1">
        <f t="array" aca="1" ref="BN11" ca="1">INDIRECT("'"&amp;$A11&amp;"'!K$16")</f>
        <v>30700</v>
      </c>
      <c r="BO11" s="16"/>
      <c r="BP11" s="289">
        <f t="shared" ca="1" si="2"/>
        <v>79840</v>
      </c>
      <c r="BQ11" s="499">
        <f t="shared" ca="1" si="3"/>
        <v>260.06514657980455</v>
      </c>
      <c r="BR11" s="500">
        <f t="shared" ca="1" si="4"/>
        <v>0.808368172654784</v>
      </c>
      <c r="BS11" s="498">
        <f ca="1">MAX(0, BP11-Constants!B$18*C11*$BQ$38)</f>
        <v>0</v>
      </c>
      <c r="BU11" s="497">
        <f t="shared" ca="1" si="5"/>
        <v>3538.0935516137051</v>
      </c>
      <c r="BV11" s="496">
        <f t="shared" ca="1" si="6"/>
        <v>11.524734695810114</v>
      </c>
    </row>
    <row r="12" spans="1:74" ht="14.25" customHeight="1">
      <c r="A12" s="44" t="s">
        <v>348</v>
      </c>
      <c r="B12" s="148">
        <v>5</v>
      </c>
      <c r="C12" s="148">
        <f t="array" aca="1" ref="C12" ca="1">INDIRECT("'"&amp;A12&amp;"'!B$7")</f>
        <v>64</v>
      </c>
      <c r="D12" s="148" t="str">
        <f t="array" aca="1" ref="D12" ca="1">INDIRECT("'"&amp;A12&amp;"'!B$9")</f>
        <v>yes</v>
      </c>
      <c r="E12" s="45"/>
      <c r="F12" s="281" cm="1">
        <f t="array" aca="1" ref="F12" ca="1">INDIRECT("'"&amp;A12&amp;"'!M$15")</f>
        <v>0</v>
      </c>
      <c r="G12" s="281" cm="1">
        <f t="array" aca="1" ref="G12" ca="1">INDIRECT("'"&amp;A12&amp;"'!M$16")</f>
        <v>0</v>
      </c>
      <c r="H12" s="281" cm="1">
        <f t="array" aca="1" ref="H12" ca="1">INDIRECT("'"&amp;$A12&amp;"'!M$17")</f>
        <v>13511</v>
      </c>
      <c r="I12" s="282">
        <f t="shared" ca="1" si="0"/>
        <v>0</v>
      </c>
      <c r="J12" s="282">
        <f t="shared" ca="1" si="7"/>
        <v>0</v>
      </c>
      <c r="K12" s="282">
        <f ca="1">C12*Constants!C$31</f>
        <v>2880</v>
      </c>
      <c r="L12" s="282">
        <f t="shared" ca="1" si="1"/>
        <v>491.82779662555993</v>
      </c>
      <c r="M12" s="281" cm="1">
        <f t="array" aca="1" ref="M12" ca="1">INDIRECT("'"&amp;$A12&amp;"'!M$21")+J12</f>
        <v>13511</v>
      </c>
      <c r="N12" s="45"/>
      <c r="O12" s="149" cm="1">
        <f t="array" aca="1" ref="O12" ca="1">INDIRECT("'"&amp;$A12&amp;"'!B$16")</f>
        <v>0</v>
      </c>
      <c r="P12" s="149" cm="1">
        <f t="array" aca="1" ref="P12" ca="1">INDIRECT("'"&amp;$A12&amp;"'!C$16")</f>
        <v>0</v>
      </c>
      <c r="Q12" s="149" cm="1">
        <f t="array" aca="1" ref="Q12" ca="1">INDIRECT("'"&amp;$A12&amp;"'!B$18")</f>
        <v>0</v>
      </c>
      <c r="R12" s="149" cm="1">
        <f t="array" aca="1" ref="R12" ca="1">INDIRECT("'"&amp;$A12&amp;"'!C$18")</f>
        <v>0</v>
      </c>
      <c r="S12" s="149" cm="1">
        <f t="array" aca="1" ref="S12" ca="1">INDIRECT("'"&amp;A12&amp;"'!B$17")</f>
        <v>0</v>
      </c>
      <c r="T12" s="149" cm="1">
        <f t="array" aca="1" ref="T12" ca="1">INDIRECT("'"&amp;A12&amp;"'!C$17")</f>
        <v>0</v>
      </c>
      <c r="U12" s="149" cm="1">
        <f t="array" aca="1" ref="U12" ca="1">INDIRECT("'"&amp;A12&amp;"'!B$20")+INDIRECT("'"&amp;A12&amp;"'!C$20")</f>
        <v>0</v>
      </c>
      <c r="V12" s="149" cm="1">
        <f t="array" aca="1" ref="V12" ca="1">INDIRECT("'"&amp;A12&amp;"'!B$19")+INDIRECT("'"&amp;A12&amp;"'!C$19")</f>
        <v>0</v>
      </c>
      <c r="W12" s="45"/>
      <c r="X12" s="284">
        <f ca="1">O12*Constants!$B$6</f>
        <v>0</v>
      </c>
      <c r="Y12" s="284">
        <f ca="1">P12*Constants!$B$6</f>
        <v>0</v>
      </c>
      <c r="Z12" s="284" cm="1">
        <f t="array" aca="1" ref="Z12" ca="1">INDIRECT("'"&amp;$A12&amp;"'!B$21")</f>
        <v>0</v>
      </c>
      <c r="AA12" s="284" cm="1">
        <f t="array" aca="1" ref="AA12" ca="1">INDIRECT("'"&amp;$A12&amp;"'!C$21")</f>
        <v>0</v>
      </c>
      <c r="AB12" s="284">
        <f ca="1">S12*Constants!$B$8</f>
        <v>0</v>
      </c>
      <c r="AC12" s="284">
        <f ca="1">T12*Constants!$B$8</f>
        <v>0</v>
      </c>
      <c r="AD12" s="284" cm="1">
        <f t="array" aca="1" ref="AD12" ca="1">INDIRECT("'"&amp;A12&amp;"'!B$22")+INDIRECT("'"&amp;A12&amp;"'!C$22")</f>
        <v>0</v>
      </c>
      <c r="AE12" s="149">
        <f ca="1">ROUND(V12/Constants!$B$22,0)</f>
        <v>0</v>
      </c>
      <c r="AF12" s="45"/>
      <c r="AG12" s="149" cm="1">
        <f t="array" aca="1" ref="AG12" ca="1">INDIRECT("'"&amp;A12&amp;"'!E16")</f>
        <v>0</v>
      </c>
      <c r="AH12" s="149" cm="1">
        <f t="array" aca="1" ref="AH12" ca="1">INDIRECT("'"&amp;A12&amp;"'!D16")</f>
        <v>0</v>
      </c>
      <c r="AI12" s="149" cm="1">
        <f t="array" aca="1" ref="AI12" ca="1">INDIRECT("'"&amp;A12&amp;"'!E18")</f>
        <v>0</v>
      </c>
      <c r="AJ12" s="149" cm="1">
        <f t="array" aca="1" ref="AJ12" ca="1">INDIRECT("'"&amp;A12&amp;"'!D18")</f>
        <v>0</v>
      </c>
      <c r="AK12" s="149" cm="1">
        <f t="array" aca="1" ref="AK12" ca="1">INDIRECT("'"&amp;A12&amp;"'!E$17")</f>
        <v>0</v>
      </c>
      <c r="AL12" s="149" cm="1">
        <f t="array" aca="1" ref="AL12" ca="1">INDIRECT("'"&amp;A12&amp;"'!D$17")</f>
        <v>0</v>
      </c>
      <c r="AM12" s="149" cm="1">
        <f t="array" aca="1" ref="AM12" ca="1">INDIRECT("'"&amp;A12&amp;"'!E$20")</f>
        <v>0</v>
      </c>
      <c r="AN12" s="149" cm="1">
        <f t="array" aca="1" ref="AN12" ca="1">INDIRECT("'"&amp;A12&amp;"'!D$20")</f>
        <v>0</v>
      </c>
      <c r="AO12" s="149">
        <f ca="1">SUM(INDIRECT("'"&amp;$A12&amp;"'!F$16"):INDIRECT("'"&amp;$A12&amp;"'!F$20"))</f>
        <v>0</v>
      </c>
      <c r="AP12" s="149" cm="1">
        <f t="array" aca="1" ref="AP12" ca="1">INDIRECT("'"&amp;A12&amp;"'!D$19")+INDIRECT("'"&amp;A12&amp;"'!E$19")</f>
        <v>393</v>
      </c>
      <c r="AQ12" s="45"/>
      <c r="AR12" s="284">
        <f ca="1">AG12*Constants!$B$6</f>
        <v>0</v>
      </c>
      <c r="AS12" s="284">
        <f ca="1">AH12*Constants!$B$6</f>
        <v>0</v>
      </c>
      <c r="AT12" s="284" cm="1">
        <f t="array" aca="1" ref="AT12" ca="1">INDIRECT("'"&amp;$A12&amp;"'!E$21")</f>
        <v>0</v>
      </c>
      <c r="AU12" s="284" cm="1">
        <f t="array" aca="1" ref="AU12" ca="1">INDIRECT("'"&amp;$A12&amp;"'!D$21")</f>
        <v>0</v>
      </c>
      <c r="AV12" s="284">
        <f ca="1">AK12*Constants!$B$8</f>
        <v>0</v>
      </c>
      <c r="AW12" s="284">
        <f ca="1">AL12*Constants!$B$8</f>
        <v>0</v>
      </c>
      <c r="AX12" s="284" cm="1">
        <f t="array" aca="1" ref="AX12" ca="1">INDIRECT("'"&amp;A12&amp;"'!E$22")</f>
        <v>0</v>
      </c>
      <c r="AY12" s="284" cm="1">
        <f t="array" aca="1" ref="AY12" ca="1">INDIRECT("'"&amp;A12&amp;"'!D$22")</f>
        <v>0</v>
      </c>
      <c r="AZ12" s="284" cm="1">
        <f t="array" aca="1" ref="AZ12" ca="1">INDIRECT("'"&amp;$A12&amp;"'!F$23")</f>
        <v>0</v>
      </c>
      <c r="BA12" s="284" cm="1">
        <f t="array" aca="1" ref="BA12" ca="1">INDIRECT("'"&amp;$A12&amp;"'!E$24")</f>
        <v>0</v>
      </c>
      <c r="BB12" s="149">
        <f ca="1">ROUND(AP12/Constants!$B$22,0)</f>
        <v>7</v>
      </c>
      <c r="BC12" s="150">
        <f>'Student Trainers'!G11</f>
        <v>825</v>
      </c>
      <c r="BD12" s="46"/>
      <c r="BE12" s="151" cm="1">
        <f t="array" aca="1" ref="BE12" ca="1">INDIRECT("'"&amp;$A12&amp;"'!H$16")</f>
        <v>40</v>
      </c>
      <c r="BF12" s="151" cm="1">
        <f t="array" aca="1" ref="BF12" ca="1">INDIRECT("'"&amp;$A12&amp;"'!I$16")</f>
        <v>2</v>
      </c>
      <c r="BG12" s="46"/>
      <c r="BH12" s="285" cm="1">
        <f t="array" aca="1" ref="BH12" ca="1">INDIRECT("'"&amp;$A12&amp;"'!H$17")</f>
        <v>0</v>
      </c>
      <c r="BI12" s="285">
        <f ca="1">BH12*'Total Budget'!D$54/$BH$38</f>
        <v>0</v>
      </c>
      <c r="BJ12" s="285" cm="1">
        <f t="array" aca="1" ref="BJ12" ca="1">INDIRECT("'"&amp;$A12&amp;"'!I$17")</f>
        <v>3873.5</v>
      </c>
      <c r="BK12" s="285" cm="1">
        <f t="array" aca="1" ref="BK12" ca="1">INDIRECT("'"&amp;$A12&amp;"'!I$19")</f>
        <v>3873.5</v>
      </c>
      <c r="BL12" s="286"/>
      <c r="BM12" s="287" cm="1">
        <f t="array" aca="1" ref="BM12" ca="1">INDIRECT("'"&amp;$A12&amp;"'!J$16")</f>
        <v>19911</v>
      </c>
      <c r="BN12" s="288" cm="1">
        <f t="array" aca="1" ref="BN12" ca="1">INDIRECT("'"&amp;$A12&amp;"'!K$16")</f>
        <v>6400</v>
      </c>
      <c r="BO12" s="16"/>
      <c r="BP12" s="289">
        <f t="shared" ca="1" si="2"/>
        <v>11098.5</v>
      </c>
      <c r="BQ12" s="499">
        <f t="shared" ca="1" si="3"/>
        <v>173.4140625</v>
      </c>
      <c r="BR12" s="500">
        <f t="shared" ca="1" si="4"/>
        <v>0.53902804993036857</v>
      </c>
      <c r="BS12" s="498">
        <f ca="1">MAX(0, BP12-Constants!B$18*C12*$BQ$38)</f>
        <v>0</v>
      </c>
      <c r="BU12" s="497">
        <f t="shared" ca="1" si="5"/>
        <v>491.82779662555993</v>
      </c>
      <c r="BV12" s="496">
        <f t="shared" ca="1" si="6"/>
        <v>7.6848093222743739</v>
      </c>
    </row>
    <row r="13" spans="1:74" ht="14.25" customHeight="1">
      <c r="A13" s="44" t="s">
        <v>111</v>
      </c>
      <c r="B13" s="148">
        <v>2</v>
      </c>
      <c r="C13" s="148">
        <f t="array" aca="1" ref="C13" ca="1">INDIRECT("'"&amp;A13&amp;"'!B$7")</f>
        <v>401</v>
      </c>
      <c r="D13" s="148" t="str">
        <f t="array" aca="1" ref="D13" ca="1">INDIRECT("'"&amp;A13&amp;"'!B$9")</f>
        <v>yes</v>
      </c>
      <c r="E13" s="45"/>
      <c r="F13" s="281" cm="1">
        <f t="array" aca="1" ref="F13" ca="1">INDIRECT("'"&amp;A13&amp;"'!M$15")</f>
        <v>5166.6666666666661</v>
      </c>
      <c r="G13" s="281" cm="1">
        <f t="array" aca="1" ref="G13" ca="1">INDIRECT("'"&amp;A13&amp;"'!M$16")</f>
        <v>0</v>
      </c>
      <c r="H13" s="281" cm="1">
        <f t="array" aca="1" ref="H13" ca="1">INDIRECT("'"&amp;$A13&amp;"'!M$17")</f>
        <v>614</v>
      </c>
      <c r="I13" s="282">
        <f t="shared" ca="1" si="0"/>
        <v>0</v>
      </c>
      <c r="J13" s="282">
        <f t="shared" ca="1" si="7"/>
        <v>0</v>
      </c>
      <c r="K13" s="282">
        <f ca="1">C13*Constants!C$31</f>
        <v>18045</v>
      </c>
      <c r="L13" s="282">
        <f t="shared" ca="1" si="1"/>
        <v>7029.5529909144734</v>
      </c>
      <c r="M13" s="281" cm="1">
        <f t="array" aca="1" ref="M13" ca="1">INDIRECT("'"&amp;$A13&amp;"'!M$21")+J13</f>
        <v>30855.219657581139</v>
      </c>
      <c r="N13" s="45"/>
      <c r="O13" s="149" cm="1">
        <f t="array" aca="1" ref="O13" ca="1">INDIRECT("'"&amp;$A13&amp;"'!B$16")</f>
        <v>352.8</v>
      </c>
      <c r="P13" s="149" cm="1">
        <f t="array" aca="1" ref="P13" ca="1">INDIRECT("'"&amp;$A13&amp;"'!C$16")</f>
        <v>150</v>
      </c>
      <c r="Q13" s="149" cm="1">
        <f t="array" aca="1" ref="Q13" ca="1">INDIRECT("'"&amp;$A13&amp;"'!B$18")</f>
        <v>216</v>
      </c>
      <c r="R13" s="149" cm="1">
        <f t="array" aca="1" ref="R13" ca="1">INDIRECT("'"&amp;$A13&amp;"'!C$18")</f>
        <v>75</v>
      </c>
      <c r="S13" s="149" cm="1">
        <f t="array" aca="1" ref="S13" ca="1">INDIRECT("'"&amp;A13&amp;"'!B$17")</f>
        <v>0</v>
      </c>
      <c r="T13" s="149" cm="1">
        <f t="array" aca="1" ref="T13" ca="1">INDIRECT("'"&amp;A13&amp;"'!C$17")</f>
        <v>0</v>
      </c>
      <c r="U13" s="149" cm="1">
        <f t="array" aca="1" ref="U13" ca="1">INDIRECT("'"&amp;A13&amp;"'!B$20")+INDIRECT("'"&amp;A13&amp;"'!C$20")</f>
        <v>0</v>
      </c>
      <c r="V13" s="149" cm="1">
        <f t="array" aca="1" ref="V13" ca="1">INDIRECT("'"&amp;A13&amp;"'!B$19")+INDIRECT("'"&amp;A13&amp;"'!C$19")</f>
        <v>250</v>
      </c>
      <c r="W13" s="45"/>
      <c r="X13" s="284">
        <f ca="1">O13*Constants!$B$6</f>
        <v>17640</v>
      </c>
      <c r="Y13" s="284">
        <f ca="1">P13*Constants!$B$6</f>
        <v>7500</v>
      </c>
      <c r="Z13" s="284" cm="1">
        <f t="array" aca="1" ref="Z13" ca="1">INDIRECT("'"&amp;$A13&amp;"'!B$21")</f>
        <v>10800</v>
      </c>
      <c r="AA13" s="284" cm="1">
        <f t="array" aca="1" ref="AA13" ca="1">INDIRECT("'"&amp;$A13&amp;"'!C$21")</f>
        <v>3750</v>
      </c>
      <c r="AB13" s="284">
        <f ca="1">S13*Constants!$B$8</f>
        <v>0</v>
      </c>
      <c r="AC13" s="284">
        <f ca="1">T13*Constants!$B$8</f>
        <v>0</v>
      </c>
      <c r="AD13" s="284" cm="1">
        <f t="array" aca="1" ref="AD13" ca="1">INDIRECT("'"&amp;A13&amp;"'!B$22")+INDIRECT("'"&amp;A13&amp;"'!C$22")</f>
        <v>0</v>
      </c>
      <c r="AE13" s="149">
        <f ca="1">ROUND(V13/Constants!$B$22,0)</f>
        <v>4</v>
      </c>
      <c r="AF13" s="45"/>
      <c r="AG13" s="149" cm="1">
        <f t="array" aca="1" ref="AG13" ca="1">INDIRECT("'"&amp;A13&amp;"'!E16")</f>
        <v>0</v>
      </c>
      <c r="AH13" s="149" cm="1">
        <f t="array" aca="1" ref="AH13" ca="1">INDIRECT("'"&amp;A13&amp;"'!D16")</f>
        <v>0</v>
      </c>
      <c r="AI13" s="149" cm="1">
        <f t="array" aca="1" ref="AI13" ca="1">INDIRECT("'"&amp;A13&amp;"'!E18")</f>
        <v>0</v>
      </c>
      <c r="AJ13" s="149" cm="1">
        <f t="array" aca="1" ref="AJ13" ca="1">INDIRECT("'"&amp;A13&amp;"'!D18")</f>
        <v>0</v>
      </c>
      <c r="AK13" s="149" cm="1">
        <f t="array" aca="1" ref="AK13" ca="1">INDIRECT("'"&amp;A13&amp;"'!E$17")</f>
        <v>0</v>
      </c>
      <c r="AL13" s="149" cm="1">
        <f t="array" aca="1" ref="AL13" ca="1">INDIRECT("'"&amp;A13&amp;"'!D$17")</f>
        <v>0</v>
      </c>
      <c r="AM13" s="149" cm="1">
        <f t="array" aca="1" ref="AM13" ca="1">INDIRECT("'"&amp;A13&amp;"'!E$20")</f>
        <v>0</v>
      </c>
      <c r="AN13" s="149" cm="1">
        <f t="array" aca="1" ref="AN13" ca="1">INDIRECT("'"&amp;A13&amp;"'!D$20")</f>
        <v>0</v>
      </c>
      <c r="AO13" s="149">
        <f ca="1">SUM(INDIRECT("'"&amp;$A13&amp;"'!F$16"):INDIRECT("'"&amp;$A13&amp;"'!F$20"))</f>
        <v>237.6</v>
      </c>
      <c r="AP13" s="149" cm="1">
        <f t="array" aca="1" ref="AP13" ca="1">INDIRECT("'"&amp;A13&amp;"'!D$19")+INDIRECT("'"&amp;A13&amp;"'!E$19")</f>
        <v>2238</v>
      </c>
      <c r="AQ13" s="45"/>
      <c r="AR13" s="284">
        <f ca="1">AG13*Constants!$B$6</f>
        <v>0</v>
      </c>
      <c r="AS13" s="284">
        <f ca="1">AH13*Constants!$B$6</f>
        <v>0</v>
      </c>
      <c r="AT13" s="284" cm="1">
        <f t="array" aca="1" ref="AT13" ca="1">INDIRECT("'"&amp;$A13&amp;"'!E$21")</f>
        <v>0</v>
      </c>
      <c r="AU13" s="284" cm="1">
        <f t="array" aca="1" ref="AU13" ca="1">INDIRECT("'"&amp;$A13&amp;"'!D$21")</f>
        <v>0</v>
      </c>
      <c r="AV13" s="284">
        <f ca="1">AK13*Constants!$B$8</f>
        <v>0</v>
      </c>
      <c r="AW13" s="284">
        <f ca="1">AL13*Constants!$B$8</f>
        <v>0</v>
      </c>
      <c r="AX13" s="284" cm="1">
        <f t="array" aca="1" ref="AX13" ca="1">INDIRECT("'"&amp;A13&amp;"'!E$22")</f>
        <v>0</v>
      </c>
      <c r="AY13" s="284" cm="1">
        <f t="array" aca="1" ref="AY13" ca="1">INDIRECT("'"&amp;A13&amp;"'!D$22")</f>
        <v>0</v>
      </c>
      <c r="AZ13" s="284" cm="1">
        <f t="array" aca="1" ref="AZ13" ca="1">INDIRECT("'"&amp;$A13&amp;"'!F$23")</f>
        <v>9900</v>
      </c>
      <c r="BA13" s="284" cm="1">
        <f t="array" aca="1" ref="BA13" ca="1">INDIRECT("'"&amp;$A13&amp;"'!E$24")</f>
        <v>750</v>
      </c>
      <c r="BB13" s="149">
        <f ca="1">ROUND(AP13/Constants!$B$22,0)</f>
        <v>37</v>
      </c>
      <c r="BC13" s="150">
        <f>'Student Trainers'!G12</f>
        <v>2825</v>
      </c>
      <c r="BD13" s="46"/>
      <c r="BE13" s="151" cm="1">
        <f t="array" aca="1" ref="BE13" ca="1">INDIRECT("'"&amp;$A13&amp;"'!H$16")</f>
        <v>1600.5</v>
      </c>
      <c r="BF13" s="151" cm="1">
        <f t="array" aca="1" ref="BF13" ca="1">INDIRECT("'"&amp;$A13&amp;"'!I$16")</f>
        <v>0</v>
      </c>
      <c r="BG13" s="46"/>
      <c r="BH13" s="285" cm="1">
        <f t="array" aca="1" ref="BH13" ca="1">INDIRECT("'"&amp;$A13&amp;"'!H$17")</f>
        <v>102521.25</v>
      </c>
      <c r="BI13" s="285">
        <f ca="1">BH13*'Total Budget'!D$54/$BH$38</f>
        <v>110629.32944811948</v>
      </c>
      <c r="BJ13" s="285" cm="1">
        <f t="array" aca="1" ref="BJ13" ca="1">INDIRECT("'"&amp;$A13&amp;"'!I$17")</f>
        <v>0</v>
      </c>
      <c r="BK13" s="285" cm="1">
        <f t="array" aca="1" ref="BK13" ca="1">INDIRECT("'"&amp;$A13&amp;"'!I$19")</f>
        <v>0</v>
      </c>
      <c r="BL13" s="286"/>
      <c r="BM13" s="287" cm="1">
        <f t="array" aca="1" ref="BM13" ca="1">INDIRECT("'"&amp;$A13&amp;"'!J$16")</f>
        <v>614</v>
      </c>
      <c r="BN13" s="288" cm="1">
        <f t="array" aca="1" ref="BN13" ca="1">INDIRECT("'"&amp;$A13&amp;"'!K$16")</f>
        <v>0</v>
      </c>
      <c r="BO13" s="16"/>
      <c r="BP13" s="289">
        <f t="shared" ca="1" si="2"/>
        <v>158627.66278145282</v>
      </c>
      <c r="BQ13" s="499">
        <f t="shared" ca="1" si="3"/>
        <v>395.58020643753821</v>
      </c>
      <c r="BR13" s="500">
        <f t="shared" ca="1" si="4"/>
        <v>1.2295936338327744</v>
      </c>
      <c r="BS13" s="498">
        <f ca="1">MAX(0, BP13-Constants!B$18*C13*$BQ$38)</f>
        <v>0</v>
      </c>
      <c r="BU13" s="497">
        <f t="shared" ca="1" si="5"/>
        <v>7029.5529909144734</v>
      </c>
      <c r="BV13" s="496">
        <f t="shared" ca="1" si="6"/>
        <v>17.530057333951305</v>
      </c>
    </row>
    <row r="14" spans="1:74" ht="14.25" customHeight="1">
      <c r="A14" s="44" t="s">
        <v>89</v>
      </c>
      <c r="B14" s="148">
        <v>5</v>
      </c>
      <c r="C14" s="148">
        <f t="array" aca="1" ref="C14" ca="1">INDIRECT("'"&amp;A14&amp;"'!B$7")</f>
        <v>130</v>
      </c>
      <c r="D14" s="148" t="str">
        <f t="array" aca="1" ref="D14" ca="1">INDIRECT("'"&amp;A14&amp;"'!B$9")</f>
        <v>partial</v>
      </c>
      <c r="E14" s="45"/>
      <c r="F14" s="281" cm="1">
        <f t="array" aca="1" ref="F14" ca="1">INDIRECT("'"&amp;A14&amp;"'!M$15")</f>
        <v>0</v>
      </c>
      <c r="G14" s="281" cm="1">
        <f t="array" aca="1" ref="G14" ca="1">INDIRECT("'"&amp;A14&amp;"'!M$16")</f>
        <v>0</v>
      </c>
      <c r="H14" s="281" cm="1">
        <f t="array" aca="1" ref="H14" ca="1">INDIRECT("'"&amp;$A14&amp;"'!M$17")</f>
        <v>9779.5</v>
      </c>
      <c r="I14" s="282">
        <f t="shared" ca="1" si="0"/>
        <v>0</v>
      </c>
      <c r="J14" s="282">
        <f t="shared" ca="1" si="7"/>
        <v>0</v>
      </c>
      <c r="K14" s="282">
        <f ca="1">C14*Constants!C$31</f>
        <v>5850</v>
      </c>
      <c r="L14" s="282">
        <f t="shared" ca="1" si="1"/>
        <v>887.63295734877602</v>
      </c>
      <c r="M14" s="281" cm="1">
        <f t="array" aca="1" ref="M14" ca="1">INDIRECT("'"&amp;$A14&amp;"'!M$21")+J14</f>
        <v>16517.132957348775</v>
      </c>
      <c r="N14" s="45"/>
      <c r="O14" s="149" cm="1">
        <f t="array" aca="1" ref="O14" ca="1">INDIRECT("'"&amp;$A14&amp;"'!B$16")</f>
        <v>0</v>
      </c>
      <c r="P14" s="149" cm="1">
        <f t="array" aca="1" ref="P14" ca="1">INDIRECT("'"&amp;$A14&amp;"'!C$16")</f>
        <v>0</v>
      </c>
      <c r="Q14" s="149" cm="1">
        <f t="array" aca="1" ref="Q14" ca="1">INDIRECT("'"&amp;$A14&amp;"'!B$18")</f>
        <v>0</v>
      </c>
      <c r="R14" s="149" cm="1">
        <f t="array" aca="1" ref="R14" ca="1">INDIRECT("'"&amp;$A14&amp;"'!C$18")</f>
        <v>0</v>
      </c>
      <c r="S14" s="149" cm="1">
        <f t="array" aca="1" ref="S14" ca="1">INDIRECT("'"&amp;A14&amp;"'!B$17")</f>
        <v>0</v>
      </c>
      <c r="T14" s="149" cm="1">
        <f t="array" aca="1" ref="T14" ca="1">INDIRECT("'"&amp;A14&amp;"'!C$17")</f>
        <v>0</v>
      </c>
      <c r="U14" s="149" cm="1">
        <f t="array" aca="1" ref="U14" ca="1">INDIRECT("'"&amp;A14&amp;"'!B$20")+INDIRECT("'"&amp;A14&amp;"'!C$20")</f>
        <v>0</v>
      </c>
      <c r="V14" s="149" cm="1">
        <f t="array" aca="1" ref="V14" ca="1">INDIRECT("'"&amp;A14&amp;"'!B$19")+INDIRECT("'"&amp;A14&amp;"'!C$19")</f>
        <v>0</v>
      </c>
      <c r="W14" s="45"/>
      <c r="X14" s="284">
        <f ca="1">O14*Constants!$B$6</f>
        <v>0</v>
      </c>
      <c r="Y14" s="284">
        <f ca="1">P14*Constants!$B$6</f>
        <v>0</v>
      </c>
      <c r="Z14" s="284" cm="1">
        <f t="array" aca="1" ref="Z14" ca="1">INDIRECT("'"&amp;$A14&amp;"'!B$21")</f>
        <v>0</v>
      </c>
      <c r="AA14" s="284" cm="1">
        <f t="array" aca="1" ref="AA14" ca="1">INDIRECT("'"&amp;$A14&amp;"'!C$21")</f>
        <v>0</v>
      </c>
      <c r="AB14" s="284">
        <f ca="1">S14*Constants!$B$8</f>
        <v>0</v>
      </c>
      <c r="AC14" s="284">
        <f ca="1">T14*Constants!$B$8</f>
        <v>0</v>
      </c>
      <c r="AD14" s="284" cm="1">
        <f t="array" aca="1" ref="AD14" ca="1">INDIRECT("'"&amp;A14&amp;"'!B$22")+INDIRECT("'"&amp;A14&amp;"'!C$22")</f>
        <v>0</v>
      </c>
      <c r="AE14" s="149">
        <f ca="1">ROUND(V14/Constants!$B$22,0)</f>
        <v>0</v>
      </c>
      <c r="AF14" s="45"/>
      <c r="AG14" s="149" cm="1">
        <f t="array" aca="1" ref="AG14" ca="1">INDIRECT("'"&amp;A14&amp;"'!E16")</f>
        <v>0</v>
      </c>
      <c r="AH14" s="149" cm="1">
        <f t="array" aca="1" ref="AH14" ca="1">INDIRECT("'"&amp;A14&amp;"'!D16")</f>
        <v>0</v>
      </c>
      <c r="AI14" s="149" cm="1">
        <f t="array" aca="1" ref="AI14" ca="1">INDIRECT("'"&amp;A14&amp;"'!E18")</f>
        <v>0</v>
      </c>
      <c r="AJ14" s="149" cm="1">
        <f t="array" aca="1" ref="AJ14" ca="1">INDIRECT("'"&amp;A14&amp;"'!D18")</f>
        <v>0</v>
      </c>
      <c r="AK14" s="149" cm="1">
        <f t="array" aca="1" ref="AK14" ca="1">INDIRECT("'"&amp;A14&amp;"'!E$17")</f>
        <v>0</v>
      </c>
      <c r="AL14" s="149" cm="1">
        <f t="array" aca="1" ref="AL14" ca="1">INDIRECT("'"&amp;A14&amp;"'!D$17")</f>
        <v>0</v>
      </c>
      <c r="AM14" s="149" cm="1">
        <f t="array" aca="1" ref="AM14" ca="1">INDIRECT("'"&amp;A14&amp;"'!E$20")</f>
        <v>0</v>
      </c>
      <c r="AN14" s="149" cm="1">
        <f t="array" aca="1" ref="AN14" ca="1">INDIRECT("'"&amp;A14&amp;"'!D$20")</f>
        <v>7</v>
      </c>
      <c r="AO14" s="149">
        <f ca="1">SUM(INDIRECT("'"&amp;$A14&amp;"'!F$16"):INDIRECT("'"&amp;$A14&amp;"'!F$20"))</f>
        <v>0</v>
      </c>
      <c r="AP14" s="149" cm="1">
        <f t="array" aca="1" ref="AP14" ca="1">INDIRECT("'"&amp;A14&amp;"'!D$19")+INDIRECT("'"&amp;A14&amp;"'!E$19")</f>
        <v>277</v>
      </c>
      <c r="AQ14" s="45"/>
      <c r="AR14" s="284">
        <f ca="1">AG14*Constants!$B$6</f>
        <v>0</v>
      </c>
      <c r="AS14" s="284">
        <f ca="1">AH14*Constants!$B$6</f>
        <v>0</v>
      </c>
      <c r="AT14" s="284" cm="1">
        <f t="array" aca="1" ref="AT14" ca="1">INDIRECT("'"&amp;$A14&amp;"'!E$21")</f>
        <v>0</v>
      </c>
      <c r="AU14" s="284" cm="1">
        <f t="array" aca="1" ref="AU14" ca="1">INDIRECT("'"&amp;$A14&amp;"'!D$21")</f>
        <v>0</v>
      </c>
      <c r="AV14" s="284">
        <f ca="1">AK14*Constants!$B$8</f>
        <v>0</v>
      </c>
      <c r="AW14" s="284">
        <f ca="1">AL14*Constants!$B$8</f>
        <v>0</v>
      </c>
      <c r="AX14" s="284" cm="1">
        <f t="array" aca="1" ref="AX14" ca="1">INDIRECT("'"&amp;A14&amp;"'!E$22")</f>
        <v>0</v>
      </c>
      <c r="AY14" s="284" cm="1">
        <f t="array" aca="1" ref="AY14" ca="1">INDIRECT("'"&amp;A14&amp;"'!D$22")</f>
        <v>1750</v>
      </c>
      <c r="AZ14" s="284" cm="1">
        <f t="array" aca="1" ref="AZ14" ca="1">INDIRECT("'"&amp;$A14&amp;"'!F$23")</f>
        <v>0</v>
      </c>
      <c r="BA14" s="284" cm="1">
        <f t="array" aca="1" ref="BA14" ca="1">INDIRECT("'"&amp;$A14&amp;"'!E$24")</f>
        <v>2280</v>
      </c>
      <c r="BB14" s="149">
        <f ca="1">ROUND(AP14/Constants!$B$22,0)</f>
        <v>5</v>
      </c>
      <c r="BC14" s="150">
        <f>'Student Trainers'!G13</f>
        <v>525</v>
      </c>
      <c r="BD14" s="46"/>
      <c r="BE14" s="151" cm="1">
        <f t="array" aca="1" ref="BE14" ca="1">INDIRECT("'"&amp;$A14&amp;"'!H$16")</f>
        <v>0</v>
      </c>
      <c r="BF14" s="151" cm="1">
        <f t="array" aca="1" ref="BF14" ca="1">INDIRECT("'"&amp;$A14&amp;"'!I$16")</f>
        <v>128</v>
      </c>
      <c r="BG14" s="46"/>
      <c r="BH14" s="285" cm="1">
        <f t="array" aca="1" ref="BH14" ca="1">INDIRECT("'"&amp;$A14&amp;"'!H$17")</f>
        <v>0</v>
      </c>
      <c r="BI14" s="285">
        <f ca="1">BH14*'Total Budget'!D$54/$BH$38</f>
        <v>0</v>
      </c>
      <c r="BJ14" s="285" cm="1">
        <f t="array" aca="1" ref="BJ14" ca="1">INDIRECT("'"&amp;$A14&amp;"'!I$17")</f>
        <v>7350.17</v>
      </c>
      <c r="BK14" s="285" cm="1">
        <f t="array" aca="1" ref="BK14" ca="1">INDIRECT("'"&amp;$A14&amp;"'!I$19")</f>
        <v>7350.17</v>
      </c>
      <c r="BL14" s="286"/>
      <c r="BM14" s="287" cm="1">
        <f t="array" aca="1" ref="BM14" ca="1">INDIRECT("'"&amp;$A14&amp;"'!J$16")</f>
        <v>17904.5</v>
      </c>
      <c r="BN14" s="288" cm="1">
        <f t="array" aca="1" ref="BN14" ca="1">INDIRECT("'"&amp;$A14&amp;"'!K$16")</f>
        <v>8125</v>
      </c>
      <c r="BO14" s="16"/>
      <c r="BP14" s="289">
        <f t="shared" ca="1" si="2"/>
        <v>20030.169999999998</v>
      </c>
      <c r="BQ14" s="499">
        <f t="shared" ca="1" si="3"/>
        <v>154.07823076923074</v>
      </c>
      <c r="BR14" s="500">
        <f t="shared" ca="1" si="4"/>
        <v>0.4789259133368135</v>
      </c>
      <c r="BS14" s="498">
        <f ca="1">MAX(0, BP14-Constants!B$18*C14*$BQ$38)</f>
        <v>0</v>
      </c>
      <c r="BU14" s="497">
        <f t="shared" ca="1" si="5"/>
        <v>887.63295734877602</v>
      </c>
      <c r="BV14" s="496">
        <f t="shared" ca="1" si="6"/>
        <v>6.8279458257598158</v>
      </c>
    </row>
    <row r="15" spans="1:74" ht="14.25" customHeight="1">
      <c r="A15" s="44" t="s">
        <v>186</v>
      </c>
      <c r="B15" s="148">
        <v>6</v>
      </c>
      <c r="C15" s="148">
        <f t="array" aca="1" ref="C15" ca="1">INDIRECT("'"&amp;A15&amp;"'!B$7")</f>
        <v>53</v>
      </c>
      <c r="D15" s="148" t="str">
        <f t="array" aca="1" ref="D15" ca="1">INDIRECT("'"&amp;A15&amp;"'!B$9")</f>
        <v>yes</v>
      </c>
      <c r="E15" s="45"/>
      <c r="F15" s="281" cm="1">
        <f t="array" aca="1" ref="F15" ca="1">INDIRECT("'"&amp;A15&amp;"'!M$15")</f>
        <v>1666.6666666666667</v>
      </c>
      <c r="G15" s="281" cm="1">
        <f t="array" aca="1" ref="G15" ca="1">INDIRECT("'"&amp;A15&amp;"'!M$16")</f>
        <v>0</v>
      </c>
      <c r="H15" s="281" cm="1">
        <f t="array" aca="1" ref="H15" ca="1">INDIRECT("'"&amp;$A15&amp;"'!M$17")</f>
        <v>0</v>
      </c>
      <c r="I15" s="282">
        <f t="shared" ca="1" si="0"/>
        <v>0</v>
      </c>
      <c r="J15" s="282">
        <f t="shared" ca="1" si="7"/>
        <v>0</v>
      </c>
      <c r="K15" s="282">
        <f ca="1">C15*Constants!C$31</f>
        <v>2385</v>
      </c>
      <c r="L15" s="282">
        <f t="shared" ca="1" si="1"/>
        <v>558.9573313003616</v>
      </c>
      <c r="M15" s="281" cm="1">
        <f t="array" aca="1" ref="M15" ca="1">INDIRECT("'"&amp;$A15&amp;"'!M$21")+J15</f>
        <v>4610.6239979670281</v>
      </c>
      <c r="N15" s="45"/>
      <c r="O15" s="149" cm="1">
        <f t="array" aca="1" ref="O15" ca="1">INDIRECT("'"&amp;$A15&amp;"'!B$16")</f>
        <v>0</v>
      </c>
      <c r="P15" s="149" cm="1">
        <f t="array" aca="1" ref="P15" ca="1">INDIRECT("'"&amp;$A15&amp;"'!C$16")</f>
        <v>0</v>
      </c>
      <c r="Q15" s="149" cm="1">
        <f t="array" aca="1" ref="Q15" ca="1">INDIRECT("'"&amp;$A15&amp;"'!B$18")</f>
        <v>0</v>
      </c>
      <c r="R15" s="149" cm="1">
        <f t="array" aca="1" ref="R15" ca="1">INDIRECT("'"&amp;$A15&amp;"'!C$18")</f>
        <v>0</v>
      </c>
      <c r="S15" s="149" cm="1">
        <f t="array" aca="1" ref="S15" ca="1">INDIRECT("'"&amp;A15&amp;"'!B$17")</f>
        <v>0</v>
      </c>
      <c r="T15" s="149" cm="1">
        <f t="array" aca="1" ref="T15" ca="1">INDIRECT("'"&amp;A15&amp;"'!C$17")</f>
        <v>0</v>
      </c>
      <c r="U15" s="149" cm="1">
        <f t="array" aca="1" ref="U15" ca="1">INDIRECT("'"&amp;A15&amp;"'!B$20")+INDIRECT("'"&amp;A15&amp;"'!C$20")</f>
        <v>0</v>
      </c>
      <c r="V15" s="149" cm="1">
        <f t="array" aca="1" ref="V15" ca="1">INDIRECT("'"&amp;A15&amp;"'!B$19")+INDIRECT("'"&amp;A15&amp;"'!C$19")</f>
        <v>0</v>
      </c>
      <c r="W15" s="45"/>
      <c r="X15" s="284">
        <f ca="1">O15*Constants!$B$6</f>
        <v>0</v>
      </c>
      <c r="Y15" s="284">
        <f ca="1">P15*Constants!$B$6</f>
        <v>0</v>
      </c>
      <c r="Z15" s="284" cm="1">
        <f t="array" aca="1" ref="Z15" ca="1">INDIRECT("'"&amp;$A15&amp;"'!B$21")</f>
        <v>0</v>
      </c>
      <c r="AA15" s="284" cm="1">
        <f t="array" aca="1" ref="AA15" ca="1">INDIRECT("'"&amp;$A15&amp;"'!C$21")</f>
        <v>0</v>
      </c>
      <c r="AB15" s="284">
        <f ca="1">S15*Constants!$B$8</f>
        <v>0</v>
      </c>
      <c r="AC15" s="284">
        <f ca="1">T15*Constants!$B$8</f>
        <v>0</v>
      </c>
      <c r="AD15" s="284" cm="1">
        <f t="array" aca="1" ref="AD15" ca="1">INDIRECT("'"&amp;A15&amp;"'!B$22")+INDIRECT("'"&amp;A15&amp;"'!C$22")</f>
        <v>0</v>
      </c>
      <c r="AE15" s="149">
        <f ca="1">ROUND(V15/Constants!$B$22,0)</f>
        <v>0</v>
      </c>
      <c r="AF15" s="45"/>
      <c r="AG15" s="149" cm="1">
        <f t="array" aca="1" ref="AG15" ca="1">INDIRECT("'"&amp;A15&amp;"'!E16")</f>
        <v>0</v>
      </c>
      <c r="AH15" s="149" cm="1">
        <f t="array" aca="1" ref="AH15" ca="1">INDIRECT("'"&amp;A15&amp;"'!D16")</f>
        <v>0</v>
      </c>
      <c r="AI15" s="149" cm="1">
        <f t="array" aca="1" ref="AI15" ca="1">INDIRECT("'"&amp;A15&amp;"'!E18")</f>
        <v>0</v>
      </c>
      <c r="AJ15" s="149" cm="1">
        <f t="array" aca="1" ref="AJ15" ca="1">INDIRECT("'"&amp;A15&amp;"'!D18")</f>
        <v>0</v>
      </c>
      <c r="AK15" s="149" cm="1">
        <f t="array" aca="1" ref="AK15" ca="1">INDIRECT("'"&amp;A15&amp;"'!E$17")</f>
        <v>0</v>
      </c>
      <c r="AL15" s="149" cm="1">
        <f t="array" aca="1" ref="AL15" ca="1">INDIRECT("'"&amp;A15&amp;"'!D$17")</f>
        <v>0</v>
      </c>
      <c r="AM15" s="149" cm="1">
        <f t="array" aca="1" ref="AM15" ca="1">INDIRECT("'"&amp;A15&amp;"'!E$20")</f>
        <v>0</v>
      </c>
      <c r="AN15" s="149" cm="1">
        <f t="array" aca="1" ref="AN15" ca="1">INDIRECT("'"&amp;A15&amp;"'!D$20")</f>
        <v>210</v>
      </c>
      <c r="AO15" s="149">
        <f ca="1">SUM(INDIRECT("'"&amp;$A15&amp;"'!F$16"):INDIRECT("'"&amp;$A15&amp;"'!F$20"))</f>
        <v>0</v>
      </c>
      <c r="AP15" s="149" cm="1">
        <f t="array" aca="1" ref="AP15" ca="1">INDIRECT("'"&amp;A15&amp;"'!D$19")+INDIRECT("'"&amp;A15&amp;"'!E$19")</f>
        <v>0</v>
      </c>
      <c r="AQ15" s="45"/>
      <c r="AR15" s="284">
        <f ca="1">AG15*Constants!$B$6</f>
        <v>0</v>
      </c>
      <c r="AS15" s="284">
        <f ca="1">AH15*Constants!$B$6</f>
        <v>0</v>
      </c>
      <c r="AT15" s="284" cm="1">
        <f t="array" aca="1" ref="AT15" ca="1">INDIRECT("'"&amp;$A15&amp;"'!E$21")</f>
        <v>0</v>
      </c>
      <c r="AU15" s="284" cm="1">
        <f t="array" aca="1" ref="AU15" ca="1">INDIRECT("'"&amp;$A15&amp;"'!D$21")</f>
        <v>0</v>
      </c>
      <c r="AV15" s="284">
        <f ca="1">AK15*Constants!$B$8</f>
        <v>0</v>
      </c>
      <c r="AW15" s="284">
        <f ca="1">AL15*Constants!$B$8</f>
        <v>0</v>
      </c>
      <c r="AX15" s="284" cm="1">
        <f t="array" aca="1" ref="AX15" ca="1">INDIRECT("'"&amp;A15&amp;"'!E$22")</f>
        <v>0</v>
      </c>
      <c r="AY15" s="284" cm="1">
        <f t="array" aca="1" ref="AY15" ca="1">INDIRECT("'"&amp;A15&amp;"'!D$22")</f>
        <v>7350</v>
      </c>
      <c r="AZ15" s="284" cm="1">
        <f t="array" aca="1" ref="AZ15" ca="1">INDIRECT("'"&amp;$A15&amp;"'!F$23")</f>
        <v>0</v>
      </c>
      <c r="BA15" s="284" cm="1">
        <f t="array" aca="1" ref="BA15" ca="1">INDIRECT("'"&amp;$A15&amp;"'!E$24")</f>
        <v>0</v>
      </c>
      <c r="BB15" s="149">
        <f ca="1">ROUND(AP15/Constants!$B$22,0)</f>
        <v>0</v>
      </c>
      <c r="BC15" s="150">
        <f>'Student Trainers'!G14</f>
        <v>0</v>
      </c>
      <c r="BD15" s="46"/>
      <c r="BE15" s="151" cm="1">
        <f t="array" aca="1" ref="BE15" ca="1">INDIRECT("'"&amp;$A15&amp;"'!H$16")</f>
        <v>0</v>
      </c>
      <c r="BF15" s="151" cm="1">
        <f t="array" aca="1" ref="BF15" ca="1">INDIRECT("'"&amp;$A15&amp;"'!I$16")</f>
        <v>126</v>
      </c>
      <c r="BG15" s="46"/>
      <c r="BH15" s="285" cm="1">
        <f t="array" aca="1" ref="BH15" ca="1">INDIRECT("'"&amp;$A15&amp;"'!H$17")</f>
        <v>0</v>
      </c>
      <c r="BI15" s="285">
        <f ca="1">BH15*'Total Budget'!D$54/$BH$38</f>
        <v>0</v>
      </c>
      <c r="BJ15" s="285" cm="1">
        <f t="array" aca="1" ref="BJ15" ca="1">INDIRECT("'"&amp;$A15&amp;"'!I$17")</f>
        <v>6930</v>
      </c>
      <c r="BK15" s="285" cm="1">
        <f t="array" aca="1" ref="BK15" ca="1">INDIRECT("'"&amp;$A15&amp;"'!I$19")</f>
        <v>6930</v>
      </c>
      <c r="BL15" s="286"/>
      <c r="BM15" s="287" cm="1">
        <f t="array" aca="1" ref="BM15" ca="1">INDIRECT("'"&amp;$A15&amp;"'!J$16")</f>
        <v>0</v>
      </c>
      <c r="BN15" s="288" cm="1">
        <f t="array" aca="1" ref="BN15" ca="1">INDIRECT("'"&amp;$A15&amp;"'!K$16")</f>
        <v>0</v>
      </c>
      <c r="BO15" s="16"/>
      <c r="BP15" s="289">
        <f t="shared" ca="1" si="2"/>
        <v>12613.333333333334</v>
      </c>
      <c r="BQ15" s="499">
        <f t="shared" ca="1" si="3"/>
        <v>237.98742138364781</v>
      </c>
      <c r="BR15" s="500">
        <f t="shared" ca="1" si="4"/>
        <v>0.73974332765766659</v>
      </c>
      <c r="BS15" s="498">
        <f ca="1">MAX(0, BP15-Constants!B$18*C15*$BQ$38)</f>
        <v>0</v>
      </c>
      <c r="BU15" s="497">
        <f t="shared" ca="1" si="5"/>
        <v>558.9573313003616</v>
      </c>
      <c r="BV15" s="496">
        <f t="shared" ca="1" si="6"/>
        <v>10.546364741516257</v>
      </c>
    </row>
    <row r="16" spans="1:74" ht="14.25" customHeight="1">
      <c r="A16" s="44" t="s">
        <v>349</v>
      </c>
      <c r="B16" s="148">
        <v>4</v>
      </c>
      <c r="C16" s="148">
        <f t="array" aca="1" ref="C16" ca="1">INDIRECT("'"&amp;A16&amp;"'!B$7")</f>
        <v>35</v>
      </c>
      <c r="D16" s="148" t="str">
        <f t="array" aca="1" ref="D16" ca="1">INDIRECT("'"&amp;A16&amp;"'!B$9")</f>
        <v>yes</v>
      </c>
      <c r="E16" s="45"/>
      <c r="F16" s="281" cm="1">
        <f t="array" aca="1" ref="F16" ca="1">INDIRECT("'"&amp;A16&amp;"'!M$15")</f>
        <v>500</v>
      </c>
      <c r="G16" s="281" cm="1">
        <f t="array" aca="1" ref="G16" ca="1">INDIRECT("'"&amp;A16&amp;"'!M$16")</f>
        <v>0</v>
      </c>
      <c r="H16" s="281" cm="1">
        <f t="array" aca="1" ref="H16" ca="1">INDIRECT("'"&amp;$A16&amp;"'!M$17")</f>
        <v>521.34999999999991</v>
      </c>
      <c r="I16" s="282">
        <f t="shared" ca="1" si="0"/>
        <v>0</v>
      </c>
      <c r="J16" s="282">
        <f t="shared" ca="1" si="7"/>
        <v>0</v>
      </c>
      <c r="K16" s="282">
        <f ca="1">C16*Constants!C$31</f>
        <v>1575</v>
      </c>
      <c r="L16" s="282">
        <f t="shared" ca="1" si="1"/>
        <v>433.35343075954364</v>
      </c>
      <c r="M16" s="281" cm="1">
        <f t="array" aca="1" ref="M16" ca="1">INDIRECT("'"&amp;$A16&amp;"'!M$21")+J16</f>
        <v>3029.7034307595436</v>
      </c>
      <c r="N16" s="45"/>
      <c r="O16" s="149" cm="1">
        <f t="array" aca="1" ref="O16" ca="1">INDIRECT("'"&amp;$A16&amp;"'!B$16")</f>
        <v>75.599999999999994</v>
      </c>
      <c r="P16" s="149" cm="1">
        <f t="array" aca="1" ref="P16" ca="1">INDIRECT("'"&amp;$A16&amp;"'!C$16")</f>
        <v>0</v>
      </c>
      <c r="Q16" s="149" cm="1">
        <f t="array" aca="1" ref="Q16" ca="1">INDIRECT("'"&amp;$A16&amp;"'!B$18")</f>
        <v>0</v>
      </c>
      <c r="R16" s="149" cm="1">
        <f t="array" aca="1" ref="R16" ca="1">INDIRECT("'"&amp;$A16&amp;"'!C$18")</f>
        <v>0</v>
      </c>
      <c r="S16" s="149" cm="1">
        <f t="array" aca="1" ref="S16" ca="1">INDIRECT("'"&amp;A16&amp;"'!B$17")</f>
        <v>0</v>
      </c>
      <c r="T16" s="149" cm="1">
        <f t="array" aca="1" ref="T16" ca="1">INDIRECT("'"&amp;A16&amp;"'!C$17")</f>
        <v>0</v>
      </c>
      <c r="U16" s="149" cm="1">
        <f t="array" aca="1" ref="U16" ca="1">INDIRECT("'"&amp;A16&amp;"'!B$20")+INDIRECT("'"&amp;A16&amp;"'!C$20")</f>
        <v>0</v>
      </c>
      <c r="V16" s="149" cm="1">
        <f t="array" aca="1" ref="V16" ca="1">INDIRECT("'"&amp;A16&amp;"'!B$19")+INDIRECT("'"&amp;A16&amp;"'!C$19")</f>
        <v>0</v>
      </c>
      <c r="W16" s="45"/>
      <c r="X16" s="284">
        <f ca="1">O16*Constants!$B$6</f>
        <v>3779.9999999999995</v>
      </c>
      <c r="Y16" s="284">
        <f ca="1">P16*Constants!$B$6</f>
        <v>0</v>
      </c>
      <c r="Z16" s="284" cm="1">
        <f t="array" aca="1" ref="Z16" ca="1">INDIRECT("'"&amp;$A16&amp;"'!B$21")</f>
        <v>0</v>
      </c>
      <c r="AA16" s="284" cm="1">
        <f t="array" aca="1" ref="AA16" ca="1">INDIRECT("'"&amp;$A16&amp;"'!C$21")</f>
        <v>0</v>
      </c>
      <c r="AB16" s="284">
        <f ca="1">S16*Constants!$B$8</f>
        <v>0</v>
      </c>
      <c r="AC16" s="284">
        <f ca="1">T16*Constants!$B$8</f>
        <v>0</v>
      </c>
      <c r="AD16" s="284" cm="1">
        <f t="array" aca="1" ref="AD16" ca="1">INDIRECT("'"&amp;A16&amp;"'!B$22")+INDIRECT("'"&amp;A16&amp;"'!C$22")</f>
        <v>0</v>
      </c>
      <c r="AE16" s="149">
        <f ca="1">ROUND(V16/Constants!$B$22,0)</f>
        <v>0</v>
      </c>
      <c r="AF16" s="45"/>
      <c r="AG16" s="149" cm="1">
        <f t="array" aca="1" ref="AG16" ca="1">INDIRECT("'"&amp;A16&amp;"'!E16")</f>
        <v>0</v>
      </c>
      <c r="AH16" s="149" cm="1">
        <f t="array" aca="1" ref="AH16" ca="1">INDIRECT("'"&amp;A16&amp;"'!D16")</f>
        <v>0</v>
      </c>
      <c r="AI16" s="149" cm="1">
        <f t="array" aca="1" ref="AI16" ca="1">INDIRECT("'"&amp;A16&amp;"'!E18")</f>
        <v>0</v>
      </c>
      <c r="AJ16" s="149" cm="1">
        <f t="array" aca="1" ref="AJ16" ca="1">INDIRECT("'"&amp;A16&amp;"'!D18")</f>
        <v>0</v>
      </c>
      <c r="AK16" s="149" cm="1">
        <f t="array" aca="1" ref="AK16" ca="1">INDIRECT("'"&amp;A16&amp;"'!E$17")</f>
        <v>0</v>
      </c>
      <c r="AL16" s="149" cm="1">
        <f t="array" aca="1" ref="AL16" ca="1">INDIRECT("'"&amp;A16&amp;"'!D$17")</f>
        <v>0</v>
      </c>
      <c r="AM16" s="149" cm="1">
        <f t="array" aca="1" ref="AM16" ca="1">INDIRECT("'"&amp;A16&amp;"'!E$20")</f>
        <v>0</v>
      </c>
      <c r="AN16" s="149" cm="1">
        <f t="array" aca="1" ref="AN16" ca="1">INDIRECT("'"&amp;A16&amp;"'!D$20")</f>
        <v>0</v>
      </c>
      <c r="AO16" s="149">
        <f ca="1">SUM(INDIRECT("'"&amp;$A16&amp;"'!F$16"):INDIRECT("'"&amp;$A16&amp;"'!F$20"))</f>
        <v>0</v>
      </c>
      <c r="AP16" s="149" cm="1">
        <f t="array" aca="1" ref="AP16" ca="1">INDIRECT("'"&amp;A16&amp;"'!D$19")+INDIRECT("'"&amp;A16&amp;"'!E$19")</f>
        <v>63</v>
      </c>
      <c r="AQ16" s="45"/>
      <c r="AR16" s="284">
        <f ca="1">AG16*Constants!$B$6</f>
        <v>0</v>
      </c>
      <c r="AS16" s="284">
        <f ca="1">AH16*Constants!$B$6</f>
        <v>0</v>
      </c>
      <c r="AT16" s="284" cm="1">
        <f t="array" aca="1" ref="AT16" ca="1">INDIRECT("'"&amp;$A16&amp;"'!E$21")</f>
        <v>0</v>
      </c>
      <c r="AU16" s="284" cm="1">
        <f t="array" aca="1" ref="AU16" ca="1">INDIRECT("'"&amp;$A16&amp;"'!D$21")</f>
        <v>0</v>
      </c>
      <c r="AV16" s="284">
        <f ca="1">AK16*Constants!$B$8</f>
        <v>0</v>
      </c>
      <c r="AW16" s="284">
        <f ca="1">AL16*Constants!$B$8</f>
        <v>0</v>
      </c>
      <c r="AX16" s="284" cm="1">
        <f t="array" aca="1" ref="AX16" ca="1">INDIRECT("'"&amp;A16&amp;"'!E$22")</f>
        <v>0</v>
      </c>
      <c r="AY16" s="284" cm="1">
        <f t="array" aca="1" ref="AY16" ca="1">INDIRECT("'"&amp;A16&amp;"'!D$22")</f>
        <v>0</v>
      </c>
      <c r="AZ16" s="284" cm="1">
        <f t="array" aca="1" ref="AZ16" ca="1">INDIRECT("'"&amp;$A16&amp;"'!F$23")</f>
        <v>0</v>
      </c>
      <c r="BA16" s="284" cm="1">
        <f t="array" aca="1" ref="BA16" ca="1">INDIRECT("'"&amp;$A16&amp;"'!E$24")</f>
        <v>0</v>
      </c>
      <c r="BB16" s="149">
        <f ca="1">ROUND(AP16/Constants!$B$22,0)</f>
        <v>1</v>
      </c>
      <c r="BC16" s="150">
        <f>'Student Trainers'!G15</f>
        <v>75</v>
      </c>
      <c r="BD16" s="46"/>
      <c r="BE16" s="151" cm="1">
        <f t="array" aca="1" ref="BE16" ca="1">INDIRECT("'"&amp;$A16&amp;"'!H$16")</f>
        <v>75</v>
      </c>
      <c r="BF16" s="151" cm="1">
        <f t="array" aca="1" ref="BF16" ca="1">INDIRECT("'"&amp;$A16&amp;"'!I$16")</f>
        <v>42</v>
      </c>
      <c r="BG16" s="46"/>
      <c r="BH16" s="285" cm="1">
        <f t="array" aca="1" ref="BH16" ca="1">INDIRECT("'"&amp;$A16&amp;"'!H$17")</f>
        <v>4897.5</v>
      </c>
      <c r="BI16" s="285">
        <f ca="1">BH16*'Total Budget'!D$54/$BH$38</f>
        <v>5284.8276915484848</v>
      </c>
      <c r="BJ16" s="285" cm="1">
        <f t="array" aca="1" ref="BJ16" ca="1">INDIRECT("'"&amp;$A16&amp;"'!I$17")</f>
        <v>453.75</v>
      </c>
      <c r="BK16" s="285" cm="1">
        <f t="array" aca="1" ref="BK16" ca="1">INDIRECT("'"&amp;$A16&amp;"'!I$19")</f>
        <v>453.75</v>
      </c>
      <c r="BL16" s="286"/>
      <c r="BM16" s="287" cm="1">
        <f t="array" aca="1" ref="BM16" ca="1">INDIRECT("'"&amp;$A16&amp;"'!J$16")</f>
        <v>1206.75</v>
      </c>
      <c r="BN16" s="288" cm="1">
        <f t="array" aca="1" ref="BN16" ca="1">INDIRECT("'"&amp;$A16&amp;"'!K$16")</f>
        <v>685.40000000000009</v>
      </c>
      <c r="BO16" s="16"/>
      <c r="BP16" s="289">
        <f t="shared" ca="1" si="2"/>
        <v>9778.9776915484836</v>
      </c>
      <c r="BQ16" s="499">
        <f t="shared" ca="1" si="3"/>
        <v>279.39936261567095</v>
      </c>
      <c r="BR16" s="500">
        <f t="shared" ca="1" si="4"/>
        <v>0.86846528713617466</v>
      </c>
      <c r="BS16" s="498">
        <f ca="1">MAX(0, BP16-Constants!B$18*C16*$BQ$38)</f>
        <v>0</v>
      </c>
      <c r="BU16" s="497">
        <f t="shared" ca="1" si="5"/>
        <v>433.35343075954364</v>
      </c>
      <c r="BV16" s="496">
        <f t="shared" ca="1" si="6"/>
        <v>12.381526593129818</v>
      </c>
    </row>
    <row r="17" spans="1:74" ht="14.25" customHeight="1">
      <c r="A17" s="44" t="s">
        <v>188</v>
      </c>
      <c r="B17" s="148">
        <v>6</v>
      </c>
      <c r="C17" s="148">
        <f t="array" aca="1" ref="C17" ca="1">INDIRECT("'"&amp;A17&amp;"'!B$7")</f>
        <v>47</v>
      </c>
      <c r="D17" s="148" t="str">
        <f t="array" aca="1" ref="D17" ca="1">INDIRECT("'"&amp;A17&amp;"'!B$9")</f>
        <v>yes</v>
      </c>
      <c r="E17" s="45"/>
      <c r="F17" s="281" cm="1">
        <f t="array" aca="1" ref="F17" ca="1">INDIRECT("'"&amp;A17&amp;"'!M$15")</f>
        <v>0</v>
      </c>
      <c r="G17" s="281" cm="1">
        <f t="array" aca="1" ref="G17" ca="1">INDIRECT("'"&amp;A17&amp;"'!M$16")</f>
        <v>0</v>
      </c>
      <c r="H17" s="281" cm="1">
        <f t="array" aca="1" ref="H17" ca="1">INDIRECT("'"&amp;$A17&amp;"'!M$17")</f>
        <v>0</v>
      </c>
      <c r="I17" s="282">
        <f t="shared" ca="1" si="0"/>
        <v>26486</v>
      </c>
      <c r="J17" s="282">
        <f t="shared" ca="1" si="7"/>
        <v>0</v>
      </c>
      <c r="K17" s="282">
        <f ca="1">C17*Constants!C$31</f>
        <v>2115</v>
      </c>
      <c r="L17" s="282">
        <f t="shared" ca="1" si="1"/>
        <v>479.04297711603397</v>
      </c>
      <c r="M17" s="281" cm="1">
        <f t="array" aca="1" ref="M17" ca="1">INDIRECT("'"&amp;$A17&amp;"'!M$21")+J17</f>
        <v>29080.042977116034</v>
      </c>
      <c r="N17" s="45"/>
      <c r="O17" s="149" cm="1">
        <f t="array" aca="1" ref="O17" ca="1">INDIRECT("'"&amp;$A17&amp;"'!B$16")</f>
        <v>0</v>
      </c>
      <c r="P17" s="149" cm="1">
        <f t="array" aca="1" ref="P17" ca="1">INDIRECT("'"&amp;$A17&amp;"'!C$16")</f>
        <v>0</v>
      </c>
      <c r="Q17" s="149" cm="1">
        <f t="array" aca="1" ref="Q17" ca="1">INDIRECT("'"&amp;$A17&amp;"'!B$18")</f>
        <v>0</v>
      </c>
      <c r="R17" s="149" cm="1">
        <f t="array" aca="1" ref="R17" ca="1">INDIRECT("'"&amp;$A17&amp;"'!C$18")</f>
        <v>0</v>
      </c>
      <c r="S17" s="149" cm="1">
        <f t="array" aca="1" ref="S17" ca="1">INDIRECT("'"&amp;A17&amp;"'!B$17")</f>
        <v>0</v>
      </c>
      <c r="T17" s="149" cm="1">
        <f t="array" aca="1" ref="T17" ca="1">INDIRECT("'"&amp;A17&amp;"'!C$17")</f>
        <v>0</v>
      </c>
      <c r="U17" s="149" cm="1">
        <f t="array" aca="1" ref="U17" ca="1">INDIRECT("'"&amp;A17&amp;"'!B$20")+INDIRECT("'"&amp;A17&amp;"'!C$20")</f>
        <v>0</v>
      </c>
      <c r="V17" s="149" cm="1">
        <f t="array" aca="1" ref="V17" ca="1">INDIRECT("'"&amp;A17&amp;"'!B$19")+INDIRECT("'"&amp;A17&amp;"'!C$19")</f>
        <v>0</v>
      </c>
      <c r="W17" s="45"/>
      <c r="X17" s="284">
        <f ca="1">O17*Constants!$B$6</f>
        <v>0</v>
      </c>
      <c r="Y17" s="284">
        <f ca="1">P17*Constants!$B$6</f>
        <v>0</v>
      </c>
      <c r="Z17" s="284" cm="1">
        <f t="array" aca="1" ref="Z17" ca="1">INDIRECT("'"&amp;$A17&amp;"'!B$21")</f>
        <v>0</v>
      </c>
      <c r="AA17" s="284" cm="1">
        <f t="array" aca="1" ref="AA17" ca="1">INDIRECT("'"&amp;$A17&amp;"'!C$21")</f>
        <v>0</v>
      </c>
      <c r="AB17" s="284">
        <f ca="1">S17*Constants!$B$8</f>
        <v>0</v>
      </c>
      <c r="AC17" s="284">
        <f ca="1">T17*Constants!$B$8</f>
        <v>0</v>
      </c>
      <c r="AD17" s="284" cm="1">
        <f t="array" aca="1" ref="AD17" ca="1">INDIRECT("'"&amp;A17&amp;"'!B$22")+INDIRECT("'"&amp;A17&amp;"'!C$22")</f>
        <v>0</v>
      </c>
      <c r="AE17" s="149">
        <f ca="1">ROUND(V17/Constants!$B$22,0)</f>
        <v>0</v>
      </c>
      <c r="AF17" s="45"/>
      <c r="AG17" s="149" cm="1">
        <f t="array" aca="1" ref="AG17" ca="1">INDIRECT("'"&amp;A17&amp;"'!E16")</f>
        <v>0</v>
      </c>
      <c r="AH17" s="149" cm="1">
        <f t="array" aca="1" ref="AH17" ca="1">INDIRECT("'"&amp;A17&amp;"'!D16")</f>
        <v>0</v>
      </c>
      <c r="AI17" s="149" cm="1">
        <f t="array" aca="1" ref="AI17" ca="1">INDIRECT("'"&amp;A17&amp;"'!E18")</f>
        <v>0</v>
      </c>
      <c r="AJ17" s="149" cm="1">
        <f t="array" aca="1" ref="AJ17" ca="1">INDIRECT("'"&amp;A17&amp;"'!D18")</f>
        <v>0</v>
      </c>
      <c r="AK17" s="149" cm="1">
        <f t="array" aca="1" ref="AK17" ca="1">INDIRECT("'"&amp;A17&amp;"'!E$17")</f>
        <v>0</v>
      </c>
      <c r="AL17" s="149" cm="1">
        <f t="array" aca="1" ref="AL17" ca="1">INDIRECT("'"&amp;A17&amp;"'!D$17")</f>
        <v>0</v>
      </c>
      <c r="AM17" s="149" cm="1">
        <f t="array" aca="1" ref="AM17" ca="1">INDIRECT("'"&amp;A17&amp;"'!E$20")</f>
        <v>0</v>
      </c>
      <c r="AN17" s="149" cm="1">
        <f t="array" aca="1" ref="AN17" ca="1">INDIRECT("'"&amp;A17&amp;"'!D$20")</f>
        <v>0</v>
      </c>
      <c r="AO17" s="149">
        <f ca="1">SUM(INDIRECT("'"&amp;$A17&amp;"'!F$16"):INDIRECT("'"&amp;$A17&amp;"'!F$20"))</f>
        <v>0</v>
      </c>
      <c r="AP17" s="149" cm="1">
        <f t="array" aca="1" ref="AP17" ca="1">INDIRECT("'"&amp;A17&amp;"'!D$19")+INDIRECT("'"&amp;A17&amp;"'!E$19")</f>
        <v>0</v>
      </c>
      <c r="AQ17" s="45"/>
      <c r="AR17" s="284">
        <f ca="1">AG17*Constants!$B$6</f>
        <v>0</v>
      </c>
      <c r="AS17" s="284">
        <f ca="1">AH17*Constants!$B$6</f>
        <v>0</v>
      </c>
      <c r="AT17" s="284" cm="1">
        <f t="array" aca="1" ref="AT17" ca="1">INDIRECT("'"&amp;$A17&amp;"'!E$21")</f>
        <v>0</v>
      </c>
      <c r="AU17" s="284" cm="1">
        <f t="array" aca="1" ref="AU17" ca="1">INDIRECT("'"&amp;$A17&amp;"'!D$21")</f>
        <v>0</v>
      </c>
      <c r="AV17" s="284">
        <f ca="1">AK17*Constants!$B$8</f>
        <v>0</v>
      </c>
      <c r="AW17" s="284">
        <f ca="1">AL17*Constants!$B$8</f>
        <v>0</v>
      </c>
      <c r="AX17" s="284" cm="1">
        <f t="array" aca="1" ref="AX17" ca="1">INDIRECT("'"&amp;A17&amp;"'!E$22")</f>
        <v>0</v>
      </c>
      <c r="AY17" s="284" cm="1">
        <f t="array" aca="1" ref="AY17" ca="1">INDIRECT("'"&amp;A17&amp;"'!D$22")</f>
        <v>0</v>
      </c>
      <c r="AZ17" s="284" cm="1">
        <f t="array" aca="1" ref="AZ17" ca="1">INDIRECT("'"&amp;$A17&amp;"'!F$23")</f>
        <v>0</v>
      </c>
      <c r="BA17" s="284" cm="1">
        <f t="array" aca="1" ref="BA17" ca="1">INDIRECT("'"&amp;$A17&amp;"'!E$24")</f>
        <v>0</v>
      </c>
      <c r="BB17" s="149">
        <f ca="1">ROUND(AP17/Constants!$B$22,0)</f>
        <v>0</v>
      </c>
      <c r="BC17" s="150">
        <f>'Student Trainers'!G16</f>
        <v>0</v>
      </c>
      <c r="BD17" s="46"/>
      <c r="BE17" s="151" cm="1">
        <f t="array" aca="1" ref="BE17" ca="1">INDIRECT("'"&amp;$A17&amp;"'!H$16")</f>
        <v>0</v>
      </c>
      <c r="BF17" s="151" cm="1">
        <f t="array" aca="1" ref="BF17" ca="1">INDIRECT("'"&amp;$A17&amp;"'!I$16")</f>
        <v>252</v>
      </c>
      <c r="BG17" s="46"/>
      <c r="BH17" s="285" cm="1">
        <f t="array" aca="1" ref="BH17" ca="1">INDIRECT("'"&amp;$A17&amp;"'!H$17")</f>
        <v>0</v>
      </c>
      <c r="BI17" s="285">
        <f ca="1">BH17*'Total Budget'!D$54/$BH$38</f>
        <v>0</v>
      </c>
      <c r="BJ17" s="285" cm="1">
        <f t="array" aca="1" ref="BJ17" ca="1">INDIRECT("'"&amp;$A17&amp;"'!I$17")</f>
        <v>37296</v>
      </c>
      <c r="BK17" s="285" cm="1">
        <f t="array" aca="1" ref="BK17" ca="1">INDIRECT("'"&amp;$A17&amp;"'!I$19")</f>
        <v>10810</v>
      </c>
      <c r="BL17" s="286"/>
      <c r="BM17" s="287" cm="1">
        <f t="array" aca="1" ref="BM17" ca="1">INDIRECT("'"&amp;$A17&amp;"'!J$16")</f>
        <v>0</v>
      </c>
      <c r="BN17" s="288" cm="1">
        <f t="array" aca="1" ref="BN17" ca="1">INDIRECT("'"&amp;$A17&amp;"'!K$16")</f>
        <v>0</v>
      </c>
      <c r="BO17" s="16"/>
      <c r="BP17" s="289">
        <f t="shared" ca="1" si="2"/>
        <v>10810</v>
      </c>
      <c r="BQ17" s="499">
        <f t="shared" ca="1" si="3"/>
        <v>230</v>
      </c>
      <c r="BR17" s="500">
        <f t="shared" ca="1" si="4"/>
        <v>0.71491578996936744</v>
      </c>
      <c r="BS17" s="498">
        <f ca="1">MAX(0, BP17-Constants!B$18*C17*$BQ$38)</f>
        <v>0</v>
      </c>
      <c r="BU17" s="497">
        <f t="shared" ca="1" si="5"/>
        <v>479.04297711603397</v>
      </c>
      <c r="BV17" s="496">
        <f t="shared" ca="1" si="6"/>
        <v>10.192403768426255</v>
      </c>
    </row>
    <row r="18" spans="1:74" ht="14.25" customHeight="1">
      <c r="A18" s="44" t="s">
        <v>350</v>
      </c>
      <c r="B18" s="148">
        <v>1</v>
      </c>
      <c r="C18" s="148">
        <f t="array" aca="1" ref="C18" ca="1">INDIRECT("'"&amp;A18&amp;"'!B$7")</f>
        <v>61</v>
      </c>
      <c r="D18" s="148" t="str">
        <f t="array" aca="1" ref="D18" ca="1">INDIRECT("'"&amp;A18&amp;"'!B$9")</f>
        <v>yes</v>
      </c>
      <c r="E18" s="45"/>
      <c r="F18" s="281" cm="1">
        <f t="array" aca="1" ref="F18" ca="1">INDIRECT("'"&amp;A18&amp;"'!M$15")</f>
        <v>666.66666666666663</v>
      </c>
      <c r="G18" s="281" cm="1">
        <f t="array" aca="1" ref="G18" ca="1">INDIRECT("'"&amp;A18&amp;"'!M$16")</f>
        <v>0</v>
      </c>
      <c r="H18" s="281" cm="1">
        <f t="array" aca="1" ref="H18" ca="1">INDIRECT("'"&amp;$A18&amp;"'!M$17")</f>
        <v>492</v>
      </c>
      <c r="I18" s="282">
        <f t="shared" ca="1" si="0"/>
        <v>0</v>
      </c>
      <c r="J18" s="282">
        <f t="shared" ca="1" si="7"/>
        <v>0</v>
      </c>
      <c r="K18" s="282">
        <f ca="1">C18*Constants!C$31</f>
        <v>2745</v>
      </c>
      <c r="L18" s="282">
        <f t="shared" ca="1" si="1"/>
        <v>333.59133050744094</v>
      </c>
      <c r="M18" s="281" cm="1">
        <f t="array" aca="1" ref="M18" ca="1">INDIRECT("'"&amp;$A18&amp;"'!M$21")+J18</f>
        <v>4237.257997174107</v>
      </c>
      <c r="N18" s="45"/>
      <c r="O18" s="149" cm="1">
        <f t="array" aca="1" ref="O18" ca="1">INDIRECT("'"&amp;$A18&amp;"'!B$16")</f>
        <v>97.2</v>
      </c>
      <c r="P18" s="149" cm="1">
        <f t="array" aca="1" ref="P18" ca="1">INDIRECT("'"&amp;$A18&amp;"'!C$16")</f>
        <v>0</v>
      </c>
      <c r="Q18" s="149" cm="1">
        <f t="array" aca="1" ref="Q18" ca="1">INDIRECT("'"&amp;$A18&amp;"'!B$18")</f>
        <v>0</v>
      </c>
      <c r="R18" s="149" cm="1">
        <f t="array" aca="1" ref="R18" ca="1">INDIRECT("'"&amp;$A18&amp;"'!C$18")</f>
        <v>0</v>
      </c>
      <c r="S18" s="149" cm="1">
        <f t="array" aca="1" ref="S18" ca="1">INDIRECT("'"&amp;A18&amp;"'!B$17")</f>
        <v>0</v>
      </c>
      <c r="T18" s="149" cm="1">
        <f t="array" aca="1" ref="T18" ca="1">INDIRECT("'"&amp;A18&amp;"'!C$17")</f>
        <v>0</v>
      </c>
      <c r="U18" s="149" cm="1">
        <f t="array" aca="1" ref="U18" ca="1">INDIRECT("'"&amp;A18&amp;"'!B$20")+INDIRECT("'"&amp;A18&amp;"'!C$20")</f>
        <v>0</v>
      </c>
      <c r="V18" s="149" cm="1">
        <f t="array" aca="1" ref="V18" ca="1">INDIRECT("'"&amp;A18&amp;"'!B$19")+INDIRECT("'"&amp;A18&amp;"'!C$19")</f>
        <v>0</v>
      </c>
      <c r="W18" s="45"/>
      <c r="X18" s="284">
        <f ca="1">O18*Constants!$B$6</f>
        <v>4860</v>
      </c>
      <c r="Y18" s="284">
        <f ca="1">P18*Constants!$B$6</f>
        <v>0</v>
      </c>
      <c r="Z18" s="284" cm="1">
        <f t="array" aca="1" ref="Z18" ca="1">INDIRECT("'"&amp;$A18&amp;"'!B$21")</f>
        <v>0</v>
      </c>
      <c r="AA18" s="284" cm="1">
        <f t="array" aca="1" ref="AA18" ca="1">INDIRECT("'"&amp;$A18&amp;"'!C$21")</f>
        <v>0</v>
      </c>
      <c r="AB18" s="284">
        <f ca="1">S18*Constants!$B$8</f>
        <v>0</v>
      </c>
      <c r="AC18" s="284">
        <f ca="1">T18*Constants!$B$8</f>
        <v>0</v>
      </c>
      <c r="AD18" s="284" cm="1">
        <f t="array" aca="1" ref="AD18" ca="1">INDIRECT("'"&amp;A18&amp;"'!B$22")+INDIRECT("'"&amp;A18&amp;"'!C$22")</f>
        <v>0</v>
      </c>
      <c r="AE18" s="149">
        <f ca="1">ROUND(V18/Constants!$B$22,0)</f>
        <v>0</v>
      </c>
      <c r="AF18" s="45"/>
      <c r="AG18" s="149" cm="1">
        <f t="array" aca="1" ref="AG18" ca="1">INDIRECT("'"&amp;A18&amp;"'!E16")</f>
        <v>0</v>
      </c>
      <c r="AH18" s="149" cm="1">
        <f t="array" aca="1" ref="AH18" ca="1">INDIRECT("'"&amp;A18&amp;"'!D16")</f>
        <v>0</v>
      </c>
      <c r="AI18" s="149" cm="1">
        <f t="array" aca="1" ref="AI18" ca="1">INDIRECT("'"&amp;A18&amp;"'!E18")</f>
        <v>0</v>
      </c>
      <c r="AJ18" s="149" cm="1">
        <f t="array" aca="1" ref="AJ18" ca="1">INDIRECT("'"&amp;A18&amp;"'!D18")</f>
        <v>0</v>
      </c>
      <c r="AK18" s="149" cm="1">
        <f t="array" aca="1" ref="AK18" ca="1">INDIRECT("'"&amp;A18&amp;"'!E$17")</f>
        <v>0</v>
      </c>
      <c r="AL18" s="149" cm="1">
        <f t="array" aca="1" ref="AL18" ca="1">INDIRECT("'"&amp;A18&amp;"'!D$17")</f>
        <v>0</v>
      </c>
      <c r="AM18" s="149" cm="1">
        <f t="array" aca="1" ref="AM18" ca="1">INDIRECT("'"&amp;A18&amp;"'!E$20")</f>
        <v>0</v>
      </c>
      <c r="AN18" s="149" cm="1">
        <f t="array" aca="1" ref="AN18" ca="1">INDIRECT("'"&amp;A18&amp;"'!D$20")</f>
        <v>0</v>
      </c>
      <c r="AO18" s="149">
        <f ca="1">SUM(INDIRECT("'"&amp;$A18&amp;"'!F$16"):INDIRECT("'"&amp;$A18&amp;"'!F$20"))</f>
        <v>25.2</v>
      </c>
      <c r="AP18" s="149" cm="1">
        <f t="array" aca="1" ref="AP18" ca="1">INDIRECT("'"&amp;A18&amp;"'!D$19")+INDIRECT("'"&amp;A18&amp;"'!E$19")</f>
        <v>232.5</v>
      </c>
      <c r="AQ18" s="45"/>
      <c r="AR18" s="284">
        <f ca="1">AG18*Constants!$B$6</f>
        <v>0</v>
      </c>
      <c r="AS18" s="284">
        <f ca="1">AH18*Constants!$B$6</f>
        <v>0</v>
      </c>
      <c r="AT18" s="284" cm="1">
        <f t="array" aca="1" ref="AT18" ca="1">INDIRECT("'"&amp;$A18&amp;"'!E$21")</f>
        <v>0</v>
      </c>
      <c r="AU18" s="284" cm="1">
        <f t="array" aca="1" ref="AU18" ca="1">INDIRECT("'"&amp;$A18&amp;"'!D$21")</f>
        <v>0</v>
      </c>
      <c r="AV18" s="284">
        <f ca="1">AK18*Constants!$B$8</f>
        <v>0</v>
      </c>
      <c r="AW18" s="284">
        <f ca="1">AL18*Constants!$B$8</f>
        <v>0</v>
      </c>
      <c r="AX18" s="284" cm="1">
        <f t="array" aca="1" ref="AX18" ca="1">INDIRECT("'"&amp;A18&amp;"'!E$22")</f>
        <v>0</v>
      </c>
      <c r="AY18" s="284" cm="1">
        <f t="array" aca="1" ref="AY18" ca="1">INDIRECT("'"&amp;A18&amp;"'!D$22")</f>
        <v>0</v>
      </c>
      <c r="AZ18" s="284" cm="1">
        <f t="array" aca="1" ref="AZ18" ca="1">INDIRECT("'"&amp;$A18&amp;"'!F$23")</f>
        <v>1050</v>
      </c>
      <c r="BA18" s="284" cm="1">
        <f t="array" aca="1" ref="BA18" ca="1">INDIRECT("'"&amp;$A18&amp;"'!E$24")</f>
        <v>0</v>
      </c>
      <c r="BB18" s="149">
        <f ca="1">ROUND(AP18/Constants!$B$22,0)</f>
        <v>4</v>
      </c>
      <c r="BC18" s="150">
        <f>'Student Trainers'!G17</f>
        <v>75</v>
      </c>
      <c r="BD18" s="46"/>
      <c r="BE18" s="151" cm="1">
        <f t="array" aca="1" ref="BE18" ca="1">INDIRECT("'"&amp;$A18&amp;"'!H$16")</f>
        <v>52.5</v>
      </c>
      <c r="BF18" s="151" cm="1">
        <f t="array" aca="1" ref="BF18" ca="1">INDIRECT("'"&amp;$A18&amp;"'!I$16")</f>
        <v>0</v>
      </c>
      <c r="BG18" s="46"/>
      <c r="BH18" s="285" cm="1">
        <f t="array" aca="1" ref="BH18" ca="1">INDIRECT("'"&amp;$A18&amp;"'!H$17")</f>
        <v>2047.5</v>
      </c>
      <c r="BI18" s="285">
        <f ca="1">BH18*'Total Budget'!D$54/$BH$38</f>
        <v>2209.4302600195042</v>
      </c>
      <c r="BJ18" s="285" cm="1">
        <f t="array" aca="1" ref="BJ18" ca="1">INDIRECT("'"&amp;$A18&amp;"'!I$17")</f>
        <v>0</v>
      </c>
      <c r="BK18" s="285" cm="1">
        <f t="array" aca="1" ref="BK18" ca="1">INDIRECT("'"&amp;$A18&amp;"'!I$19")</f>
        <v>0</v>
      </c>
      <c r="BL18" s="286"/>
      <c r="BM18" s="287" cm="1">
        <f t="array" aca="1" ref="BM18" ca="1">INDIRECT("'"&amp;$A18&amp;"'!J$16")</f>
        <v>492</v>
      </c>
      <c r="BN18" s="288" cm="1">
        <f t="array" aca="1" ref="BN18" ca="1">INDIRECT("'"&amp;$A18&amp;"'!K$16")</f>
        <v>0</v>
      </c>
      <c r="BO18" s="16"/>
      <c r="BP18" s="289">
        <f t="shared" ca="1" si="2"/>
        <v>7527.7635933528372</v>
      </c>
      <c r="BQ18" s="499">
        <f t="shared" ca="1" si="3"/>
        <v>123.40596054676783</v>
      </c>
      <c r="BR18" s="500">
        <f t="shared" ca="1" si="4"/>
        <v>0.38358639030965702</v>
      </c>
      <c r="BS18" s="498">
        <f ca="1">MAX(0, BP18-Constants!B$18*C18*$BQ$38)</f>
        <v>0</v>
      </c>
      <c r="BU18" s="497">
        <f t="shared" ca="1" si="5"/>
        <v>333.59133050744094</v>
      </c>
      <c r="BV18" s="496">
        <f t="shared" ca="1" si="6"/>
        <v>5.4687103361875566</v>
      </c>
    </row>
    <row r="19" spans="1:74" ht="14.25" customHeight="1">
      <c r="A19" s="44" t="s">
        <v>74</v>
      </c>
      <c r="B19" s="148">
        <v>1</v>
      </c>
      <c r="C19" s="148">
        <f t="array" aca="1" ref="C19" ca="1">INDIRECT("'"&amp;A19&amp;"'!B$7")</f>
        <v>101</v>
      </c>
      <c r="D19" s="148" t="str">
        <f t="array" aca="1" ref="D19" ca="1">INDIRECT("'"&amp;A19&amp;"'!B$9")</f>
        <v>yes</v>
      </c>
      <c r="E19" s="45"/>
      <c r="F19" s="281" cm="1">
        <f t="array" aca="1" ref="F19" ca="1">INDIRECT("'"&amp;A19&amp;"'!M$15")</f>
        <v>1000</v>
      </c>
      <c r="G19" s="281" cm="1">
        <f t="array" aca="1" ref="G19" ca="1">INDIRECT("'"&amp;A19&amp;"'!M$16")</f>
        <v>0</v>
      </c>
      <c r="H19" s="281" cm="1">
        <f t="array" aca="1" ref="H19" ca="1">INDIRECT("'"&amp;$A19&amp;"'!M$17")</f>
        <v>1199.692057142857</v>
      </c>
      <c r="I19" s="282">
        <f t="shared" ca="1" si="0"/>
        <v>0</v>
      </c>
      <c r="J19" s="282">
        <f t="shared" ca="1" si="7"/>
        <v>0</v>
      </c>
      <c r="K19" s="282">
        <f ca="1">C19*Constants!C$31</f>
        <v>4545</v>
      </c>
      <c r="L19" s="282">
        <f t="shared" ca="1" si="1"/>
        <v>1056.382972875921</v>
      </c>
      <c r="M19" s="281" cm="1">
        <f t="array" aca="1" ref="M19" ca="1">INDIRECT("'"&amp;$A19&amp;"'!M$21")+J19</f>
        <v>7801.0750300187783</v>
      </c>
      <c r="N19" s="45"/>
      <c r="O19" s="149" cm="1">
        <f t="array" aca="1" ref="O19" ca="1">INDIRECT("'"&amp;$A19&amp;"'!B$16")</f>
        <v>151.19999999999999</v>
      </c>
      <c r="P19" s="149" cm="1">
        <f t="array" aca="1" ref="P19" ca="1">INDIRECT("'"&amp;$A19&amp;"'!C$16")</f>
        <v>0</v>
      </c>
      <c r="Q19" s="149" cm="1">
        <f t="array" aca="1" ref="Q19" ca="1">INDIRECT("'"&amp;$A19&amp;"'!B$18")</f>
        <v>0</v>
      </c>
      <c r="R19" s="149" cm="1">
        <f t="array" aca="1" ref="R19" ca="1">INDIRECT("'"&amp;$A19&amp;"'!C$18")</f>
        <v>0</v>
      </c>
      <c r="S19" s="149" cm="1">
        <f t="array" aca="1" ref="S19" ca="1">INDIRECT("'"&amp;A19&amp;"'!B$17")</f>
        <v>352.79999999999995</v>
      </c>
      <c r="T19" s="149" cm="1">
        <f t="array" aca="1" ref="T19" ca="1">INDIRECT("'"&amp;A19&amp;"'!C$17")</f>
        <v>0</v>
      </c>
      <c r="U19" s="149" cm="1">
        <f t="array" aca="1" ref="U19" ca="1">INDIRECT("'"&amp;A19&amp;"'!B$20")+INDIRECT("'"&amp;A19&amp;"'!C$20")</f>
        <v>0</v>
      </c>
      <c r="V19" s="149" cm="1">
        <f t="array" aca="1" ref="V19" ca="1">INDIRECT("'"&amp;A19&amp;"'!B$19")+INDIRECT("'"&amp;A19&amp;"'!C$19")</f>
        <v>63</v>
      </c>
      <c r="W19" s="45"/>
      <c r="X19" s="284">
        <f ca="1">O19*Constants!$B$6</f>
        <v>7559.9999999999991</v>
      </c>
      <c r="Y19" s="284">
        <f ca="1">P19*Constants!$B$6</f>
        <v>0</v>
      </c>
      <c r="Z19" s="284" cm="1">
        <f t="array" aca="1" ref="Z19" ca="1">INDIRECT("'"&amp;$A19&amp;"'!B$21")</f>
        <v>0</v>
      </c>
      <c r="AA19" s="284" cm="1">
        <f t="array" aca="1" ref="AA19" ca="1">INDIRECT("'"&amp;$A19&amp;"'!C$21")</f>
        <v>0</v>
      </c>
      <c r="AB19" s="284">
        <f ca="1">S19*Constants!$B$8</f>
        <v>1763.9999999999998</v>
      </c>
      <c r="AC19" s="284">
        <f ca="1">T19*Constants!$B$8</f>
        <v>0</v>
      </c>
      <c r="AD19" s="284" cm="1">
        <f t="array" aca="1" ref="AD19" ca="1">INDIRECT("'"&amp;A19&amp;"'!B$22")+INDIRECT("'"&amp;A19&amp;"'!C$22")</f>
        <v>0</v>
      </c>
      <c r="AE19" s="149">
        <f ca="1">ROUND(V19/Constants!$B$22,0)</f>
        <v>1</v>
      </c>
      <c r="AF19" s="45"/>
      <c r="AG19" s="149" cm="1">
        <f t="array" aca="1" ref="AG19" ca="1">INDIRECT("'"&amp;A19&amp;"'!E16")</f>
        <v>0</v>
      </c>
      <c r="AH19" s="149" cm="1">
        <f t="array" aca="1" ref="AH19" ca="1">INDIRECT("'"&amp;A19&amp;"'!D16")</f>
        <v>0</v>
      </c>
      <c r="AI19" s="149" cm="1">
        <f t="array" aca="1" ref="AI19" ca="1">INDIRECT("'"&amp;A19&amp;"'!E18")</f>
        <v>0</v>
      </c>
      <c r="AJ19" s="149" cm="1">
        <f t="array" aca="1" ref="AJ19" ca="1">INDIRECT("'"&amp;A19&amp;"'!D18")</f>
        <v>0</v>
      </c>
      <c r="AK19" s="149" cm="1">
        <f t="array" aca="1" ref="AK19" ca="1">INDIRECT("'"&amp;A19&amp;"'!E$17")</f>
        <v>0</v>
      </c>
      <c r="AL19" s="149" cm="1">
        <f t="array" aca="1" ref="AL19" ca="1">INDIRECT("'"&amp;A19&amp;"'!D$17")</f>
        <v>0</v>
      </c>
      <c r="AM19" s="149" cm="1">
        <f t="array" aca="1" ref="AM19" ca="1">INDIRECT("'"&amp;A19&amp;"'!E$20")</f>
        <v>0</v>
      </c>
      <c r="AN19" s="149" cm="1">
        <f t="array" aca="1" ref="AN19" ca="1">INDIRECT("'"&amp;A19&amp;"'!D$20")</f>
        <v>0</v>
      </c>
      <c r="AO19" s="149">
        <f ca="1">SUM(INDIRECT("'"&amp;$A19&amp;"'!F$16"):INDIRECT("'"&amp;$A19&amp;"'!F$20"))</f>
        <v>25.2</v>
      </c>
      <c r="AP19" s="149" cm="1">
        <f t="array" aca="1" ref="AP19" ca="1">INDIRECT("'"&amp;A19&amp;"'!D$19")+INDIRECT("'"&amp;A19&amp;"'!E$19")</f>
        <v>168</v>
      </c>
      <c r="AQ19" s="45"/>
      <c r="AR19" s="284">
        <f ca="1">AG19*Constants!$B$6</f>
        <v>0</v>
      </c>
      <c r="AS19" s="284">
        <f ca="1">AH19*Constants!$B$6</f>
        <v>0</v>
      </c>
      <c r="AT19" s="284" cm="1">
        <f t="array" aca="1" ref="AT19" ca="1">INDIRECT("'"&amp;$A19&amp;"'!E$21")</f>
        <v>0</v>
      </c>
      <c r="AU19" s="284" cm="1">
        <f t="array" aca="1" ref="AU19" ca="1">INDIRECT("'"&amp;$A19&amp;"'!D$21")</f>
        <v>0</v>
      </c>
      <c r="AV19" s="284">
        <f ca="1">AK19*Constants!$B$8</f>
        <v>0</v>
      </c>
      <c r="AW19" s="284">
        <f ca="1">AL19*Constants!$B$8</f>
        <v>0</v>
      </c>
      <c r="AX19" s="284" cm="1">
        <f t="array" aca="1" ref="AX19" ca="1">INDIRECT("'"&amp;A19&amp;"'!E$22")</f>
        <v>0</v>
      </c>
      <c r="AY19" s="284" cm="1">
        <f t="array" aca="1" ref="AY19" ca="1">INDIRECT("'"&amp;A19&amp;"'!D$22")</f>
        <v>0</v>
      </c>
      <c r="AZ19" s="284" cm="1">
        <f t="array" aca="1" ref="AZ19" ca="1">INDIRECT("'"&amp;$A19&amp;"'!F$23")</f>
        <v>1050</v>
      </c>
      <c r="BA19" s="284" cm="1">
        <f t="array" aca="1" ref="BA19" ca="1">INDIRECT("'"&amp;$A19&amp;"'!E$24")</f>
        <v>1000</v>
      </c>
      <c r="BB19" s="149">
        <f ca="1">ROUND(AP19/Constants!$B$22,0)</f>
        <v>3</v>
      </c>
      <c r="BC19" s="150">
        <f>'Student Trainers'!G18</f>
        <v>450</v>
      </c>
      <c r="BD19" s="46"/>
      <c r="BE19" s="151" cm="1">
        <f t="array" aca="1" ref="BE19" ca="1">INDIRECT("'"&amp;$A19&amp;"'!H$16")</f>
        <v>231</v>
      </c>
      <c r="BF19" s="151" cm="1">
        <f t="array" aca="1" ref="BF19" ca="1">INDIRECT("'"&amp;$A19&amp;"'!I$16")</f>
        <v>16</v>
      </c>
      <c r="BG19" s="46"/>
      <c r="BH19" s="285" cm="1">
        <f t="array" aca="1" ref="BH19" ca="1">INDIRECT("'"&amp;$A19&amp;"'!H$17")</f>
        <v>10310</v>
      </c>
      <c r="BI19" s="285">
        <f ca="1">BH19*'Total Budget'!D$54/$BH$38</f>
        <v>11125.385094408346</v>
      </c>
      <c r="BJ19" s="285" cm="1">
        <f t="array" aca="1" ref="BJ19" ca="1">INDIRECT("'"&amp;$A19&amp;"'!I$17")</f>
        <v>1130</v>
      </c>
      <c r="BK19" s="285" cm="1">
        <f t="array" aca="1" ref="BK19" ca="1">INDIRECT("'"&amp;$A19&amp;"'!I$19")</f>
        <v>1130</v>
      </c>
      <c r="BL19" s="286"/>
      <c r="BM19" s="287" cm="1">
        <f t="array" aca="1" ref="BM19" ca="1">INDIRECT("'"&amp;$A19&amp;"'!J$16")</f>
        <v>1958.4602857142854</v>
      </c>
      <c r="BN19" s="288" cm="1">
        <f t="array" aca="1" ref="BN19" ca="1">INDIRECT("'"&amp;$A19&amp;"'!K$16")</f>
        <v>758.76822857142838</v>
      </c>
      <c r="BO19" s="16"/>
      <c r="BP19" s="289">
        <f t="shared" ca="1" si="2"/>
        <v>23838.153322979771</v>
      </c>
      <c r="BQ19" s="499">
        <f t="shared" ca="1" si="3"/>
        <v>236.02132002950268</v>
      </c>
      <c r="BR19" s="500">
        <f t="shared" ca="1" si="4"/>
        <v>0.73363203677610789</v>
      </c>
      <c r="BS19" s="498">
        <f ca="1">MAX(0, BP19-Constants!B$18*C19*$BQ$38)</f>
        <v>0</v>
      </c>
      <c r="BU19" s="497">
        <f t="shared" ca="1" si="5"/>
        <v>1056.382972875921</v>
      </c>
      <c r="BV19" s="496">
        <f t="shared" ca="1" si="6"/>
        <v>10.459237355207138</v>
      </c>
    </row>
    <row r="20" spans="1:74" ht="14.25" customHeight="1">
      <c r="A20" s="44" t="s">
        <v>138</v>
      </c>
      <c r="B20" s="148">
        <v>3</v>
      </c>
      <c r="C20" s="148">
        <f t="array" aca="1" ref="C20" ca="1">INDIRECT("'"&amp;A20&amp;"'!B$7")</f>
        <v>65</v>
      </c>
      <c r="D20" s="148" t="str">
        <f t="array" aca="1" ref="D20" ca="1">INDIRECT("'"&amp;A20&amp;"'!B$9")</f>
        <v>yes</v>
      </c>
      <c r="E20" s="45"/>
      <c r="F20" s="281" cm="1">
        <f t="array" aca="1" ref="F20" ca="1">INDIRECT("'"&amp;A20&amp;"'!M$15")</f>
        <v>1833.3333333333335</v>
      </c>
      <c r="G20" s="281" cm="1">
        <f t="array" aca="1" ref="G20" ca="1">INDIRECT("'"&amp;A20&amp;"'!M$16")</f>
        <v>0</v>
      </c>
      <c r="H20" s="281" cm="1">
        <f t="array" aca="1" ref="H20" ca="1">INDIRECT("'"&amp;$A20&amp;"'!M$17")</f>
        <v>155</v>
      </c>
      <c r="I20" s="282">
        <f t="shared" ca="1" si="0"/>
        <v>0</v>
      </c>
      <c r="J20" s="282">
        <f t="shared" ca="1" si="7"/>
        <v>0</v>
      </c>
      <c r="K20" s="282">
        <f ca="1">C20*Constants!C$31</f>
        <v>2925</v>
      </c>
      <c r="L20" s="282">
        <f t="shared" ca="1" si="1"/>
        <v>1285.2809853100925</v>
      </c>
      <c r="M20" s="281" cm="1">
        <f t="array" aca="1" ref="M20" ca="1">INDIRECT("'"&amp;$A20&amp;"'!M$21")+J20</f>
        <v>6198.6143186434256</v>
      </c>
      <c r="N20" s="45"/>
      <c r="O20" s="149" cm="1">
        <f t="array" aca="1" ref="O20" ca="1">INDIRECT("'"&amp;$A20&amp;"'!B$16")</f>
        <v>0</v>
      </c>
      <c r="P20" s="149" cm="1">
        <f t="array" aca="1" ref="P20" ca="1">INDIRECT("'"&amp;$A20&amp;"'!C$16")</f>
        <v>0</v>
      </c>
      <c r="Q20" s="149" cm="1">
        <f t="array" aca="1" ref="Q20" ca="1">INDIRECT("'"&amp;$A20&amp;"'!B$18")</f>
        <v>0</v>
      </c>
      <c r="R20" s="149" cm="1">
        <f t="array" aca="1" ref="R20" ca="1">INDIRECT("'"&amp;$A20&amp;"'!C$18")</f>
        <v>0</v>
      </c>
      <c r="S20" s="149" cm="1">
        <f t="array" aca="1" ref="S20" ca="1">INDIRECT("'"&amp;A20&amp;"'!B$17")</f>
        <v>0</v>
      </c>
      <c r="T20" s="149" cm="1">
        <f t="array" aca="1" ref="T20" ca="1">INDIRECT("'"&amp;A20&amp;"'!C$17")</f>
        <v>0</v>
      </c>
      <c r="U20" s="149" cm="1">
        <f t="array" aca="1" ref="U20" ca="1">INDIRECT("'"&amp;A20&amp;"'!B$20")+INDIRECT("'"&amp;A20&amp;"'!C$20")</f>
        <v>0</v>
      </c>
      <c r="V20" s="149" cm="1">
        <f t="array" aca="1" ref="V20" ca="1">INDIRECT("'"&amp;A20&amp;"'!B$19")+INDIRECT("'"&amp;A20&amp;"'!C$19")</f>
        <v>0</v>
      </c>
      <c r="W20" s="45"/>
      <c r="X20" s="284">
        <f ca="1">O20*Constants!$B$6</f>
        <v>0</v>
      </c>
      <c r="Y20" s="284">
        <f ca="1">P20*Constants!$B$6</f>
        <v>0</v>
      </c>
      <c r="Z20" s="284" cm="1">
        <f t="array" aca="1" ref="Z20" ca="1">INDIRECT("'"&amp;$A20&amp;"'!B$21")</f>
        <v>0</v>
      </c>
      <c r="AA20" s="284" cm="1">
        <f t="array" aca="1" ref="AA20" ca="1">INDIRECT("'"&amp;$A20&amp;"'!C$21")</f>
        <v>0</v>
      </c>
      <c r="AB20" s="284">
        <f ca="1">S20*Constants!$B$8</f>
        <v>0</v>
      </c>
      <c r="AC20" s="284">
        <f ca="1">T20*Constants!$B$8</f>
        <v>0</v>
      </c>
      <c r="AD20" s="284" cm="1">
        <f t="array" aca="1" ref="AD20" ca="1">INDIRECT("'"&amp;A20&amp;"'!B$22")+INDIRECT("'"&amp;A20&amp;"'!C$22")</f>
        <v>0</v>
      </c>
      <c r="AE20" s="149">
        <f ca="1">ROUND(V20/Constants!$B$22,0)</f>
        <v>0</v>
      </c>
      <c r="AF20" s="45"/>
      <c r="AG20" s="149" cm="1">
        <f t="array" aca="1" ref="AG20" ca="1">INDIRECT("'"&amp;A20&amp;"'!E16")</f>
        <v>0</v>
      </c>
      <c r="AH20" s="149" cm="1">
        <f t="array" aca="1" ref="AH20" ca="1">INDIRECT("'"&amp;A20&amp;"'!D16")</f>
        <v>277.2</v>
      </c>
      <c r="AI20" s="149" cm="1">
        <f t="array" aca="1" ref="AI20" ca="1">INDIRECT("'"&amp;A20&amp;"'!E18")</f>
        <v>0</v>
      </c>
      <c r="AJ20" s="149" cm="1">
        <f t="array" aca="1" ref="AJ20" ca="1">INDIRECT("'"&amp;A20&amp;"'!D18")</f>
        <v>0</v>
      </c>
      <c r="AK20" s="149" cm="1">
        <f t="array" aca="1" ref="AK20" ca="1">INDIRECT("'"&amp;A20&amp;"'!E$17")</f>
        <v>0</v>
      </c>
      <c r="AL20" s="149" cm="1">
        <f t="array" aca="1" ref="AL20" ca="1">INDIRECT("'"&amp;A20&amp;"'!D$17")</f>
        <v>0</v>
      </c>
      <c r="AM20" s="149" cm="1">
        <f t="array" aca="1" ref="AM20" ca="1">INDIRECT("'"&amp;A20&amp;"'!E$20")</f>
        <v>0</v>
      </c>
      <c r="AN20" s="149" cm="1">
        <f t="array" aca="1" ref="AN20" ca="1">INDIRECT("'"&amp;A20&amp;"'!D$20")</f>
        <v>0</v>
      </c>
      <c r="AO20" s="149">
        <f ca="1">SUM(INDIRECT("'"&amp;$A20&amp;"'!F$16"):INDIRECT("'"&amp;$A20&amp;"'!F$20"))</f>
        <v>0</v>
      </c>
      <c r="AP20" s="149" cm="1">
        <f t="array" aca="1" ref="AP20" ca="1">INDIRECT("'"&amp;A20&amp;"'!D$19")+INDIRECT("'"&amp;A20&amp;"'!E$19")</f>
        <v>0</v>
      </c>
      <c r="AQ20" s="45"/>
      <c r="AR20" s="284">
        <f ca="1">AG20*Constants!$B$6</f>
        <v>0</v>
      </c>
      <c r="AS20" s="284">
        <f ca="1">AH20*Constants!$B$6</f>
        <v>13860</v>
      </c>
      <c r="AT20" s="284" cm="1">
        <f t="array" aca="1" ref="AT20" ca="1">INDIRECT("'"&amp;$A20&amp;"'!E$21")</f>
        <v>0</v>
      </c>
      <c r="AU20" s="284" cm="1">
        <f t="array" aca="1" ref="AU20" ca="1">INDIRECT("'"&amp;$A20&amp;"'!D$21")</f>
        <v>0</v>
      </c>
      <c r="AV20" s="284">
        <f ca="1">AK20*Constants!$B$8</f>
        <v>0</v>
      </c>
      <c r="AW20" s="284">
        <f ca="1">AL20*Constants!$B$8</f>
        <v>0</v>
      </c>
      <c r="AX20" s="284" cm="1">
        <f t="array" aca="1" ref="AX20" ca="1">INDIRECT("'"&amp;A20&amp;"'!E$22")</f>
        <v>0</v>
      </c>
      <c r="AY20" s="284" cm="1">
        <f t="array" aca="1" ref="AY20" ca="1">INDIRECT("'"&amp;A20&amp;"'!D$22")</f>
        <v>0</v>
      </c>
      <c r="AZ20" s="284" cm="1">
        <f t="array" aca="1" ref="AZ20" ca="1">INDIRECT("'"&amp;$A20&amp;"'!F$23")</f>
        <v>0</v>
      </c>
      <c r="BA20" s="284" cm="1">
        <f t="array" aca="1" ref="BA20" ca="1">INDIRECT("'"&amp;$A20&amp;"'!E$24")</f>
        <v>0</v>
      </c>
      <c r="BB20" s="149">
        <f ca="1">ROUND(AP20/Constants!$B$22,0)</f>
        <v>0</v>
      </c>
      <c r="BC20" s="150">
        <f>'Student Trainers'!G19</f>
        <v>0</v>
      </c>
      <c r="BD20" s="46"/>
      <c r="BE20" s="151" cm="1">
        <f t="array" aca="1" ref="BE20" ca="1">INDIRECT("'"&amp;$A20&amp;"'!H$16")</f>
        <v>388.5</v>
      </c>
      <c r="BF20" s="151" cm="1">
        <f t="array" aca="1" ref="BF20" ca="1">INDIRECT("'"&amp;$A20&amp;"'!I$16")</f>
        <v>15</v>
      </c>
      <c r="BG20" s="46"/>
      <c r="BH20" s="285" cm="1">
        <f t="array" aca="1" ref="BH20" ca="1">INDIRECT("'"&amp;$A20&amp;"'!H$17")</f>
        <v>15540</v>
      </c>
      <c r="BI20" s="285">
        <f ca="1">BH20*'Total Budget'!D$54/$BH$38</f>
        <v>16769.009152968545</v>
      </c>
      <c r="BJ20" s="285" cm="1">
        <f t="array" aca="1" ref="BJ20" ca="1">IF(ISNUMBER(INDIRECT("'"&amp;$A20&amp;"'!I$17")),INDIRECT("'"&amp;$A20&amp;"'!I$17"),0)</f>
        <v>207.75</v>
      </c>
      <c r="BK20" s="285" cm="1">
        <f t="array" aca="1" ref="BK20" ca="1">IF(ISNUMBER(INDIRECT("'"&amp;$A20&amp;"'!I$19")),INDIRECT("'"&amp;$A20&amp;"'!I$19"),0)</f>
        <v>207.75</v>
      </c>
      <c r="BL20" s="286"/>
      <c r="BM20" s="287" cm="1">
        <f t="array" aca="1" ref="BM20" ca="1">INDIRECT("'"&amp;$A20&amp;"'!J$16")</f>
        <v>155</v>
      </c>
      <c r="BN20" s="288" cm="1">
        <f t="array" aca="1" ref="BN20" ca="1">INDIRECT("'"&amp;$A20&amp;"'!K$16")</f>
        <v>0</v>
      </c>
      <c r="BO20" s="16"/>
      <c r="BP20" s="289">
        <f t="shared" ca="1" si="2"/>
        <v>29003.425819635213</v>
      </c>
      <c r="BQ20" s="499">
        <f t="shared" ca="1" si="3"/>
        <v>446.20655107131097</v>
      </c>
      <c r="BR20" s="500">
        <f t="shared" ca="1" si="4"/>
        <v>1.3869569954289269</v>
      </c>
      <c r="BS20" s="498">
        <f ca="1">MAX(0, BP20-Constants!B$18*C20*$BQ$38)</f>
        <v>0</v>
      </c>
      <c r="BU20" s="497">
        <f t="shared" ca="1" si="5"/>
        <v>1285.2809853100925</v>
      </c>
      <c r="BV20" s="496">
        <f t="shared" ca="1" si="6"/>
        <v>19.773553620155269</v>
      </c>
    </row>
    <row r="21" spans="1:74" ht="14.25" customHeight="1">
      <c r="A21" s="44" t="s">
        <v>100</v>
      </c>
      <c r="B21" s="47">
        <v>4</v>
      </c>
      <c r="C21" s="148">
        <f t="array" aca="1" ref="C21" ca="1">INDIRECT("'"&amp;A21&amp;"'!B$7")</f>
        <v>436</v>
      </c>
      <c r="D21" s="148" t="str">
        <f t="array" aca="1" ref="D21" ca="1">INDIRECT("'"&amp;A21&amp;"'!B$9")</f>
        <v>yes</v>
      </c>
      <c r="E21" s="45"/>
      <c r="F21" s="281" cm="1">
        <f t="array" aca="1" ref="F21" ca="1">INDIRECT("'"&amp;A21&amp;"'!M$15")</f>
        <v>7000</v>
      </c>
      <c r="G21" s="281" cm="1">
        <f t="array" aca="1" ref="G21" ca="1">INDIRECT("'"&amp;A21&amp;"'!M$16")</f>
        <v>0</v>
      </c>
      <c r="H21" s="281" cm="1">
        <f t="array" aca="1" ref="H21" ca="1">INDIRECT("'"&amp;$A21&amp;"'!M$17")</f>
        <v>3074</v>
      </c>
      <c r="I21" s="282">
        <f t="shared" ca="1" si="0"/>
        <v>0</v>
      </c>
      <c r="J21" s="282">
        <f t="shared" ca="1" si="7"/>
        <v>0</v>
      </c>
      <c r="K21" s="282">
        <f ca="1">C21*Constants!C$31</f>
        <v>19620</v>
      </c>
      <c r="L21" s="282">
        <f t="shared" ca="1" si="1"/>
        <v>6435.975223407122</v>
      </c>
      <c r="M21" s="281" cm="1">
        <f t="array" aca="1" ref="M21" ca="1">INDIRECT("'"&amp;$A21&amp;"'!M$21")+J21</f>
        <v>36129.97522340712</v>
      </c>
      <c r="N21" s="45"/>
      <c r="O21" s="149" cm="1">
        <f t="array" aca="1" ref="O21" ca="1">INDIRECT("'"&amp;$A21&amp;"'!B$16")</f>
        <v>273.59999999999997</v>
      </c>
      <c r="P21" s="149" cm="1">
        <f t="array" aca="1" ref="P21" ca="1">INDIRECT("'"&amp;$A21&amp;"'!C$16")</f>
        <v>0</v>
      </c>
      <c r="Q21" s="149" cm="1">
        <f t="array" aca="1" ref="Q21" ca="1">INDIRECT("'"&amp;$A21&amp;"'!B$18")</f>
        <v>684</v>
      </c>
      <c r="R21" s="149" cm="1">
        <f t="array" aca="1" ref="R21" ca="1">INDIRECT("'"&amp;$A21&amp;"'!C$18")</f>
        <v>0</v>
      </c>
      <c r="S21" s="149" cm="1">
        <f t="array" aca="1" ref="S21" ca="1">INDIRECT("'"&amp;A21&amp;"'!B$17")</f>
        <v>0</v>
      </c>
      <c r="T21" s="149" cm="1">
        <f t="array" aca="1" ref="T21" ca="1">INDIRECT("'"&amp;A21&amp;"'!C$17")</f>
        <v>0</v>
      </c>
      <c r="U21" s="149" cm="1">
        <f t="array" aca="1" ref="U21" ca="1">INDIRECT("'"&amp;A21&amp;"'!B$20")+INDIRECT("'"&amp;A21&amp;"'!C$20")</f>
        <v>0</v>
      </c>
      <c r="V21" s="149" cm="1">
        <f t="array" aca="1" ref="V21" ca="1">INDIRECT("'"&amp;A21&amp;"'!B$19")+INDIRECT("'"&amp;A21&amp;"'!C$19")</f>
        <v>0</v>
      </c>
      <c r="W21" s="45"/>
      <c r="X21" s="284">
        <f ca="1">O21*Constants!$B$6</f>
        <v>13679.999999999998</v>
      </c>
      <c r="Y21" s="284">
        <f ca="1">P21*Constants!$B$6</f>
        <v>0</v>
      </c>
      <c r="Z21" s="284" cm="1">
        <f t="array" aca="1" ref="Z21" ca="1">INDIRECT("'"&amp;$A21&amp;"'!B$21")</f>
        <v>34200</v>
      </c>
      <c r="AA21" s="284" cm="1">
        <f t="array" aca="1" ref="AA21" ca="1">INDIRECT("'"&amp;$A21&amp;"'!C$21")</f>
        <v>0</v>
      </c>
      <c r="AB21" s="284">
        <f ca="1">S21*Constants!$B$8</f>
        <v>0</v>
      </c>
      <c r="AC21" s="284">
        <f ca="1">T21*Constants!$B$8</f>
        <v>0</v>
      </c>
      <c r="AD21" s="284" cm="1">
        <f t="array" aca="1" ref="AD21" ca="1">INDIRECT("'"&amp;A21&amp;"'!B$22")+INDIRECT("'"&amp;A21&amp;"'!C$22")</f>
        <v>0</v>
      </c>
      <c r="AE21" s="149">
        <f ca="1">ROUND(V21/Constants!$B$22,0)</f>
        <v>0</v>
      </c>
      <c r="AF21" s="45"/>
      <c r="AG21" s="149" cm="1">
        <f t="array" aca="1" ref="AG21" ca="1">INDIRECT("'"&amp;A21&amp;"'!E16")</f>
        <v>0</v>
      </c>
      <c r="AH21" s="149" cm="1">
        <f t="array" aca="1" ref="AH21" ca="1">INDIRECT("'"&amp;A21&amp;"'!D16")</f>
        <v>0</v>
      </c>
      <c r="AI21" s="149" cm="1">
        <f t="array" aca="1" ref="AI21" ca="1">INDIRECT("'"&amp;A21&amp;"'!E18")</f>
        <v>0</v>
      </c>
      <c r="AJ21" s="149" cm="1">
        <f t="array" aca="1" ref="AJ21" ca="1">INDIRECT("'"&amp;A21&amp;"'!D18")</f>
        <v>0</v>
      </c>
      <c r="AK21" s="149" cm="1">
        <f t="array" aca="1" ref="AK21" ca="1">INDIRECT("'"&amp;A21&amp;"'!E$17")</f>
        <v>0</v>
      </c>
      <c r="AL21" s="149" cm="1">
        <f t="array" aca="1" ref="AL21" ca="1">INDIRECT("'"&amp;A21&amp;"'!D$17")</f>
        <v>0</v>
      </c>
      <c r="AM21" s="149" cm="1">
        <f t="array" aca="1" ref="AM21" ca="1">INDIRECT("'"&amp;A21&amp;"'!E$20")</f>
        <v>0</v>
      </c>
      <c r="AN21" s="149" cm="1">
        <f t="array" aca="1" ref="AN21" ca="1">INDIRECT("'"&amp;A21&amp;"'!D$20")</f>
        <v>0</v>
      </c>
      <c r="AO21" s="149">
        <f ca="1">SUM(INDIRECT("'"&amp;$A21&amp;"'!F$16"):INDIRECT("'"&amp;$A21&amp;"'!F$20"))</f>
        <v>0</v>
      </c>
      <c r="AP21" s="149" cm="1">
        <f t="array" aca="1" ref="AP21" ca="1">INDIRECT("'"&amp;A21&amp;"'!D$19")+INDIRECT("'"&amp;A21&amp;"'!E$19")</f>
        <v>1584</v>
      </c>
      <c r="AQ21" s="45"/>
      <c r="AR21" s="284">
        <f ca="1">AG21*Constants!$B$6</f>
        <v>0</v>
      </c>
      <c r="AS21" s="284">
        <f ca="1">AH21*Constants!$B$6</f>
        <v>0</v>
      </c>
      <c r="AT21" s="284" cm="1">
        <f t="array" aca="1" ref="AT21" ca="1">INDIRECT("'"&amp;$A21&amp;"'!E$21")</f>
        <v>0</v>
      </c>
      <c r="AU21" s="284" cm="1">
        <f t="array" aca="1" ref="AU21" ca="1">INDIRECT("'"&amp;$A21&amp;"'!D$21")</f>
        <v>0</v>
      </c>
      <c r="AV21" s="284">
        <f ca="1">AK21*Constants!$B$8</f>
        <v>0</v>
      </c>
      <c r="AW21" s="284">
        <f ca="1">AL21*Constants!$B$8</f>
        <v>0</v>
      </c>
      <c r="AX21" s="284" cm="1">
        <f t="array" aca="1" ref="AX21" ca="1">INDIRECT("'"&amp;A21&amp;"'!E$22")</f>
        <v>0</v>
      </c>
      <c r="AY21" s="284" cm="1">
        <f t="array" aca="1" ref="AY21" ca="1">INDIRECT("'"&amp;A21&amp;"'!D$22")</f>
        <v>0</v>
      </c>
      <c r="AZ21" s="284" cm="1">
        <f t="array" aca="1" ref="AZ21" ca="1">INDIRECT("'"&amp;$A21&amp;"'!F$23")</f>
        <v>0</v>
      </c>
      <c r="BA21" s="284" cm="1">
        <f t="array" aca="1" ref="BA21" ca="1">INDIRECT("'"&amp;$A21&amp;"'!E$24")</f>
        <v>0</v>
      </c>
      <c r="BB21" s="149">
        <f ca="1">ROUND(AP21/Constants!$B$22,0)</f>
        <v>26</v>
      </c>
      <c r="BC21" s="150">
        <f>'Student Trainers'!G20</f>
        <v>0</v>
      </c>
      <c r="BD21" s="46"/>
      <c r="BE21" s="151" cm="1">
        <f t="array" aca="1" ref="BE21" ca="1">INDIRECT("'"&amp;$A21&amp;"'!H$16")</f>
        <v>2763</v>
      </c>
      <c r="BF21" s="151" cm="1">
        <f t="array" aca="1" ref="BF21" ca="1">INDIRECT("'"&amp;$A21&amp;"'!I$16")</f>
        <v>0</v>
      </c>
      <c r="BG21" s="46"/>
      <c r="BH21" s="285" cm="1">
        <f t="array" aca="1" ref="BH21" ca="1">INDIRECT("'"&amp;$A21&amp;"'!H$17")</f>
        <v>96705</v>
      </c>
      <c r="BI21" s="285">
        <f ca="1">BH21*'Total Budget'!D$54/$BH$38</f>
        <v>104353.09074245967</v>
      </c>
      <c r="BJ21" s="285" cm="1">
        <f t="array" aca="1" ref="BJ21" ca="1">IF(ISNUMBER(INDIRECT("'"&amp;$A21&amp;"'!I$17")),INDIRECT("'"&amp;$A21&amp;"'!I$17"),0)</f>
        <v>0</v>
      </c>
      <c r="BK21" s="285" cm="1">
        <f t="array" aca="1" ref="BK21" ca="1">IF(ISNUMBER(INDIRECT("'"&amp;$A21&amp;"'!I$19")),INDIRECT("'"&amp;$A21&amp;"'!I$19"),0)</f>
        <v>0</v>
      </c>
      <c r="BL21" s="286"/>
      <c r="BM21" s="287" cm="1">
        <f t="array" aca="1" ref="BM21" ca="1">INDIRECT("'"&amp;$A21&amp;"'!J$16")</f>
        <v>3074</v>
      </c>
      <c r="BN21" s="288" cm="1">
        <f t="array" aca="1" ref="BN21" ca="1">INDIRECT("'"&amp;$A21&amp;"'!K$16")</f>
        <v>0</v>
      </c>
      <c r="BO21" s="16"/>
      <c r="BP21" s="289">
        <f t="shared" ca="1" si="2"/>
        <v>145233.09074245967</v>
      </c>
      <c r="BQ21" s="499">
        <f t="shared" ca="1" si="3"/>
        <v>333.10341913408178</v>
      </c>
      <c r="BR21" s="500">
        <f t="shared" ca="1" si="4"/>
        <v>1.0353951914423452</v>
      </c>
      <c r="BS21" s="498">
        <f ca="1">MAX(0, BP21-Constants!B$18*C21*$BQ$38)</f>
        <v>0</v>
      </c>
      <c r="BU21" s="497">
        <f t="shared" ca="1" si="5"/>
        <v>6435.975223407122</v>
      </c>
      <c r="BV21" s="496">
        <f t="shared" ca="1" si="6"/>
        <v>14.761411062860372</v>
      </c>
    </row>
    <row r="22" spans="1:74" ht="14.25" customHeight="1">
      <c r="A22" s="44" t="s">
        <v>351</v>
      </c>
      <c r="B22" s="47">
        <v>2</v>
      </c>
      <c r="C22" s="148">
        <f t="array" aca="1" ref="C22" ca="1">INDIRECT("'"&amp;A22&amp;"'!B$7")</f>
        <v>35</v>
      </c>
      <c r="D22" s="148" t="str">
        <f t="array" aca="1" ref="D22" ca="1">INDIRECT("'"&amp;A22&amp;"'!B$9")</f>
        <v>yes</v>
      </c>
      <c r="E22" s="45"/>
      <c r="F22" s="281" cm="1">
        <f t="array" aca="1" ref="F22" ca="1">INDIRECT("'"&amp;A22&amp;"'!M$15")</f>
        <v>0</v>
      </c>
      <c r="G22" s="281" cm="1">
        <f t="array" aca="1" ref="G22" ca="1">INDIRECT("'"&amp;A22&amp;"'!M$16")</f>
        <v>0</v>
      </c>
      <c r="H22" s="281" cm="1">
        <f t="array" aca="1" ref="H22" ca="1">INDIRECT("'"&amp;$A22&amp;"'!M$17")</f>
        <v>440.56199999999995</v>
      </c>
      <c r="I22" s="282">
        <f t="shared" ca="1" si="0"/>
        <v>0</v>
      </c>
      <c r="J22" s="282">
        <f t="shared" ca="1" si="7"/>
        <v>0</v>
      </c>
      <c r="K22" s="282">
        <f ca="1">C22*Constants!C$31</f>
        <v>1575</v>
      </c>
      <c r="L22" s="282">
        <f t="shared" ca="1" si="1"/>
        <v>702.09670076711654</v>
      </c>
      <c r="M22" s="281" cm="1">
        <f t="array" aca="1" ref="M22" ca="1">INDIRECT("'"&amp;$A22&amp;"'!M$21")+J22</f>
        <v>440.56199999999995</v>
      </c>
      <c r="N22" s="45"/>
      <c r="O22" s="149" cm="1">
        <f t="array" aca="1" ref="O22" ca="1">INDIRECT("'"&amp;$A22&amp;"'!B$16")</f>
        <v>0</v>
      </c>
      <c r="P22" s="149" cm="1">
        <f t="array" aca="1" ref="P22" ca="1">INDIRECT("'"&amp;$A22&amp;"'!C$16")</f>
        <v>0</v>
      </c>
      <c r="Q22" s="149" cm="1">
        <f t="array" aca="1" ref="Q22" ca="1">INDIRECT("'"&amp;$A22&amp;"'!B$18")</f>
        <v>0</v>
      </c>
      <c r="R22" s="149" cm="1">
        <f t="array" aca="1" ref="R22" ca="1">INDIRECT("'"&amp;$A22&amp;"'!C$18")</f>
        <v>0</v>
      </c>
      <c r="S22" s="149" cm="1">
        <f t="array" aca="1" ref="S22" ca="1">INDIRECT("'"&amp;A22&amp;"'!B$17")</f>
        <v>0</v>
      </c>
      <c r="T22" s="149" cm="1">
        <f t="array" aca="1" ref="T22" ca="1">INDIRECT("'"&amp;A22&amp;"'!C$17")</f>
        <v>0</v>
      </c>
      <c r="U22" s="149" cm="1">
        <f t="array" aca="1" ref="U22" ca="1">INDIRECT("'"&amp;A22&amp;"'!B$20")+INDIRECT("'"&amp;A22&amp;"'!C$20")</f>
        <v>0</v>
      </c>
      <c r="V22" s="149" cm="1">
        <f t="array" aca="1" ref="V22" ca="1">INDIRECT("'"&amp;A22&amp;"'!B$19")+INDIRECT("'"&amp;A22&amp;"'!C$19")</f>
        <v>0</v>
      </c>
      <c r="W22" s="45"/>
      <c r="X22" s="284">
        <f ca="1">O22*Constants!$B$6</f>
        <v>0</v>
      </c>
      <c r="Y22" s="284">
        <f ca="1">P22*Constants!$B$6</f>
        <v>0</v>
      </c>
      <c r="Z22" s="284" cm="1">
        <f t="array" aca="1" ref="Z22" ca="1">INDIRECT("'"&amp;$A22&amp;"'!B$21")</f>
        <v>0</v>
      </c>
      <c r="AA22" s="284" cm="1">
        <f t="array" aca="1" ref="AA22" ca="1">INDIRECT("'"&amp;$A22&amp;"'!C$21")</f>
        <v>0</v>
      </c>
      <c r="AB22" s="284">
        <f ca="1">S22*Constants!$B$8</f>
        <v>0</v>
      </c>
      <c r="AC22" s="284">
        <f ca="1">T22*Constants!$B$8</f>
        <v>0</v>
      </c>
      <c r="AD22" s="284" cm="1">
        <f t="array" aca="1" ref="AD22" ca="1">INDIRECT("'"&amp;A22&amp;"'!B$22")+INDIRECT("'"&amp;A22&amp;"'!C$22")</f>
        <v>0</v>
      </c>
      <c r="AE22" s="149">
        <f ca="1">ROUND(V22/Constants!$B$22,0)</f>
        <v>0</v>
      </c>
      <c r="AF22" s="45"/>
      <c r="AG22" s="149" cm="1">
        <f t="array" aca="1" ref="AG22" ca="1">INDIRECT("'"&amp;A22&amp;"'!E16")</f>
        <v>0</v>
      </c>
      <c r="AH22" s="149" cm="1">
        <f t="array" aca="1" ref="AH22" ca="1">INDIRECT("'"&amp;A22&amp;"'!D16")</f>
        <v>0</v>
      </c>
      <c r="AI22" s="149" cm="1">
        <f t="array" aca="1" ref="AI22" ca="1">INDIRECT("'"&amp;A22&amp;"'!E18")</f>
        <v>0</v>
      </c>
      <c r="AJ22" s="149" cm="1">
        <f t="array" aca="1" ref="AJ22" ca="1">INDIRECT("'"&amp;A22&amp;"'!D18")</f>
        <v>0</v>
      </c>
      <c r="AK22" s="149" cm="1">
        <f t="array" aca="1" ref="AK22" ca="1">INDIRECT("'"&amp;A22&amp;"'!E$17")</f>
        <v>0</v>
      </c>
      <c r="AL22" s="149" cm="1">
        <f t="array" aca="1" ref="AL22" ca="1">INDIRECT("'"&amp;A22&amp;"'!D$17")</f>
        <v>0</v>
      </c>
      <c r="AM22" s="149" cm="1">
        <f t="array" aca="1" ref="AM22" ca="1">INDIRECT("'"&amp;A22&amp;"'!E$20")</f>
        <v>0</v>
      </c>
      <c r="AN22" s="149" cm="1">
        <f t="array" aca="1" ref="AN22" ca="1">INDIRECT("'"&amp;A22&amp;"'!D$20")</f>
        <v>0</v>
      </c>
      <c r="AO22" s="149">
        <f ca="1">SUM(INDIRECT("'"&amp;$A22&amp;"'!F$16"):INDIRECT("'"&amp;$A22&amp;"'!F$20"))</f>
        <v>0</v>
      </c>
      <c r="AP22" s="149" cm="1">
        <f t="array" aca="1" ref="AP22" ca="1">INDIRECT("'"&amp;A22&amp;"'!D$19")+INDIRECT("'"&amp;A22&amp;"'!E$19")</f>
        <v>189</v>
      </c>
      <c r="AQ22" s="45"/>
      <c r="AR22" s="284">
        <f ca="1">AG22*Constants!$B$6</f>
        <v>0</v>
      </c>
      <c r="AS22" s="284">
        <f ca="1">AH22*Constants!$B$6</f>
        <v>0</v>
      </c>
      <c r="AT22" s="284" cm="1">
        <f t="array" aca="1" ref="AT22" ca="1">INDIRECT("'"&amp;$A22&amp;"'!E$21")</f>
        <v>0</v>
      </c>
      <c r="AU22" s="284" cm="1">
        <f t="array" aca="1" ref="AU22" ca="1">INDIRECT("'"&amp;$A22&amp;"'!D$21")</f>
        <v>0</v>
      </c>
      <c r="AV22" s="284">
        <f ca="1">AK22*Constants!$B$8</f>
        <v>0</v>
      </c>
      <c r="AW22" s="284">
        <f ca="1">AL22*Constants!$B$8</f>
        <v>0</v>
      </c>
      <c r="AX22" s="284" cm="1">
        <f t="array" aca="1" ref="AX22" ca="1">INDIRECT("'"&amp;A22&amp;"'!E$22")</f>
        <v>0</v>
      </c>
      <c r="AY22" s="284" cm="1">
        <f t="array" aca="1" ref="AY22" ca="1">INDIRECT("'"&amp;A22&amp;"'!D$22")</f>
        <v>0</v>
      </c>
      <c r="AZ22" s="284" cm="1">
        <f t="array" aca="1" ref="AZ22" ca="1">INDIRECT("'"&amp;$A22&amp;"'!F$23")</f>
        <v>0</v>
      </c>
      <c r="BA22" s="284" cm="1">
        <f t="array" aca="1" ref="BA22" ca="1">INDIRECT("'"&amp;$A22&amp;"'!E$24")</f>
        <v>0</v>
      </c>
      <c r="BB22" s="149">
        <f ca="1">ROUND(AP22/Constants!$B$22,0)</f>
        <v>3</v>
      </c>
      <c r="BC22" s="150">
        <f>'Student Trainers'!G21</f>
        <v>525</v>
      </c>
      <c r="BD22" s="46"/>
      <c r="BE22" s="151" cm="1">
        <f t="array" aca="1" ref="BE22" ca="1">INDIRECT("'"&amp;$A22&amp;"'!H$16")</f>
        <v>231</v>
      </c>
      <c r="BF22" s="151" cm="1">
        <f t="array" aca="1" ref="BF22" ca="1">INDIRECT("'"&amp;$A22&amp;"'!I$16")</f>
        <v>0</v>
      </c>
      <c r="BG22" s="46"/>
      <c r="BH22" s="285" cm="1">
        <f t="array" aca="1" ref="BH22" ca="1">INDIRECT("'"&amp;$A22&amp;"'!H$17")</f>
        <v>13860</v>
      </c>
      <c r="BI22" s="285">
        <f ca="1">BH22*'Total Budget'!D$54/$BH$38</f>
        <v>14956.143298593568</v>
      </c>
      <c r="BJ22" s="285" cm="1">
        <f t="array" aca="1" ref="BJ22" ca="1">IF(ISNUMBER(INDIRECT("'"&amp;$A22&amp;"'!I$17")),INDIRECT("'"&amp;$A22&amp;"'!I$17"),0)</f>
        <v>0</v>
      </c>
      <c r="BK22" s="285" cm="1">
        <f t="array" aca="1" ref="BK22" ca="1">IF(ISNUMBER(INDIRECT("'"&amp;$A22&amp;"'!I$19")),INDIRECT("'"&amp;$A22&amp;"'!I$19"),0)</f>
        <v>0</v>
      </c>
      <c r="BL22" s="286"/>
      <c r="BM22" s="287" cm="1">
        <f t="array" aca="1" ref="BM22" ca="1">INDIRECT("'"&amp;$A22&amp;"'!J$16")</f>
        <v>802.81</v>
      </c>
      <c r="BN22" s="288" cm="1">
        <f t="array" aca="1" ref="BN22" ca="1">INDIRECT("'"&amp;$A22&amp;"'!K$16")</f>
        <v>362.24799999999999</v>
      </c>
      <c r="BO22" s="16"/>
      <c r="BP22" s="289">
        <f t="shared" ca="1" si="2"/>
        <v>15843.391298593568</v>
      </c>
      <c r="BQ22" s="499">
        <f t="shared" ca="1" si="3"/>
        <v>452.66832281695906</v>
      </c>
      <c r="BR22" s="500">
        <f t="shared" ca="1" si="4"/>
        <v>1.4070423113078041</v>
      </c>
      <c r="BS22" s="498">
        <f ca="1">MAX(0, BP22-Constants!B$18*C22*$BQ$38)</f>
        <v>0</v>
      </c>
      <c r="BU22" s="497">
        <f t="shared" ca="1" si="5"/>
        <v>702.09670076711654</v>
      </c>
      <c r="BV22" s="496">
        <f t="shared" ca="1" si="6"/>
        <v>20.05990573620333</v>
      </c>
    </row>
    <row r="23" spans="1:74" ht="15.75" customHeight="1">
      <c r="A23" s="44" t="s">
        <v>94</v>
      </c>
      <c r="B23" s="47">
        <v>6</v>
      </c>
      <c r="C23" s="148">
        <f t="array" aca="1" ref="C23" ca="1">INDIRECT("'"&amp;A23&amp;"'!B$7")</f>
        <v>69</v>
      </c>
      <c r="D23" s="148" t="str">
        <f t="array" aca="1" ref="D23" ca="1">INDIRECT("'"&amp;A23&amp;"'!B$9")</f>
        <v>yes</v>
      </c>
      <c r="E23" s="45"/>
      <c r="F23" s="281" cm="1">
        <f t="array" aca="1" ref="F23" ca="1">INDIRECT("'"&amp;A23&amp;"'!M$15")</f>
        <v>125</v>
      </c>
      <c r="G23" s="281" cm="1">
        <f t="array" aca="1" ref="G23" ca="1">INDIRECT("'"&amp;A23&amp;"'!M$16")</f>
        <v>0</v>
      </c>
      <c r="H23" s="281" cm="1">
        <f t="array" aca="1" ref="H23" ca="1">INDIRECT("'"&amp;$A23&amp;"'!M$17")</f>
        <v>1478</v>
      </c>
      <c r="I23" s="282">
        <f t="shared" ca="1" si="0"/>
        <v>0</v>
      </c>
      <c r="J23" s="282">
        <f t="shared" ca="1" si="7"/>
        <v>0</v>
      </c>
      <c r="K23" s="282">
        <f ca="1">C23*Constants!C$31</f>
        <v>3105</v>
      </c>
      <c r="L23" s="282">
        <f t="shared" ca="1" si="1"/>
        <v>220.84723226230037</v>
      </c>
      <c r="M23" s="281" cm="1">
        <f t="array" aca="1" ref="M23" ca="1">INDIRECT("'"&amp;$A23&amp;"'!M$21")+J23</f>
        <v>4928.8472322623002</v>
      </c>
      <c r="N23" s="45"/>
      <c r="O23" s="149" cm="1">
        <f t="array" aca="1" ref="O23" ca="1">INDIRECT("'"&amp;$A23&amp;"'!B$16")</f>
        <v>0</v>
      </c>
      <c r="P23" s="149" cm="1">
        <f t="array" aca="1" ref="P23" ca="1">INDIRECT("'"&amp;$A23&amp;"'!C$16")</f>
        <v>0</v>
      </c>
      <c r="Q23" s="149" cm="1">
        <f t="array" aca="1" ref="Q23" ca="1">INDIRECT("'"&amp;$A23&amp;"'!B$18")</f>
        <v>0</v>
      </c>
      <c r="R23" s="149" cm="1">
        <f t="array" aca="1" ref="R23" ca="1">INDIRECT("'"&amp;$A23&amp;"'!C$18")</f>
        <v>0</v>
      </c>
      <c r="S23" s="149" cm="1">
        <f t="array" aca="1" ref="S23" ca="1">INDIRECT("'"&amp;A23&amp;"'!B$17")</f>
        <v>0</v>
      </c>
      <c r="T23" s="149" cm="1">
        <f t="array" aca="1" ref="T23" ca="1">INDIRECT("'"&amp;A23&amp;"'!C$17")</f>
        <v>0</v>
      </c>
      <c r="U23" s="149" cm="1">
        <f t="array" aca="1" ref="U23" ca="1">INDIRECT("'"&amp;A23&amp;"'!B$20")+INDIRECT("'"&amp;A23&amp;"'!C$20")</f>
        <v>0</v>
      </c>
      <c r="V23" s="149" cm="1">
        <f t="array" aca="1" ref="V23" ca="1">INDIRECT("'"&amp;A23&amp;"'!B$19")+INDIRECT("'"&amp;A23&amp;"'!C$19")</f>
        <v>0</v>
      </c>
      <c r="W23" s="45"/>
      <c r="X23" s="284">
        <f ca="1">O23*Constants!$B$6</f>
        <v>0</v>
      </c>
      <c r="Y23" s="284">
        <f ca="1">P23*Constants!$B$6</f>
        <v>0</v>
      </c>
      <c r="Z23" s="284" cm="1">
        <f t="array" aca="1" ref="Z23" ca="1">INDIRECT("'"&amp;$A23&amp;"'!B$21")</f>
        <v>0</v>
      </c>
      <c r="AA23" s="284" cm="1">
        <f t="array" aca="1" ref="AA23" ca="1">INDIRECT("'"&amp;$A23&amp;"'!C$21")</f>
        <v>0</v>
      </c>
      <c r="AB23" s="284">
        <f ca="1">S23*Constants!$B$8</f>
        <v>0</v>
      </c>
      <c r="AC23" s="284">
        <f ca="1">T23*Constants!$B$8</f>
        <v>0</v>
      </c>
      <c r="AD23" s="284" cm="1">
        <f t="array" aca="1" ref="AD23" ca="1">INDIRECT("'"&amp;A23&amp;"'!B$22")+INDIRECT("'"&amp;A23&amp;"'!C$22")</f>
        <v>0</v>
      </c>
      <c r="AE23" s="149">
        <f ca="1">ROUND(V23/Constants!$B$22,0)</f>
        <v>0</v>
      </c>
      <c r="AF23" s="45"/>
      <c r="AG23" s="149" cm="1">
        <f t="array" aca="1" ref="AG23" ca="1">INDIRECT("'"&amp;A23&amp;"'!E16")</f>
        <v>0</v>
      </c>
      <c r="AH23" s="149" cm="1">
        <f t="array" aca="1" ref="AH23" ca="1">INDIRECT("'"&amp;A23&amp;"'!D16")</f>
        <v>0</v>
      </c>
      <c r="AI23" s="149" cm="1">
        <f t="array" aca="1" ref="AI23" ca="1">INDIRECT("'"&amp;A23&amp;"'!E18")</f>
        <v>0</v>
      </c>
      <c r="AJ23" s="149" cm="1">
        <f t="array" aca="1" ref="AJ23" ca="1">INDIRECT("'"&amp;A23&amp;"'!D18")</f>
        <v>0</v>
      </c>
      <c r="AK23" s="149" cm="1">
        <f t="array" aca="1" ref="AK23" ca="1">INDIRECT("'"&amp;A23&amp;"'!E$17")</f>
        <v>0</v>
      </c>
      <c r="AL23" s="149" cm="1">
        <f t="array" aca="1" ref="AL23" ca="1">INDIRECT("'"&amp;A23&amp;"'!D$17")</f>
        <v>0</v>
      </c>
      <c r="AM23" s="149" cm="1">
        <f t="array" aca="1" ref="AM23" ca="1">INDIRECT("'"&amp;A23&amp;"'!E$20")</f>
        <v>0</v>
      </c>
      <c r="AN23" s="149" cm="1">
        <f t="array" aca="1" ref="AN23" ca="1">INDIRECT("'"&amp;A23&amp;"'!D$20")</f>
        <v>20</v>
      </c>
      <c r="AO23" s="149">
        <f ca="1">SUM(INDIRECT("'"&amp;$A23&amp;"'!F$16"):INDIRECT("'"&amp;$A23&amp;"'!F$20"))</f>
        <v>0</v>
      </c>
      <c r="AP23" s="149" cm="1">
        <f t="array" aca="1" ref="AP23" ca="1">INDIRECT("'"&amp;A23&amp;"'!D$19")+INDIRECT("'"&amp;A23&amp;"'!E$19")</f>
        <v>90</v>
      </c>
      <c r="AQ23" s="45"/>
      <c r="AR23" s="284">
        <f ca="1">AG23*Constants!$B$6</f>
        <v>0</v>
      </c>
      <c r="AS23" s="284">
        <f ca="1">AH23*Constants!$B$6</f>
        <v>0</v>
      </c>
      <c r="AT23" s="284" cm="1">
        <f t="array" aca="1" ref="AT23" ca="1">INDIRECT("'"&amp;$A23&amp;"'!E$21")</f>
        <v>0</v>
      </c>
      <c r="AU23" s="284" cm="1">
        <f t="array" aca="1" ref="AU23" ca="1">INDIRECT("'"&amp;$A23&amp;"'!D$21")</f>
        <v>0</v>
      </c>
      <c r="AV23" s="284">
        <f ca="1">AK23*Constants!$B$8</f>
        <v>0</v>
      </c>
      <c r="AW23" s="284">
        <f ca="1">AL23*Constants!$B$8</f>
        <v>0</v>
      </c>
      <c r="AX23" s="284" cm="1">
        <f t="array" aca="1" ref="AX23" ca="1">INDIRECT("'"&amp;A23&amp;"'!E$22")</f>
        <v>0</v>
      </c>
      <c r="AY23" s="284" cm="1">
        <f t="array" aca="1" ref="AY23" ca="1">INDIRECT("'"&amp;A23&amp;"'!D$22")</f>
        <v>490</v>
      </c>
      <c r="AZ23" s="284" cm="1">
        <f t="array" aca="1" ref="AZ23" ca="1">INDIRECT("'"&amp;$A23&amp;"'!F$23")</f>
        <v>0</v>
      </c>
      <c r="BA23" s="284" cm="1">
        <f t="array" aca="1" ref="BA23" ca="1">INDIRECT("'"&amp;$A23&amp;"'!E$24")</f>
        <v>0</v>
      </c>
      <c r="BB23" s="149">
        <f ca="1">ROUND(AP23/Constants!$B$22,0)</f>
        <v>2</v>
      </c>
      <c r="BC23" s="150">
        <f>'Student Trainers'!G22</f>
        <v>0</v>
      </c>
      <c r="BD23" s="46"/>
      <c r="BE23" s="151" cm="1">
        <f t="array" aca="1" ref="BE23" ca="1">INDIRECT("'"&amp;$A23&amp;"'!H$16")</f>
        <v>0</v>
      </c>
      <c r="BF23" s="151" cm="1">
        <f t="array" aca="1" ref="BF23" ca="1">INDIRECT("'"&amp;$A23&amp;"'!I$16")</f>
        <v>57</v>
      </c>
      <c r="BG23" s="46"/>
      <c r="BH23" s="285" cm="1">
        <f t="array" aca="1" ref="BH23" ca="1">INDIRECT("'"&amp;$A23&amp;"'!H$17")</f>
        <v>0</v>
      </c>
      <c r="BI23" s="285">
        <f ca="1">BH23*'Total Budget'!D$54/$BH$38</f>
        <v>0</v>
      </c>
      <c r="BJ23" s="285" cm="1">
        <f t="array" aca="1" ref="BJ23" ca="1">IF(ISNUMBER(INDIRECT("'"&amp;$A23&amp;"'!I$17")),INDIRECT("'"&amp;$A23&amp;"'!I$17"),0)</f>
        <v>1466.6</v>
      </c>
      <c r="BK23" s="285" cm="1">
        <f t="array" aca="1" ref="BK23" ca="1">IF(ISNUMBER(INDIRECT("'"&amp;$A23&amp;"'!I$19")),INDIRECT("'"&amp;$A23&amp;"'!I$19"),0)</f>
        <v>1466.6</v>
      </c>
      <c r="BL23" s="286"/>
      <c r="BM23" s="287" cm="1">
        <f t="array" aca="1" ref="BM23" ca="1">INDIRECT("'"&amp;$A23&amp;"'!J$16")</f>
        <v>4630</v>
      </c>
      <c r="BN23" s="288" cm="1">
        <f t="array" aca="1" ref="BN23" ca="1">INDIRECT("'"&amp;$A23&amp;"'!K$16")</f>
        <v>3152</v>
      </c>
      <c r="BO23" s="16"/>
      <c r="BP23" s="289">
        <f t="shared" ca="1" si="2"/>
        <v>4983.6000000000004</v>
      </c>
      <c r="BQ23" s="499">
        <f t="shared" ca="1" si="3"/>
        <v>72.22608695652174</v>
      </c>
      <c r="BR23" s="500">
        <f t="shared" ca="1" si="4"/>
        <v>0.22450247831703465</v>
      </c>
      <c r="BS23" s="498">
        <f ca="1">MAX(0, BP23-Constants!B$18*C23*$BQ$38)</f>
        <v>0</v>
      </c>
      <c r="BU23" s="497">
        <f t="shared" ca="1" si="5"/>
        <v>220.84723226230037</v>
      </c>
      <c r="BV23" s="496">
        <f t="shared" ca="1" si="6"/>
        <v>3.2006845255405851</v>
      </c>
    </row>
    <row r="24" spans="1:74" ht="14.25" customHeight="1">
      <c r="A24" s="44" t="s">
        <v>352</v>
      </c>
      <c r="B24" s="47">
        <v>4</v>
      </c>
      <c r="C24" s="148">
        <f t="array" aca="1" ref="C24" ca="1">INDIRECT("'"&amp;A24&amp;"'!B$7")</f>
        <v>34</v>
      </c>
      <c r="D24" s="148" t="str">
        <f t="array" aca="1" ref="D24" ca="1">INDIRECT("'"&amp;A24&amp;"'!B$9")</f>
        <v>yes</v>
      </c>
      <c r="E24" s="45"/>
      <c r="F24" s="281" cm="1">
        <f t="array" aca="1" ref="F24" ca="1">INDIRECT("'"&amp;A24&amp;"'!M$15")</f>
        <v>0</v>
      </c>
      <c r="G24" s="281" cm="1">
        <f t="array" aca="1" ref="G24" ca="1">INDIRECT("'"&amp;A24&amp;"'!M$16")</f>
        <v>0</v>
      </c>
      <c r="H24" s="281" cm="1">
        <f t="array" aca="1" ref="H24" ca="1">INDIRECT("'"&amp;$A24&amp;"'!M$17")</f>
        <v>348.53433333333334</v>
      </c>
      <c r="I24" s="282">
        <f t="shared" ca="1" si="0"/>
        <v>0</v>
      </c>
      <c r="J24" s="282">
        <f t="shared" ca="1" si="7"/>
        <v>0</v>
      </c>
      <c r="K24" s="282">
        <f ca="1">C24*Constants!C$31</f>
        <v>1530</v>
      </c>
      <c r="L24" s="282">
        <f t="shared" ca="1" si="1"/>
        <v>714.43049579741819</v>
      </c>
      <c r="M24" s="281" cm="1">
        <f t="array" aca="1" ref="M24" ca="1">INDIRECT("'"&amp;$A24&amp;"'!M$21")+J24</f>
        <v>2592.9648291307517</v>
      </c>
      <c r="N24" s="45"/>
      <c r="O24" s="149" cm="1">
        <f t="array" aca="1" ref="O24" ca="1">INDIRECT("'"&amp;$A24&amp;"'!B$16")</f>
        <v>0</v>
      </c>
      <c r="P24" s="149" cm="1">
        <f t="array" aca="1" ref="P24" ca="1">INDIRECT("'"&amp;$A24&amp;"'!C$16")</f>
        <v>0</v>
      </c>
      <c r="Q24" s="149" cm="1">
        <f t="array" aca="1" ref="Q24" ca="1">INDIRECT("'"&amp;$A24&amp;"'!B$18")</f>
        <v>0</v>
      </c>
      <c r="R24" s="149" cm="1">
        <f t="array" aca="1" ref="R24" ca="1">INDIRECT("'"&amp;$A24&amp;"'!C$18")</f>
        <v>0</v>
      </c>
      <c r="S24" s="149" cm="1">
        <f t="array" aca="1" ref="S24" ca="1">INDIRECT("'"&amp;A24&amp;"'!B$17")</f>
        <v>0</v>
      </c>
      <c r="T24" s="149" cm="1">
        <f t="array" aca="1" ref="T24" ca="1">INDIRECT("'"&amp;A24&amp;"'!C$17")</f>
        <v>0</v>
      </c>
      <c r="U24" s="149" cm="1">
        <f t="array" aca="1" ref="U24" ca="1">INDIRECT("'"&amp;A24&amp;"'!B$20")+INDIRECT("'"&amp;A24&amp;"'!C$20")</f>
        <v>0</v>
      </c>
      <c r="V24" s="149" cm="1">
        <f t="array" aca="1" ref="V24" ca="1">INDIRECT("'"&amp;A24&amp;"'!B$19")+INDIRECT("'"&amp;A24&amp;"'!C$19")</f>
        <v>0</v>
      </c>
      <c r="W24" s="45"/>
      <c r="X24" s="284">
        <f ca="1">O24*Constants!$B$6</f>
        <v>0</v>
      </c>
      <c r="Y24" s="284">
        <f ca="1">P24*Constants!$B$6</f>
        <v>0</v>
      </c>
      <c r="Z24" s="284" cm="1">
        <f t="array" aca="1" ref="Z24" ca="1">INDIRECT("'"&amp;$A24&amp;"'!B$21")</f>
        <v>0</v>
      </c>
      <c r="AA24" s="284" cm="1">
        <f t="array" aca="1" ref="AA24" ca="1">INDIRECT("'"&amp;$A24&amp;"'!C$21")</f>
        <v>0</v>
      </c>
      <c r="AB24" s="284">
        <f ca="1">S24*Constants!$B$8</f>
        <v>0</v>
      </c>
      <c r="AC24" s="284">
        <f ca="1">T24*Constants!$B$8</f>
        <v>0</v>
      </c>
      <c r="AD24" s="284" cm="1">
        <f t="array" aca="1" ref="AD24" ca="1">INDIRECT("'"&amp;A24&amp;"'!B$22")+INDIRECT("'"&amp;A24&amp;"'!C$22")</f>
        <v>0</v>
      </c>
      <c r="AE24" s="149">
        <f ca="1">ROUND(V24/Constants!$B$22,0)</f>
        <v>0</v>
      </c>
      <c r="AF24" s="45"/>
      <c r="AG24" s="149" cm="1">
        <f t="array" aca="1" ref="AG24" ca="1">INDIRECT("'"&amp;A24&amp;"'!E16")</f>
        <v>0</v>
      </c>
      <c r="AH24" s="149" cm="1">
        <f t="array" aca="1" ref="AH24" ca="1">INDIRECT("'"&amp;A24&amp;"'!D16")</f>
        <v>0</v>
      </c>
      <c r="AI24" s="149" cm="1">
        <f t="array" aca="1" ref="AI24" ca="1">INDIRECT("'"&amp;A24&amp;"'!E18")</f>
        <v>0</v>
      </c>
      <c r="AJ24" s="149" cm="1">
        <f t="array" aca="1" ref="AJ24" ca="1">INDIRECT("'"&amp;A24&amp;"'!D18")</f>
        <v>0</v>
      </c>
      <c r="AK24" s="149" cm="1">
        <f t="array" aca="1" ref="AK24" ca="1">INDIRECT("'"&amp;A24&amp;"'!E$17")</f>
        <v>0</v>
      </c>
      <c r="AL24" s="149" cm="1">
        <f t="array" aca="1" ref="AL24" ca="1">INDIRECT("'"&amp;A24&amp;"'!D$17")</f>
        <v>0</v>
      </c>
      <c r="AM24" s="149" cm="1">
        <f t="array" aca="1" ref="AM24" ca="1">INDIRECT("'"&amp;A24&amp;"'!E$20")</f>
        <v>0</v>
      </c>
      <c r="AN24" s="149" cm="1">
        <f t="array" aca="1" ref="AN24" ca="1">INDIRECT("'"&amp;A24&amp;"'!D$20")</f>
        <v>0</v>
      </c>
      <c r="AO24" s="149">
        <f ca="1">SUM(INDIRECT("'"&amp;$A24&amp;"'!F$16"):INDIRECT("'"&amp;$A24&amp;"'!F$20"))</f>
        <v>0</v>
      </c>
      <c r="AP24" s="149" cm="1">
        <f t="array" aca="1" ref="AP24" ca="1">INDIRECT("'"&amp;A24&amp;"'!D$19")+INDIRECT("'"&amp;A24&amp;"'!E$19")</f>
        <v>336</v>
      </c>
      <c r="AQ24" s="45"/>
      <c r="AR24" s="284">
        <f ca="1">AG24*Constants!$B$6</f>
        <v>0</v>
      </c>
      <c r="AS24" s="284">
        <f ca="1">AH24*Constants!$B$6</f>
        <v>0</v>
      </c>
      <c r="AT24" s="284" cm="1">
        <f t="array" aca="1" ref="AT24" ca="1">INDIRECT("'"&amp;$A24&amp;"'!E$21")</f>
        <v>0</v>
      </c>
      <c r="AU24" s="284" cm="1">
        <f t="array" aca="1" ref="AU24" ca="1">INDIRECT("'"&amp;$A24&amp;"'!D$21")</f>
        <v>0</v>
      </c>
      <c r="AV24" s="284">
        <f ca="1">AK24*Constants!$B$8</f>
        <v>0</v>
      </c>
      <c r="AW24" s="284">
        <f ca="1">AL24*Constants!$B$8</f>
        <v>0</v>
      </c>
      <c r="AX24" s="284" cm="1">
        <f t="array" aca="1" ref="AX24" ca="1">INDIRECT("'"&amp;A24&amp;"'!E$22")</f>
        <v>0</v>
      </c>
      <c r="AY24" s="284" cm="1">
        <f t="array" aca="1" ref="AY24" ca="1">INDIRECT("'"&amp;A24&amp;"'!D$22")</f>
        <v>0</v>
      </c>
      <c r="AZ24" s="284" cm="1">
        <f t="array" aca="1" ref="AZ24" ca="1">INDIRECT("'"&amp;$A24&amp;"'!F$23")</f>
        <v>0</v>
      </c>
      <c r="BA24" s="284" cm="1">
        <f t="array" aca="1" ref="BA24" ca="1">INDIRECT("'"&amp;$A24&amp;"'!E$24")</f>
        <v>0</v>
      </c>
      <c r="BB24" s="149">
        <f ca="1">ROUND(AP24/Constants!$B$22,0)</f>
        <v>6</v>
      </c>
      <c r="BC24" s="150">
        <f>'Student Trainers'!G23</f>
        <v>225</v>
      </c>
      <c r="BD24" s="46"/>
      <c r="BE24" s="151" cm="1">
        <f t="array" aca="1" ref="BE24" ca="1">INDIRECT("'"&amp;$A24&amp;"'!H$16")</f>
        <v>196</v>
      </c>
      <c r="BF24" s="151" cm="1">
        <f t="array" aca="1" ref="BF24" ca="1">INDIRECT("'"&amp;$A24&amp;"'!I$16")</f>
        <v>0</v>
      </c>
      <c r="BG24" s="46"/>
      <c r="BH24" s="285" cm="1">
        <f t="array" aca="1" ref="BH24" ca="1">INDIRECT("'"&amp;$A24&amp;"'!H$17")</f>
        <v>14700</v>
      </c>
      <c r="BI24" s="285">
        <f ca="1">BH24*'Total Budget'!D$54/$BH$38</f>
        <v>15862.576225781057</v>
      </c>
      <c r="BJ24" s="285" cm="1">
        <f t="array" aca="1" ref="BJ24" ca="1">IF(ISNUMBER(INDIRECT("'"&amp;$A24&amp;"'!I$17")),INDIRECT("'"&amp;$A24&amp;"'!I$17"),0)</f>
        <v>0</v>
      </c>
      <c r="BK24" s="285" cm="1">
        <f t="array" aca="1" ref="BK24" ca="1">IF(ISNUMBER(INDIRECT("'"&amp;$A24&amp;"'!I$19")),INDIRECT("'"&amp;$A24&amp;"'!I$19"),0)</f>
        <v>0</v>
      </c>
      <c r="BL24" s="286"/>
      <c r="BM24" s="287" cm="1">
        <f t="array" aca="1" ref="BM24" ca="1">INDIRECT("'"&amp;$A24&amp;"'!J$16")</f>
        <v>382.67166666666662</v>
      </c>
      <c r="BN24" s="288" cm="1">
        <f t="array" aca="1" ref="BN24" ca="1">INDIRECT("'"&amp;$A24&amp;"'!K$16")</f>
        <v>34.137333333333302</v>
      </c>
      <c r="BO24" s="16"/>
      <c r="BP24" s="289">
        <f t="shared" ca="1" si="2"/>
        <v>16121.713559114392</v>
      </c>
      <c r="BQ24" s="499">
        <f t="shared" ca="1" si="3"/>
        <v>474.16804585630564</v>
      </c>
      <c r="BR24" s="500">
        <f t="shared" ca="1" si="4"/>
        <v>1.4738705351373567</v>
      </c>
      <c r="BS24" s="498">
        <f ca="1">MAX(0, BP24-Constants!B$18*C24*$BQ$38)</f>
        <v>0</v>
      </c>
      <c r="BU24" s="497">
        <f t="shared" ca="1" si="5"/>
        <v>714.43049579741819</v>
      </c>
      <c r="BV24" s="496">
        <f t="shared" ca="1" si="6"/>
        <v>21.012661641100536</v>
      </c>
    </row>
    <row r="25" spans="1:74" ht="14.25" customHeight="1">
      <c r="A25" s="44" t="s">
        <v>353</v>
      </c>
      <c r="B25" s="47">
        <v>5</v>
      </c>
      <c r="C25" s="148">
        <f t="array" aca="1" ref="C25" ca="1">INDIRECT("'"&amp;A25&amp;"'!B$7")</f>
        <v>85</v>
      </c>
      <c r="D25" s="148" t="str">
        <f t="array" aca="1" ref="D25" ca="1">INDIRECT("'"&amp;A25&amp;"'!B$9")</f>
        <v>yes</v>
      </c>
      <c r="E25" s="45"/>
      <c r="F25" s="281" cm="1">
        <f t="array" aca="1" ref="F25" ca="1">INDIRECT("'"&amp;A25&amp;"'!M$15")</f>
        <v>0</v>
      </c>
      <c r="G25" s="281" cm="1">
        <f t="array" aca="1" ref="G25" ca="1">INDIRECT("'"&amp;A25&amp;"'!M$16")</f>
        <v>0</v>
      </c>
      <c r="H25" s="281" cm="1">
        <f t="array" aca="1" ref="H25" ca="1">INDIRECT("'"&amp;$A25&amp;"'!M$17")</f>
        <v>4885</v>
      </c>
      <c r="I25" s="282">
        <f t="shared" ca="1" si="0"/>
        <v>0</v>
      </c>
      <c r="J25" s="282">
        <f t="shared" ca="1" si="7"/>
        <v>0</v>
      </c>
      <c r="K25" s="282">
        <f ca="1">C25*Constants!C$31</f>
        <v>3825</v>
      </c>
      <c r="L25" s="282">
        <f t="shared" ca="1" si="1"/>
        <v>1026.2428534118642</v>
      </c>
      <c r="M25" s="281" cm="1">
        <f t="array" aca="1" ref="M25" ca="1">INDIRECT("'"&amp;$A25&amp;"'!M$21")+J25</f>
        <v>9736.2428534118644</v>
      </c>
      <c r="N25" s="45"/>
      <c r="O25" s="149" cm="1">
        <f t="array" aca="1" ref="O25" ca="1">INDIRECT("'"&amp;$A25&amp;"'!B$16")</f>
        <v>0</v>
      </c>
      <c r="P25" s="149" cm="1">
        <f t="array" aca="1" ref="P25" ca="1">INDIRECT("'"&amp;$A25&amp;"'!C$16")</f>
        <v>0</v>
      </c>
      <c r="Q25" s="149" cm="1">
        <f t="array" aca="1" ref="Q25" ca="1">INDIRECT("'"&amp;$A25&amp;"'!B$18")</f>
        <v>0</v>
      </c>
      <c r="R25" s="149" cm="1">
        <f t="array" aca="1" ref="R25" ca="1">INDIRECT("'"&amp;$A25&amp;"'!C$18")</f>
        <v>0</v>
      </c>
      <c r="S25" s="149" cm="1">
        <f t="array" aca="1" ref="S25" ca="1">INDIRECT("'"&amp;A25&amp;"'!B$17")</f>
        <v>0</v>
      </c>
      <c r="T25" s="149" cm="1">
        <f t="array" aca="1" ref="T25" ca="1">INDIRECT("'"&amp;A25&amp;"'!C$17")</f>
        <v>0</v>
      </c>
      <c r="U25" s="149" cm="1">
        <f t="array" aca="1" ref="U25" ca="1">INDIRECT("'"&amp;A25&amp;"'!B$20")+INDIRECT("'"&amp;A25&amp;"'!C$20")</f>
        <v>0</v>
      </c>
      <c r="V25" s="149" cm="1">
        <f t="array" aca="1" ref="V25" ca="1">INDIRECT("'"&amp;A25&amp;"'!B$19")+INDIRECT("'"&amp;A25&amp;"'!C$19")</f>
        <v>0</v>
      </c>
      <c r="W25" s="45"/>
      <c r="X25" s="284">
        <f ca="1">O25*Constants!$B$6</f>
        <v>0</v>
      </c>
      <c r="Y25" s="284">
        <f ca="1">P25*Constants!$B$6</f>
        <v>0</v>
      </c>
      <c r="Z25" s="284" cm="1">
        <f t="array" aca="1" ref="Z25" ca="1">INDIRECT("'"&amp;$A25&amp;"'!B$21")</f>
        <v>0</v>
      </c>
      <c r="AA25" s="284" cm="1">
        <f t="array" aca="1" ref="AA25" ca="1">INDIRECT("'"&amp;$A25&amp;"'!C$21")</f>
        <v>0</v>
      </c>
      <c r="AB25" s="284">
        <f ca="1">S25*Constants!$B$8</f>
        <v>0</v>
      </c>
      <c r="AC25" s="284">
        <f ca="1">T25*Constants!$B$8</f>
        <v>0</v>
      </c>
      <c r="AD25" s="284" cm="1">
        <f t="array" aca="1" ref="AD25" ca="1">INDIRECT("'"&amp;A25&amp;"'!B$22")+INDIRECT("'"&amp;A25&amp;"'!C$22")</f>
        <v>0</v>
      </c>
      <c r="AE25" s="149">
        <f ca="1">ROUND(V25/Constants!$B$22,0)</f>
        <v>0</v>
      </c>
      <c r="AF25" s="45"/>
      <c r="AG25" s="149" cm="1">
        <f t="array" aca="1" ref="AG25" ca="1">INDIRECT("'"&amp;A25&amp;"'!E16")</f>
        <v>0</v>
      </c>
      <c r="AH25" s="149" cm="1">
        <f t="array" aca="1" ref="AH25" ca="1">INDIRECT("'"&amp;A25&amp;"'!D16")</f>
        <v>0</v>
      </c>
      <c r="AI25" s="149" cm="1">
        <f t="array" aca="1" ref="AI25" ca="1">INDIRECT("'"&amp;A25&amp;"'!E18")</f>
        <v>0</v>
      </c>
      <c r="AJ25" s="149" cm="1">
        <f t="array" aca="1" ref="AJ25" ca="1">INDIRECT("'"&amp;A25&amp;"'!D18")</f>
        <v>0</v>
      </c>
      <c r="AK25" s="149" cm="1">
        <f t="array" aca="1" ref="AK25" ca="1">INDIRECT("'"&amp;A25&amp;"'!E$17")</f>
        <v>0</v>
      </c>
      <c r="AL25" s="149" cm="1">
        <f t="array" aca="1" ref="AL25" ca="1">INDIRECT("'"&amp;A25&amp;"'!D$17")</f>
        <v>923.99999999999989</v>
      </c>
      <c r="AM25" s="149" cm="1">
        <f t="array" aca="1" ref="AM25" ca="1">INDIRECT("'"&amp;A25&amp;"'!E$20")</f>
        <v>0</v>
      </c>
      <c r="AN25" s="149" cm="1">
        <f t="array" aca="1" ref="AN25" ca="1">INDIRECT("'"&amp;A25&amp;"'!D$20")</f>
        <v>0</v>
      </c>
      <c r="AO25" s="149">
        <f ca="1">SUM(INDIRECT("'"&amp;$A25&amp;"'!F$16"):INDIRECT("'"&amp;$A25&amp;"'!F$20"))</f>
        <v>0</v>
      </c>
      <c r="AP25" s="149" cm="1">
        <f t="array" aca="1" ref="AP25" ca="1">INDIRECT("'"&amp;A25&amp;"'!D$19")+INDIRECT("'"&amp;A25&amp;"'!E$19")</f>
        <v>0</v>
      </c>
      <c r="AQ25" s="45"/>
      <c r="AR25" s="284">
        <f ca="1">AG25*Constants!$B$6</f>
        <v>0</v>
      </c>
      <c r="AS25" s="284">
        <f ca="1">AH25*Constants!$B$6</f>
        <v>0</v>
      </c>
      <c r="AT25" s="284" cm="1">
        <f t="array" aca="1" ref="AT25" ca="1">INDIRECT("'"&amp;$A25&amp;"'!E$21")</f>
        <v>0</v>
      </c>
      <c r="AU25" s="284" cm="1">
        <f t="array" aca="1" ref="AU25" ca="1">INDIRECT("'"&amp;$A25&amp;"'!D$21")</f>
        <v>0</v>
      </c>
      <c r="AV25" s="284">
        <f ca="1">AK25*Constants!$B$8</f>
        <v>0</v>
      </c>
      <c r="AW25" s="284">
        <f ca="1">AL25*Constants!$B$8</f>
        <v>4619.9999999999991</v>
      </c>
      <c r="AX25" s="284" cm="1">
        <f t="array" aca="1" ref="AX25" ca="1">INDIRECT("'"&amp;A25&amp;"'!E$22")</f>
        <v>0</v>
      </c>
      <c r="AY25" s="284" cm="1">
        <f t="array" aca="1" ref="AY25" ca="1">INDIRECT("'"&amp;A25&amp;"'!D$22")</f>
        <v>0</v>
      </c>
      <c r="AZ25" s="284" cm="1">
        <f t="array" aca="1" ref="AZ25" ca="1">INDIRECT("'"&amp;$A25&amp;"'!F$23")</f>
        <v>0</v>
      </c>
      <c r="BA25" s="284" cm="1">
        <f t="array" aca="1" ref="BA25" ca="1">INDIRECT("'"&amp;$A25&amp;"'!E$24")</f>
        <v>4540</v>
      </c>
      <c r="BB25" s="149">
        <f ca="1">ROUND(AP25/Constants!$B$22,0)</f>
        <v>0</v>
      </c>
      <c r="BC25" s="150">
        <f>'Student Trainers'!G24</f>
        <v>0</v>
      </c>
      <c r="BD25" s="46"/>
      <c r="BE25" s="151" cm="1">
        <f t="array" aca="1" ref="BE25" ca="1">INDIRECT("'"&amp;$A25&amp;"'!H$16")</f>
        <v>54</v>
      </c>
      <c r="BF25" s="151" cm="1">
        <f t="array" aca="1" ref="BF25" ca="1">INDIRECT("'"&amp;$A25&amp;"'!I$16")</f>
        <v>12</v>
      </c>
      <c r="BG25" s="46"/>
      <c r="BH25" s="285" cm="1">
        <f t="array" aca="1" ref="BH25" ca="1">INDIRECT("'"&amp;$A25&amp;"'!H$17")</f>
        <v>3705</v>
      </c>
      <c r="BI25" s="285">
        <f ca="1">BH25*'Total Budget'!D$54/$BH$38</f>
        <v>3998.0166609876746</v>
      </c>
      <c r="BJ25" s="285" cm="1">
        <f t="array" aca="1" ref="BJ25" ca="1">IF(ISNUMBER(INDIRECT("'"&amp;$A25&amp;"'!I$17")),INDIRECT("'"&amp;$A25&amp;"'!I$17"),0)</f>
        <v>1500</v>
      </c>
      <c r="BK25" s="285" cm="1">
        <f t="array" aca="1" ref="BK25" ca="1">IF(ISNUMBER(INDIRECT("'"&amp;$A25&amp;"'!I$19")),INDIRECT("'"&amp;$A25&amp;"'!I$19"),0)</f>
        <v>1500</v>
      </c>
      <c r="BL25" s="286"/>
      <c r="BM25" s="287" cm="1">
        <f t="array" aca="1" ref="BM25" ca="1">INDIRECT("'"&amp;$A25&amp;"'!J$16")</f>
        <v>13385</v>
      </c>
      <c r="BN25" s="288" cm="1">
        <f t="array" aca="1" ref="BN25" ca="1">INDIRECT("'"&amp;$A25&amp;"'!K$16")</f>
        <v>8500</v>
      </c>
      <c r="BO25" s="16"/>
      <c r="BP25" s="289">
        <f t="shared" ca="1" si="2"/>
        <v>23158.016660987676</v>
      </c>
      <c r="BQ25" s="499">
        <f t="shared" ca="1" si="3"/>
        <v>272.44725483514912</v>
      </c>
      <c r="BR25" s="500">
        <f t="shared" ca="1" si="4"/>
        <v>0.84685584528459223</v>
      </c>
      <c r="BS25" s="498">
        <f ca="1">MAX(0, BP25-Constants!B$18*C25*$BQ$38)</f>
        <v>0</v>
      </c>
      <c r="BU25" s="497">
        <f t="shared" ca="1" si="5"/>
        <v>1026.2428534118642</v>
      </c>
      <c r="BV25" s="496">
        <f t="shared" ca="1" si="6"/>
        <v>12.073445334257226</v>
      </c>
    </row>
    <row r="26" spans="1:74" ht="14.25" customHeight="1">
      <c r="A26" s="44" t="s">
        <v>354</v>
      </c>
      <c r="B26" s="47">
        <v>5</v>
      </c>
      <c r="C26" s="148">
        <f t="array" aca="1" ref="C26" ca="1">INDIRECT("'"&amp;A26&amp;"'!B$7")</f>
        <v>148</v>
      </c>
      <c r="D26" s="148" t="str">
        <f t="array" aca="1" ref="D26" ca="1">INDIRECT("'"&amp;A26&amp;"'!B$9")</f>
        <v>yes</v>
      </c>
      <c r="E26" s="45"/>
      <c r="F26" s="281" cm="1">
        <f t="array" aca="1" ref="F26" ca="1">INDIRECT("'"&amp;A26&amp;"'!M$15")</f>
        <v>3500</v>
      </c>
      <c r="G26" s="281" cm="1">
        <f t="array" aca="1" ref="G26" ca="1">INDIRECT("'"&amp;A26&amp;"'!M$16")</f>
        <v>0</v>
      </c>
      <c r="H26" s="281" cm="1">
        <f t="array" aca="1" ref="H26" ca="1">INDIRECT("'"&amp;$A26&amp;"'!M$17")</f>
        <v>2310.1039999999998</v>
      </c>
      <c r="I26" s="282">
        <f t="shared" ca="1" si="0"/>
        <v>0</v>
      </c>
      <c r="J26" s="282">
        <f t="shared" ca="1" si="7"/>
        <v>0</v>
      </c>
      <c r="K26" s="282">
        <f ca="1">C26*Constants!C$31</f>
        <v>6660</v>
      </c>
      <c r="L26" s="282">
        <f t="shared" ca="1" si="1"/>
        <v>2880.7326925002917</v>
      </c>
      <c r="M26" s="281" cm="1">
        <f t="array" aca="1" ref="M26" ca="1">INDIRECT("'"&amp;$A26&amp;"'!M$21")+J26</f>
        <v>15350.836692500292</v>
      </c>
      <c r="N26" s="45"/>
      <c r="O26" s="149" cm="1">
        <f t="array" aca="1" ref="O26" ca="1">INDIRECT("'"&amp;$A26&amp;"'!B$16")</f>
        <v>307.8</v>
      </c>
      <c r="P26" s="149" cm="1">
        <f t="array" aca="1" ref="P26" ca="1">INDIRECT("'"&amp;$A26&amp;"'!C$16")</f>
        <v>0</v>
      </c>
      <c r="Q26" s="149" cm="1">
        <f t="array" aca="1" ref="Q26" ca="1">INDIRECT("'"&amp;$A26&amp;"'!B$18")</f>
        <v>0</v>
      </c>
      <c r="R26" s="149" cm="1">
        <f t="array" aca="1" ref="R26" ca="1">INDIRECT("'"&amp;$A26&amp;"'!C$18")</f>
        <v>0</v>
      </c>
      <c r="S26" s="149" cm="1">
        <f t="array" aca="1" ref="S26" ca="1">INDIRECT("'"&amp;A26&amp;"'!B$17")</f>
        <v>0</v>
      </c>
      <c r="T26" s="149" cm="1">
        <f t="array" aca="1" ref="T26" ca="1">INDIRECT("'"&amp;A26&amp;"'!C$17")</f>
        <v>0</v>
      </c>
      <c r="U26" s="149" cm="1">
        <f t="array" aca="1" ref="U26" ca="1">INDIRECT("'"&amp;A26&amp;"'!B$20")+INDIRECT("'"&amp;A26&amp;"'!C$20")</f>
        <v>0</v>
      </c>
      <c r="V26" s="149" cm="1">
        <f t="array" aca="1" ref="V26" ca="1">INDIRECT("'"&amp;A26&amp;"'!B$19")+INDIRECT("'"&amp;A26&amp;"'!C$19")</f>
        <v>0</v>
      </c>
      <c r="W26" s="45"/>
      <c r="X26" s="284">
        <f ca="1">O26*Constants!$B$6</f>
        <v>15390</v>
      </c>
      <c r="Y26" s="284">
        <f ca="1">P26*Constants!$B$6</f>
        <v>0</v>
      </c>
      <c r="Z26" s="284" cm="1">
        <f t="array" aca="1" ref="Z26" ca="1">INDIRECT("'"&amp;$A26&amp;"'!B$21")</f>
        <v>0</v>
      </c>
      <c r="AA26" s="284" cm="1">
        <f t="array" aca="1" ref="AA26" ca="1">INDIRECT("'"&amp;$A26&amp;"'!C$21")</f>
        <v>0</v>
      </c>
      <c r="AB26" s="284">
        <f ca="1">S26*Constants!$B$8</f>
        <v>0</v>
      </c>
      <c r="AC26" s="284">
        <f ca="1">T26*Constants!$B$8</f>
        <v>0</v>
      </c>
      <c r="AD26" s="284" cm="1">
        <f t="array" aca="1" ref="AD26" ca="1">INDIRECT("'"&amp;A26&amp;"'!B$22")+INDIRECT("'"&amp;A26&amp;"'!C$22")</f>
        <v>0</v>
      </c>
      <c r="AE26" s="149">
        <f ca="1">ROUND(V26/Constants!$B$22,0)</f>
        <v>0</v>
      </c>
      <c r="AF26" s="45"/>
      <c r="AG26" s="149" cm="1">
        <f t="array" aca="1" ref="AG26" ca="1">INDIRECT("'"&amp;A26&amp;"'!E16")</f>
        <v>0</v>
      </c>
      <c r="AH26" s="149" cm="1">
        <f t="array" aca="1" ref="AH26" ca="1">INDIRECT("'"&amp;A26&amp;"'!D16")</f>
        <v>0</v>
      </c>
      <c r="AI26" s="149" cm="1">
        <f t="array" aca="1" ref="AI26" ca="1">INDIRECT("'"&amp;A26&amp;"'!E18")</f>
        <v>0</v>
      </c>
      <c r="AJ26" s="149" cm="1">
        <f t="array" aca="1" ref="AJ26" ca="1">INDIRECT("'"&amp;A26&amp;"'!D18")</f>
        <v>0</v>
      </c>
      <c r="AK26" s="149" cm="1">
        <f t="array" aca="1" ref="AK26" ca="1">INDIRECT("'"&amp;A26&amp;"'!E$17")</f>
        <v>0</v>
      </c>
      <c r="AL26" s="149" cm="1">
        <f t="array" aca="1" ref="AL26" ca="1">INDIRECT("'"&amp;A26&amp;"'!D$17")</f>
        <v>0</v>
      </c>
      <c r="AM26" s="149" cm="1">
        <f t="array" aca="1" ref="AM26" ca="1">INDIRECT("'"&amp;A26&amp;"'!E$20")</f>
        <v>0</v>
      </c>
      <c r="AN26" s="149" cm="1">
        <f t="array" aca="1" ref="AN26" ca="1">INDIRECT("'"&amp;A26&amp;"'!D$20")</f>
        <v>0</v>
      </c>
      <c r="AO26" s="149">
        <f ca="1">SUM(INDIRECT("'"&amp;$A26&amp;"'!F$16"):INDIRECT("'"&amp;$A26&amp;"'!F$20"))</f>
        <v>50.4</v>
      </c>
      <c r="AP26" s="149" cm="1">
        <f t="array" aca="1" ref="AP26" ca="1">INDIRECT("'"&amp;A26&amp;"'!D$19")+INDIRECT("'"&amp;A26&amp;"'!E$19")</f>
        <v>437</v>
      </c>
      <c r="AQ26" s="45"/>
      <c r="AR26" s="284">
        <f ca="1">AG26*Constants!$B$6</f>
        <v>0</v>
      </c>
      <c r="AS26" s="284">
        <f ca="1">AH26*Constants!$B$6</f>
        <v>0</v>
      </c>
      <c r="AT26" s="284" cm="1">
        <f t="array" aca="1" ref="AT26" ca="1">INDIRECT("'"&amp;$A26&amp;"'!E$21")</f>
        <v>0</v>
      </c>
      <c r="AU26" s="284" cm="1">
        <f t="array" aca="1" ref="AU26" ca="1">INDIRECT("'"&amp;$A26&amp;"'!D$21")</f>
        <v>0</v>
      </c>
      <c r="AV26" s="284">
        <f ca="1">AK26*Constants!$B$8</f>
        <v>0</v>
      </c>
      <c r="AW26" s="284">
        <f ca="1">AL26*Constants!$B$8</f>
        <v>0</v>
      </c>
      <c r="AX26" s="284" cm="1">
        <f t="array" aca="1" ref="AX26" ca="1">INDIRECT("'"&amp;A26&amp;"'!E$22")</f>
        <v>0</v>
      </c>
      <c r="AY26" s="284" cm="1">
        <f t="array" aca="1" ref="AY26" ca="1">INDIRECT("'"&amp;A26&amp;"'!D$22")</f>
        <v>0</v>
      </c>
      <c r="AZ26" s="284" cm="1">
        <f t="array" aca="1" ref="AZ26" ca="1">INDIRECT("'"&amp;$A26&amp;"'!F$23")</f>
        <v>2100</v>
      </c>
      <c r="BA26" s="284" cm="1">
        <f t="array" aca="1" ref="BA26" ca="1">INDIRECT("'"&amp;$A26&amp;"'!E$24")</f>
        <v>0</v>
      </c>
      <c r="BB26" s="149">
        <f ca="1">ROUND(AP26/Constants!$B$22,0)</f>
        <v>7</v>
      </c>
      <c r="BC26" s="150">
        <f>'Student Trainers'!G25</f>
        <v>750</v>
      </c>
      <c r="BD26" s="46"/>
      <c r="BE26" s="151" cm="1">
        <f t="array" aca="1" ref="BE26" ca="1">INDIRECT("'"&amp;$A26&amp;"'!H$16")</f>
        <v>476.5</v>
      </c>
      <c r="BF26" s="151" cm="1">
        <f t="array" aca="1" ref="BF26" ca="1">INDIRECT("'"&amp;$A26&amp;"'!I$16")</f>
        <v>106.75</v>
      </c>
      <c r="BG26" s="46"/>
      <c r="BH26" s="285" cm="1">
        <f t="array" aca="1" ref="BH26" ca="1">INDIRECT("'"&amp;$A26&amp;"'!H$17")</f>
        <v>30885</v>
      </c>
      <c r="BI26" s="285">
        <f ca="1">BH26*'Total Budget'!D$54/$BH$38</f>
        <v>33327.596376411428</v>
      </c>
      <c r="BJ26" s="285" cm="1">
        <f t="array" aca="1" ref="BJ26" ca="1">INDIRECT("'"&amp;$A26&amp;"'!I$17")</f>
        <v>13618.0975</v>
      </c>
      <c r="BK26" s="285" cm="1">
        <f t="array" aca="1" ref="BK26" ca="1">INDIRECT("'"&amp;$A26&amp;"'!I$19")</f>
        <v>13618.0975</v>
      </c>
      <c r="BL26" s="286"/>
      <c r="BM26" s="287" cm="1">
        <f t="array" aca="1" ref="BM26" ca="1">INDIRECT("'"&amp;$A26&amp;"'!J$16")</f>
        <v>5630.52</v>
      </c>
      <c r="BN26" s="288" cm="1">
        <f t="array" aca="1" ref="BN26" ca="1">INDIRECT("'"&amp;$A26&amp;"'!K$16")</f>
        <v>3320.4160000000006</v>
      </c>
      <c r="BO26" s="16"/>
      <c r="BP26" s="289">
        <f t="shared" ca="1" si="2"/>
        <v>65006.109876411436</v>
      </c>
      <c r="BQ26" s="499">
        <f t="shared" ca="1" si="3"/>
        <v>439.23047213791511</v>
      </c>
      <c r="BR26" s="500">
        <f t="shared" ca="1" si="4"/>
        <v>1.3652730433351994</v>
      </c>
      <c r="BS26" s="498">
        <f ca="1">MAX(0, BP26-Constants!B$18*C26*$BQ$38)</f>
        <v>0</v>
      </c>
      <c r="BU26" s="497">
        <f t="shared" ca="1" si="5"/>
        <v>2880.7326925002917</v>
      </c>
      <c r="BV26" s="496">
        <f t="shared" ca="1" si="6"/>
        <v>19.464410084461431</v>
      </c>
    </row>
    <row r="27" spans="1:74" ht="14.25" customHeight="1">
      <c r="A27" s="44" t="s">
        <v>355</v>
      </c>
      <c r="B27" s="47">
        <v>6</v>
      </c>
      <c r="C27" s="148">
        <f t="array" aca="1" ref="C27" ca="1">INDIRECT("'"&amp;A27&amp;"'!B$7")</f>
        <v>69</v>
      </c>
      <c r="D27" s="148" t="str">
        <f t="array" aca="1" ref="D27" ca="1">INDIRECT("'"&amp;A27&amp;"'!B$9")</f>
        <v>yes</v>
      </c>
      <c r="E27" s="45"/>
      <c r="F27" s="281" cm="1">
        <f t="array" aca="1" ref="F27" ca="1">INDIRECT("'"&amp;A27&amp;"'!M$15")</f>
        <v>0</v>
      </c>
      <c r="G27" s="281" cm="1">
        <f t="array" aca="1" ref="G27" ca="1">INDIRECT("'"&amp;A27&amp;"'!M$16")</f>
        <v>0</v>
      </c>
      <c r="H27" s="281" cm="1">
        <f t="array" aca="1" ref="H27" ca="1">INDIRECT("'"&amp;$A27&amp;"'!M$17")</f>
        <v>979.66399999999999</v>
      </c>
      <c r="I27" s="282">
        <f t="shared" ca="1" si="0"/>
        <v>0</v>
      </c>
      <c r="J27" s="282">
        <f t="shared" ca="1" si="7"/>
        <v>0</v>
      </c>
      <c r="K27" s="282">
        <f ca="1">C27*Constants!C$31</f>
        <v>3105</v>
      </c>
      <c r="L27" s="282">
        <f t="shared" ca="1" si="1"/>
        <v>391.52654106705245</v>
      </c>
      <c r="M27" s="281" cm="1">
        <f t="array" aca="1" ref="M27" ca="1">INDIRECT("'"&amp;$A27&amp;"'!M$21")+J27</f>
        <v>4476.1905410670524</v>
      </c>
      <c r="N27" s="45"/>
      <c r="O27" s="149" cm="1">
        <f t="array" aca="1" ref="O27" ca="1">INDIRECT("'"&amp;$A27&amp;"'!B$16")</f>
        <v>0</v>
      </c>
      <c r="P27" s="149" cm="1">
        <f t="array" aca="1" ref="P27" ca="1">INDIRECT("'"&amp;$A27&amp;"'!C$16")</f>
        <v>0</v>
      </c>
      <c r="Q27" s="149" cm="1">
        <f t="array" aca="1" ref="Q27" ca="1">INDIRECT("'"&amp;$A27&amp;"'!B$18")</f>
        <v>0</v>
      </c>
      <c r="R27" s="149" cm="1">
        <f t="array" aca="1" ref="R27" ca="1">INDIRECT("'"&amp;$A27&amp;"'!C$18")</f>
        <v>0</v>
      </c>
      <c r="S27" s="149" cm="1">
        <f t="array" aca="1" ref="S27" ca="1">INDIRECT("'"&amp;A27&amp;"'!B$17")</f>
        <v>0</v>
      </c>
      <c r="T27" s="149" cm="1">
        <f t="array" aca="1" ref="T27" ca="1">INDIRECT("'"&amp;A27&amp;"'!C$17")</f>
        <v>0</v>
      </c>
      <c r="U27" s="149" cm="1">
        <f t="array" aca="1" ref="U27" ca="1">INDIRECT("'"&amp;A27&amp;"'!B$20")+INDIRECT("'"&amp;A27&amp;"'!C$20")</f>
        <v>0</v>
      </c>
      <c r="V27" s="149" cm="1">
        <f t="array" aca="1" ref="V27" ca="1">INDIRECT("'"&amp;A27&amp;"'!B$19")+INDIRECT("'"&amp;A27&amp;"'!C$19")</f>
        <v>0</v>
      </c>
      <c r="W27" s="45"/>
      <c r="X27" s="284">
        <f ca="1">O27*Constants!$B$6</f>
        <v>0</v>
      </c>
      <c r="Y27" s="284">
        <f ca="1">P27*Constants!$B$6</f>
        <v>0</v>
      </c>
      <c r="Z27" s="284" cm="1">
        <f t="array" aca="1" ref="Z27" ca="1">INDIRECT("'"&amp;$A27&amp;"'!B$21")</f>
        <v>0</v>
      </c>
      <c r="AA27" s="284" cm="1">
        <f t="array" aca="1" ref="AA27" ca="1">INDIRECT("'"&amp;$A27&amp;"'!C$21")</f>
        <v>0</v>
      </c>
      <c r="AB27" s="284">
        <f ca="1">S27*Constants!$B$8</f>
        <v>0</v>
      </c>
      <c r="AC27" s="284">
        <f ca="1">T27*Constants!$B$8</f>
        <v>0</v>
      </c>
      <c r="AD27" s="284" cm="1">
        <f t="array" aca="1" ref="AD27" ca="1">INDIRECT("'"&amp;A27&amp;"'!B$22")+INDIRECT("'"&amp;A27&amp;"'!C$22")</f>
        <v>0</v>
      </c>
      <c r="AE27" s="149">
        <f ca="1">ROUND(V27/Constants!$B$22,0)</f>
        <v>0</v>
      </c>
      <c r="AF27" s="45"/>
      <c r="AG27" s="149" cm="1">
        <f t="array" aca="1" ref="AG27" ca="1">INDIRECT("'"&amp;A27&amp;"'!E16")</f>
        <v>0</v>
      </c>
      <c r="AH27" s="149" cm="1">
        <f t="array" aca="1" ref="AH27" ca="1">INDIRECT("'"&amp;A27&amp;"'!D16")</f>
        <v>0</v>
      </c>
      <c r="AI27" s="149" cm="1">
        <f t="array" aca="1" ref="AI27" ca="1">INDIRECT("'"&amp;A27&amp;"'!E18")</f>
        <v>0</v>
      </c>
      <c r="AJ27" s="149" cm="1">
        <f t="array" aca="1" ref="AJ27" ca="1">INDIRECT("'"&amp;A27&amp;"'!D18")</f>
        <v>0</v>
      </c>
      <c r="AK27" s="149" cm="1">
        <f t="array" aca="1" ref="AK27" ca="1">INDIRECT("'"&amp;A27&amp;"'!E$17")</f>
        <v>0</v>
      </c>
      <c r="AL27" s="149" cm="1">
        <f t="array" aca="1" ref="AL27" ca="1">INDIRECT("'"&amp;A27&amp;"'!D$17")</f>
        <v>0</v>
      </c>
      <c r="AM27" s="149" cm="1">
        <f t="array" aca="1" ref="AM27" ca="1">INDIRECT("'"&amp;A27&amp;"'!E$20")</f>
        <v>0</v>
      </c>
      <c r="AN27" s="149" cm="1">
        <f t="array" aca="1" ref="AN27" ca="1">INDIRECT("'"&amp;A27&amp;"'!D$20")</f>
        <v>0</v>
      </c>
      <c r="AO27" s="149">
        <f ca="1">SUM(INDIRECT("'"&amp;$A27&amp;"'!F$16"):INDIRECT("'"&amp;$A27&amp;"'!F$20"))</f>
        <v>0</v>
      </c>
      <c r="AP27" s="149" cm="1">
        <f t="array" aca="1" ref="AP27" ca="1">INDIRECT("'"&amp;A27&amp;"'!D$19")+INDIRECT("'"&amp;A27&amp;"'!E$19")</f>
        <v>84</v>
      </c>
      <c r="AQ27" s="45"/>
      <c r="AR27" s="284">
        <f ca="1">AG27*Constants!$B$6</f>
        <v>0</v>
      </c>
      <c r="AS27" s="284">
        <f ca="1">AH27*Constants!$B$6</f>
        <v>0</v>
      </c>
      <c r="AT27" s="284" cm="1">
        <f t="array" aca="1" ref="AT27" ca="1">INDIRECT("'"&amp;$A27&amp;"'!E$21")</f>
        <v>0</v>
      </c>
      <c r="AU27" s="284" cm="1">
        <f t="array" aca="1" ref="AU27" ca="1">INDIRECT("'"&amp;$A27&amp;"'!D$21")</f>
        <v>0</v>
      </c>
      <c r="AV27" s="284">
        <f ca="1">AK27*Constants!$B$8</f>
        <v>0</v>
      </c>
      <c r="AW27" s="284">
        <f ca="1">AL27*Constants!$B$8</f>
        <v>0</v>
      </c>
      <c r="AX27" s="284" cm="1">
        <f t="array" aca="1" ref="AX27" ca="1">INDIRECT("'"&amp;A27&amp;"'!E$22")</f>
        <v>0</v>
      </c>
      <c r="AY27" s="284" cm="1">
        <f t="array" aca="1" ref="AY27" ca="1">INDIRECT("'"&amp;A27&amp;"'!D$22")</f>
        <v>0</v>
      </c>
      <c r="AZ27" s="284" cm="1">
        <f t="array" aca="1" ref="AZ27" ca="1">INDIRECT("'"&amp;$A27&amp;"'!F$23")</f>
        <v>0</v>
      </c>
      <c r="BA27" s="284" cm="1">
        <f t="array" aca="1" ref="BA27" ca="1">INDIRECT("'"&amp;$A27&amp;"'!E$24")</f>
        <v>275</v>
      </c>
      <c r="BB27" s="149">
        <f ca="1">ROUND(AP27/Constants!$B$22,0)</f>
        <v>1</v>
      </c>
      <c r="BC27" s="150">
        <f>'Student Trainers'!G26</f>
        <v>150</v>
      </c>
      <c r="BD27" s="46"/>
      <c r="BE27" s="151" cm="1">
        <f t="array" aca="1" ref="BE27" ca="1">INDIRECT("'"&amp;$A27&amp;"'!H$16")</f>
        <v>168</v>
      </c>
      <c r="BF27" s="151" cm="1">
        <f t="array" aca="1" ref="BF27" ca="1">INDIRECT("'"&amp;$A27&amp;"'!I$16")</f>
        <v>0</v>
      </c>
      <c r="BG27" s="46"/>
      <c r="BH27" s="285" cm="1">
        <f t="array" aca="1" ref="BH27" ca="1">INDIRECT("'"&amp;$A27&amp;"'!H$17")</f>
        <v>6720</v>
      </c>
      <c r="BI27" s="285">
        <f ca="1">BH27*'Total Budget'!D$54/$BH$38</f>
        <v>7251.4634174999119</v>
      </c>
      <c r="BJ27" s="285" cm="1">
        <f t="array" aca="1" ref="BJ27" ca="1">INDIRECT("'"&amp;$A27&amp;"'!I$17")</f>
        <v>0</v>
      </c>
      <c r="BK27" s="285" cm="1">
        <f t="array" aca="1" ref="BK27" ca="1">INDIRECT("'"&amp;$A27&amp;"'!I$19")</f>
        <v>0</v>
      </c>
      <c r="BL27" s="286"/>
      <c r="BM27" s="287" cm="1">
        <f t="array" aca="1" ref="BM27" ca="1">INDIRECT("'"&amp;$A27&amp;"'!J$16")</f>
        <v>2138.3200000000002</v>
      </c>
      <c r="BN27" s="288" cm="1">
        <f t="array" aca="1" ref="BN27" ca="1">INDIRECT("'"&amp;$A27&amp;"'!K$16")</f>
        <v>1158.6560000000002</v>
      </c>
      <c r="BO27" s="16"/>
      <c r="BP27" s="289">
        <f t="shared" ca="1" si="2"/>
        <v>8835.1194174999109</v>
      </c>
      <c r="BQ27" s="499">
        <f t="shared" ca="1" si="3"/>
        <v>128.04520894927407</v>
      </c>
      <c r="BR27" s="500">
        <f t="shared" ca="1" si="4"/>
        <v>0.39800670307723041</v>
      </c>
      <c r="BS27" s="498">
        <f ca="1">MAX(0, BP27-Constants!B$18*C27*$BQ$38)</f>
        <v>0</v>
      </c>
      <c r="BU27" s="497">
        <f t="shared" ca="1" si="5"/>
        <v>391.52654106705245</v>
      </c>
      <c r="BV27" s="496">
        <f t="shared" ca="1" si="6"/>
        <v>5.6742976966239489</v>
      </c>
    </row>
    <row r="28" spans="1:74" ht="14.25" customHeight="1">
      <c r="A28" s="44" t="s">
        <v>97</v>
      </c>
      <c r="B28" s="47">
        <v>1</v>
      </c>
      <c r="C28" s="148">
        <f t="array" aca="1" ref="C28" ca="1">INDIRECT("'"&amp;A28&amp;"'!B$7")</f>
        <v>165</v>
      </c>
      <c r="D28" s="148" t="str">
        <f t="array" aca="1" ref="D28" ca="1">INDIRECT("'"&amp;A28&amp;"'!B$9")</f>
        <v>yes</v>
      </c>
      <c r="E28" s="45"/>
      <c r="F28" s="281" cm="1">
        <f t="array" aca="1" ref="F28" ca="1">INDIRECT("'"&amp;A28&amp;"'!M$15")</f>
        <v>2500</v>
      </c>
      <c r="G28" s="281" cm="1">
        <f t="array" aca="1" ref="G28" ca="1">INDIRECT("'"&amp;A28&amp;"'!M$16")</f>
        <v>0</v>
      </c>
      <c r="H28" s="281" cm="1">
        <f t="array" aca="1" ref="H28" ca="1">INDIRECT("'"&amp;$A28&amp;"'!M$17")</f>
        <v>350.84</v>
      </c>
      <c r="I28" s="282">
        <f t="shared" ca="1" si="0"/>
        <v>0</v>
      </c>
      <c r="J28" s="282">
        <f t="shared" ca="1" si="7"/>
        <v>0</v>
      </c>
      <c r="K28" s="282">
        <f ca="1">C28*Constants!C$31</f>
        <v>7425</v>
      </c>
      <c r="L28" s="282">
        <f t="shared" ca="1" si="1"/>
        <v>2706.255364310507</v>
      </c>
      <c r="M28" s="281" cm="1">
        <f t="array" aca="1" ref="M28" ca="1">INDIRECT("'"&amp;$A28&amp;"'!M$21")+J28</f>
        <v>12982.095364310508</v>
      </c>
      <c r="N28" s="45"/>
      <c r="O28" s="149" cm="1">
        <f t="array" aca="1" ref="O28" ca="1">INDIRECT("'"&amp;$A28&amp;"'!B$16")</f>
        <v>309.59999999999997</v>
      </c>
      <c r="P28" s="149" cm="1">
        <f t="array" aca="1" ref="P28" ca="1">INDIRECT("'"&amp;$A28&amp;"'!C$16")</f>
        <v>75</v>
      </c>
      <c r="Q28" s="149" cm="1">
        <f t="array" aca="1" ref="Q28" ca="1">INDIRECT("'"&amp;$A28&amp;"'!B$18")</f>
        <v>0</v>
      </c>
      <c r="R28" s="149" cm="1">
        <f t="array" aca="1" ref="R28" ca="1">INDIRECT("'"&amp;$A28&amp;"'!C$18")</f>
        <v>0</v>
      </c>
      <c r="S28" s="149" cm="1">
        <f t="array" aca="1" ref="S28" ca="1">INDIRECT("'"&amp;A28&amp;"'!B$17")</f>
        <v>0</v>
      </c>
      <c r="T28" s="149" cm="1">
        <f t="array" aca="1" ref="T28" ca="1">INDIRECT("'"&amp;A28&amp;"'!C$17")</f>
        <v>0</v>
      </c>
      <c r="U28" s="149" cm="1">
        <f t="array" aca="1" ref="U28" ca="1">INDIRECT("'"&amp;A28&amp;"'!B$20")+INDIRECT("'"&amp;A28&amp;"'!C$20")</f>
        <v>0</v>
      </c>
      <c r="V28" s="149" cm="1">
        <f t="array" aca="1" ref="V28" ca="1">INDIRECT("'"&amp;A28&amp;"'!B$19")+INDIRECT("'"&amp;A28&amp;"'!C$19")</f>
        <v>0</v>
      </c>
      <c r="W28" s="45"/>
      <c r="X28" s="284">
        <f ca="1">O28*Constants!$B$6</f>
        <v>15479.999999999998</v>
      </c>
      <c r="Y28" s="284">
        <f ca="1">P28*Constants!$B$6</f>
        <v>3750</v>
      </c>
      <c r="Z28" s="284" cm="1">
        <f t="array" aca="1" ref="Z28" ca="1">INDIRECT("'"&amp;$A28&amp;"'!B$21")</f>
        <v>0</v>
      </c>
      <c r="AA28" s="284" cm="1">
        <f t="array" aca="1" ref="AA28" ca="1">INDIRECT("'"&amp;$A28&amp;"'!C$21")</f>
        <v>0</v>
      </c>
      <c r="AB28" s="284">
        <f ca="1">S28*Constants!$B$8</f>
        <v>0</v>
      </c>
      <c r="AC28" s="284">
        <f ca="1">T28*Constants!$B$8</f>
        <v>0</v>
      </c>
      <c r="AD28" s="284" cm="1">
        <f t="array" aca="1" ref="AD28" ca="1">INDIRECT("'"&amp;A28&amp;"'!B$22")+INDIRECT("'"&amp;A28&amp;"'!C$22")</f>
        <v>0</v>
      </c>
      <c r="AE28" s="149">
        <f ca="1">ROUND(V28/Constants!$B$22,0)</f>
        <v>0</v>
      </c>
      <c r="AF28" s="45"/>
      <c r="AG28" s="149" cm="1">
        <f t="array" aca="1" ref="AG28" ca="1">INDIRECT("'"&amp;A28&amp;"'!E16")</f>
        <v>0</v>
      </c>
      <c r="AH28" s="149" cm="1">
        <f t="array" aca="1" ref="AH28" ca="1">INDIRECT("'"&amp;A28&amp;"'!D16")</f>
        <v>0</v>
      </c>
      <c r="AI28" s="149" cm="1">
        <f t="array" aca="1" ref="AI28" ca="1">INDIRECT("'"&amp;A28&amp;"'!E18")</f>
        <v>0</v>
      </c>
      <c r="AJ28" s="149" cm="1">
        <f t="array" aca="1" ref="AJ28" ca="1">INDIRECT("'"&amp;A28&amp;"'!D18")</f>
        <v>0</v>
      </c>
      <c r="AK28" s="149" cm="1">
        <f t="array" aca="1" ref="AK28" ca="1">INDIRECT("'"&amp;A28&amp;"'!E$17")</f>
        <v>0</v>
      </c>
      <c r="AL28" s="149" cm="1">
        <f t="array" aca="1" ref="AL28" ca="1">INDIRECT("'"&amp;A28&amp;"'!D$17")</f>
        <v>0</v>
      </c>
      <c r="AM28" s="149" cm="1">
        <f t="array" aca="1" ref="AM28" ca="1">INDIRECT("'"&amp;A28&amp;"'!E$20")</f>
        <v>0</v>
      </c>
      <c r="AN28" s="149" cm="1">
        <f t="array" aca="1" ref="AN28" ca="1">INDIRECT("'"&amp;A28&amp;"'!D$20")</f>
        <v>0</v>
      </c>
      <c r="AO28" s="149">
        <f ca="1">SUM(INDIRECT("'"&amp;$A28&amp;"'!F$16"):INDIRECT("'"&amp;$A28&amp;"'!F$20"))</f>
        <v>206.4</v>
      </c>
      <c r="AP28" s="149" cm="1">
        <f t="array" aca="1" ref="AP28" ca="1">INDIRECT("'"&amp;A28&amp;"'!D$19")+INDIRECT("'"&amp;A28&amp;"'!E$19")</f>
        <v>607</v>
      </c>
      <c r="AQ28" s="45"/>
      <c r="AR28" s="284">
        <f ca="1">AG28*Constants!$B$6</f>
        <v>0</v>
      </c>
      <c r="AS28" s="284">
        <f ca="1">AH28*Constants!$B$6</f>
        <v>0</v>
      </c>
      <c r="AT28" s="284" cm="1">
        <f t="array" aca="1" ref="AT28" ca="1">INDIRECT("'"&amp;$A28&amp;"'!E$21")</f>
        <v>0</v>
      </c>
      <c r="AU28" s="284" cm="1">
        <f t="array" aca="1" ref="AU28" ca="1">INDIRECT("'"&amp;$A28&amp;"'!D$21")</f>
        <v>0</v>
      </c>
      <c r="AV28" s="284">
        <f ca="1">AK28*Constants!$B$8</f>
        <v>0</v>
      </c>
      <c r="AW28" s="284">
        <f ca="1">AL28*Constants!$B$8</f>
        <v>0</v>
      </c>
      <c r="AX28" s="284" cm="1">
        <f t="array" aca="1" ref="AX28" ca="1">INDIRECT("'"&amp;A28&amp;"'!E$22")</f>
        <v>0</v>
      </c>
      <c r="AY28" s="284" cm="1">
        <f t="array" aca="1" ref="AY28" ca="1">INDIRECT("'"&amp;A28&amp;"'!D$22")</f>
        <v>0</v>
      </c>
      <c r="AZ28" s="284" cm="1">
        <f t="array" aca="1" ref="AZ28" ca="1">INDIRECT("'"&amp;$A28&amp;"'!F$23")</f>
        <v>8600</v>
      </c>
      <c r="BA28" s="284" cm="1">
        <f t="array" aca="1" ref="BA28" ca="1">INDIRECT("'"&amp;$A28&amp;"'!E$24")</f>
        <v>0</v>
      </c>
      <c r="BB28" s="149">
        <f ca="1">ROUND(AP28/Constants!$B$22,0)</f>
        <v>10</v>
      </c>
      <c r="BC28" s="150">
        <f>'Student Trainers'!G27</f>
        <v>1425</v>
      </c>
      <c r="BD28" s="46"/>
      <c r="BE28" s="151" cm="1">
        <f t="array" aca="1" ref="BE28" ca="1">INDIRECT("'"&amp;$A28&amp;"'!H$16")</f>
        <v>30</v>
      </c>
      <c r="BF28" s="151" cm="1">
        <f t="array" aca="1" ref="BF28" ca="1">INDIRECT("'"&amp;$A28&amp;"'!I$16")</f>
        <v>232</v>
      </c>
      <c r="BG28" s="46"/>
      <c r="BH28" s="285" cm="1">
        <f t="array" aca="1" ref="BH28" ca="1">INDIRECT("'"&amp;$A28&amp;"'!H$17")</f>
        <v>1440</v>
      </c>
      <c r="BI28" s="285">
        <f ca="1">BH28*'Total Budget'!D$54/$BH$38</f>
        <v>1553.8850180356953</v>
      </c>
      <c r="BJ28" s="285" cm="1">
        <f t="array" aca="1" ref="BJ28" ca="1">INDIRECT("'"&amp;$A28&amp;"'!I$17")</f>
        <v>32760</v>
      </c>
      <c r="BK28" s="285" cm="1">
        <f t="array" aca="1" ref="BK28" ca="1">INDIRECT("'"&amp;$A28&amp;"'!I$19")</f>
        <v>32760</v>
      </c>
      <c r="BL28" s="286"/>
      <c r="BM28" s="287" cm="1">
        <f t="array" aca="1" ref="BM28" ca="1">INDIRECT("'"&amp;$A28&amp;"'!J$16")</f>
        <v>350.84</v>
      </c>
      <c r="BN28" s="288" cm="1">
        <f t="array" aca="1" ref="BN28" ca="1">INDIRECT("'"&amp;$A28&amp;"'!K$16")</f>
        <v>0</v>
      </c>
      <c r="BO28" s="16"/>
      <c r="BP28" s="289">
        <f t="shared" ca="1" si="2"/>
        <v>61068.885018035697</v>
      </c>
      <c r="BQ28" s="499">
        <f t="shared" ca="1" si="3"/>
        <v>370.1144546547618</v>
      </c>
      <c r="BR28" s="500">
        <f t="shared" ca="1" si="4"/>
        <v>1.1504376857764811</v>
      </c>
      <c r="BS28" s="498">
        <f ca="1">MAX(0, BP28-Constants!B$18*C28*$BQ$38)</f>
        <v>0</v>
      </c>
      <c r="BU28" s="497">
        <f t="shared" ca="1" si="5"/>
        <v>2706.255364310507</v>
      </c>
      <c r="BV28" s="496">
        <f t="shared" ca="1" si="6"/>
        <v>16.401547662487921</v>
      </c>
    </row>
    <row r="29" spans="1:74" ht="14.25" customHeight="1">
      <c r="A29" s="44" t="s">
        <v>171</v>
      </c>
      <c r="B29" s="47">
        <v>1</v>
      </c>
      <c r="C29" s="148">
        <f t="array" aca="1" ref="C29" ca="1">INDIRECT("'"&amp;A29&amp;"'!B$7")</f>
        <v>46</v>
      </c>
      <c r="D29" s="148" t="str">
        <f t="array" aca="1" ref="D29" ca="1">INDIRECT("'"&amp;A29&amp;"'!B$9")</f>
        <v>yes</v>
      </c>
      <c r="E29" s="45"/>
      <c r="F29" s="281" cm="1">
        <f t="array" aca="1" ref="F29" ca="1">INDIRECT("'"&amp;A29&amp;"'!M$15")</f>
        <v>0</v>
      </c>
      <c r="G29" s="281" cm="1">
        <f t="array" aca="1" ref="G29" ca="1">INDIRECT("'"&amp;A29&amp;"'!M$16")</f>
        <v>0</v>
      </c>
      <c r="H29" s="281" cm="1">
        <f t="array" aca="1" ref="H29" ca="1">INDIRECT("'"&amp;$A29&amp;"'!M$17")</f>
        <v>519.14599999999996</v>
      </c>
      <c r="I29" s="282">
        <f t="shared" ca="1" si="0"/>
        <v>7882</v>
      </c>
      <c r="J29" s="282">
        <f t="shared" ca="1" si="7"/>
        <v>0</v>
      </c>
      <c r="K29" s="282">
        <f ca="1">C29*Constants!C$31</f>
        <v>2070</v>
      </c>
      <c r="L29" s="282">
        <f t="shared" ca="1" si="1"/>
        <v>506.85423592735577</v>
      </c>
      <c r="M29" s="281" cm="1">
        <f t="array" aca="1" ref="M29" ca="1">INDIRECT("'"&amp;$A29&amp;"'!M$21")+J29</f>
        <v>10978.000235927357</v>
      </c>
      <c r="N29" s="45"/>
      <c r="O29" s="149" cm="1">
        <f t="array" aca="1" ref="O29" ca="1">INDIRECT("'"&amp;$A29&amp;"'!B$16")</f>
        <v>0</v>
      </c>
      <c r="P29" s="149" cm="1">
        <f t="array" aca="1" ref="P29" ca="1">INDIRECT("'"&amp;$A29&amp;"'!C$16")</f>
        <v>0</v>
      </c>
      <c r="Q29" s="149" cm="1">
        <f t="array" aca="1" ref="Q29" ca="1">INDIRECT("'"&amp;$A29&amp;"'!B$18")</f>
        <v>0</v>
      </c>
      <c r="R29" s="149" cm="1">
        <f t="array" aca="1" ref="R29" ca="1">INDIRECT("'"&amp;$A29&amp;"'!C$18")</f>
        <v>0</v>
      </c>
      <c r="S29" s="149" cm="1">
        <f t="array" aca="1" ref="S29" ca="1">INDIRECT("'"&amp;A29&amp;"'!B$17")</f>
        <v>109.19999999999999</v>
      </c>
      <c r="T29" s="149" cm="1">
        <f t="array" aca="1" ref="T29" ca="1">INDIRECT("'"&amp;A29&amp;"'!C$17")</f>
        <v>0</v>
      </c>
      <c r="U29" s="149" cm="1">
        <f t="array" aca="1" ref="U29" ca="1">INDIRECT("'"&amp;A29&amp;"'!B$20")+INDIRECT("'"&amp;A29&amp;"'!C$20")</f>
        <v>0</v>
      </c>
      <c r="V29" s="149" cm="1">
        <f t="array" aca="1" ref="V29" ca="1">INDIRECT("'"&amp;A29&amp;"'!B$19")+INDIRECT("'"&amp;A29&amp;"'!C$19")</f>
        <v>39</v>
      </c>
      <c r="W29" s="45"/>
      <c r="X29" s="284">
        <f ca="1">O29*Constants!$B$6</f>
        <v>0</v>
      </c>
      <c r="Y29" s="284">
        <f ca="1">P29*Constants!$B$6</f>
        <v>0</v>
      </c>
      <c r="Z29" s="284" cm="1">
        <f t="array" aca="1" ref="Z29" ca="1">INDIRECT("'"&amp;$A29&amp;"'!B$21")</f>
        <v>0</v>
      </c>
      <c r="AA29" s="284" cm="1">
        <f t="array" aca="1" ref="AA29" ca="1">INDIRECT("'"&amp;$A29&amp;"'!C$21")</f>
        <v>0</v>
      </c>
      <c r="AB29" s="284">
        <f ca="1">S29*Constants!$B$8</f>
        <v>546</v>
      </c>
      <c r="AC29" s="284">
        <f ca="1">T29*Constants!$B$8</f>
        <v>0</v>
      </c>
      <c r="AD29" s="284" cm="1">
        <f t="array" aca="1" ref="AD29" ca="1">INDIRECT("'"&amp;A29&amp;"'!B$22")+INDIRECT("'"&amp;A29&amp;"'!C$22")</f>
        <v>0</v>
      </c>
      <c r="AE29" s="149">
        <f ca="1">ROUND(V29/Constants!$B$22,0)</f>
        <v>1</v>
      </c>
      <c r="AF29" s="45"/>
      <c r="AG29" s="149" cm="1">
        <f t="array" aca="1" ref="AG29" ca="1">INDIRECT("'"&amp;A29&amp;"'!E16")</f>
        <v>0</v>
      </c>
      <c r="AH29" s="149" cm="1">
        <f t="array" aca="1" ref="AH29" ca="1">INDIRECT("'"&amp;A29&amp;"'!D16")</f>
        <v>0</v>
      </c>
      <c r="AI29" s="149" cm="1">
        <f t="array" aca="1" ref="AI29" ca="1">INDIRECT("'"&amp;A29&amp;"'!E18")</f>
        <v>0</v>
      </c>
      <c r="AJ29" s="149" cm="1">
        <f t="array" aca="1" ref="AJ29" ca="1">INDIRECT("'"&amp;A29&amp;"'!D18")</f>
        <v>0</v>
      </c>
      <c r="AK29" s="149" cm="1">
        <f t="array" aca="1" ref="AK29" ca="1">INDIRECT("'"&amp;A29&amp;"'!E$17")</f>
        <v>0</v>
      </c>
      <c r="AL29" s="149" cm="1">
        <f t="array" aca="1" ref="AL29" ca="1">INDIRECT("'"&amp;A29&amp;"'!D$17")</f>
        <v>0</v>
      </c>
      <c r="AM29" s="149" cm="1">
        <f t="array" aca="1" ref="AM29" ca="1">INDIRECT("'"&amp;A29&amp;"'!E$20")</f>
        <v>0</v>
      </c>
      <c r="AN29" s="149" cm="1">
        <f t="array" aca="1" ref="AN29" ca="1">INDIRECT("'"&amp;A29&amp;"'!D$20")</f>
        <v>0</v>
      </c>
      <c r="AO29" s="149">
        <f ca="1">SUM(INDIRECT("'"&amp;$A29&amp;"'!F$16"):INDIRECT("'"&amp;$A29&amp;"'!F$20"))</f>
        <v>0</v>
      </c>
      <c r="AP29" s="149" cm="1">
        <f t="array" aca="1" ref="AP29" ca="1">INDIRECT("'"&amp;A29&amp;"'!D$19")+INDIRECT("'"&amp;A29&amp;"'!E$19")</f>
        <v>156</v>
      </c>
      <c r="AQ29" s="45"/>
      <c r="AR29" s="284">
        <f ca="1">AG29*Constants!$B$6</f>
        <v>0</v>
      </c>
      <c r="AS29" s="284">
        <f ca="1">AH29*Constants!$B$6</f>
        <v>0</v>
      </c>
      <c r="AT29" s="284" cm="1">
        <f t="array" aca="1" ref="AT29" ca="1">INDIRECT("'"&amp;$A29&amp;"'!E$21")</f>
        <v>0</v>
      </c>
      <c r="AU29" s="284" cm="1">
        <f t="array" aca="1" ref="AU29" ca="1">INDIRECT("'"&amp;$A29&amp;"'!D$21")</f>
        <v>0</v>
      </c>
      <c r="AV29" s="284">
        <f ca="1">AK29*Constants!$B$8</f>
        <v>0</v>
      </c>
      <c r="AW29" s="284">
        <f ca="1">AL29*Constants!$B$8</f>
        <v>0</v>
      </c>
      <c r="AX29" s="284" cm="1">
        <f t="array" aca="1" ref="AX29" ca="1">INDIRECT("'"&amp;A29&amp;"'!E$22")</f>
        <v>0</v>
      </c>
      <c r="AY29" s="284" cm="1">
        <f t="array" aca="1" ref="AY29" ca="1">INDIRECT("'"&amp;A29&amp;"'!D$22")</f>
        <v>0</v>
      </c>
      <c r="AZ29" s="284" cm="1">
        <f t="array" aca="1" ref="AZ29" ca="1">INDIRECT("'"&amp;$A29&amp;"'!F$23")</f>
        <v>0</v>
      </c>
      <c r="BA29" s="284" cm="1">
        <f t="array" aca="1" ref="BA29" ca="1">INDIRECT("'"&amp;$A29&amp;"'!E$24")</f>
        <v>0</v>
      </c>
      <c r="BB29" s="149">
        <f ca="1">ROUND(AP29/Constants!$B$22,0)</f>
        <v>3</v>
      </c>
      <c r="BC29" s="150">
        <f>'Student Trainers'!G28</f>
        <v>75</v>
      </c>
      <c r="BD29" s="46"/>
      <c r="BE29" s="151" cm="1">
        <f t="array" aca="1" ref="BE29" ca="1">INDIRECT("'"&amp;$A29&amp;"'!H$16")</f>
        <v>0</v>
      </c>
      <c r="BF29" s="151" cm="1">
        <f t="array" aca="1" ref="BF29" ca="1">INDIRECT("'"&amp;$A29&amp;"'!I$16")</f>
        <v>102</v>
      </c>
      <c r="BG29" s="46"/>
      <c r="BH29" s="285" cm="1">
        <f t="array" aca="1" ref="BH29" ca="1">INDIRECT("'"&amp;$A29&amp;"'!H$17")</f>
        <v>0</v>
      </c>
      <c r="BI29" s="285">
        <f ca="1">BH29*'Total Budget'!D$54/$BH$38</f>
        <v>0</v>
      </c>
      <c r="BJ29" s="285" cm="1">
        <f t="array" aca="1" ref="BJ29" ca="1">INDIRECT("'"&amp;$A29&amp;"'!I$17")</f>
        <v>18462</v>
      </c>
      <c r="BK29" s="285" cm="1">
        <f t="array" aca="1" ref="BK29" ca="1">INDIRECT("'"&amp;$A29&amp;"'!I$19")</f>
        <v>10580</v>
      </c>
      <c r="BL29" s="286"/>
      <c r="BM29" s="287" cm="1">
        <f t="array" aca="1" ref="BM29" ca="1">INDIRECT("'"&amp;$A29&amp;"'!J$16")</f>
        <v>755.73</v>
      </c>
      <c r="BN29" s="288" cm="1">
        <f t="array" aca="1" ref="BN29" ca="1">INDIRECT("'"&amp;$A29&amp;"'!K$16")</f>
        <v>236.58400000000003</v>
      </c>
      <c r="BO29" s="16"/>
      <c r="BP29" s="289">
        <f t="shared" ca="1" si="2"/>
        <v>11437.583999999999</v>
      </c>
      <c r="BQ29" s="499">
        <f t="shared" ca="1" si="3"/>
        <v>248.64313043478259</v>
      </c>
      <c r="BR29" s="500">
        <f t="shared" ca="1" si="4"/>
        <v>0.77286478267495251</v>
      </c>
      <c r="BS29" s="498">
        <f ca="1">MAX(0, BP29-Constants!B$18*C29*$BQ$38)</f>
        <v>0</v>
      </c>
      <c r="BU29" s="497">
        <f t="shared" ca="1" si="5"/>
        <v>506.85423592735577</v>
      </c>
      <c r="BV29" s="496">
        <f t="shared" ca="1" si="6"/>
        <v>11.018570346246864</v>
      </c>
    </row>
    <row r="30" spans="1:74" ht="14.25" customHeight="1">
      <c r="A30" s="44" t="s">
        <v>356</v>
      </c>
      <c r="B30" s="47">
        <v>3</v>
      </c>
      <c r="C30" s="148">
        <f t="array" aca="1" ref="C30" ca="1">INDIRECT("'"&amp;A30&amp;"'!B$7")</f>
        <v>45</v>
      </c>
      <c r="D30" s="148" t="str">
        <f t="array" aca="1" ref="D30" ca="1">INDIRECT("'"&amp;A30&amp;"'!B$9")</f>
        <v>yes</v>
      </c>
      <c r="E30" s="45"/>
      <c r="F30" s="281" cm="1">
        <f t="array" aca="1" ref="F30" ca="1">INDIRECT("'"&amp;A30&amp;"'!M$15")</f>
        <v>0</v>
      </c>
      <c r="G30" s="281" cm="1">
        <f t="array" aca="1" ref="G30" ca="1">INDIRECT("'"&amp;A30&amp;"'!M$16")</f>
        <v>0</v>
      </c>
      <c r="H30" s="281" cm="1">
        <f t="array" aca="1" ref="H30" ca="1">INDIRECT("'"&amp;$A30&amp;"'!M$17")</f>
        <v>0</v>
      </c>
      <c r="I30" s="282">
        <f t="shared" ca="1" si="0"/>
        <v>0</v>
      </c>
      <c r="J30" s="282">
        <f t="shared" ca="1" si="7"/>
        <v>0</v>
      </c>
      <c r="K30" s="282">
        <f ca="1">C30*Constants!C$31</f>
        <v>2025</v>
      </c>
      <c r="L30" s="282">
        <f t="shared" ca="1" si="1"/>
        <v>445.70394407317775</v>
      </c>
      <c r="M30" s="281" cm="1">
        <f t="array" aca="1" ref="M30" ca="1">INDIRECT("'"&amp;$A30&amp;"'!M$21")+J30</f>
        <v>2470.7039440731778</v>
      </c>
      <c r="N30" s="45"/>
      <c r="O30" s="149" cm="1">
        <f t="array" aca="1" ref="O30" ca="1">INDIRECT("'"&amp;$A30&amp;"'!B$16")</f>
        <v>0</v>
      </c>
      <c r="P30" s="149" cm="1">
        <f t="array" aca="1" ref="P30" ca="1">INDIRECT("'"&amp;$A30&amp;"'!C$16")</f>
        <v>0</v>
      </c>
      <c r="Q30" s="149" cm="1">
        <f t="array" aca="1" ref="Q30" ca="1">INDIRECT("'"&amp;$A30&amp;"'!B$18")</f>
        <v>0</v>
      </c>
      <c r="R30" s="149" cm="1">
        <f t="array" aca="1" ref="R30" ca="1">INDIRECT("'"&amp;$A30&amp;"'!C$18")</f>
        <v>0</v>
      </c>
      <c r="S30" s="149" cm="1">
        <f t="array" aca="1" ref="S30" ca="1">INDIRECT("'"&amp;A30&amp;"'!B$17")</f>
        <v>0</v>
      </c>
      <c r="T30" s="149" cm="1">
        <f t="array" aca="1" ref="T30" ca="1">INDIRECT("'"&amp;A30&amp;"'!C$17")</f>
        <v>0</v>
      </c>
      <c r="U30" s="149" cm="1">
        <f t="array" aca="1" ref="U30" ca="1">INDIRECT("'"&amp;A30&amp;"'!B$20")+INDIRECT("'"&amp;A30&amp;"'!C$20")</f>
        <v>0</v>
      </c>
      <c r="V30" s="149" cm="1">
        <f t="array" aca="1" ref="V30" ca="1">INDIRECT("'"&amp;A30&amp;"'!B$19")+INDIRECT("'"&amp;A30&amp;"'!C$19")</f>
        <v>0</v>
      </c>
      <c r="W30" s="45"/>
      <c r="X30" s="284">
        <f ca="1">O30*Constants!$B$6</f>
        <v>0</v>
      </c>
      <c r="Y30" s="284">
        <f ca="1">P30*Constants!$B$6</f>
        <v>0</v>
      </c>
      <c r="Z30" s="284" cm="1">
        <f t="array" aca="1" ref="Z30" ca="1">INDIRECT("'"&amp;$A30&amp;"'!B$21")</f>
        <v>0</v>
      </c>
      <c r="AA30" s="284" cm="1">
        <f t="array" aca="1" ref="AA30" ca="1">INDIRECT("'"&amp;$A30&amp;"'!C$21")</f>
        <v>0</v>
      </c>
      <c r="AB30" s="284">
        <f ca="1">S30*Constants!$B$8</f>
        <v>0</v>
      </c>
      <c r="AC30" s="284">
        <f ca="1">T30*Constants!$B$8</f>
        <v>0</v>
      </c>
      <c r="AD30" s="284" cm="1">
        <f t="array" aca="1" ref="AD30" ca="1">INDIRECT("'"&amp;A30&amp;"'!B$22")+INDIRECT("'"&amp;A30&amp;"'!C$22")</f>
        <v>0</v>
      </c>
      <c r="AE30" s="149">
        <f ca="1">ROUND(V30/Constants!$B$22,0)</f>
        <v>0</v>
      </c>
      <c r="AF30" s="45"/>
      <c r="AG30" s="149" cm="1">
        <f t="array" aca="1" ref="AG30" ca="1">INDIRECT("'"&amp;A30&amp;"'!E16")</f>
        <v>0</v>
      </c>
      <c r="AH30" s="149" cm="1">
        <f t="array" aca="1" ref="AH30" ca="1">INDIRECT("'"&amp;A30&amp;"'!D16")</f>
        <v>0</v>
      </c>
      <c r="AI30" s="149" cm="1">
        <f t="array" aca="1" ref="AI30" ca="1">INDIRECT("'"&amp;A30&amp;"'!E18")</f>
        <v>0</v>
      </c>
      <c r="AJ30" s="149" cm="1">
        <f t="array" aca="1" ref="AJ30" ca="1">INDIRECT("'"&amp;A30&amp;"'!D18")</f>
        <v>0</v>
      </c>
      <c r="AK30" s="149" cm="1">
        <f t="array" aca="1" ref="AK30" ca="1">INDIRECT("'"&amp;A30&amp;"'!E$17")</f>
        <v>0</v>
      </c>
      <c r="AL30" s="149" cm="1">
        <f t="array" aca="1" ref="AL30" ca="1">INDIRECT("'"&amp;A30&amp;"'!D$17")</f>
        <v>0</v>
      </c>
      <c r="AM30" s="149" cm="1">
        <f t="array" aca="1" ref="AM30" ca="1">INDIRECT("'"&amp;A30&amp;"'!E$20")</f>
        <v>0</v>
      </c>
      <c r="AN30" s="149" cm="1">
        <f t="array" aca="1" ref="AN30" ca="1">INDIRECT("'"&amp;A30&amp;"'!D$20")</f>
        <v>0</v>
      </c>
      <c r="AO30" s="149">
        <f ca="1">SUM(INDIRECT("'"&amp;$A30&amp;"'!F$16"):INDIRECT("'"&amp;$A30&amp;"'!F$20"))</f>
        <v>25.2</v>
      </c>
      <c r="AP30" s="149" cm="1">
        <f t="array" aca="1" ref="AP30" ca="1">INDIRECT("'"&amp;A30&amp;"'!D$19")+INDIRECT("'"&amp;A30&amp;"'!E$19")</f>
        <v>126</v>
      </c>
      <c r="AQ30" s="45"/>
      <c r="AR30" s="284">
        <f ca="1">AG30*Constants!$B$6</f>
        <v>0</v>
      </c>
      <c r="AS30" s="284">
        <f ca="1">AH30*Constants!$B$6</f>
        <v>0</v>
      </c>
      <c r="AT30" s="284" cm="1">
        <f t="array" aca="1" ref="AT30" ca="1">INDIRECT("'"&amp;$A30&amp;"'!E$21")</f>
        <v>0</v>
      </c>
      <c r="AU30" s="284" cm="1">
        <f t="array" aca="1" ref="AU30" ca="1">INDIRECT("'"&amp;$A30&amp;"'!D$21")</f>
        <v>0</v>
      </c>
      <c r="AV30" s="284">
        <f ca="1">AK30*Constants!$B$8</f>
        <v>0</v>
      </c>
      <c r="AW30" s="284">
        <f ca="1">AL30*Constants!$B$8</f>
        <v>0</v>
      </c>
      <c r="AX30" s="284" cm="1">
        <f t="array" aca="1" ref="AX30" ca="1">INDIRECT("'"&amp;A30&amp;"'!E$22")</f>
        <v>0</v>
      </c>
      <c r="AY30" s="284" cm="1">
        <f t="array" aca="1" ref="AY30" ca="1">INDIRECT("'"&amp;A30&amp;"'!D$22")</f>
        <v>0</v>
      </c>
      <c r="AZ30" s="284" cm="1">
        <f t="array" aca="1" ref="AZ30" ca="1">INDIRECT("'"&amp;$A30&amp;"'!F$23")</f>
        <v>1050</v>
      </c>
      <c r="BA30" s="284" cm="1">
        <f t="array" aca="1" ref="BA30" ca="1">INDIRECT("'"&amp;$A30&amp;"'!E$24")</f>
        <v>0</v>
      </c>
      <c r="BB30" s="149">
        <f ca="1">ROUND(AP30/Constants!$B$22,0)</f>
        <v>2</v>
      </c>
      <c r="BC30" s="150">
        <f>'Student Trainers'!G29</f>
        <v>0</v>
      </c>
      <c r="BD30" s="46"/>
      <c r="BE30" s="151" cm="1">
        <f t="array" aca="1" ref="BE30" ca="1">INDIRECT("'"&amp;$A30&amp;"'!H$16")</f>
        <v>126</v>
      </c>
      <c r="BF30" s="151" cm="1">
        <f t="array" aca="1" ref="BF30" ca="1">INDIRECT("'"&amp;$A30&amp;"'!I$16")</f>
        <v>0</v>
      </c>
      <c r="BG30" s="46"/>
      <c r="BH30" s="285" cm="1">
        <f t="array" aca="1" ref="BH30" ca="1">INDIRECT("'"&amp;$A30&amp;"'!H$17")</f>
        <v>8347.5</v>
      </c>
      <c r="BI30" s="285">
        <f ca="1">BH30*'Total Budget'!D$54/$BH$38</f>
        <v>9007.6772139256718</v>
      </c>
      <c r="BJ30" s="285" cm="1">
        <f t="array" aca="1" ref="BJ30" ca="1">INDIRECT("'"&amp;$A30&amp;"'!I$17")</f>
        <v>0</v>
      </c>
      <c r="BK30" s="285" cm="1">
        <f t="array" aca="1" ref="BK30" ca="1">INDIRECT("'"&amp;$A30&amp;"'!I$19")</f>
        <v>0</v>
      </c>
      <c r="BL30" s="286"/>
      <c r="BM30" s="287" cm="1">
        <f t="array" aca="1" ref="BM30" ca="1">INDIRECT("'"&amp;$A30&amp;"'!J$16")</f>
        <v>0</v>
      </c>
      <c r="BN30" s="288" cm="1">
        <f t="array" aca="1" ref="BN30" ca="1">INDIRECT("'"&amp;$A30&amp;"'!K$16")</f>
        <v>0</v>
      </c>
      <c r="BO30" s="16"/>
      <c r="BP30" s="289">
        <f t="shared" ca="1" si="2"/>
        <v>10057.677213925672</v>
      </c>
      <c r="BQ30" s="499">
        <f t="shared" ca="1" si="3"/>
        <v>223.50393808723715</v>
      </c>
      <c r="BR30" s="500">
        <f t="shared" ca="1" si="4"/>
        <v>0.69472388895174675</v>
      </c>
      <c r="BS30" s="498">
        <f ca="1">MAX(0, BP30-Constants!B$18*C30*$BQ$38)</f>
        <v>0</v>
      </c>
      <c r="BU30" s="497">
        <f t="shared" ca="1" si="5"/>
        <v>445.70394407317775</v>
      </c>
      <c r="BV30" s="496">
        <f t="shared" ca="1" si="6"/>
        <v>9.9045320905150618</v>
      </c>
    </row>
    <row r="31" spans="1:74" ht="14.25" customHeight="1">
      <c r="A31" s="44" t="s">
        <v>147</v>
      </c>
      <c r="B31" s="47">
        <v>6</v>
      </c>
      <c r="C31" s="148">
        <f t="array" aca="1" ref="C31" ca="1">INDIRECT("'"&amp;A31&amp;"'!B$7")</f>
        <v>65</v>
      </c>
      <c r="D31" s="148" t="str">
        <f t="array" aca="1" ref="D31" ca="1">INDIRECT("'"&amp;A31&amp;"'!B$9")</f>
        <v>yes</v>
      </c>
      <c r="E31" s="45"/>
      <c r="F31" s="281" cm="1">
        <f t="array" aca="1" ref="F31" ca="1">INDIRECT("'"&amp;A31&amp;"'!M$15")</f>
        <v>1000</v>
      </c>
      <c r="G31" s="281" cm="1">
        <f t="array" aca="1" ref="G31" ca="1">INDIRECT("'"&amp;A31&amp;"'!M$16")</f>
        <v>0</v>
      </c>
      <c r="H31" s="281" cm="1">
        <f t="array" aca="1" ref="H31" ca="1">INDIRECT("'"&amp;$A31&amp;"'!M$17")</f>
        <v>0</v>
      </c>
      <c r="I31" s="282">
        <f t="shared" ca="1" si="0"/>
        <v>0</v>
      </c>
      <c r="J31" s="282">
        <f t="shared" ca="1" si="7"/>
        <v>0</v>
      </c>
      <c r="K31" s="282">
        <f ca="1">C31*Constants!C$31</f>
        <v>2925</v>
      </c>
      <c r="L31" s="282">
        <f t="shared" ca="1" si="1"/>
        <v>840.66997642138756</v>
      </c>
      <c r="M31" s="281" cm="1">
        <f t="array" aca="1" ref="M31" ca="1">INDIRECT("'"&amp;$A31&amp;"'!M$21")+J31</f>
        <v>4765.6699764213881</v>
      </c>
      <c r="N31" s="45"/>
      <c r="O31" s="149" cm="1">
        <f t="array" aca="1" ref="O31" ca="1">INDIRECT("'"&amp;$A31&amp;"'!B$16")</f>
        <v>0</v>
      </c>
      <c r="P31" s="149" cm="1">
        <f t="array" aca="1" ref="P31" ca="1">INDIRECT("'"&amp;$A31&amp;"'!C$16")</f>
        <v>0</v>
      </c>
      <c r="Q31" s="149" cm="1">
        <f t="array" aca="1" ref="Q31" ca="1">INDIRECT("'"&amp;$A31&amp;"'!B$18")</f>
        <v>0</v>
      </c>
      <c r="R31" s="149" cm="1">
        <f t="array" aca="1" ref="R31" ca="1">INDIRECT("'"&amp;$A31&amp;"'!C$18")</f>
        <v>0</v>
      </c>
      <c r="S31" s="149" cm="1">
        <f t="array" aca="1" ref="S31" ca="1">INDIRECT("'"&amp;A31&amp;"'!B$17")</f>
        <v>0</v>
      </c>
      <c r="T31" s="149" cm="1">
        <f t="array" aca="1" ref="T31" ca="1">INDIRECT("'"&amp;A31&amp;"'!C$17")</f>
        <v>0</v>
      </c>
      <c r="U31" s="149" cm="1">
        <f t="array" aca="1" ref="U31" ca="1">INDIRECT("'"&amp;A31&amp;"'!B$20")+INDIRECT("'"&amp;A31&amp;"'!C$20")</f>
        <v>0</v>
      </c>
      <c r="V31" s="149" cm="1">
        <f t="array" aca="1" ref="V31" ca="1">INDIRECT("'"&amp;A31&amp;"'!B$19")+INDIRECT("'"&amp;A31&amp;"'!C$19")</f>
        <v>0</v>
      </c>
      <c r="W31" s="45"/>
      <c r="X31" s="284">
        <f ca="1">O31*Constants!$B$6</f>
        <v>0</v>
      </c>
      <c r="Y31" s="284">
        <f ca="1">P31*Constants!$B$6</f>
        <v>0</v>
      </c>
      <c r="Z31" s="284" cm="1">
        <f t="array" aca="1" ref="Z31" ca="1">INDIRECT("'"&amp;$A31&amp;"'!B$21")</f>
        <v>0</v>
      </c>
      <c r="AA31" s="284" cm="1">
        <f t="array" aca="1" ref="AA31" ca="1">INDIRECT("'"&amp;$A31&amp;"'!C$21")</f>
        <v>0</v>
      </c>
      <c r="AB31" s="284">
        <f ca="1">S31*Constants!$B$8</f>
        <v>0</v>
      </c>
      <c r="AC31" s="284">
        <f ca="1">T31*Constants!$B$8</f>
        <v>0</v>
      </c>
      <c r="AD31" s="284" cm="1">
        <f t="array" aca="1" ref="AD31" ca="1">INDIRECT("'"&amp;A31&amp;"'!B$22")+INDIRECT("'"&amp;A31&amp;"'!C$22")</f>
        <v>0</v>
      </c>
      <c r="AE31" s="149">
        <f ca="1">ROUND(V31/Constants!$B$22,0)</f>
        <v>0</v>
      </c>
      <c r="AF31" s="45"/>
      <c r="AG31" s="149" cm="1">
        <f t="array" aca="1" ref="AG31" ca="1">INDIRECT("'"&amp;A31&amp;"'!E16")</f>
        <v>0</v>
      </c>
      <c r="AH31" s="149" cm="1">
        <f t="array" aca="1" ref="AH31" ca="1">INDIRECT("'"&amp;A31&amp;"'!D16")</f>
        <v>151.19999999999999</v>
      </c>
      <c r="AI31" s="149" cm="1">
        <f t="array" aca="1" ref="AI31" ca="1">INDIRECT("'"&amp;A31&amp;"'!E18")</f>
        <v>0</v>
      </c>
      <c r="AJ31" s="149" cm="1">
        <f t="array" aca="1" ref="AJ31" ca="1">INDIRECT("'"&amp;A31&amp;"'!D18")</f>
        <v>0</v>
      </c>
      <c r="AK31" s="149" cm="1">
        <f t="array" aca="1" ref="AK31" ca="1">INDIRECT("'"&amp;A31&amp;"'!E$17")</f>
        <v>0</v>
      </c>
      <c r="AL31" s="149" cm="1">
        <f t="array" aca="1" ref="AL31" ca="1">INDIRECT("'"&amp;A31&amp;"'!D$17")</f>
        <v>0</v>
      </c>
      <c r="AM31" s="149" cm="1">
        <f t="array" aca="1" ref="AM31" ca="1">INDIRECT("'"&amp;A31&amp;"'!E$20")</f>
        <v>0</v>
      </c>
      <c r="AN31" s="149" cm="1">
        <f t="array" aca="1" ref="AN31" ca="1">INDIRECT("'"&amp;A31&amp;"'!D$20")</f>
        <v>0</v>
      </c>
      <c r="AO31" s="149">
        <f ca="1">SUM(INDIRECT("'"&amp;$A31&amp;"'!F$16"):INDIRECT("'"&amp;$A31&amp;"'!F$20"))</f>
        <v>0</v>
      </c>
      <c r="AP31" s="149" cm="1">
        <f t="array" aca="1" ref="AP31" ca="1">INDIRECT("'"&amp;A31&amp;"'!D$19")+INDIRECT("'"&amp;A31&amp;"'!E$19")</f>
        <v>210</v>
      </c>
      <c r="AQ31" s="45"/>
      <c r="AR31" s="284">
        <f ca="1">AG31*Constants!$B$6</f>
        <v>0</v>
      </c>
      <c r="AS31" s="284">
        <f ca="1">AH31*Constants!$B$6</f>
        <v>7559.9999999999991</v>
      </c>
      <c r="AT31" s="284" cm="1">
        <f t="array" aca="1" ref="AT31" ca="1">INDIRECT("'"&amp;$A31&amp;"'!E$21")</f>
        <v>0</v>
      </c>
      <c r="AU31" s="284" cm="1">
        <f t="array" aca="1" ref="AU31" ca="1">INDIRECT("'"&amp;$A31&amp;"'!D$21")</f>
        <v>0</v>
      </c>
      <c r="AV31" s="284">
        <f ca="1">AK31*Constants!$B$8</f>
        <v>0</v>
      </c>
      <c r="AW31" s="284">
        <f ca="1">AL31*Constants!$B$8</f>
        <v>0</v>
      </c>
      <c r="AX31" s="284" cm="1">
        <f t="array" aca="1" ref="AX31" ca="1">INDIRECT("'"&amp;A31&amp;"'!E$22")</f>
        <v>0</v>
      </c>
      <c r="AY31" s="284" cm="1">
        <f t="array" aca="1" ref="AY31" ca="1">INDIRECT("'"&amp;A31&amp;"'!D$22")</f>
        <v>0</v>
      </c>
      <c r="AZ31" s="284" cm="1">
        <f t="array" aca="1" ref="AZ31" ca="1">INDIRECT("'"&amp;$A31&amp;"'!F$23")</f>
        <v>0</v>
      </c>
      <c r="BA31" s="284" cm="1">
        <f t="array" aca="1" ref="BA31" ca="1">INDIRECT("'"&amp;$A31&amp;"'!E$24")</f>
        <v>855</v>
      </c>
      <c r="BB31" s="149">
        <f ca="1">ROUND(AP31/Constants!$B$22,0)</f>
        <v>4</v>
      </c>
      <c r="BC31" s="150">
        <f>'Student Trainers'!G30</f>
        <v>225</v>
      </c>
      <c r="BD31" s="46"/>
      <c r="BE31" s="151" cm="1">
        <f t="array" aca="1" ref="BE31" ca="1">INDIRECT("'"&amp;$A31&amp;"'!H$16")</f>
        <v>210</v>
      </c>
      <c r="BF31" s="151" cm="1">
        <f t="array" aca="1" ref="BF31" ca="1">INDIRECT("'"&amp;$A31&amp;"'!I$16")</f>
        <v>0</v>
      </c>
      <c r="BG31" s="46"/>
      <c r="BH31" s="285" cm="1">
        <f t="array" aca="1" ref="BH31" ca="1">INDIRECT("'"&amp;$A31&amp;"'!H$17")</f>
        <v>10500</v>
      </c>
      <c r="BI31" s="285">
        <f ca="1">BH31*'Total Budget'!D$54/$BH$38</f>
        <v>11330.411589843612</v>
      </c>
      <c r="BJ31" s="285" cm="1">
        <f t="array" aca="1" ref="BJ31" ca="1">INDIRECT("'"&amp;$A31&amp;"'!I$17")</f>
        <v>0</v>
      </c>
      <c r="BK31" s="285" cm="1">
        <f t="array" aca="1" ref="BK31" ca="1">INDIRECT("'"&amp;$A31&amp;"'!I$19")</f>
        <v>0</v>
      </c>
      <c r="BL31" s="286"/>
      <c r="BM31" s="287" cm="1">
        <f t="array" aca="1" ref="BM31" ca="1">INDIRECT("'"&amp;$A31&amp;"'!J$16")</f>
        <v>0</v>
      </c>
      <c r="BN31" s="288" cm="1">
        <f t="array" aca="1" ref="BN31" ca="1">INDIRECT("'"&amp;$A31&amp;"'!K$16")</f>
        <v>0</v>
      </c>
      <c r="BO31" s="16"/>
      <c r="BP31" s="289">
        <f t="shared" ca="1" si="2"/>
        <v>18970.411589843614</v>
      </c>
      <c r="BQ31" s="499">
        <f t="shared" ca="1" si="3"/>
        <v>291.85248599759404</v>
      </c>
      <c r="BR31" s="500">
        <f t="shared" ca="1" si="4"/>
        <v>0.90717369818040738</v>
      </c>
      <c r="BS31" s="498">
        <f ca="1">MAX(0, BP31-Constants!B$18*C31*$BQ$38)</f>
        <v>0</v>
      </c>
      <c r="BU31" s="497">
        <f t="shared" ca="1" si="5"/>
        <v>840.66997642138756</v>
      </c>
      <c r="BV31" s="496">
        <f t="shared" ca="1" si="6"/>
        <v>12.933384252636731</v>
      </c>
    </row>
    <row r="32" spans="1:74" ht="14.25" customHeight="1">
      <c r="A32" s="44" t="s">
        <v>176</v>
      </c>
      <c r="B32" s="47">
        <v>3</v>
      </c>
      <c r="C32" s="148">
        <f t="array" aca="1" ref="C32" ca="1">INDIRECT("'"&amp;A32&amp;"'!B$7")</f>
        <v>27</v>
      </c>
      <c r="D32" s="148" t="str">
        <f t="array" aca="1" ref="D32" ca="1">INDIRECT("'"&amp;A32&amp;"'!B$9")</f>
        <v>yes</v>
      </c>
      <c r="E32" s="45"/>
      <c r="F32" s="281" cm="1">
        <f t="array" aca="1" ref="F32" ca="1">INDIRECT("'"&amp;A32&amp;"'!M$15")</f>
        <v>666.66</v>
      </c>
      <c r="G32" s="281" cm="1">
        <f t="array" aca="1" ref="G32" ca="1">INDIRECT("'"&amp;A32&amp;"'!M$16")</f>
        <v>0</v>
      </c>
      <c r="H32" s="281" cm="1">
        <f t="array" aca="1" ref="H32" ca="1">INDIRECT("'"&amp;$A32&amp;"'!M$17")</f>
        <v>240.3</v>
      </c>
      <c r="I32" s="282">
        <f t="shared" ca="1" si="0"/>
        <v>0</v>
      </c>
      <c r="J32" s="282">
        <f ca="1">BS32</f>
        <v>77.279463262024365</v>
      </c>
      <c r="K32" s="282">
        <f ca="1">C32*Constants!C$31</f>
        <v>1215</v>
      </c>
      <c r="L32" s="282">
        <f t="shared" ca="1" si="1"/>
        <v>677.05791722118624</v>
      </c>
      <c r="M32" s="281" cm="1">
        <f t="array" aca="1" ref="M32" ca="1">INDIRECT("'"&amp;$A32&amp;"'!M$21")+J32</f>
        <v>2876.2973804832109</v>
      </c>
      <c r="N32" s="45"/>
      <c r="O32" s="149" cm="1">
        <f t="array" aca="1" ref="O32" ca="1">INDIRECT("'"&amp;$A32&amp;"'!B$16")</f>
        <v>192</v>
      </c>
      <c r="P32" s="149" cm="1">
        <f t="array" aca="1" ref="P32" ca="1">INDIRECT("'"&amp;$A32&amp;"'!C$16")</f>
        <v>0</v>
      </c>
      <c r="Q32" s="149" cm="1">
        <f t="array" aca="1" ref="Q32" ca="1">INDIRECT("'"&amp;$A32&amp;"'!B$18")</f>
        <v>0</v>
      </c>
      <c r="R32" s="149" cm="1">
        <f t="array" aca="1" ref="R32" ca="1">INDIRECT("'"&amp;$A32&amp;"'!C$18")</f>
        <v>0</v>
      </c>
      <c r="S32" s="149" cm="1">
        <f t="array" aca="1" ref="S32" ca="1">INDIRECT("'"&amp;A32&amp;"'!B$17")</f>
        <v>0</v>
      </c>
      <c r="T32" s="149" cm="1">
        <f t="array" aca="1" ref="T32" ca="1">INDIRECT("'"&amp;A32&amp;"'!C$17")</f>
        <v>0</v>
      </c>
      <c r="U32" s="149" cm="1">
        <f t="array" aca="1" ref="U32" ca="1">INDIRECT("'"&amp;A32&amp;"'!B$20")+INDIRECT("'"&amp;A32&amp;"'!C$20")</f>
        <v>0</v>
      </c>
      <c r="V32" s="149" cm="1">
        <f t="array" aca="1" ref="V32" ca="1">INDIRECT("'"&amp;A32&amp;"'!B$19")+INDIRECT("'"&amp;A32&amp;"'!C$19")</f>
        <v>0</v>
      </c>
      <c r="W32" s="45"/>
      <c r="X32" s="284">
        <f ca="1">O32*Constants!$B$6</f>
        <v>9600</v>
      </c>
      <c r="Y32" s="284">
        <f ca="1">P32*Constants!$B$6</f>
        <v>0</v>
      </c>
      <c r="Z32" s="284" cm="1">
        <f t="array" aca="1" ref="Z32" ca="1">INDIRECT("'"&amp;$A32&amp;"'!B$21")</f>
        <v>0</v>
      </c>
      <c r="AA32" s="284" cm="1">
        <f t="array" aca="1" ref="AA32" ca="1">INDIRECT("'"&amp;$A32&amp;"'!C$21")</f>
        <v>0</v>
      </c>
      <c r="AB32" s="284">
        <f ca="1">S32*Constants!$B$8</f>
        <v>0</v>
      </c>
      <c r="AC32" s="284">
        <f ca="1">T32*Constants!$B$8</f>
        <v>0</v>
      </c>
      <c r="AD32" s="284" cm="1">
        <f t="array" aca="1" ref="AD32" ca="1">INDIRECT("'"&amp;A32&amp;"'!B$22")+INDIRECT("'"&amp;A32&amp;"'!C$22")</f>
        <v>0</v>
      </c>
      <c r="AE32" s="149">
        <f ca="1">ROUND(V32/Constants!$B$22,0)</f>
        <v>0</v>
      </c>
      <c r="AF32" s="45"/>
      <c r="AG32" s="149" cm="1">
        <f t="array" aca="1" ref="AG32" ca="1">INDIRECT("'"&amp;A32&amp;"'!E16")</f>
        <v>0</v>
      </c>
      <c r="AH32" s="149" cm="1">
        <f t="array" aca="1" ref="AH32" ca="1">INDIRECT("'"&amp;A32&amp;"'!D16")</f>
        <v>0</v>
      </c>
      <c r="AI32" s="149" cm="1">
        <f t="array" aca="1" ref="AI32" ca="1">INDIRECT("'"&amp;A32&amp;"'!E18")</f>
        <v>0</v>
      </c>
      <c r="AJ32" s="149" cm="1">
        <f t="array" aca="1" ref="AJ32" ca="1">INDIRECT("'"&amp;A32&amp;"'!D18")</f>
        <v>0</v>
      </c>
      <c r="AK32" s="149" cm="1">
        <f t="array" aca="1" ref="AK32" ca="1">INDIRECT("'"&amp;A32&amp;"'!E$17")</f>
        <v>0</v>
      </c>
      <c r="AL32" s="149" cm="1">
        <f t="array" aca="1" ref="AL32" ca="1">INDIRECT("'"&amp;A32&amp;"'!D$17")</f>
        <v>0</v>
      </c>
      <c r="AM32" s="149" cm="1">
        <f t="array" aca="1" ref="AM32" ca="1">INDIRECT("'"&amp;A32&amp;"'!E$20")</f>
        <v>0</v>
      </c>
      <c r="AN32" s="149" cm="1">
        <f t="array" aca="1" ref="AN32" ca="1">INDIRECT("'"&amp;A32&amp;"'!D$20")</f>
        <v>0</v>
      </c>
      <c r="AO32" s="149">
        <f ca="1">SUM(INDIRECT("'"&amp;$A32&amp;"'!F$16"):INDIRECT("'"&amp;$A32&amp;"'!F$20"))</f>
        <v>0</v>
      </c>
      <c r="AP32" s="149" cm="1">
        <f t="array" aca="1" ref="AP32" ca="1">INDIRECT("'"&amp;A32&amp;"'!D$19")+INDIRECT("'"&amp;A32&amp;"'!E$19")</f>
        <v>0</v>
      </c>
      <c r="AQ32" s="45"/>
      <c r="AR32" s="284">
        <f ca="1">AG32*Constants!$B$6</f>
        <v>0</v>
      </c>
      <c r="AS32" s="284">
        <f ca="1">AH32*Constants!$B$6</f>
        <v>0</v>
      </c>
      <c r="AT32" s="284" cm="1">
        <f t="array" aca="1" ref="AT32" ca="1">INDIRECT("'"&amp;$A32&amp;"'!E$21")</f>
        <v>0</v>
      </c>
      <c r="AU32" s="284" cm="1">
        <f t="array" aca="1" ref="AU32" ca="1">INDIRECT("'"&amp;$A32&amp;"'!D$21")</f>
        <v>0</v>
      </c>
      <c r="AV32" s="284">
        <f ca="1">AK32*Constants!$B$8</f>
        <v>0</v>
      </c>
      <c r="AW32" s="284">
        <f ca="1">AL32*Constants!$B$8</f>
        <v>0</v>
      </c>
      <c r="AX32" s="284" cm="1">
        <f t="array" aca="1" ref="AX32" ca="1">INDIRECT("'"&amp;A32&amp;"'!E$22")</f>
        <v>0</v>
      </c>
      <c r="AY32" s="284" cm="1">
        <f t="array" aca="1" ref="AY32" ca="1">INDIRECT("'"&amp;A32&amp;"'!D$22")</f>
        <v>0</v>
      </c>
      <c r="AZ32" s="284" cm="1">
        <f t="array" aca="1" ref="AZ32" ca="1">INDIRECT("'"&amp;$A32&amp;"'!F$23")</f>
        <v>0</v>
      </c>
      <c r="BA32" s="284" cm="1">
        <f t="array" aca="1" ref="BA32" ca="1">INDIRECT("'"&amp;$A32&amp;"'!E$24")</f>
        <v>0</v>
      </c>
      <c r="BB32" s="149">
        <f ca="1">ROUND(AP32/Constants!$B$22,0)</f>
        <v>0</v>
      </c>
      <c r="BC32" s="150">
        <f>'Student Trainers'!G31</f>
        <v>0</v>
      </c>
      <c r="BD32" s="46"/>
      <c r="BE32" s="151" cm="1">
        <f t="array" aca="1" ref="BE32" ca="1">INDIRECT("'"&amp;$A32&amp;"'!H$16")</f>
        <v>168</v>
      </c>
      <c r="BF32" s="151" cm="1">
        <f t="array" aca="1" ref="BF32" ca="1">INDIRECT("'"&amp;$A32&amp;"'!I$16")</f>
        <v>0</v>
      </c>
      <c r="BG32" s="46"/>
      <c r="BH32" s="285" cm="1">
        <f t="array" aca="1" ref="BH32" ca="1">INDIRECT("'"&amp;$A32&amp;"'!H$17")</f>
        <v>5880</v>
      </c>
      <c r="BI32" s="285">
        <f ca="1">BH32*'Total Budget'!D$54/$BH$38</f>
        <v>6345.0304903124224</v>
      </c>
      <c r="BJ32" s="285" cm="1">
        <f t="array" aca="1" ref="BJ32" ca="1">INDIRECT("'"&amp;$A32&amp;"'!I$17")</f>
        <v>0</v>
      </c>
      <c r="BK32" s="285" cm="1">
        <f t="array" aca="1" ref="BK32" ca="1">INDIRECT("'"&amp;$A32&amp;"'!I$19")</f>
        <v>0</v>
      </c>
      <c r="BL32" s="286"/>
      <c r="BM32" s="287" cm="1">
        <f t="array" aca="1" ref="BM32" ca="1">INDIRECT("'"&amp;$A32&amp;"'!J$16")</f>
        <v>240.3</v>
      </c>
      <c r="BN32" s="288" cm="1">
        <f t="array" aca="1" ref="BN32" ca="1">INDIRECT("'"&amp;$A32&amp;"'!K$16")</f>
        <v>0</v>
      </c>
      <c r="BO32" s="16"/>
      <c r="BP32" s="289">
        <f ca="1">BM32+BK32+BI32+SUM(AR32:BA32)+BC32+SUM(X32:AD32)-F32-G32-H32</f>
        <v>15278.370490312423</v>
      </c>
      <c r="BQ32" s="499">
        <f t="shared" ca="1" si="3"/>
        <v>565.86557371527499</v>
      </c>
      <c r="BR32" s="500">
        <f t="shared" ca="1" si="4"/>
        <v>1.7588966680396747</v>
      </c>
      <c r="BS32" s="498">
        <f ca="1">MAX(0, BP32-Constants!B$18*C32*$BQ$38)</f>
        <v>77.279463262024365</v>
      </c>
      <c r="BU32" s="497">
        <f t="shared" ca="1" si="5"/>
        <v>677.05791722118624</v>
      </c>
      <c r="BV32" s="496">
        <f t="shared" ca="1" si="6"/>
        <v>25.07621915634023</v>
      </c>
    </row>
    <row r="33" spans="1:74" ht="14.25" customHeight="1">
      <c r="A33" s="44" t="s">
        <v>143</v>
      </c>
      <c r="B33" s="47">
        <v>6</v>
      </c>
      <c r="C33" s="148">
        <f t="array" aca="1" ref="C33" ca="1">INDIRECT("'"&amp;A33&amp;"'!B$7")</f>
        <v>218</v>
      </c>
      <c r="D33" s="148" t="str">
        <f t="array" aca="1" ref="D33" ca="1">INDIRECT("'"&amp;A33&amp;"'!B$9")</f>
        <v>yes</v>
      </c>
      <c r="E33" s="45"/>
      <c r="F33" s="281" cm="1">
        <f t="array" aca="1" ref="F33" ca="1">INDIRECT("'"&amp;A33&amp;"'!M$15")</f>
        <v>666.66666666666663</v>
      </c>
      <c r="G33" s="281" cm="1">
        <f t="array" aca="1" ref="G33" ca="1">INDIRECT("'"&amp;A33&amp;"'!M$16")</f>
        <v>0</v>
      </c>
      <c r="H33" s="281" cm="1">
        <f t="array" aca="1" ref="H33" ca="1">INDIRECT("'"&amp;$A33&amp;"'!M$17")</f>
        <v>2719.1059999999998</v>
      </c>
      <c r="I33" s="282">
        <f t="shared" ca="1" si="0"/>
        <v>0</v>
      </c>
      <c r="J33" s="282">
        <f t="shared" ca="1" si="7"/>
        <v>0</v>
      </c>
      <c r="K33" s="282">
        <f ca="1">C33*Constants!C$31</f>
        <v>9810</v>
      </c>
      <c r="L33" s="282">
        <f t="shared" ca="1" si="1"/>
        <v>1708.7269804514558</v>
      </c>
      <c r="M33" s="281" cm="1">
        <f t="array" aca="1" ref="M33" ca="1">INDIRECT("'"&amp;$A33&amp;"'!M$21")+J33</f>
        <v>14904.499647118122</v>
      </c>
      <c r="N33" s="45"/>
      <c r="O33" s="149" cm="1">
        <f t="array" aca="1" ref="O33" ca="1">INDIRECT("'"&amp;$A33&amp;"'!B$16")</f>
        <v>0</v>
      </c>
      <c r="P33" s="149" cm="1">
        <f t="array" aca="1" ref="P33" ca="1">INDIRECT("'"&amp;$A33&amp;"'!C$16")</f>
        <v>0</v>
      </c>
      <c r="Q33" s="149" cm="1">
        <f t="array" aca="1" ref="Q33" ca="1">INDIRECT("'"&amp;$A33&amp;"'!B$18")</f>
        <v>100.8</v>
      </c>
      <c r="R33" s="149" cm="1">
        <f t="array" aca="1" ref="R33" ca="1">INDIRECT("'"&amp;$A33&amp;"'!C$18")</f>
        <v>0</v>
      </c>
      <c r="S33" s="149" cm="1">
        <f t="array" aca="1" ref="S33" ca="1">INDIRECT("'"&amp;A33&amp;"'!B$17")</f>
        <v>0</v>
      </c>
      <c r="T33" s="149" cm="1">
        <f t="array" aca="1" ref="T33" ca="1">INDIRECT("'"&amp;A33&amp;"'!C$17")</f>
        <v>0</v>
      </c>
      <c r="U33" s="149" cm="1">
        <f t="array" aca="1" ref="U33" ca="1">INDIRECT("'"&amp;A33&amp;"'!B$20")+INDIRECT("'"&amp;A33&amp;"'!C$20")</f>
        <v>0</v>
      </c>
      <c r="V33" s="149" cm="1">
        <f t="array" aca="1" ref="V33" ca="1">INDIRECT("'"&amp;A33&amp;"'!B$19")+INDIRECT("'"&amp;A33&amp;"'!C$19")</f>
        <v>0</v>
      </c>
      <c r="W33" s="45"/>
      <c r="X33" s="284">
        <f ca="1">O33*Constants!$B$6</f>
        <v>0</v>
      </c>
      <c r="Y33" s="284">
        <f ca="1">P33*Constants!$B$6</f>
        <v>0</v>
      </c>
      <c r="Z33" s="284" cm="1">
        <f t="array" aca="1" ref="Z33" ca="1">INDIRECT("'"&amp;$A33&amp;"'!B$21")</f>
        <v>5040</v>
      </c>
      <c r="AA33" s="284" cm="1">
        <f t="array" aca="1" ref="AA33" ca="1">INDIRECT("'"&amp;$A33&amp;"'!C$21")</f>
        <v>0</v>
      </c>
      <c r="AB33" s="284">
        <f ca="1">S33*Constants!$B$8</f>
        <v>0</v>
      </c>
      <c r="AC33" s="284">
        <f ca="1">T33*Constants!$B$8</f>
        <v>0</v>
      </c>
      <c r="AD33" s="284" cm="1">
        <f t="array" aca="1" ref="AD33" ca="1">INDIRECT("'"&amp;A33&amp;"'!B$22")+INDIRECT("'"&amp;A33&amp;"'!C$22")</f>
        <v>0</v>
      </c>
      <c r="AE33" s="149">
        <f ca="1">ROUND(V33/Constants!$B$22,0)</f>
        <v>0</v>
      </c>
      <c r="AF33" s="45"/>
      <c r="AG33" s="149" cm="1">
        <f t="array" aca="1" ref="AG33" ca="1">INDIRECT("'"&amp;A33&amp;"'!E16")</f>
        <v>0</v>
      </c>
      <c r="AH33" s="149" cm="1">
        <f t="array" aca="1" ref="AH33" ca="1">INDIRECT("'"&amp;A33&amp;"'!D16")</f>
        <v>0</v>
      </c>
      <c r="AI33" s="149" cm="1">
        <f t="array" aca="1" ref="AI33" ca="1">INDIRECT("'"&amp;A33&amp;"'!E18")</f>
        <v>0</v>
      </c>
      <c r="AJ33" s="149" cm="1">
        <f t="array" aca="1" ref="AJ33" ca="1">INDIRECT("'"&amp;A33&amp;"'!D18")</f>
        <v>0</v>
      </c>
      <c r="AK33" s="149" cm="1">
        <f t="array" aca="1" ref="AK33" ca="1">INDIRECT("'"&amp;A33&amp;"'!E$17")</f>
        <v>0</v>
      </c>
      <c r="AL33" s="149" cm="1">
        <f t="array" aca="1" ref="AL33" ca="1">INDIRECT("'"&amp;A33&amp;"'!D$17")</f>
        <v>1268.3999999999999</v>
      </c>
      <c r="AM33" s="149" cm="1">
        <f t="array" aca="1" ref="AM33" ca="1">INDIRECT("'"&amp;A33&amp;"'!E$20")</f>
        <v>0</v>
      </c>
      <c r="AN33" s="149" cm="1">
        <f t="array" aca="1" ref="AN33" ca="1">INDIRECT("'"&amp;A33&amp;"'!D$20")</f>
        <v>0</v>
      </c>
      <c r="AO33" s="149">
        <f ca="1">SUM(INDIRECT("'"&amp;$A33&amp;"'!F$16"):INDIRECT("'"&amp;$A33&amp;"'!F$20"))</f>
        <v>0</v>
      </c>
      <c r="AP33" s="149" cm="1">
        <f t="array" aca="1" ref="AP33" ca="1">INDIRECT("'"&amp;A33&amp;"'!D$19")+INDIRECT("'"&amp;A33&amp;"'!E$19")</f>
        <v>908.80000000000007</v>
      </c>
      <c r="AQ33" s="45"/>
      <c r="AR33" s="284">
        <f ca="1">AG33*Constants!$B$6</f>
        <v>0</v>
      </c>
      <c r="AS33" s="284">
        <f ca="1">AH33*Constants!$B$6</f>
        <v>0</v>
      </c>
      <c r="AT33" s="284" cm="1">
        <f t="array" aca="1" ref="AT33" ca="1">INDIRECT("'"&amp;$A33&amp;"'!E$21")</f>
        <v>0</v>
      </c>
      <c r="AU33" s="284" cm="1">
        <f t="array" aca="1" ref="AU33" ca="1">INDIRECT("'"&amp;$A33&amp;"'!D$21")</f>
        <v>0</v>
      </c>
      <c r="AV33" s="284">
        <f ca="1">AK33*Constants!$B$8</f>
        <v>0</v>
      </c>
      <c r="AW33" s="284">
        <f ca="1">AL33*Constants!$B$8</f>
        <v>6341.9999999999991</v>
      </c>
      <c r="AX33" s="284" cm="1">
        <f t="array" aca="1" ref="AX33" ca="1">INDIRECT("'"&amp;A33&amp;"'!E$22")</f>
        <v>0</v>
      </c>
      <c r="AY33" s="284" cm="1">
        <f t="array" aca="1" ref="AY33" ca="1">INDIRECT("'"&amp;A33&amp;"'!D$22")</f>
        <v>0</v>
      </c>
      <c r="AZ33" s="284" cm="1">
        <f t="array" aca="1" ref="AZ33" ca="1">INDIRECT("'"&amp;$A33&amp;"'!F$23")</f>
        <v>0</v>
      </c>
      <c r="BA33" s="284" cm="1">
        <f t="array" aca="1" ref="BA33" ca="1">INDIRECT("'"&amp;$A33&amp;"'!E$24")</f>
        <v>0</v>
      </c>
      <c r="BB33" s="149">
        <f ca="1">ROUND(AP33/Constants!$B$22,0)</f>
        <v>15</v>
      </c>
      <c r="BC33" s="150">
        <f>'Student Trainers'!G32</f>
        <v>962.5</v>
      </c>
      <c r="BD33" s="46"/>
      <c r="BE33" s="151" cm="1">
        <f t="array" aca="1" ref="BE33" ca="1">INDIRECT("'"&amp;$A33&amp;"'!H$16")</f>
        <v>769</v>
      </c>
      <c r="BF33" s="151" cm="1">
        <f t="array" aca="1" ref="BF33" ca="1">INDIRECT("'"&amp;$A33&amp;"'!I$16")</f>
        <v>0</v>
      </c>
      <c r="BG33" s="46"/>
      <c r="BH33" s="285" cm="1">
        <f t="array" aca="1" ref="BH33" ca="1">INDIRECT("'"&amp;$A33&amp;"'!H$17")</f>
        <v>22912.5</v>
      </c>
      <c r="BI33" s="285">
        <f ca="1">BH33*'Total Budget'!D$54/$BH$38</f>
        <v>24724.576719265882</v>
      </c>
      <c r="BJ33" s="285" cm="1">
        <f t="array" aca="1" ref="BJ33" ca="1">INDIRECT("'"&amp;$A33&amp;"'!I$17")</f>
        <v>0</v>
      </c>
      <c r="BK33" s="285" cm="1">
        <f t="array" aca="1" ref="BK33" ca="1">INDIRECT("'"&amp;$A33&amp;"'!I$19")</f>
        <v>0</v>
      </c>
      <c r="BL33" s="286"/>
      <c r="BM33" s="287" cm="1">
        <f t="array" aca="1" ref="BM33" ca="1">INDIRECT("'"&amp;$A33&amp;"'!J$16")</f>
        <v>4875.53</v>
      </c>
      <c r="BN33" s="288" cm="1">
        <f t="array" aca="1" ref="BN33" ca="1">INDIRECT("'"&amp;$A33&amp;"'!K$16")</f>
        <v>2156.424</v>
      </c>
      <c r="BO33" s="16"/>
      <c r="BP33" s="289">
        <f t="shared" ca="1" si="2"/>
        <v>38558.834052599217</v>
      </c>
      <c r="BQ33" s="499">
        <f t="shared" ca="1" si="3"/>
        <v>176.87538556238172</v>
      </c>
      <c r="BR33" s="500">
        <f t="shared" ca="1" si="4"/>
        <v>0.54978698258898517</v>
      </c>
      <c r="BS33" s="498">
        <f ca="1">MAX(0, BP33-Constants!B$18*C33*$BQ$38)</f>
        <v>0</v>
      </c>
      <c r="BU33" s="497">
        <f t="shared" ca="1" si="5"/>
        <v>1708.7269804514558</v>
      </c>
      <c r="BV33" s="496">
        <f t="shared" ca="1" si="6"/>
        <v>7.8381971580342009</v>
      </c>
    </row>
    <row r="34" spans="1:74" ht="14.25" customHeight="1">
      <c r="A34" s="44" t="s">
        <v>79</v>
      </c>
      <c r="B34" s="47">
        <v>4</v>
      </c>
      <c r="C34" s="148">
        <f t="array" aca="1" ref="C34" ca="1">INDIRECT("'"&amp;A34&amp;"'!B$7")</f>
        <v>36</v>
      </c>
      <c r="D34" s="148" t="str">
        <f t="array" aca="1" ref="D34" ca="1">INDIRECT("'"&amp;A34&amp;"'!B$9")</f>
        <v>yes</v>
      </c>
      <c r="E34" s="45"/>
      <c r="F34" s="281" cm="1">
        <f t="array" aca="1" ref="F34" ca="1">INDIRECT("'"&amp;A34&amp;"'!M$15")</f>
        <v>0</v>
      </c>
      <c r="G34" s="281" cm="1">
        <f t="array" aca="1" ref="G34" ca="1">INDIRECT("'"&amp;A34&amp;"'!M$16")</f>
        <v>0</v>
      </c>
      <c r="H34" s="281" cm="1">
        <f t="array" aca="1" ref="H34" ca="1">INDIRECT("'"&amp;$A34&amp;"'!M$17")</f>
        <v>133.33333333333334</v>
      </c>
      <c r="I34" s="282">
        <f t="shared" ca="1" si="0"/>
        <v>0</v>
      </c>
      <c r="J34" s="282">
        <f t="shared" ca="1" si="7"/>
        <v>0</v>
      </c>
      <c r="K34" s="282">
        <f ca="1">C34*Constants!C$31</f>
        <v>1620</v>
      </c>
      <c r="L34" s="282">
        <f t="shared" ca="1" si="1"/>
        <v>576.07657247036229</v>
      </c>
      <c r="M34" s="281" cm="1">
        <f t="array" aca="1" ref="M34" ca="1">INDIRECT("'"&amp;$A34&amp;"'!M$21")+J34</f>
        <v>2329.4099058036959</v>
      </c>
      <c r="N34" s="45"/>
      <c r="O34" s="149" cm="1">
        <f t="array" aca="1" ref="O34" ca="1">INDIRECT("'"&amp;$A34&amp;"'!B$16")</f>
        <v>0</v>
      </c>
      <c r="P34" s="149" cm="1">
        <f t="array" aca="1" ref="P34" ca="1">INDIRECT("'"&amp;$A34&amp;"'!C$16")</f>
        <v>0</v>
      </c>
      <c r="Q34" s="149" cm="1">
        <f t="array" aca="1" ref="Q34" ca="1">INDIRECT("'"&amp;$A34&amp;"'!B$18")</f>
        <v>0</v>
      </c>
      <c r="R34" s="149" cm="1">
        <f t="array" aca="1" ref="R34" ca="1">INDIRECT("'"&amp;$A34&amp;"'!C$18")</f>
        <v>0</v>
      </c>
      <c r="S34" s="149" cm="1">
        <f t="array" aca="1" ref="S34" ca="1">INDIRECT("'"&amp;A34&amp;"'!B$17")</f>
        <v>73.5</v>
      </c>
      <c r="T34" s="149" cm="1">
        <f t="array" aca="1" ref="T34" ca="1">INDIRECT("'"&amp;A34&amp;"'!C$17")</f>
        <v>66</v>
      </c>
      <c r="U34" s="149" cm="1">
        <f t="array" aca="1" ref="U34" ca="1">INDIRECT("'"&amp;A34&amp;"'!B$20")+INDIRECT("'"&amp;A34&amp;"'!C$20")</f>
        <v>0</v>
      </c>
      <c r="V34" s="149" cm="1">
        <f t="array" aca="1" ref="V34" ca="1">INDIRECT("'"&amp;A34&amp;"'!B$19")+INDIRECT("'"&amp;A34&amp;"'!C$19")</f>
        <v>0</v>
      </c>
      <c r="W34" s="45"/>
      <c r="X34" s="284">
        <f ca="1">O34*Constants!$B$6</f>
        <v>0</v>
      </c>
      <c r="Y34" s="284">
        <f ca="1">P34*Constants!$B$6</f>
        <v>0</v>
      </c>
      <c r="Z34" s="284" cm="1">
        <f t="array" aca="1" ref="Z34" ca="1">INDIRECT("'"&amp;$A34&amp;"'!B$21")</f>
        <v>0</v>
      </c>
      <c r="AA34" s="284" cm="1">
        <f t="array" aca="1" ref="AA34" ca="1">INDIRECT("'"&amp;$A34&amp;"'!C$21")</f>
        <v>0</v>
      </c>
      <c r="AB34" s="284">
        <f ca="1">S34*Constants!$B$8</f>
        <v>367.5</v>
      </c>
      <c r="AC34" s="284">
        <f ca="1">T34*Constants!$B$8</f>
        <v>330</v>
      </c>
      <c r="AD34" s="284" cm="1">
        <f t="array" aca="1" ref="AD34" ca="1">INDIRECT("'"&amp;A34&amp;"'!B$22")+INDIRECT("'"&amp;A34&amp;"'!C$22")</f>
        <v>0</v>
      </c>
      <c r="AE34" s="149">
        <f ca="1">ROUND(V34/Constants!$B$22,0)</f>
        <v>0</v>
      </c>
      <c r="AF34" s="45"/>
      <c r="AG34" s="149" cm="1">
        <f t="array" aca="1" ref="AG34" ca="1">INDIRECT("'"&amp;A34&amp;"'!E16")</f>
        <v>0</v>
      </c>
      <c r="AH34" s="149" cm="1">
        <f t="array" aca="1" ref="AH34" ca="1">INDIRECT("'"&amp;A34&amp;"'!D16")</f>
        <v>0</v>
      </c>
      <c r="AI34" s="149" cm="1">
        <f t="array" aca="1" ref="AI34" ca="1">INDIRECT("'"&amp;A34&amp;"'!E18")</f>
        <v>0</v>
      </c>
      <c r="AJ34" s="149" cm="1">
        <f t="array" aca="1" ref="AJ34" ca="1">INDIRECT("'"&amp;A34&amp;"'!D18")</f>
        <v>0</v>
      </c>
      <c r="AK34" s="149" cm="1">
        <f t="array" aca="1" ref="AK34" ca="1">INDIRECT("'"&amp;A34&amp;"'!E$17")</f>
        <v>0</v>
      </c>
      <c r="AL34" s="149" cm="1">
        <f t="array" aca="1" ref="AL34" ca="1">INDIRECT("'"&amp;A34&amp;"'!D$17")</f>
        <v>0</v>
      </c>
      <c r="AM34" s="149" cm="1">
        <f t="array" aca="1" ref="AM34" ca="1">INDIRECT("'"&amp;A34&amp;"'!E$20")</f>
        <v>0</v>
      </c>
      <c r="AN34" s="149" cm="1">
        <f t="array" aca="1" ref="AN34" ca="1">INDIRECT("'"&amp;A34&amp;"'!D$20")</f>
        <v>0</v>
      </c>
      <c r="AO34" s="149">
        <f ca="1">SUM(INDIRECT("'"&amp;$A34&amp;"'!F$16"):INDIRECT("'"&amp;$A34&amp;"'!F$20"))</f>
        <v>0</v>
      </c>
      <c r="AP34" s="149" cm="1">
        <f t="array" aca="1" ref="AP34" ca="1">INDIRECT("'"&amp;A34&amp;"'!D$19")+INDIRECT("'"&amp;A34&amp;"'!E$19")</f>
        <v>126</v>
      </c>
      <c r="AQ34" s="45"/>
      <c r="AR34" s="284">
        <f ca="1">AG34*Constants!$B$6</f>
        <v>0</v>
      </c>
      <c r="AS34" s="284">
        <f ca="1">AH34*Constants!$B$6</f>
        <v>0</v>
      </c>
      <c r="AT34" s="284" cm="1">
        <f t="array" aca="1" ref="AT34" ca="1">INDIRECT("'"&amp;$A34&amp;"'!E$21")</f>
        <v>0</v>
      </c>
      <c r="AU34" s="284" cm="1">
        <f t="array" aca="1" ref="AU34" ca="1">INDIRECT("'"&amp;$A34&amp;"'!D$21")</f>
        <v>0</v>
      </c>
      <c r="AV34" s="284">
        <f ca="1">AK34*Constants!$B$8</f>
        <v>0</v>
      </c>
      <c r="AW34" s="284">
        <f ca="1">AL34*Constants!$B$8</f>
        <v>0</v>
      </c>
      <c r="AX34" s="284" cm="1">
        <f t="array" aca="1" ref="AX34" ca="1">INDIRECT("'"&amp;A34&amp;"'!E$22")</f>
        <v>0</v>
      </c>
      <c r="AY34" s="284" cm="1">
        <f t="array" aca="1" ref="AY34" ca="1">INDIRECT("'"&amp;A34&amp;"'!D$22")</f>
        <v>0</v>
      </c>
      <c r="AZ34" s="284" cm="1">
        <f t="array" aca="1" ref="AZ34" ca="1">INDIRECT("'"&amp;$A34&amp;"'!F$23")</f>
        <v>0</v>
      </c>
      <c r="BA34" s="284" cm="1">
        <f t="array" aca="1" ref="BA34" ca="1">INDIRECT("'"&amp;$A34&amp;"'!E$24")</f>
        <v>0</v>
      </c>
      <c r="BB34" s="149">
        <f ca="1">ROUND(AP34/Constants!$B$22,0)</f>
        <v>2</v>
      </c>
      <c r="BC34" s="150">
        <f>'Student Trainers'!G33</f>
        <v>300</v>
      </c>
      <c r="BD34" s="46"/>
      <c r="BE34" s="151" cm="1">
        <f t="array" aca="1" ref="BE34" ca="1">INDIRECT("'"&amp;$A34&amp;"'!H$16")</f>
        <v>168</v>
      </c>
      <c r="BF34" s="151" cm="1">
        <f t="array" aca="1" ref="BF34" ca="1">INDIRECT("'"&amp;$A34&amp;"'!I$16")</f>
        <v>0</v>
      </c>
      <c r="BG34" s="46"/>
      <c r="BH34" s="285" cm="1">
        <f t="array" aca="1" ref="BH34" ca="1">INDIRECT("'"&amp;$A34&amp;"'!H$17")</f>
        <v>11122.5</v>
      </c>
      <c r="BI34" s="285">
        <f ca="1">BH34*'Total Budget'!D$54/$BH$38</f>
        <v>12002.143134098627</v>
      </c>
      <c r="BJ34" s="285" cm="1">
        <f t="array" aca="1" ref="BJ34" ca="1">INDIRECT("'"&amp;$A34&amp;"'!I$17")</f>
        <v>0</v>
      </c>
      <c r="BK34" s="285" cm="1">
        <f t="array" aca="1" ref="BK34" ca="1">INDIRECT("'"&amp;$A34&amp;"'!I$19")</f>
        <v>0</v>
      </c>
      <c r="BL34" s="286"/>
      <c r="BM34" s="287" cm="1">
        <f t="array" aca="1" ref="BM34" ca="1">INDIRECT("'"&amp;$A34&amp;"'!J$16")</f>
        <v>133.33333333333334</v>
      </c>
      <c r="BN34" s="288" cm="1">
        <f t="array" aca="1" ref="BN34" ca="1">INDIRECT("'"&amp;$A34&amp;"'!K$16")</f>
        <v>0</v>
      </c>
      <c r="BO34" s="16"/>
      <c r="BP34" s="289">
        <f t="shared" ca="1" si="2"/>
        <v>12999.643134098627</v>
      </c>
      <c r="BQ34" s="499">
        <f t="shared" ca="1" si="3"/>
        <v>361.1011981694063</v>
      </c>
      <c r="BR34" s="500">
        <f t="shared" ca="1" si="4"/>
        <v>1.1224215145572445</v>
      </c>
      <c r="BS34" s="498">
        <f ca="1">MAX(0, BP34-Constants!B$18*C34*$BQ$38)</f>
        <v>0</v>
      </c>
      <c r="BU34" s="497">
        <f t="shared" ca="1" si="5"/>
        <v>576.07657247036229</v>
      </c>
      <c r="BV34" s="496">
        <f t="shared" ca="1" si="6"/>
        <v>16.002127013065618</v>
      </c>
    </row>
    <row r="35" spans="1:74" ht="14.25" customHeight="1">
      <c r="A35" s="44" t="s">
        <v>81</v>
      </c>
      <c r="B35" s="48">
        <v>2</v>
      </c>
      <c r="C35" s="148">
        <f t="array" aca="1" ref="C35" ca="1">INDIRECT("'"&amp;A35&amp;"'!B$7")</f>
        <v>228</v>
      </c>
      <c r="D35" s="148" t="str">
        <f t="array" aca="1" ref="D35" ca="1">INDIRECT("'"&amp;A35&amp;"'!B$9")</f>
        <v>yes</v>
      </c>
      <c r="E35" s="45"/>
      <c r="F35" s="281" cm="1">
        <f t="array" aca="1" ref="F35" ca="1">INDIRECT("'"&amp;A35&amp;"'!M$15")</f>
        <v>5000</v>
      </c>
      <c r="G35" s="281" cm="1">
        <f t="array" aca="1" ref="G35" ca="1">INDIRECT("'"&amp;A35&amp;"'!M$16")</f>
        <v>0</v>
      </c>
      <c r="H35" s="281" cm="1">
        <f t="array" aca="1" ref="H35" ca="1">INDIRECT("'"&amp;$A35&amp;"'!M$17")</f>
        <v>0</v>
      </c>
      <c r="I35" s="282">
        <f t="shared" ca="1" si="0"/>
        <v>0</v>
      </c>
      <c r="J35" s="282">
        <f t="shared" ca="1" si="7"/>
        <v>0</v>
      </c>
      <c r="K35" s="282">
        <f ca="1">C35*Constants!C$31</f>
        <v>10260</v>
      </c>
      <c r="L35" s="282">
        <f t="shared" ca="1" si="1"/>
        <v>5143.9404002830461</v>
      </c>
      <c r="M35" s="281" cm="1">
        <f t="array" aca="1" ref="M35" ca="1">INDIRECT("'"&amp;$A35&amp;"'!M$21")+J35</f>
        <v>20403.940400283045</v>
      </c>
      <c r="N35" s="45"/>
      <c r="O35" s="149" cm="1">
        <f t="array" aca="1" ref="O35" ca="1">INDIRECT("'"&amp;$A35&amp;"'!B$16")</f>
        <v>378</v>
      </c>
      <c r="P35" s="149" cm="1">
        <f t="array" aca="1" ref="P35" ca="1">INDIRECT("'"&amp;$A35&amp;"'!C$16")</f>
        <v>180</v>
      </c>
      <c r="Q35" s="149" cm="1">
        <f t="array" aca="1" ref="Q35" ca="1">INDIRECT("'"&amp;$A35&amp;"'!B$18")</f>
        <v>151.19999999999999</v>
      </c>
      <c r="R35" s="149" cm="1">
        <f t="array" aca="1" ref="R35" ca="1">INDIRECT("'"&amp;$A35&amp;"'!C$18")</f>
        <v>66</v>
      </c>
      <c r="S35" s="149" cm="1">
        <f t="array" aca="1" ref="S35" ca="1">INDIRECT("'"&amp;A35&amp;"'!B$17")</f>
        <v>0</v>
      </c>
      <c r="T35" s="149" cm="1">
        <f t="array" aca="1" ref="T35" ca="1">INDIRECT("'"&amp;A35&amp;"'!C$17")</f>
        <v>0</v>
      </c>
      <c r="U35" s="149" cm="1">
        <f t="array" aca="1" ref="U35" ca="1">INDIRECT("'"&amp;A35&amp;"'!B$20")+INDIRECT("'"&amp;A35&amp;"'!C$20")</f>
        <v>0</v>
      </c>
      <c r="V35" s="149" cm="1">
        <f t="array" aca="1" ref="V35" ca="1">INDIRECT("'"&amp;A35&amp;"'!B$19")+INDIRECT("'"&amp;A35&amp;"'!C$19")</f>
        <v>63</v>
      </c>
      <c r="W35" s="45"/>
      <c r="X35" s="284">
        <f ca="1">O35*Constants!$B$6</f>
        <v>18900</v>
      </c>
      <c r="Y35" s="284">
        <f ca="1">P35*Constants!$B$6</f>
        <v>9000</v>
      </c>
      <c r="Z35" s="284" cm="1">
        <f t="array" aca="1" ref="Z35" ca="1">INDIRECT("'"&amp;$A35&amp;"'!B$21")</f>
        <v>6220.3680000000004</v>
      </c>
      <c r="AA35" s="284" cm="1">
        <f t="array" aca="1" ref="AA35" ca="1">INDIRECT("'"&amp;$A35&amp;"'!C$21")</f>
        <v>2715.2400000000002</v>
      </c>
      <c r="AB35" s="284">
        <f ca="1">S35*Constants!$B$8</f>
        <v>0</v>
      </c>
      <c r="AC35" s="284">
        <f ca="1">T35*Constants!$B$8</f>
        <v>0</v>
      </c>
      <c r="AD35" s="284" cm="1">
        <f t="array" aca="1" ref="AD35" ca="1">INDIRECT("'"&amp;A35&amp;"'!B$22")+INDIRECT("'"&amp;A35&amp;"'!C$22")</f>
        <v>0</v>
      </c>
      <c r="AE35" s="149">
        <f ca="1">ROUND(V35/Constants!$B$22,0)</f>
        <v>1</v>
      </c>
      <c r="AF35" s="45"/>
      <c r="AG35" s="149" cm="1">
        <f t="array" aca="1" ref="AG35" ca="1">INDIRECT("'"&amp;A35&amp;"'!E16")</f>
        <v>0</v>
      </c>
      <c r="AH35" s="149" cm="1">
        <f t="array" aca="1" ref="AH35" ca="1">INDIRECT("'"&amp;A35&amp;"'!D16")</f>
        <v>0</v>
      </c>
      <c r="AI35" s="149" cm="1">
        <f t="array" aca="1" ref="AI35" ca="1">INDIRECT("'"&amp;A35&amp;"'!E18")</f>
        <v>0</v>
      </c>
      <c r="AJ35" s="149" cm="1">
        <f t="array" aca="1" ref="AJ35" ca="1">INDIRECT("'"&amp;A35&amp;"'!D18")</f>
        <v>0</v>
      </c>
      <c r="AK35" s="149" cm="1">
        <f t="array" aca="1" ref="AK35" ca="1">INDIRECT("'"&amp;A35&amp;"'!E$17")</f>
        <v>0</v>
      </c>
      <c r="AL35" s="149" cm="1">
        <f t="array" aca="1" ref="AL35" ca="1">INDIRECT("'"&amp;A35&amp;"'!D$17")</f>
        <v>0</v>
      </c>
      <c r="AM35" s="149" cm="1">
        <f t="array" aca="1" ref="AM35" ca="1">INDIRECT("'"&amp;A35&amp;"'!E$20")</f>
        <v>0</v>
      </c>
      <c r="AN35" s="149" cm="1">
        <f t="array" aca="1" ref="AN35" ca="1">INDIRECT("'"&amp;A35&amp;"'!D$20")</f>
        <v>0</v>
      </c>
      <c r="AO35" s="149">
        <f ca="1">SUM(INDIRECT("'"&amp;$A35&amp;"'!F$16"):INDIRECT("'"&amp;$A35&amp;"'!F$20"))</f>
        <v>100.8</v>
      </c>
      <c r="AP35" s="149" cm="1">
        <f t="array" aca="1" ref="AP35" ca="1">INDIRECT("'"&amp;A35&amp;"'!D$19")+INDIRECT("'"&amp;A35&amp;"'!E$19")</f>
        <v>1119</v>
      </c>
      <c r="AQ35" s="45"/>
      <c r="AR35" s="284">
        <f ca="1">AG35*Constants!$B$6</f>
        <v>0</v>
      </c>
      <c r="AS35" s="284">
        <f ca="1">AH35*Constants!$B$6</f>
        <v>0</v>
      </c>
      <c r="AT35" s="284" cm="1">
        <f t="array" aca="1" ref="AT35" ca="1">INDIRECT("'"&amp;$A35&amp;"'!E$21")</f>
        <v>0</v>
      </c>
      <c r="AU35" s="284" cm="1">
        <f t="array" aca="1" ref="AU35" ca="1">INDIRECT("'"&amp;$A35&amp;"'!D$21")</f>
        <v>0</v>
      </c>
      <c r="AV35" s="284">
        <f ca="1">AK35*Constants!$B$8</f>
        <v>0</v>
      </c>
      <c r="AW35" s="284">
        <f ca="1">AL35*Constants!$B$8</f>
        <v>0</v>
      </c>
      <c r="AX35" s="284" cm="1">
        <f t="array" aca="1" ref="AX35" ca="1">INDIRECT("'"&amp;A35&amp;"'!E$22")</f>
        <v>0</v>
      </c>
      <c r="AY35" s="284" cm="1">
        <f t="array" aca="1" ref="AY35" ca="1">INDIRECT("'"&amp;A35&amp;"'!D$22")</f>
        <v>0</v>
      </c>
      <c r="AZ35" s="284" cm="1">
        <f t="array" aca="1" ref="AZ35" ca="1">INDIRECT("'"&amp;$A35&amp;"'!F$23")</f>
        <v>4200</v>
      </c>
      <c r="BA35" s="284" cm="1">
        <f t="array" aca="1" ref="BA35" ca="1">INDIRECT("'"&amp;$A35&amp;"'!E$24")</f>
        <v>0</v>
      </c>
      <c r="BB35" s="149">
        <f ca="1">ROUND(AP35/Constants!$B$22,0)</f>
        <v>19</v>
      </c>
      <c r="BC35" s="150">
        <f>'Student Trainers'!G34</f>
        <v>575</v>
      </c>
      <c r="BD35" s="46"/>
      <c r="BE35" s="151" cm="1">
        <f t="array" aca="1" ref="BE35" ca="1">INDIRECT("'"&amp;$A35&amp;"'!H$16")</f>
        <v>998.5</v>
      </c>
      <c r="BF35" s="151" cm="1">
        <f t="array" aca="1" ref="BF35" ca="1">INDIRECT("'"&amp;$A35&amp;"'!I$16")</f>
        <v>0</v>
      </c>
      <c r="BG35" s="46"/>
      <c r="BH35" s="285" cm="1">
        <f t="array" aca="1" ref="BH35" ca="1">INDIRECT("'"&amp;$A35&amp;"'!H$17")</f>
        <v>73642.5</v>
      </c>
      <c r="BI35" s="285">
        <f ca="1">BH35*'Total Budget'!D$54/$BH$38</f>
        <v>79466.651000481739</v>
      </c>
      <c r="BJ35" s="285" cm="1">
        <f t="array" aca="1" ref="BJ35" ca="1">INDIRECT("'"&amp;$A35&amp;"'!I$17")</f>
        <v>0</v>
      </c>
      <c r="BK35" s="285" cm="1">
        <f t="array" aca="1" ref="BK35" ca="1">INDIRECT("'"&amp;$A35&amp;"'!I$19")</f>
        <v>0</v>
      </c>
      <c r="BL35" s="286"/>
      <c r="BM35" s="287" cm="1">
        <f t="array" aca="1" ref="BM35" ca="1">INDIRECT("'"&amp;$A35&amp;"'!J$16")</f>
        <v>0</v>
      </c>
      <c r="BN35" s="288" cm="1">
        <f t="array" aca="1" ref="BN35" ca="1">INDIRECT("'"&amp;$A35&amp;"'!K$16")</f>
        <v>0</v>
      </c>
      <c r="BO35" s="16"/>
      <c r="BP35" s="289">
        <f t="shared" ca="1" si="2"/>
        <v>116077.25900048175</v>
      </c>
      <c r="BQ35" s="499">
        <f t="shared" ca="1" si="3"/>
        <v>509.11078508983223</v>
      </c>
      <c r="BR35" s="500">
        <f ca="1">BQ35/$BQ$38</f>
        <v>1.5824840830627056</v>
      </c>
      <c r="BS35" s="498">
        <f ca="1">MAX(0, BP35-Constants!B$18*C35*$BQ$38)</f>
        <v>0</v>
      </c>
      <c r="BU35" s="497">
        <f ca="1">BP35*BT$48</f>
        <v>5143.9404002830461</v>
      </c>
      <c r="BV35" s="496">
        <f t="shared" ca="1" si="6"/>
        <v>22.561142106504587</v>
      </c>
    </row>
    <row r="36" spans="1:74" ht="14.25" customHeight="1">
      <c r="A36" s="16"/>
      <c r="B36" s="16"/>
      <c r="C36" s="16"/>
      <c r="D36" s="16"/>
      <c r="E36" s="16"/>
      <c r="F36" s="283"/>
      <c r="G36" s="283"/>
      <c r="H36" s="283"/>
      <c r="I36" s="283"/>
      <c r="J36" s="283"/>
      <c r="K36" s="283"/>
      <c r="L36" s="283"/>
      <c r="M36" s="283"/>
      <c r="N36" s="16"/>
      <c r="O36" s="16"/>
      <c r="P36" s="16"/>
      <c r="Q36" s="16"/>
      <c r="R36" s="16"/>
      <c r="S36" s="16"/>
      <c r="T36" s="16"/>
      <c r="U36" s="16"/>
      <c r="V36" s="16"/>
      <c r="W36" s="16"/>
      <c r="X36" s="283"/>
      <c r="Y36" s="283"/>
      <c r="Z36" s="283"/>
      <c r="AA36" s="283"/>
      <c r="AB36" s="283"/>
      <c r="AC36" s="283"/>
      <c r="AD36" s="283"/>
      <c r="AE36" s="16"/>
      <c r="AF36" s="16"/>
      <c r="AG36" s="16"/>
      <c r="AH36" s="16"/>
      <c r="AI36" s="16"/>
      <c r="AJ36" s="16"/>
      <c r="AK36" s="16"/>
      <c r="AL36" s="16"/>
      <c r="AM36" s="16"/>
      <c r="AN36" s="16"/>
      <c r="AO36" s="16"/>
      <c r="AP36" s="16"/>
      <c r="AQ36" s="16"/>
      <c r="AR36" s="283"/>
      <c r="AS36" s="283"/>
      <c r="AT36" s="283"/>
      <c r="AU36" s="283"/>
      <c r="AV36" s="283"/>
      <c r="AW36" s="283"/>
      <c r="AX36" s="283"/>
      <c r="AY36" s="283"/>
      <c r="AZ36" s="283"/>
      <c r="BA36" s="283"/>
      <c r="BB36" s="16"/>
      <c r="BC36" s="49"/>
      <c r="BD36" s="16"/>
      <c r="BE36" s="16"/>
      <c r="BF36" s="16"/>
      <c r="BG36" s="16"/>
      <c r="BH36" s="283"/>
      <c r="BI36" s="283"/>
      <c r="BJ36" s="283"/>
      <c r="BK36" s="283"/>
      <c r="BL36" s="283"/>
      <c r="BM36" s="283"/>
      <c r="BN36" s="283"/>
      <c r="BO36" s="16"/>
      <c r="BP36" s="283"/>
      <c r="BQ36" s="283"/>
      <c r="BR36" s="16"/>
      <c r="BS36" s="283"/>
    </row>
    <row r="37" spans="1:74" ht="14.25" customHeight="1" thickBot="1">
      <c r="A37" s="15"/>
      <c r="B37" s="50"/>
      <c r="C37" s="51"/>
      <c r="D37" s="16"/>
      <c r="E37" s="16"/>
      <c r="F37" s="283"/>
      <c r="G37" s="283"/>
      <c r="H37" s="283"/>
      <c r="I37" s="283"/>
      <c r="J37" s="283"/>
      <c r="K37" s="283"/>
      <c r="L37" s="283"/>
      <c r="M37" s="283"/>
      <c r="N37" s="16"/>
      <c r="O37" s="52"/>
      <c r="P37" s="52"/>
      <c r="Q37" s="52"/>
      <c r="R37" s="52"/>
      <c r="S37" s="52"/>
      <c r="T37" s="52"/>
      <c r="U37" s="52"/>
      <c r="V37" s="52"/>
      <c r="W37" s="16"/>
      <c r="X37" s="283"/>
      <c r="Y37" s="283"/>
      <c r="Z37" s="283"/>
      <c r="AA37" s="283"/>
      <c r="AB37" s="283"/>
      <c r="AC37" s="283"/>
      <c r="AD37" s="283"/>
      <c r="AE37" s="52"/>
      <c r="AF37" s="16"/>
      <c r="AG37" s="52"/>
      <c r="AH37" s="52"/>
      <c r="AI37" s="52"/>
      <c r="AJ37" s="52"/>
      <c r="AK37" s="52"/>
      <c r="AL37" s="52"/>
      <c r="AM37" s="52"/>
      <c r="AN37" s="52"/>
      <c r="AO37" s="52"/>
      <c r="AP37" s="52"/>
      <c r="AQ37" s="16"/>
      <c r="AR37" s="283"/>
      <c r="AS37" s="283"/>
      <c r="AT37" s="283"/>
      <c r="AU37" s="283"/>
      <c r="AV37" s="283"/>
      <c r="AW37" s="283"/>
      <c r="AX37" s="283"/>
      <c r="AY37" s="283"/>
      <c r="AZ37" s="283"/>
      <c r="BA37" s="283"/>
      <c r="BB37" s="52"/>
      <c r="BC37" s="49"/>
      <c r="BD37" s="16"/>
      <c r="BE37" s="16"/>
      <c r="BF37" s="16"/>
      <c r="BG37" s="16"/>
      <c r="BH37" s="283"/>
      <c r="BI37" s="283"/>
      <c r="BJ37" s="283"/>
      <c r="BK37" s="283"/>
      <c r="BL37" s="283"/>
      <c r="BM37" s="283"/>
      <c r="BN37" s="283"/>
      <c r="BO37" s="16"/>
      <c r="BP37" s="283"/>
      <c r="BQ37" s="283"/>
      <c r="BR37" s="16"/>
      <c r="BS37" s="283"/>
    </row>
    <row r="38" spans="1:74" ht="14.25" customHeight="1" thickBot="1">
      <c r="A38" s="522" t="s">
        <v>400</v>
      </c>
      <c r="B38" s="523"/>
      <c r="C38" s="524">
        <f t="array" aca="1" ref="C38" ca="1">SUM(IF(ISNUMBER(C3:C35),C3:C35,0))</f>
        <v>3797</v>
      </c>
      <c r="D38" s="525"/>
      <c r="E38" s="525"/>
      <c r="F38" s="526">
        <f t="array" aca="1" ref="F38" ca="1">SUM(IF(ISNUMBER(F3:F35),F3:F35,0))</f>
        <v>50791.659999999996</v>
      </c>
      <c r="G38" s="526">
        <f t="array" aca="1" ref="G38" ca="1">SUM(IF(ISNUMBER(G3:G35),G3:G35,0))</f>
        <v>420</v>
      </c>
      <c r="H38" s="526">
        <f t="array" aca="1" ref="H38" ca="1">SUM(IF(ISNUMBER(H3:H35),H3:H35,0))</f>
        <v>95729.909473809545</v>
      </c>
      <c r="I38" s="526">
        <f t="array" aca="1" ref="I38" ca="1">SUM(IF(ISNUMBER(I3:I35),I3:I35,0))</f>
        <v>34368</v>
      </c>
      <c r="J38" s="526">
        <f t="array" aca="1" ref="J38" ca="1">SUM(IF(ISNUMBER(J3:J35),J3:J35,0))</f>
        <v>77.279463262024365</v>
      </c>
      <c r="K38" s="526">
        <f t="array" aca="1" ref="K38" ca="1">SUM(IF(ISNUMBER(K3:K35),K3:K35,0))</f>
        <v>170865</v>
      </c>
      <c r="L38" s="526">
        <f t="array" aca="1" ref="L38" ca="1">SUM(IF(ISNUMBER(L3:L35),L3:L35,0))</f>
        <v>56595.855965309296</v>
      </c>
      <c r="M38" s="526">
        <f t="array" aca="1" ref="M38" ca="1">SUM(IF(ISNUMBER(M3:M35),M3:M35,0))</f>
        <v>391570.66497817333</v>
      </c>
      <c r="N38" s="525">
        <f t="array" ref="N38">SUM(IF(ISNUMBER(N3:N35),N3:N35,0))</f>
        <v>0</v>
      </c>
      <c r="O38" s="525">
        <f t="array" aca="1" ref="O38" ca="1">SUM(IF(ISNUMBER(O3:O35),O3:O35,0))</f>
        <v>3381</v>
      </c>
      <c r="P38" s="525">
        <f t="array" aca="1" ref="P38" ca="1">SUM(IF(ISNUMBER(P3:P35),P3:P35,0))</f>
        <v>1107</v>
      </c>
      <c r="Q38" s="525">
        <f t="array" aca="1" ref="Q38" ca="1">SUM(IF(ISNUMBER(Q3:Q35),Q3:Q35,0))</f>
        <v>1152</v>
      </c>
      <c r="R38" s="525">
        <f t="array" aca="1" ref="R38" ca="1">SUM(IF(ISNUMBER(R3:R35),R3:R35,0))</f>
        <v>141</v>
      </c>
      <c r="S38" s="525">
        <f t="array" aca="1" ref="S38" ca="1">SUM(IF(ISNUMBER(S3:S35),S3:S35,0))</f>
        <v>1654.1</v>
      </c>
      <c r="T38" s="525">
        <f t="array" aca="1" ref="T38" ca="1">SUM(IF(ISNUMBER(T3:T35),T3:T35,0))</f>
        <v>166</v>
      </c>
      <c r="U38" s="525">
        <f t="array" aca="1" ref="U38" ca="1">SUM(IF(ISNUMBER(U3:U35),U3:U35,0))</f>
        <v>0</v>
      </c>
      <c r="V38" s="525">
        <f t="array" aca="1" ref="V38" ca="1">SUM(IF(ISNUMBER(V3:V35),V3:V35,0))</f>
        <v>4336.5</v>
      </c>
      <c r="W38" s="525">
        <f t="array" ref="W38">SUM(IF(ISNUMBER(W3:W35),W3:W35,0))</f>
        <v>0</v>
      </c>
      <c r="X38" s="526">
        <f t="array" aca="1" ref="X38" ca="1">SUM(IF(ISNUMBER(X3:X35),X3:X35,0))</f>
        <v>169050</v>
      </c>
      <c r="Y38" s="526">
        <f t="array" aca="1" ref="Y38" ca="1">SUM(IF(ISNUMBER(Y3:Y35),Y3:Y35,0))</f>
        <v>55350</v>
      </c>
      <c r="Z38" s="526">
        <f t="array" aca="1" ref="Z38" ca="1">SUM(IF(ISNUMBER(Z3:Z35),Z3:Z35,0))</f>
        <v>56260.368000000002</v>
      </c>
      <c r="AA38" s="526">
        <f t="array" aca="1" ref="AA38" ca="1">SUM(IF(ISNUMBER(AA3:AA35),AA3:AA35,0))</f>
        <v>6465.24</v>
      </c>
      <c r="AB38" s="526">
        <f t="array" aca="1" ref="AB38" ca="1">SUM(IF(ISNUMBER(AB3:AB35),AB3:AB35,0))</f>
        <v>8270.5</v>
      </c>
      <c r="AC38" s="526">
        <f t="array" aca="1" ref="AC38" ca="1">SUM(IF(ISNUMBER(AC3:AC35),AC3:AC35,0))</f>
        <v>830</v>
      </c>
      <c r="AD38" s="526">
        <f t="array" aca="1" ref="AD38" ca="1">SUM(IF(ISNUMBER(AD3:AD35),AD3:AD35,0))</f>
        <v>0</v>
      </c>
      <c r="AE38" s="525">
        <f t="array" aca="1" ref="AE38" ca="1">SUM(IF(ISNUMBER(AE3:AE35),AE3:AE35,0))</f>
        <v>72</v>
      </c>
      <c r="AF38" s="525">
        <f t="array" ref="AF38">SUM(IF(ISNUMBER(AF3:AF35),AF3:AF35,0))</f>
        <v>0</v>
      </c>
      <c r="AG38" s="525">
        <f t="array" aca="1" ref="AG38" ca="1">SUM(IF(ISNUMBER(AG3:AG35),AG3:AG35,0))</f>
        <v>0</v>
      </c>
      <c r="AH38" s="525">
        <f t="array" aca="1" ref="AH38" ca="1">SUM(IF(ISNUMBER(AH3:AH35),AH3:AH35,0))</f>
        <v>1468.8000000000002</v>
      </c>
      <c r="AI38" s="525">
        <f t="array" aca="1" ref="AI38" ca="1">SUM(IF(ISNUMBER(AI3:AI35),AI3:AI35,0))</f>
        <v>0</v>
      </c>
      <c r="AJ38" s="525">
        <f t="array" aca="1" ref="AJ38" ca="1">SUM(IF(ISNUMBER(AJ3:AJ35),AJ3:AJ35,0))</f>
        <v>0</v>
      </c>
      <c r="AK38" s="525">
        <f t="array" aca="1" ref="AK38" ca="1">SUM(IF(ISNUMBER(AK3:AK35),AK3:AK35,0))</f>
        <v>84</v>
      </c>
      <c r="AL38" s="525">
        <f t="array" aca="1" ref="AL38" ca="1">SUM(IF(ISNUMBER(AL3:AL35),AL3:AL35,0))</f>
        <v>2192.3999999999996</v>
      </c>
      <c r="AM38" s="525"/>
      <c r="AN38" s="525">
        <f t="array" aca="1" ref="AN38" ca="1">SUM(IF(ISNUMBER(AN3:AN35),AN3:AN35,0))</f>
        <v>237</v>
      </c>
      <c r="AO38" s="525">
        <f ca="1">SUM(AO3:AO35)</f>
        <v>1250.4000000000001</v>
      </c>
      <c r="AP38" s="525">
        <f t="array" aca="1" ref="AP38" ca="1">SUM(IF(ISNUMBER(AP3:AP35),AP3:AP35,0))</f>
        <v>15291.8</v>
      </c>
      <c r="AQ38" s="525">
        <f t="array" ref="AQ38">SUM(IF(ISNUMBER(AQ3:AQ35),AQ3:AQ35,0))</f>
        <v>0</v>
      </c>
      <c r="AR38" s="526">
        <f t="array" aca="1" ref="AR38" ca="1">SUM(IF(ISNUMBER(AR3:AR35),AR3:AR35,0))</f>
        <v>0</v>
      </c>
      <c r="AS38" s="526">
        <f t="array" aca="1" ref="AS38" ca="1">SUM(IF(ISNUMBER(AS3:AS35),AS3:AS35,0))</f>
        <v>73440</v>
      </c>
      <c r="AT38" s="526">
        <f t="array" aca="1" ref="AT38" ca="1">SUM(IF(ISNUMBER(AT3:AT35),AT3:AT35,0))</f>
        <v>0</v>
      </c>
      <c r="AU38" s="526">
        <f t="array" aca="1" ref="AU38" ca="1">SUM(IF(ISNUMBER(AU3:AU35),AU3:AU35,0))</f>
        <v>0</v>
      </c>
      <c r="AV38" s="526">
        <f t="array" aca="1" ref="AV38" ca="1">SUM(IF(ISNUMBER(AV3:AV35),AV3:AV35,0))</f>
        <v>420</v>
      </c>
      <c r="AW38" s="526">
        <f t="array" aca="1" ref="AW38" ca="1">SUM(IF(ISNUMBER(AW3:AW35),AW3:AW35,0))</f>
        <v>10961.999999999998</v>
      </c>
      <c r="AX38" s="526">
        <f t="array" aca="1" ref="AX38" ca="1">SUM(IF(ISNUMBER(AX3:AX35),AX3:AX35,0))</f>
        <v>0</v>
      </c>
      <c r="AY38" s="526">
        <f t="array" aca="1" ref="AY38" ca="1">SUM(IF(ISNUMBER(AY3:AY35),AY3:AY35,0))</f>
        <v>9590</v>
      </c>
      <c r="AZ38" s="526">
        <f t="array" aca="1" ref="AZ38" ca="1">SUM(IF(ISNUMBER(AZ3:AZ35),AZ3:AZ35,0))</f>
        <v>52100</v>
      </c>
      <c r="BA38" s="526">
        <f t="array" aca="1" ref="BA38" ca="1">SUM(IF(ISNUMBER(BA3:BA35),BA3:BA35,0))</f>
        <v>12190</v>
      </c>
      <c r="BB38" s="525">
        <f t="array" aca="1" ref="BB38" ca="1">SUM(IF(ISNUMBER(BB3:BB35),BB3:BB35,0))</f>
        <v>257</v>
      </c>
      <c r="BC38" s="527">
        <f>SUM(BC3:BC35)</f>
        <v>14212.5</v>
      </c>
      <c r="BD38" s="525">
        <f t="array" ref="BD38">SUM(IF(ISNUMBER(BD3:BD35),BD3:BD35,0))</f>
        <v>0</v>
      </c>
      <c r="BE38" s="524">
        <f t="array" aca="1" ref="BE38" ca="1">SUM(IF(ISNUMBER(BE3:BE35),BE3:BE35,0))</f>
        <v>13252</v>
      </c>
      <c r="BF38" s="524">
        <f t="array" aca="1" ref="BF38" ca="1">SUM(IF(ISNUMBER(BF3:BF35),BF3:BF35,0))</f>
        <v>1217.75</v>
      </c>
      <c r="BG38" s="525"/>
      <c r="BH38" s="528">
        <f t="array" aca="1" ref="BH38" ca="1">SUM(IF(ISNUMBER(BH3:BH35),BH3:BH35,0))</f>
        <v>638317.5</v>
      </c>
      <c r="BI38" s="528">
        <f t="array" aca="1" ref="BI38" ca="1">SUM(IF(ISNUMBER(BI3:BI35),BI3:BI35,0))</f>
        <v>688799.99999999977</v>
      </c>
      <c r="BJ38" s="528">
        <f t="array" aca="1" ref="BJ38" ca="1">SUM(IF(ISNUMBER(BJ3:BJ35),BJ3:BJ35,0))</f>
        <v>125247.86749999999</v>
      </c>
      <c r="BK38" s="528">
        <f t="array" aca="1" ref="BK38" ca="1">SUM(IF(ISNUMBER(BK3:BK35),BK3:BK35,0))</f>
        <v>90879.867499999993</v>
      </c>
      <c r="BL38" s="529"/>
      <c r="BM38" s="528">
        <f t="array" aca="1" ref="BM38" ca="1">SUM(IF(ISNUMBER(BM3:BM35),BM3:BM35,0))</f>
        <v>175253.27670238094</v>
      </c>
      <c r="BN38" s="528">
        <f t="array" aca="1" ref="BN38" ca="1">SUM(IF(ISNUMBER(BN3:BN35),BN3:BN35,0))</f>
        <v>79523.367228571427</v>
      </c>
      <c r="BO38" s="525"/>
      <c r="BP38" s="529" cm="1">
        <f t="array" aca="1" ref="BP38" ca="1">SUM(IF(ISNUMBER(BP3:BP35),BP3:BP35,0))</f>
        <v>1277132.1827285716</v>
      </c>
      <c r="BQ38" s="529" cm="1">
        <f t="array" aca="1" ref="BQ38" ca="1">AVERAGE(IF(ISNUMBER(BQ3:BQ35),BQ3:BQ35,0))</f>
        <v>321.71621221270686</v>
      </c>
      <c r="BR38" s="533"/>
      <c r="BS38" s="530" cm="1">
        <f t="array" aca="1" ref="BS38" ca="1">SUM(IF(ISNUMBER(BS3:BS35),BS3:BS35,0))</f>
        <v>77.279463262024365</v>
      </c>
      <c r="BT38" s="532"/>
      <c r="BU38" s="531">
        <f ca="1">SUM(BU3:BU35)</f>
        <v>56595.855965309296</v>
      </c>
      <c r="BV38" s="534">
        <f ca="1">AVERAGE(BV3:BV35)</f>
        <v>14.256789277046149</v>
      </c>
    </row>
    <row r="39" spans="1:74" ht="14.25" customHeight="1">
      <c r="A39" s="15"/>
      <c r="B39" s="50"/>
      <c r="C39" s="16"/>
      <c r="D39" s="16"/>
      <c r="E39" s="16"/>
      <c r="F39" s="16"/>
      <c r="G39" s="16"/>
      <c r="H39" s="16"/>
      <c r="I39" s="16"/>
      <c r="J39" s="16"/>
      <c r="K39" s="16"/>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AL39" s="16"/>
      <c r="AM39" s="16"/>
      <c r="AN39" s="16"/>
      <c r="AO39" s="16"/>
      <c r="AP39" s="16"/>
      <c r="AQ39" s="16"/>
      <c r="AR39" s="16"/>
      <c r="AS39" s="16"/>
      <c r="AT39" s="16"/>
      <c r="AU39" s="16"/>
      <c r="AV39" s="16"/>
      <c r="AW39" s="16"/>
      <c r="AX39" s="16"/>
      <c r="AY39" s="16"/>
      <c r="AZ39" s="16"/>
      <c r="BA39" s="16"/>
      <c r="BB39" s="16"/>
      <c r="BC39" s="49"/>
      <c r="BD39" s="16"/>
      <c r="BE39" s="16"/>
      <c r="BF39" s="16"/>
      <c r="BG39" s="16"/>
      <c r="BH39" s="16"/>
      <c r="BI39" s="16"/>
      <c r="BJ39" s="16"/>
      <c r="BK39" s="16"/>
      <c r="BL39" s="16"/>
      <c r="BM39" s="16"/>
      <c r="BN39" s="16"/>
      <c r="BO39" s="16"/>
      <c r="BP39" s="16"/>
      <c r="BQ39" s="16"/>
      <c r="BR39" s="16"/>
      <c r="BS39" s="16"/>
    </row>
    <row r="40" spans="1:74" ht="14.25" customHeight="1">
      <c r="A40" s="15"/>
      <c r="B40" s="56"/>
      <c r="C40" s="16"/>
      <c r="D40" s="16"/>
      <c r="E40" s="16"/>
      <c r="F40" s="16"/>
      <c r="G40" s="16"/>
      <c r="H40" s="16"/>
      <c r="I40" s="16"/>
      <c r="J40" s="16"/>
      <c r="K40" s="16"/>
      <c r="L40" s="16"/>
      <c r="M40" s="16"/>
      <c r="N40" s="16"/>
      <c r="O40" s="16"/>
      <c r="P40" s="16"/>
      <c r="Q40" s="16"/>
      <c r="R40" s="16"/>
      <c r="S40" s="16"/>
      <c r="T40" s="16"/>
      <c r="U40" s="16"/>
      <c r="V40" s="16"/>
      <c r="W40" s="16"/>
      <c r="X40" s="16"/>
      <c r="Y40" s="57"/>
      <c r="Z40" s="16"/>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49"/>
      <c r="BD40" s="16"/>
      <c r="BE40" s="16"/>
      <c r="BF40" s="16"/>
      <c r="BG40" s="16"/>
      <c r="BH40" s="16"/>
      <c r="BI40" s="16"/>
      <c r="BJ40" s="16"/>
      <c r="BK40" s="16"/>
      <c r="BL40" s="16"/>
      <c r="BM40" s="16"/>
      <c r="BN40" s="16"/>
      <c r="BO40" s="16"/>
      <c r="BP40" s="16"/>
      <c r="BQ40" s="16"/>
      <c r="BR40" s="16"/>
      <c r="BS40" s="16"/>
    </row>
    <row r="41" spans="1:74" ht="14.25" customHeight="1">
      <c r="A41" s="16"/>
      <c r="B41" s="16"/>
      <c r="C41" s="16"/>
      <c r="D41" s="16"/>
      <c r="E41" s="16"/>
      <c r="F41" s="16"/>
      <c r="G41" s="16"/>
      <c r="H41" s="16"/>
      <c r="I41" s="16"/>
      <c r="J41" s="16"/>
      <c r="K41" s="16"/>
      <c r="L41" s="16"/>
      <c r="M41" s="16"/>
      <c r="N41" s="16"/>
      <c r="O41" s="16"/>
      <c r="P41" s="16"/>
      <c r="Q41" s="16"/>
      <c r="R41" s="16"/>
      <c r="S41" s="16"/>
      <c r="T41" s="16"/>
      <c r="U41" s="16"/>
      <c r="V41" s="16"/>
      <c r="W41" s="16"/>
      <c r="X41" s="19"/>
      <c r="Y41" s="16"/>
      <c r="Z41" s="16"/>
      <c r="AA41" s="16"/>
      <c r="AB41" s="16"/>
      <c r="AC41" s="16"/>
      <c r="AD41" s="16"/>
      <c r="AE41" s="16"/>
      <c r="AF41" s="16"/>
      <c r="AG41" s="16"/>
      <c r="AH41" s="16"/>
      <c r="AI41" s="16"/>
      <c r="AJ41" s="16"/>
      <c r="AK41" s="16"/>
      <c r="AL41" s="16"/>
      <c r="AM41" s="16"/>
      <c r="AN41" s="16"/>
      <c r="AO41" s="16"/>
      <c r="AP41" s="16"/>
      <c r="AQ41" s="16"/>
      <c r="AR41" s="16"/>
      <c r="AS41" s="16"/>
      <c r="AT41" s="16"/>
      <c r="AU41" s="16"/>
      <c r="AV41" s="16"/>
      <c r="AW41" s="16"/>
      <c r="AX41" s="16"/>
      <c r="AY41" s="16"/>
      <c r="AZ41" s="16"/>
      <c r="BA41" s="16"/>
      <c r="BB41" s="16"/>
      <c r="BC41" s="49"/>
      <c r="BD41" s="16"/>
      <c r="BE41" s="16"/>
      <c r="BF41" s="16"/>
      <c r="BG41" s="16"/>
      <c r="BH41" s="16"/>
      <c r="BI41" s="16"/>
      <c r="BJ41" s="16"/>
      <c r="BK41" s="16"/>
      <c r="BL41" s="16"/>
      <c r="BM41" s="16"/>
      <c r="BN41" s="16"/>
      <c r="BO41" s="16"/>
      <c r="BP41" s="16"/>
      <c r="BQ41" s="16"/>
      <c r="BR41" s="16"/>
    </row>
    <row r="42" spans="1:74" ht="14.25" customHeight="1">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c r="AV42" s="16"/>
      <c r="AW42" s="16"/>
      <c r="AX42" s="16"/>
      <c r="AY42" s="16"/>
      <c r="AZ42" s="16"/>
      <c r="BA42" s="16"/>
      <c r="BB42" s="16"/>
      <c r="BC42" s="49"/>
      <c r="BD42" s="16"/>
      <c r="BE42" s="16"/>
      <c r="BF42" s="16"/>
      <c r="BG42" s="16"/>
      <c r="BH42" s="16"/>
      <c r="BI42" s="16"/>
      <c r="BJ42" s="16"/>
      <c r="BK42" s="16"/>
      <c r="BL42" s="16"/>
      <c r="BM42" s="16"/>
      <c r="BN42" s="16"/>
      <c r="BO42" s="16"/>
      <c r="BP42" s="16"/>
      <c r="BQ42" s="16"/>
      <c r="BR42" s="16"/>
      <c r="BS42" s="16"/>
    </row>
    <row r="43" spans="1:74" ht="14.25" customHeight="1">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49"/>
      <c r="BD43" s="16"/>
      <c r="BE43" s="16"/>
      <c r="BF43" s="16"/>
      <c r="BG43" s="16"/>
      <c r="BH43" s="16"/>
      <c r="BI43" s="16"/>
      <c r="BJ43" s="16"/>
      <c r="BK43" s="16"/>
      <c r="BL43" s="16"/>
      <c r="BM43" s="16"/>
      <c r="BN43" s="16"/>
      <c r="BO43" s="16"/>
      <c r="BP43" s="16"/>
      <c r="BQ43" s="16"/>
      <c r="BR43" s="16"/>
      <c r="BS43" s="16"/>
    </row>
    <row r="44" spans="1:74" ht="14.25" customHeight="1">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49"/>
      <c r="BD44" s="16"/>
      <c r="BE44" s="16"/>
      <c r="BF44" s="16"/>
      <c r="BG44" s="16"/>
      <c r="BH44" s="16"/>
      <c r="BI44" s="16"/>
      <c r="BJ44" s="16"/>
      <c r="BK44" s="16"/>
      <c r="BL44" s="16"/>
      <c r="BM44" s="16"/>
      <c r="BN44" s="16"/>
      <c r="BO44" s="16"/>
      <c r="BP44" s="16"/>
      <c r="BQ44" s="16"/>
      <c r="BR44" s="16"/>
      <c r="BS44" s="16"/>
      <c r="BT44" s="16" t="s">
        <v>401</v>
      </c>
    </row>
    <row r="45" spans="1:74" ht="14.25" customHeight="1">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49"/>
      <c r="BD45" s="16"/>
      <c r="BE45" s="16"/>
      <c r="BF45" s="16"/>
      <c r="BG45" s="16"/>
      <c r="BH45" s="16"/>
      <c r="BI45" s="16"/>
      <c r="BJ45" s="16"/>
      <c r="BK45" s="16"/>
      <c r="BL45" s="16"/>
      <c r="BM45" s="16"/>
      <c r="BN45" s="16"/>
      <c r="BO45" s="16"/>
      <c r="BP45" s="16"/>
      <c r="BQ45" s="16"/>
      <c r="BR45" s="16"/>
      <c r="BS45" s="16"/>
      <c r="BT45" s="290">
        <f ca="1">-'Total Budget'!D10</f>
        <v>56595.855965309311</v>
      </c>
    </row>
    <row r="46" spans="1:74" ht="14.25" customHeight="1">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49"/>
      <c r="BD46" s="16"/>
      <c r="BE46" s="16"/>
      <c r="BF46" s="16"/>
      <c r="BG46" s="16"/>
      <c r="BH46" s="16"/>
      <c r="BI46" s="16"/>
      <c r="BJ46" s="16"/>
      <c r="BK46" s="16"/>
      <c r="BL46" s="16"/>
      <c r="BM46" s="16"/>
      <c r="BN46" s="16"/>
      <c r="BO46" s="16"/>
      <c r="BP46" s="16"/>
      <c r="BQ46" s="16"/>
      <c r="BR46" s="16"/>
      <c r="BS46" s="16"/>
    </row>
    <row r="47" spans="1:74" ht="14.25" customHeight="1">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16"/>
      <c r="AY47" s="16"/>
      <c r="AZ47" s="16"/>
      <c r="BA47" s="16"/>
      <c r="BB47" s="16"/>
      <c r="BC47" s="49"/>
      <c r="BD47" s="16"/>
      <c r="BE47" s="16"/>
      <c r="BF47" s="16"/>
      <c r="BG47" s="16"/>
      <c r="BH47" s="16"/>
      <c r="BI47" s="16"/>
      <c r="BJ47" s="16"/>
      <c r="BK47" s="16"/>
      <c r="BL47" s="16"/>
      <c r="BM47" s="16"/>
      <c r="BN47" s="16"/>
      <c r="BO47" s="16"/>
      <c r="BP47" s="16"/>
      <c r="BQ47" s="16"/>
      <c r="BR47" s="16"/>
      <c r="BS47" s="16"/>
      <c r="BT47" t="s">
        <v>402</v>
      </c>
    </row>
    <row r="48" spans="1:74" ht="14.25" customHeight="1">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16"/>
      <c r="AZ48" s="16"/>
      <c r="BA48" s="16"/>
      <c r="BB48" s="16"/>
      <c r="BC48" s="49"/>
      <c r="BD48" s="16"/>
      <c r="BE48" s="16"/>
      <c r="BF48" s="16"/>
      <c r="BG48" s="16"/>
      <c r="BH48" s="16"/>
      <c r="BI48" s="16"/>
      <c r="BJ48" s="16"/>
      <c r="BK48" s="16"/>
      <c r="BL48" s="16"/>
      <c r="BM48" s="16"/>
      <c r="BN48" s="16"/>
      <c r="BO48" s="16"/>
      <c r="BP48" s="16"/>
      <c r="BQ48" s="16"/>
      <c r="BR48" s="16"/>
      <c r="BS48" s="16"/>
      <c r="BT48">
        <f ca="1">BT45/BP38</f>
        <v>4.4314798993157628E-2</v>
      </c>
    </row>
    <row r="49" spans="1:71" ht="14.25" customHeight="1">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c r="AQ49" s="16"/>
      <c r="AR49" s="16"/>
      <c r="AS49" s="16"/>
      <c r="AT49" s="16"/>
      <c r="AU49" s="16"/>
      <c r="AV49" s="16"/>
      <c r="AW49" s="16"/>
      <c r="AX49" s="16"/>
      <c r="AY49" s="16"/>
      <c r="AZ49" s="16"/>
      <c r="BA49" s="16"/>
      <c r="BB49" s="16"/>
      <c r="BC49" s="49"/>
      <c r="BD49" s="16"/>
      <c r="BE49" s="16"/>
      <c r="BF49" s="16"/>
      <c r="BG49" s="16"/>
      <c r="BH49" s="16"/>
      <c r="BI49" s="16"/>
      <c r="BJ49" s="16"/>
      <c r="BK49" s="16"/>
      <c r="BL49" s="16"/>
      <c r="BM49" s="16"/>
      <c r="BN49" s="16"/>
      <c r="BO49" s="16"/>
      <c r="BP49" s="16"/>
      <c r="BQ49" s="16"/>
      <c r="BR49" s="16"/>
      <c r="BS49" s="16"/>
    </row>
    <row r="50" spans="1:71" ht="14.25" customHeight="1">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49"/>
      <c r="BD50" s="16"/>
      <c r="BE50" s="16"/>
      <c r="BF50" s="16"/>
      <c r="BG50" s="16"/>
      <c r="BH50" s="16"/>
      <c r="BI50" s="16"/>
      <c r="BJ50" s="16"/>
      <c r="BK50" s="16"/>
      <c r="BL50" s="16"/>
      <c r="BM50" s="16"/>
      <c r="BN50" s="16"/>
      <c r="BO50" s="16"/>
      <c r="BP50" s="16"/>
      <c r="BQ50" s="16"/>
      <c r="BR50" s="16"/>
      <c r="BS50" s="16"/>
    </row>
    <row r="51" spans="1:71" ht="14.25" customHeight="1">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c r="AP51" s="16"/>
      <c r="AQ51" s="16"/>
      <c r="AR51" s="16"/>
      <c r="AS51" s="16"/>
      <c r="AT51" s="16"/>
      <c r="AU51" s="16"/>
      <c r="AV51" s="16"/>
      <c r="AW51" s="16"/>
      <c r="AX51" s="16"/>
      <c r="AY51" s="16"/>
      <c r="AZ51" s="16"/>
      <c r="BA51" s="16"/>
      <c r="BB51" s="16"/>
      <c r="BC51" s="49"/>
      <c r="BD51" s="16"/>
      <c r="BE51" s="16"/>
      <c r="BF51" s="16"/>
      <c r="BG51" s="16"/>
      <c r="BH51" s="16"/>
      <c r="BI51" s="16"/>
      <c r="BJ51" s="16"/>
      <c r="BK51" s="16"/>
      <c r="BL51" s="16"/>
      <c r="BM51" s="16"/>
      <c r="BN51" s="16"/>
      <c r="BO51" s="16"/>
      <c r="BP51" s="16"/>
      <c r="BQ51" s="16"/>
      <c r="BR51" s="16"/>
      <c r="BS51" s="16"/>
    </row>
    <row r="52" spans="1:71" ht="14.25" customHeight="1">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16"/>
      <c r="AZ52" s="16"/>
      <c r="BA52" s="16"/>
      <c r="BB52" s="16"/>
      <c r="BC52" s="49"/>
      <c r="BD52" s="16"/>
      <c r="BE52" s="16"/>
      <c r="BF52" s="16"/>
      <c r="BG52" s="16"/>
      <c r="BH52" s="16"/>
      <c r="BI52" s="16"/>
      <c r="BJ52" s="16"/>
      <c r="BK52" s="16"/>
      <c r="BL52" s="16"/>
      <c r="BM52" s="16"/>
      <c r="BN52" s="16"/>
      <c r="BO52" s="16"/>
      <c r="BP52" s="16"/>
      <c r="BQ52" s="16"/>
      <c r="BR52" s="16"/>
      <c r="BS52" s="16"/>
    </row>
    <row r="53" spans="1:71" ht="14.25" customHeight="1">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c r="BA53" s="16"/>
      <c r="BB53" s="16"/>
      <c r="BC53" s="49"/>
      <c r="BD53" s="16"/>
      <c r="BE53" s="16"/>
      <c r="BF53" s="16"/>
      <c r="BG53" s="16"/>
      <c r="BH53" s="16"/>
      <c r="BI53" s="16"/>
      <c r="BJ53" s="16"/>
      <c r="BK53" s="16"/>
      <c r="BL53" s="16"/>
      <c r="BM53" s="16"/>
      <c r="BN53" s="16"/>
      <c r="BO53" s="16"/>
      <c r="BP53" s="16"/>
      <c r="BQ53" s="16"/>
      <c r="BR53" s="16"/>
      <c r="BS53" s="16"/>
    </row>
    <row r="54" spans="1:71" ht="14.25" customHeight="1">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6"/>
      <c r="BA54" s="16"/>
      <c r="BB54" s="16"/>
      <c r="BC54" s="49"/>
      <c r="BD54" s="16"/>
      <c r="BE54" s="16"/>
      <c r="BF54" s="16"/>
      <c r="BG54" s="16"/>
      <c r="BH54" s="16"/>
      <c r="BI54" s="16"/>
      <c r="BJ54" s="16"/>
      <c r="BK54" s="16"/>
      <c r="BL54" s="16"/>
      <c r="BM54" s="16"/>
      <c r="BN54" s="16"/>
      <c r="BO54" s="16"/>
      <c r="BP54" s="16"/>
      <c r="BQ54" s="16"/>
      <c r="BR54" s="16"/>
      <c r="BS54" s="16"/>
    </row>
    <row r="55" spans="1:71" ht="14.25" customHeight="1">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16"/>
      <c r="AY55" s="16"/>
      <c r="AZ55" s="16"/>
      <c r="BA55" s="16"/>
      <c r="BB55" s="16"/>
      <c r="BC55" s="49"/>
      <c r="BD55" s="16"/>
      <c r="BE55" s="16"/>
      <c r="BF55" s="16"/>
      <c r="BG55" s="16"/>
      <c r="BH55" s="16"/>
      <c r="BI55" s="16"/>
      <c r="BJ55" s="16"/>
      <c r="BK55" s="16"/>
      <c r="BL55" s="16"/>
      <c r="BM55" s="16"/>
      <c r="BN55" s="16"/>
      <c r="BO55" s="16"/>
      <c r="BP55" s="16"/>
      <c r="BQ55" s="16"/>
      <c r="BR55" s="16"/>
      <c r="BS55" s="16"/>
    </row>
    <row r="56" spans="1:71" ht="14.25" customHeight="1">
      <c r="A56" s="16"/>
      <c r="B56" s="16"/>
      <c r="C56" s="16"/>
      <c r="D56" s="16"/>
      <c r="E56" s="16"/>
      <c r="F56" s="16"/>
      <c r="G56" s="16"/>
      <c r="H56" s="16"/>
      <c r="I56" s="16"/>
      <c r="J56" s="16"/>
      <c r="K56" s="16"/>
      <c r="L56" s="16"/>
      <c r="M56" s="16"/>
      <c r="N56" s="16"/>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c r="AW56" s="16"/>
      <c r="AX56" s="16"/>
      <c r="AY56" s="16"/>
      <c r="AZ56" s="16"/>
      <c r="BA56" s="16"/>
      <c r="BB56" s="16"/>
      <c r="BC56" s="49"/>
      <c r="BD56" s="16"/>
      <c r="BE56" s="16"/>
      <c r="BF56" s="16"/>
      <c r="BG56" s="16"/>
      <c r="BH56" s="16"/>
      <c r="BI56" s="16"/>
      <c r="BJ56" s="16"/>
      <c r="BK56" s="16"/>
      <c r="BL56" s="16"/>
      <c r="BM56" s="16"/>
      <c r="BN56" s="16"/>
      <c r="BO56" s="16"/>
      <c r="BP56" s="16"/>
      <c r="BQ56" s="16"/>
      <c r="BR56" s="16"/>
      <c r="BS56" s="16"/>
    </row>
    <row r="57" spans="1:71" ht="14.25" customHeight="1">
      <c r="A57" s="16"/>
      <c r="B57" s="16"/>
      <c r="C57" s="16"/>
      <c r="D57" s="16"/>
      <c r="E57" s="16"/>
      <c r="F57" s="16"/>
      <c r="G57" s="16"/>
      <c r="H57" s="16"/>
      <c r="I57" s="16"/>
      <c r="J57" s="16"/>
      <c r="K57" s="16"/>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16"/>
      <c r="AY57" s="16"/>
      <c r="AZ57" s="16"/>
      <c r="BA57" s="16"/>
      <c r="BB57" s="16"/>
      <c r="BC57" s="49"/>
      <c r="BD57" s="16"/>
      <c r="BE57" s="16"/>
      <c r="BF57" s="16"/>
      <c r="BG57" s="16"/>
      <c r="BH57" s="16"/>
      <c r="BI57" s="16"/>
      <c r="BJ57" s="16"/>
      <c r="BK57" s="16"/>
      <c r="BL57" s="16"/>
      <c r="BM57" s="16"/>
      <c r="BN57" s="16"/>
      <c r="BO57" s="16"/>
      <c r="BP57" s="16"/>
      <c r="BQ57" s="16"/>
      <c r="BR57" s="16"/>
      <c r="BS57" s="16"/>
    </row>
    <row r="58" spans="1:71" ht="14.25" customHeight="1">
      <c r="A58" s="16"/>
      <c r="B58" s="16"/>
      <c r="C58" s="16"/>
      <c r="D58" s="16"/>
      <c r="E58" s="16"/>
      <c r="F58" s="16"/>
      <c r="G58" s="16"/>
      <c r="H58" s="16"/>
      <c r="I58" s="16"/>
      <c r="J58" s="16"/>
      <c r="K58" s="16"/>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16"/>
      <c r="AY58" s="16"/>
      <c r="AZ58" s="16"/>
      <c r="BA58" s="16"/>
      <c r="BB58" s="16"/>
      <c r="BC58" s="49"/>
      <c r="BD58" s="16"/>
      <c r="BE58" s="16"/>
      <c r="BF58" s="16"/>
      <c r="BG58" s="16"/>
      <c r="BH58" s="16"/>
      <c r="BI58" s="16"/>
      <c r="BJ58" s="16"/>
      <c r="BK58" s="16"/>
      <c r="BL58" s="16"/>
      <c r="BM58" s="16"/>
      <c r="BN58" s="16"/>
      <c r="BO58" s="16"/>
      <c r="BP58" s="16"/>
      <c r="BQ58" s="16"/>
      <c r="BR58" s="16"/>
      <c r="BS58" s="16"/>
    </row>
    <row r="59" spans="1:71" ht="14.25" customHeight="1">
      <c r="A59" s="16"/>
      <c r="B59" s="16"/>
      <c r="C59" s="16"/>
      <c r="D59" s="16"/>
      <c r="E59" s="16"/>
      <c r="F59" s="16"/>
      <c r="G59" s="16"/>
      <c r="H59" s="16"/>
      <c r="I59" s="16"/>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49"/>
      <c r="BD59" s="16"/>
      <c r="BE59" s="16"/>
      <c r="BF59" s="16"/>
      <c r="BG59" s="16"/>
      <c r="BH59" s="16"/>
      <c r="BI59" s="16"/>
      <c r="BJ59" s="16"/>
      <c r="BK59" s="16"/>
      <c r="BL59" s="16"/>
      <c r="BM59" s="16"/>
      <c r="BN59" s="16"/>
      <c r="BO59" s="16"/>
      <c r="BP59" s="16"/>
      <c r="BQ59" s="16"/>
      <c r="BR59" s="16"/>
      <c r="BS59" s="16"/>
    </row>
    <row r="60" spans="1:71" ht="14.25" customHeight="1">
      <c r="A60" s="16"/>
      <c r="B60" s="16"/>
      <c r="C60" s="16"/>
      <c r="D60" s="16"/>
      <c r="E60" s="16"/>
      <c r="F60" s="16"/>
      <c r="G60" s="16"/>
      <c r="H60" s="16"/>
      <c r="I60" s="16"/>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49"/>
      <c r="BD60" s="16"/>
      <c r="BE60" s="16"/>
      <c r="BF60" s="16"/>
      <c r="BG60" s="16"/>
      <c r="BH60" s="16"/>
      <c r="BI60" s="16"/>
      <c r="BJ60" s="16"/>
      <c r="BK60" s="16"/>
      <c r="BL60" s="16"/>
      <c r="BM60" s="16"/>
      <c r="BN60" s="16"/>
      <c r="BO60" s="16"/>
      <c r="BP60" s="16"/>
      <c r="BQ60" s="16"/>
      <c r="BR60" s="16"/>
      <c r="BS60" s="16"/>
    </row>
    <row r="61" spans="1:71" ht="14.25" customHeight="1">
      <c r="A61" s="16"/>
      <c r="B61" s="16"/>
      <c r="C61" s="16"/>
      <c r="D61" s="16"/>
      <c r="E61" s="16"/>
      <c r="F61" s="16"/>
      <c r="G61" s="16"/>
      <c r="H61" s="16"/>
      <c r="I61" s="16"/>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49"/>
      <c r="BD61" s="16"/>
      <c r="BE61" s="16"/>
      <c r="BF61" s="16"/>
      <c r="BG61" s="16"/>
      <c r="BH61" s="16"/>
      <c r="BI61" s="16"/>
      <c r="BJ61" s="16"/>
      <c r="BK61" s="16"/>
      <c r="BL61" s="16"/>
      <c r="BM61" s="16"/>
      <c r="BN61" s="16"/>
      <c r="BO61" s="16"/>
      <c r="BP61" s="16"/>
      <c r="BQ61" s="16"/>
      <c r="BR61" s="16"/>
      <c r="BS61" s="16"/>
    </row>
    <row r="62" spans="1:71" ht="14.25" customHeight="1">
      <c r="A62" s="16"/>
      <c r="B62" s="16"/>
      <c r="C62" s="16"/>
      <c r="D62" s="16"/>
      <c r="E62" s="16"/>
      <c r="F62" s="16"/>
      <c r="G62" s="16"/>
      <c r="H62" s="16"/>
      <c r="I62" s="16"/>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49"/>
      <c r="BD62" s="16"/>
      <c r="BE62" s="16"/>
      <c r="BF62" s="16"/>
      <c r="BG62" s="16"/>
      <c r="BH62" s="16"/>
      <c r="BI62" s="16"/>
      <c r="BJ62" s="16"/>
      <c r="BK62" s="16"/>
      <c r="BL62" s="16"/>
      <c r="BM62" s="16"/>
      <c r="BN62" s="16"/>
      <c r="BO62" s="16"/>
      <c r="BP62" s="16"/>
      <c r="BQ62" s="16"/>
      <c r="BR62" s="16"/>
      <c r="BS62" s="16"/>
    </row>
    <row r="63" spans="1:71" ht="14.25" customHeight="1">
      <c r="A63" s="16"/>
      <c r="B63" s="16"/>
      <c r="C63" s="16"/>
      <c r="D63" s="16"/>
      <c r="E63" s="16"/>
      <c r="F63" s="16"/>
      <c r="G63" s="16"/>
      <c r="H63" s="16"/>
      <c r="I63" s="16"/>
      <c r="J63" s="16"/>
      <c r="K63" s="16"/>
      <c r="L63" s="16"/>
      <c r="M63" s="16"/>
      <c r="N63" s="16"/>
      <c r="O63" s="16"/>
      <c r="P63" s="16"/>
      <c r="Q63" s="16"/>
      <c r="R63" s="16"/>
      <c r="S63" s="16"/>
      <c r="T63" s="16"/>
      <c r="U63" s="16"/>
      <c r="V63" s="16"/>
      <c r="W63" s="16"/>
      <c r="X63" s="16"/>
      <c r="Y63" s="16"/>
      <c r="Z63" s="16"/>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c r="BA63" s="16"/>
      <c r="BB63" s="16"/>
      <c r="BC63" s="49"/>
      <c r="BD63" s="16"/>
      <c r="BE63" s="16"/>
      <c r="BF63" s="16"/>
      <c r="BG63" s="16"/>
      <c r="BH63" s="16"/>
      <c r="BI63" s="16"/>
      <c r="BJ63" s="16"/>
      <c r="BK63" s="16"/>
      <c r="BL63" s="16"/>
      <c r="BM63" s="16"/>
      <c r="BN63" s="16"/>
      <c r="BO63" s="16"/>
      <c r="BP63" s="16"/>
      <c r="BQ63" s="16"/>
      <c r="BR63" s="16"/>
      <c r="BS63" s="16"/>
    </row>
    <row r="64" spans="1:71" ht="14.25" customHeight="1">
      <c r="A64" s="16"/>
      <c r="B64" s="16"/>
      <c r="C64" s="16"/>
      <c r="D64" s="16"/>
      <c r="E64" s="16"/>
      <c r="F64" s="16"/>
      <c r="G64" s="16"/>
      <c r="H64" s="16"/>
      <c r="I64" s="16"/>
      <c r="J64" s="16"/>
      <c r="K64" s="16"/>
      <c r="L64" s="16"/>
      <c r="M64" s="16"/>
      <c r="N64" s="16"/>
      <c r="O64" s="16"/>
      <c r="P64" s="16"/>
      <c r="Q64" s="16"/>
      <c r="R64" s="16"/>
      <c r="S64" s="16"/>
      <c r="T64" s="16"/>
      <c r="U64" s="16"/>
      <c r="V64" s="16"/>
      <c r="W64" s="16"/>
      <c r="X64" s="16"/>
      <c r="Y64" s="16"/>
      <c r="Z64" s="16"/>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c r="BA64" s="16"/>
      <c r="BB64" s="16"/>
      <c r="BC64" s="49"/>
      <c r="BD64" s="16"/>
      <c r="BE64" s="16"/>
      <c r="BF64" s="16"/>
      <c r="BG64" s="16"/>
      <c r="BH64" s="16"/>
      <c r="BI64" s="16"/>
      <c r="BJ64" s="16"/>
      <c r="BK64" s="16"/>
      <c r="BL64" s="16"/>
      <c r="BM64" s="16"/>
      <c r="BN64" s="16"/>
      <c r="BO64" s="16"/>
      <c r="BP64" s="16"/>
      <c r="BQ64" s="16"/>
      <c r="BR64" s="16"/>
      <c r="BS64" s="16"/>
    </row>
    <row r="65" spans="1:71" ht="14.25" customHeight="1">
      <c r="A65" s="16"/>
      <c r="B65" s="16"/>
      <c r="C65" s="16"/>
      <c r="D65" s="16"/>
      <c r="E65" s="16"/>
      <c r="F65" s="16"/>
      <c r="G65" s="16"/>
      <c r="H65" s="16"/>
      <c r="I65" s="16"/>
      <c r="J65" s="16"/>
      <c r="K65" s="16"/>
      <c r="L65" s="16"/>
      <c r="M65" s="16"/>
      <c r="N65" s="16"/>
      <c r="O65" s="16"/>
      <c r="P65" s="16"/>
      <c r="Q65" s="16"/>
      <c r="R65" s="16"/>
      <c r="S65" s="16"/>
      <c r="T65" s="16"/>
      <c r="U65" s="16"/>
      <c r="V65" s="16"/>
      <c r="W65" s="16"/>
      <c r="X65" s="16"/>
      <c r="Y65" s="16"/>
      <c r="Z65" s="16"/>
      <c r="AA65" s="16"/>
      <c r="AB65" s="16"/>
      <c r="AC65" s="16"/>
      <c r="AD65" s="16"/>
      <c r="AE65" s="16"/>
      <c r="AF65" s="16"/>
      <c r="AG65" s="16"/>
      <c r="AH65" s="16"/>
      <c r="AI65" s="16"/>
      <c r="AJ65" s="16"/>
      <c r="AK65" s="16"/>
      <c r="AL65" s="16"/>
      <c r="AM65" s="16"/>
      <c r="AN65" s="16"/>
      <c r="AO65" s="16"/>
      <c r="AP65" s="16"/>
      <c r="AQ65" s="16"/>
      <c r="AR65" s="16"/>
      <c r="AS65" s="16"/>
      <c r="AT65" s="16"/>
      <c r="AU65" s="16"/>
      <c r="AV65" s="16"/>
      <c r="AW65" s="16"/>
      <c r="AX65" s="16"/>
      <c r="AY65" s="16"/>
      <c r="AZ65" s="16"/>
      <c r="BA65" s="16"/>
      <c r="BB65" s="16"/>
      <c r="BC65" s="49"/>
      <c r="BD65" s="16"/>
      <c r="BE65" s="16"/>
      <c r="BF65" s="16"/>
      <c r="BG65" s="16"/>
      <c r="BH65" s="16"/>
      <c r="BI65" s="16"/>
      <c r="BJ65" s="16"/>
      <c r="BK65" s="16"/>
      <c r="BL65" s="16"/>
      <c r="BM65" s="16"/>
      <c r="BN65" s="16"/>
      <c r="BO65" s="16"/>
      <c r="BP65" s="16"/>
      <c r="BQ65" s="16"/>
      <c r="BR65" s="16"/>
      <c r="BS65" s="16"/>
    </row>
    <row r="66" spans="1:71" ht="14.25" customHeight="1">
      <c r="A66" s="16"/>
      <c r="B66" s="16"/>
      <c r="C66" s="16"/>
      <c r="D66" s="16"/>
      <c r="E66" s="16"/>
      <c r="F66" s="16"/>
      <c r="G66" s="16"/>
      <c r="H66" s="16"/>
      <c r="I66" s="16"/>
      <c r="J66" s="16"/>
      <c r="K66" s="16"/>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c r="AL66" s="16"/>
      <c r="AM66" s="16"/>
      <c r="AN66" s="16"/>
      <c r="AO66" s="16"/>
      <c r="AP66" s="16"/>
      <c r="AQ66" s="16"/>
      <c r="AR66" s="16"/>
      <c r="AS66" s="16"/>
      <c r="AT66" s="16"/>
      <c r="AU66" s="16"/>
      <c r="AV66" s="16"/>
      <c r="AW66" s="16"/>
      <c r="AX66" s="16"/>
      <c r="AY66" s="16"/>
      <c r="AZ66" s="16"/>
      <c r="BA66" s="16"/>
      <c r="BB66" s="16"/>
      <c r="BC66" s="49"/>
      <c r="BD66" s="16"/>
      <c r="BE66" s="16"/>
      <c r="BF66" s="16"/>
      <c r="BG66" s="16"/>
      <c r="BH66" s="16"/>
      <c r="BI66" s="16"/>
      <c r="BJ66" s="16"/>
      <c r="BK66" s="16"/>
      <c r="BL66" s="16"/>
      <c r="BM66" s="16"/>
      <c r="BN66" s="16"/>
      <c r="BO66" s="16"/>
      <c r="BP66" s="16"/>
      <c r="BQ66" s="16"/>
      <c r="BR66" s="16"/>
      <c r="BS66" s="16"/>
    </row>
    <row r="67" spans="1:71" ht="14.25" customHeight="1">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c r="AA67" s="16"/>
      <c r="AB67" s="16"/>
      <c r="AC67" s="16"/>
      <c r="AD67" s="16"/>
      <c r="AE67" s="16"/>
      <c r="AF67" s="16"/>
      <c r="AG67" s="16"/>
      <c r="AH67" s="16"/>
      <c r="AI67" s="16"/>
      <c r="AJ67" s="16"/>
      <c r="AK67" s="16"/>
      <c r="AL67" s="16"/>
      <c r="AM67" s="16"/>
      <c r="AN67" s="16"/>
      <c r="AO67" s="16"/>
      <c r="AP67" s="16"/>
      <c r="AQ67" s="16"/>
      <c r="AR67" s="16"/>
      <c r="AS67" s="16"/>
      <c r="AT67" s="16"/>
      <c r="AU67" s="16"/>
      <c r="AV67" s="16"/>
      <c r="AW67" s="16"/>
      <c r="AX67" s="16"/>
      <c r="AY67" s="16"/>
      <c r="AZ67" s="16"/>
      <c r="BA67" s="16"/>
      <c r="BB67" s="16"/>
      <c r="BC67" s="49"/>
      <c r="BD67" s="16"/>
      <c r="BE67" s="16"/>
      <c r="BF67" s="16"/>
      <c r="BG67" s="16"/>
      <c r="BH67" s="16"/>
      <c r="BI67" s="16"/>
      <c r="BJ67" s="16"/>
      <c r="BK67" s="16"/>
      <c r="BL67" s="16"/>
      <c r="BM67" s="16"/>
      <c r="BN67" s="16"/>
      <c r="BO67" s="16"/>
      <c r="BP67" s="16"/>
      <c r="BQ67" s="16"/>
      <c r="BR67" s="16"/>
      <c r="BS67" s="16"/>
    </row>
    <row r="68" spans="1:71" ht="14.25" customHeight="1">
      <c r="A68" s="16"/>
      <c r="B68" s="16"/>
      <c r="C68" s="16"/>
      <c r="D68" s="16"/>
      <c r="E68" s="16"/>
      <c r="F68" s="16"/>
      <c r="G68" s="16"/>
      <c r="H68" s="16"/>
      <c r="I68" s="16"/>
      <c r="J68" s="16"/>
      <c r="K68" s="16"/>
      <c r="L68" s="16"/>
      <c r="M68" s="16"/>
      <c r="N68" s="16"/>
      <c r="O68" s="16"/>
      <c r="P68" s="16"/>
      <c r="Q68" s="16"/>
      <c r="R68" s="16"/>
      <c r="S68" s="16"/>
      <c r="T68" s="16"/>
      <c r="U68" s="16"/>
      <c r="V68" s="16"/>
      <c r="W68" s="16"/>
      <c r="X68" s="16"/>
      <c r="Y68" s="16"/>
      <c r="Z68" s="16"/>
      <c r="AA68" s="16"/>
      <c r="AB68" s="16"/>
      <c r="AC68" s="16"/>
      <c r="AD68" s="16"/>
      <c r="AE68" s="16"/>
      <c r="AF68" s="16"/>
      <c r="AG68" s="16"/>
      <c r="AH68" s="16"/>
      <c r="AI68" s="16"/>
      <c r="AJ68" s="16"/>
      <c r="AK68" s="16"/>
      <c r="AL68" s="16"/>
      <c r="AM68" s="16"/>
      <c r="AN68" s="16"/>
      <c r="AO68" s="16"/>
      <c r="AP68" s="16"/>
      <c r="AQ68" s="16"/>
      <c r="AR68" s="16"/>
      <c r="AS68" s="16"/>
      <c r="AT68" s="16"/>
      <c r="AU68" s="16"/>
      <c r="AV68" s="16"/>
      <c r="AW68" s="16"/>
      <c r="AX68" s="16"/>
      <c r="AY68" s="16"/>
      <c r="AZ68" s="16"/>
      <c r="BA68" s="16"/>
      <c r="BB68" s="16"/>
      <c r="BC68" s="49"/>
      <c r="BD68" s="16"/>
      <c r="BE68" s="16"/>
      <c r="BF68" s="16"/>
      <c r="BG68" s="16"/>
      <c r="BH68" s="16"/>
      <c r="BI68" s="16"/>
      <c r="BJ68" s="16"/>
      <c r="BK68" s="16"/>
      <c r="BL68" s="16"/>
      <c r="BM68" s="16"/>
      <c r="BN68" s="16"/>
      <c r="BO68" s="16"/>
      <c r="BP68" s="16"/>
      <c r="BQ68" s="16"/>
      <c r="BR68" s="16"/>
      <c r="BS68" s="16"/>
    </row>
    <row r="69" spans="1:71" ht="14.25" customHeight="1">
      <c r="A69" s="16"/>
      <c r="B69" s="16"/>
      <c r="C69" s="16"/>
      <c r="D69" s="16"/>
      <c r="E69" s="16"/>
      <c r="F69" s="16"/>
      <c r="G69" s="16"/>
      <c r="H69" s="16"/>
      <c r="I69" s="16"/>
      <c r="J69" s="16"/>
      <c r="K69" s="16"/>
      <c r="L69" s="16"/>
      <c r="M69" s="16"/>
      <c r="N69" s="16"/>
      <c r="O69" s="16"/>
      <c r="P69" s="16"/>
      <c r="Q69" s="16"/>
      <c r="R69" s="16"/>
      <c r="S69" s="16"/>
      <c r="T69" s="16"/>
      <c r="U69" s="16"/>
      <c r="V69" s="16"/>
      <c r="W69" s="16"/>
      <c r="X69" s="16"/>
      <c r="Y69" s="16"/>
      <c r="Z69" s="16"/>
      <c r="AA69" s="16"/>
      <c r="AB69" s="16"/>
      <c r="AC69" s="16"/>
      <c r="AD69" s="16"/>
      <c r="AE69" s="16"/>
      <c r="AF69" s="16"/>
      <c r="AG69" s="16"/>
      <c r="AH69" s="16"/>
      <c r="AI69" s="16"/>
      <c r="AJ69" s="16"/>
      <c r="AK69" s="16"/>
      <c r="AL69" s="16"/>
      <c r="AM69" s="16"/>
      <c r="AN69" s="16"/>
      <c r="AO69" s="16"/>
      <c r="AP69" s="16"/>
      <c r="AQ69" s="16"/>
      <c r="AR69" s="16"/>
      <c r="AS69" s="16"/>
      <c r="AT69" s="16"/>
      <c r="AU69" s="16"/>
      <c r="AV69" s="16"/>
      <c r="AW69" s="16"/>
      <c r="AX69" s="16"/>
      <c r="AY69" s="16"/>
      <c r="AZ69" s="16"/>
      <c r="BA69" s="16"/>
      <c r="BB69" s="16"/>
      <c r="BC69" s="49"/>
      <c r="BD69" s="16"/>
      <c r="BE69" s="16"/>
      <c r="BF69" s="16"/>
      <c r="BG69" s="16"/>
      <c r="BH69" s="16"/>
      <c r="BI69" s="16"/>
      <c r="BJ69" s="16"/>
      <c r="BK69" s="16"/>
      <c r="BL69" s="16"/>
      <c r="BM69" s="16"/>
      <c r="BN69" s="16"/>
      <c r="BO69" s="16"/>
      <c r="BP69" s="16"/>
      <c r="BQ69" s="16"/>
      <c r="BR69" s="16"/>
      <c r="BS69" s="16"/>
    </row>
    <row r="70" spans="1:71" ht="14.25" customHeight="1">
      <c r="A70" s="16"/>
      <c r="B70" s="16"/>
      <c r="C70" s="16"/>
      <c r="D70" s="16"/>
      <c r="E70" s="16"/>
      <c r="F70" s="16"/>
      <c r="G70" s="16"/>
      <c r="H70" s="16"/>
      <c r="I70" s="16"/>
      <c r="J70" s="16"/>
      <c r="K70" s="16"/>
      <c r="L70" s="16"/>
      <c r="M70" s="16"/>
      <c r="N70" s="16"/>
      <c r="O70" s="16"/>
      <c r="P70" s="16"/>
      <c r="Q70" s="16"/>
      <c r="R70" s="16"/>
      <c r="S70" s="16"/>
      <c r="T70" s="16"/>
      <c r="U70" s="16"/>
      <c r="V70" s="16"/>
      <c r="W70" s="16"/>
      <c r="X70" s="16"/>
      <c r="Y70" s="16"/>
      <c r="Z70" s="16"/>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c r="AZ70" s="16"/>
      <c r="BA70" s="16"/>
      <c r="BB70" s="16"/>
      <c r="BC70" s="49"/>
      <c r="BD70" s="16"/>
      <c r="BE70" s="16"/>
      <c r="BF70" s="16"/>
      <c r="BG70" s="16"/>
      <c r="BH70" s="16"/>
      <c r="BI70" s="16"/>
      <c r="BJ70" s="16"/>
      <c r="BK70" s="16"/>
      <c r="BL70" s="16"/>
      <c r="BM70" s="16"/>
      <c r="BN70" s="16"/>
      <c r="BO70" s="16"/>
      <c r="BP70" s="16"/>
      <c r="BQ70" s="16"/>
      <c r="BR70" s="16"/>
      <c r="BS70" s="16"/>
    </row>
    <row r="71" spans="1:71" ht="14.25" customHeight="1">
      <c r="A71" s="16"/>
      <c r="B71" s="16"/>
      <c r="C71" s="16"/>
      <c r="D71" s="16"/>
      <c r="E71" s="16"/>
      <c r="F71" s="16"/>
      <c r="G71" s="16"/>
      <c r="H71" s="16"/>
      <c r="I71" s="16"/>
      <c r="J71" s="16"/>
      <c r="K71" s="16"/>
      <c r="L71" s="16"/>
      <c r="M71" s="16"/>
      <c r="N71" s="16"/>
      <c r="O71" s="16"/>
      <c r="P71" s="16"/>
      <c r="Q71" s="16"/>
      <c r="R71" s="16"/>
      <c r="S71" s="16"/>
      <c r="T71" s="16"/>
      <c r="U71" s="16"/>
      <c r="V71" s="16"/>
      <c r="W71" s="16"/>
      <c r="X71" s="16"/>
      <c r="Y71" s="16"/>
      <c r="Z71" s="16"/>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c r="BA71" s="16"/>
      <c r="BB71" s="16"/>
      <c r="BC71" s="49"/>
      <c r="BD71" s="16"/>
      <c r="BE71" s="16"/>
      <c r="BF71" s="16"/>
      <c r="BG71" s="16"/>
      <c r="BH71" s="16"/>
      <c r="BI71" s="16"/>
      <c r="BJ71" s="16"/>
      <c r="BK71" s="16"/>
      <c r="BL71" s="16"/>
      <c r="BM71" s="16"/>
      <c r="BN71" s="16"/>
      <c r="BO71" s="16"/>
      <c r="BP71" s="16"/>
      <c r="BQ71" s="16"/>
      <c r="BR71" s="16"/>
      <c r="BS71" s="16"/>
    </row>
    <row r="72" spans="1:71" ht="14.25" customHeight="1">
      <c r="A72" s="16"/>
      <c r="B72" s="16"/>
      <c r="C72" s="16"/>
      <c r="D72" s="16"/>
      <c r="E72" s="16"/>
      <c r="F72" s="16"/>
      <c r="G72" s="16"/>
      <c r="H72" s="16"/>
      <c r="I72" s="16"/>
      <c r="J72" s="16"/>
      <c r="K72" s="16"/>
      <c r="L72" s="16"/>
      <c r="M72" s="16"/>
      <c r="N72" s="16"/>
      <c r="O72" s="16"/>
      <c r="P72" s="16"/>
      <c r="Q72" s="16"/>
      <c r="R72" s="16"/>
      <c r="S72" s="16"/>
      <c r="T72" s="16"/>
      <c r="U72" s="16"/>
      <c r="V72" s="16"/>
      <c r="W72" s="16"/>
      <c r="X72" s="16"/>
      <c r="Y72" s="16"/>
      <c r="Z72" s="16"/>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16"/>
      <c r="AY72" s="16"/>
      <c r="AZ72" s="16"/>
      <c r="BA72" s="16"/>
      <c r="BB72" s="16"/>
      <c r="BC72" s="49"/>
      <c r="BD72" s="16"/>
      <c r="BE72" s="16"/>
      <c r="BF72" s="16"/>
      <c r="BG72" s="16"/>
      <c r="BH72" s="16"/>
      <c r="BI72" s="16"/>
      <c r="BJ72" s="16"/>
      <c r="BK72" s="16"/>
      <c r="BL72" s="16"/>
      <c r="BM72" s="16"/>
      <c r="BN72" s="16"/>
      <c r="BO72" s="16"/>
      <c r="BP72" s="16"/>
      <c r="BQ72" s="16"/>
      <c r="BR72" s="16"/>
      <c r="BS72" s="16"/>
    </row>
    <row r="73" spans="1:71" ht="14.25" customHeight="1">
      <c r="A73" s="16"/>
      <c r="B73" s="16"/>
      <c r="C73" s="16"/>
      <c r="D73" s="16"/>
      <c r="E73" s="16"/>
      <c r="F73" s="16"/>
      <c r="G73" s="16"/>
      <c r="H73" s="16"/>
      <c r="I73" s="16"/>
      <c r="J73" s="16"/>
      <c r="K73" s="16"/>
      <c r="L73" s="16"/>
      <c r="M73" s="16"/>
      <c r="N73" s="16"/>
      <c r="O73" s="16"/>
      <c r="P73" s="16"/>
      <c r="Q73" s="16"/>
      <c r="R73" s="16"/>
      <c r="S73" s="16"/>
      <c r="T73" s="16"/>
      <c r="U73" s="16"/>
      <c r="V73" s="16"/>
      <c r="W73" s="16"/>
      <c r="X73" s="16"/>
      <c r="Y73" s="16"/>
      <c r="Z73" s="16"/>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16"/>
      <c r="AY73" s="16"/>
      <c r="AZ73" s="16"/>
      <c r="BA73" s="16"/>
      <c r="BB73" s="16"/>
      <c r="BC73" s="49"/>
      <c r="BD73" s="16"/>
      <c r="BE73" s="16"/>
      <c r="BF73" s="16"/>
      <c r="BG73" s="16"/>
      <c r="BH73" s="16"/>
      <c r="BI73" s="16"/>
      <c r="BJ73" s="16"/>
      <c r="BK73" s="16"/>
      <c r="BL73" s="16"/>
      <c r="BM73" s="16"/>
      <c r="BN73" s="16"/>
      <c r="BO73" s="16"/>
      <c r="BP73" s="16"/>
      <c r="BQ73" s="16"/>
      <c r="BR73" s="16"/>
      <c r="BS73" s="16"/>
    </row>
    <row r="74" spans="1:71" ht="14.25" customHeight="1">
      <c r="A74" s="16"/>
      <c r="B74" s="16"/>
      <c r="C74" s="16"/>
      <c r="D74" s="16"/>
      <c r="E74" s="16"/>
      <c r="F74" s="16"/>
      <c r="G74" s="16"/>
      <c r="H74" s="16"/>
      <c r="I74" s="16"/>
      <c r="J74" s="16"/>
      <c r="K74" s="16"/>
      <c r="L74" s="16"/>
      <c r="M74" s="16"/>
      <c r="N74" s="16"/>
      <c r="O74" s="16"/>
      <c r="P74" s="16"/>
      <c r="Q74" s="16"/>
      <c r="R74" s="16"/>
      <c r="S74" s="16"/>
      <c r="T74" s="16"/>
      <c r="U74" s="16"/>
      <c r="V74" s="16"/>
      <c r="W74" s="16"/>
      <c r="X74" s="16"/>
      <c r="Y74" s="16"/>
      <c r="Z74" s="16"/>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6"/>
      <c r="AZ74" s="16"/>
      <c r="BA74" s="16"/>
      <c r="BB74" s="16"/>
      <c r="BC74" s="49"/>
      <c r="BD74" s="16"/>
      <c r="BE74" s="16"/>
      <c r="BF74" s="16"/>
      <c r="BG74" s="16"/>
      <c r="BH74" s="16"/>
      <c r="BI74" s="16"/>
      <c r="BJ74" s="16"/>
      <c r="BK74" s="16"/>
      <c r="BL74" s="16"/>
      <c r="BM74" s="16"/>
      <c r="BN74" s="16"/>
      <c r="BO74" s="16"/>
      <c r="BP74" s="16"/>
      <c r="BQ74" s="16"/>
      <c r="BR74" s="16"/>
      <c r="BS74" s="16"/>
    </row>
    <row r="75" spans="1:71" ht="14.25" customHeight="1">
      <c r="A75" s="16"/>
      <c r="B75" s="16"/>
      <c r="C75" s="16"/>
      <c r="D75" s="16"/>
      <c r="E75" s="16"/>
      <c r="F75" s="16"/>
      <c r="G75" s="16"/>
      <c r="H75" s="16"/>
      <c r="I75" s="16"/>
      <c r="J75" s="16"/>
      <c r="K75" s="16"/>
      <c r="L75" s="16"/>
      <c r="M75" s="16"/>
      <c r="N75" s="16"/>
      <c r="O75" s="16"/>
      <c r="P75" s="16"/>
      <c r="Q75" s="16"/>
      <c r="R75" s="16"/>
      <c r="S75" s="16"/>
      <c r="T75" s="16"/>
      <c r="U75" s="16"/>
      <c r="V75" s="16"/>
      <c r="W75" s="16"/>
      <c r="X75" s="16"/>
      <c r="Y75" s="16"/>
      <c r="Z75" s="16"/>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16"/>
      <c r="AY75" s="16"/>
      <c r="AZ75" s="16"/>
      <c r="BA75" s="16"/>
      <c r="BB75" s="16"/>
      <c r="BC75" s="49"/>
      <c r="BD75" s="16"/>
      <c r="BE75" s="16"/>
      <c r="BF75" s="16"/>
      <c r="BG75" s="16"/>
      <c r="BH75" s="16"/>
      <c r="BI75" s="16"/>
      <c r="BJ75" s="16"/>
      <c r="BK75" s="16"/>
      <c r="BL75" s="16"/>
      <c r="BM75" s="16"/>
      <c r="BN75" s="16"/>
      <c r="BO75" s="16"/>
      <c r="BP75" s="16"/>
      <c r="BQ75" s="16"/>
      <c r="BR75" s="16"/>
      <c r="BS75" s="16"/>
    </row>
    <row r="76" spans="1:71" ht="14.25" customHeight="1">
      <c r="A76" s="16"/>
      <c r="B76" s="16"/>
      <c r="C76" s="16"/>
      <c r="D76" s="16"/>
      <c r="E76" s="16"/>
      <c r="F76" s="16"/>
      <c r="G76" s="16"/>
      <c r="H76" s="16"/>
      <c r="I76" s="16"/>
      <c r="J76" s="16"/>
      <c r="K76" s="16"/>
      <c r="L76" s="16"/>
      <c r="M76" s="16"/>
      <c r="N76" s="16"/>
      <c r="O76" s="16"/>
      <c r="P76" s="16"/>
      <c r="Q76" s="16"/>
      <c r="R76" s="16"/>
      <c r="S76" s="16"/>
      <c r="T76" s="16"/>
      <c r="U76" s="16"/>
      <c r="V76" s="16"/>
      <c r="W76" s="16"/>
      <c r="X76" s="16"/>
      <c r="Y76" s="16"/>
      <c r="Z76" s="16"/>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16"/>
      <c r="AY76" s="16"/>
      <c r="AZ76" s="16"/>
      <c r="BA76" s="16"/>
      <c r="BB76" s="16"/>
      <c r="BC76" s="49"/>
      <c r="BD76" s="16"/>
      <c r="BE76" s="16"/>
      <c r="BF76" s="16"/>
      <c r="BG76" s="16"/>
      <c r="BH76" s="16"/>
      <c r="BI76" s="16"/>
      <c r="BJ76" s="16"/>
      <c r="BK76" s="16"/>
      <c r="BL76" s="16"/>
      <c r="BM76" s="16"/>
      <c r="BN76" s="16"/>
      <c r="BO76" s="16"/>
      <c r="BP76" s="16"/>
      <c r="BQ76" s="16"/>
      <c r="BR76" s="16"/>
      <c r="BS76" s="16"/>
    </row>
    <row r="77" spans="1:71" ht="14.25" customHeight="1">
      <c r="A77" s="16"/>
      <c r="B77" s="16"/>
      <c r="C77" s="16"/>
      <c r="D77" s="16"/>
      <c r="E77" s="16"/>
      <c r="F77" s="16"/>
      <c r="G77" s="16"/>
      <c r="H77" s="16"/>
      <c r="I77" s="16"/>
      <c r="J77" s="16"/>
      <c r="K77" s="16"/>
      <c r="L77" s="16"/>
      <c r="M77" s="16"/>
      <c r="N77" s="16"/>
      <c r="O77" s="16"/>
      <c r="P77" s="16"/>
      <c r="Q77" s="16"/>
      <c r="R77" s="16"/>
      <c r="S77" s="16"/>
      <c r="T77" s="16"/>
      <c r="U77" s="16"/>
      <c r="V77" s="16"/>
      <c r="W77" s="16"/>
      <c r="X77" s="16"/>
      <c r="Y77" s="16"/>
      <c r="Z77" s="16"/>
      <c r="AA77" s="16"/>
      <c r="AB77" s="16"/>
      <c r="AC77" s="16"/>
      <c r="AD77" s="16"/>
      <c r="AE77" s="16"/>
      <c r="AF77" s="16"/>
      <c r="AG77" s="16"/>
      <c r="AH77" s="16"/>
      <c r="AI77" s="16"/>
      <c r="AJ77" s="16"/>
      <c r="AK77" s="16"/>
      <c r="AL77" s="16"/>
      <c r="AM77" s="16"/>
      <c r="AN77" s="16"/>
      <c r="AO77" s="16"/>
      <c r="AP77" s="16"/>
      <c r="AQ77" s="16"/>
      <c r="AR77" s="16"/>
      <c r="AS77" s="16"/>
      <c r="AT77" s="16"/>
      <c r="AU77" s="16"/>
      <c r="AV77" s="16"/>
      <c r="AW77" s="16"/>
      <c r="AX77" s="16"/>
      <c r="AY77" s="16"/>
      <c r="AZ77" s="16"/>
      <c r="BA77" s="16"/>
      <c r="BB77" s="16"/>
      <c r="BC77" s="49"/>
      <c r="BD77" s="16"/>
      <c r="BE77" s="16"/>
      <c r="BF77" s="16"/>
      <c r="BG77" s="16"/>
      <c r="BH77" s="16"/>
      <c r="BI77" s="16"/>
      <c r="BJ77" s="16"/>
      <c r="BK77" s="16"/>
      <c r="BL77" s="16"/>
      <c r="BM77" s="16"/>
      <c r="BN77" s="16"/>
      <c r="BO77" s="16"/>
      <c r="BP77" s="16"/>
      <c r="BQ77" s="16"/>
      <c r="BR77" s="16"/>
      <c r="BS77" s="16"/>
    </row>
    <row r="78" spans="1:71" ht="14.25" customHeight="1">
      <c r="A78" s="16"/>
      <c r="B78" s="16"/>
      <c r="C78" s="16"/>
      <c r="D78" s="16"/>
      <c r="E78" s="16"/>
      <c r="F78" s="16"/>
      <c r="G78" s="16"/>
      <c r="H78" s="16"/>
      <c r="I78" s="16"/>
      <c r="J78" s="16"/>
      <c r="K78" s="16"/>
      <c r="L78" s="16"/>
      <c r="M78" s="16"/>
      <c r="N78" s="16"/>
      <c r="O78" s="16"/>
      <c r="P78" s="16"/>
      <c r="Q78" s="16"/>
      <c r="R78" s="16"/>
      <c r="S78" s="16"/>
      <c r="T78" s="16"/>
      <c r="U78" s="16"/>
      <c r="V78" s="16"/>
      <c r="W78" s="16"/>
      <c r="X78" s="16"/>
      <c r="Y78" s="16"/>
      <c r="Z78" s="16"/>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c r="AZ78" s="16"/>
      <c r="BA78" s="16"/>
      <c r="BB78" s="16"/>
      <c r="BC78" s="49"/>
      <c r="BD78" s="16"/>
      <c r="BE78" s="16"/>
      <c r="BF78" s="16"/>
      <c r="BG78" s="16"/>
      <c r="BH78" s="16"/>
      <c r="BI78" s="16"/>
      <c r="BJ78" s="16"/>
      <c r="BK78" s="16"/>
      <c r="BL78" s="16"/>
      <c r="BM78" s="16"/>
      <c r="BN78" s="16"/>
      <c r="BO78" s="16"/>
      <c r="BP78" s="16"/>
      <c r="BQ78" s="16"/>
      <c r="BR78" s="16"/>
      <c r="BS78" s="16"/>
    </row>
    <row r="79" spans="1:71" ht="14.25" customHeight="1">
      <c r="A79" s="16"/>
      <c r="B79" s="16"/>
      <c r="C79" s="16"/>
      <c r="D79" s="16"/>
      <c r="E79" s="16"/>
      <c r="F79" s="16"/>
      <c r="G79" s="16"/>
      <c r="H79" s="16"/>
      <c r="I79" s="16"/>
      <c r="J79" s="16"/>
      <c r="K79" s="16"/>
      <c r="L79" s="16"/>
      <c r="M79" s="16"/>
      <c r="N79" s="16"/>
      <c r="O79" s="16"/>
      <c r="P79" s="16"/>
      <c r="Q79" s="16"/>
      <c r="R79" s="16"/>
      <c r="S79" s="16"/>
      <c r="T79" s="16"/>
      <c r="U79" s="16"/>
      <c r="V79" s="16"/>
      <c r="W79" s="16"/>
      <c r="X79" s="16"/>
      <c r="Y79" s="16"/>
      <c r="Z79" s="16"/>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16"/>
      <c r="AY79" s="16"/>
      <c r="AZ79" s="16"/>
      <c r="BA79" s="16"/>
      <c r="BB79" s="16"/>
      <c r="BC79" s="49"/>
      <c r="BD79" s="16"/>
      <c r="BE79" s="16"/>
      <c r="BF79" s="16"/>
      <c r="BG79" s="16"/>
      <c r="BH79" s="16"/>
      <c r="BI79" s="16"/>
      <c r="BJ79" s="16"/>
      <c r="BK79" s="16"/>
      <c r="BL79" s="16"/>
      <c r="BM79" s="16"/>
      <c r="BN79" s="16"/>
      <c r="BO79" s="16"/>
      <c r="BP79" s="16"/>
      <c r="BQ79" s="16"/>
      <c r="BR79" s="16"/>
      <c r="BS79" s="16"/>
    </row>
    <row r="80" spans="1:71" ht="14.25" customHeight="1">
      <c r="A80" s="16"/>
      <c r="B80" s="16"/>
      <c r="C80" s="16"/>
      <c r="D80" s="16"/>
      <c r="E80" s="16"/>
      <c r="F80" s="16"/>
      <c r="G80" s="16"/>
      <c r="H80" s="16"/>
      <c r="I80" s="16"/>
      <c r="J80" s="16"/>
      <c r="K80" s="16"/>
      <c r="L80" s="16"/>
      <c r="M80" s="16"/>
      <c r="N80" s="16"/>
      <c r="O80" s="16"/>
      <c r="P80" s="16"/>
      <c r="Q80" s="16"/>
      <c r="R80" s="16"/>
      <c r="S80" s="16"/>
      <c r="T80" s="16"/>
      <c r="U80" s="16"/>
      <c r="V80" s="16"/>
      <c r="W80" s="16"/>
      <c r="X80" s="16"/>
      <c r="Y80" s="16"/>
      <c r="Z80" s="16"/>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16"/>
      <c r="AY80" s="16"/>
      <c r="AZ80" s="16"/>
      <c r="BA80" s="16"/>
      <c r="BB80" s="16"/>
      <c r="BC80" s="49"/>
      <c r="BD80" s="16"/>
      <c r="BE80" s="16"/>
      <c r="BF80" s="16"/>
      <c r="BG80" s="16"/>
      <c r="BH80" s="16"/>
      <c r="BI80" s="16"/>
      <c r="BJ80" s="16"/>
      <c r="BK80" s="16"/>
      <c r="BL80" s="16"/>
      <c r="BM80" s="16"/>
      <c r="BN80" s="16"/>
      <c r="BO80" s="16"/>
      <c r="BP80" s="16"/>
      <c r="BQ80" s="16"/>
      <c r="BR80" s="16"/>
      <c r="BS80" s="16"/>
    </row>
    <row r="81" spans="1:71" ht="14.25" customHeight="1">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16"/>
      <c r="AY81" s="16"/>
      <c r="AZ81" s="16"/>
      <c r="BA81" s="16"/>
      <c r="BB81" s="16"/>
      <c r="BC81" s="49"/>
      <c r="BD81" s="16"/>
      <c r="BE81" s="16"/>
      <c r="BF81" s="16"/>
      <c r="BG81" s="16"/>
      <c r="BH81" s="16"/>
      <c r="BI81" s="16"/>
      <c r="BJ81" s="16"/>
      <c r="BK81" s="16"/>
      <c r="BL81" s="16"/>
      <c r="BM81" s="16"/>
      <c r="BN81" s="16"/>
      <c r="BO81" s="16"/>
      <c r="BP81" s="16"/>
      <c r="BQ81" s="16"/>
      <c r="BR81" s="16"/>
      <c r="BS81" s="16"/>
    </row>
    <row r="82" spans="1:71" ht="14.25" customHeight="1">
      <c r="A82" s="16"/>
      <c r="B82" s="16"/>
      <c r="C82" s="16"/>
      <c r="D82" s="16"/>
      <c r="E82" s="16"/>
      <c r="F82" s="16"/>
      <c r="G82" s="16"/>
      <c r="H82" s="16"/>
      <c r="I82" s="16"/>
      <c r="J82" s="16"/>
      <c r="K82" s="16"/>
      <c r="L82" s="16"/>
      <c r="M82" s="16"/>
      <c r="N82" s="16"/>
      <c r="O82" s="16"/>
      <c r="P82" s="16"/>
      <c r="Q82" s="16"/>
      <c r="R82" s="16"/>
      <c r="S82" s="16"/>
      <c r="T82" s="16"/>
      <c r="U82" s="16"/>
      <c r="V82" s="16"/>
      <c r="W82" s="16"/>
      <c r="X82" s="16"/>
      <c r="Y82" s="16"/>
      <c r="Z82" s="16"/>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c r="BA82" s="16"/>
      <c r="BB82" s="16"/>
      <c r="BC82" s="49"/>
      <c r="BD82" s="16"/>
      <c r="BE82" s="16"/>
      <c r="BF82" s="16"/>
      <c r="BG82" s="16"/>
      <c r="BH82" s="16"/>
      <c r="BI82" s="16"/>
      <c r="BJ82" s="16"/>
      <c r="BK82" s="16"/>
      <c r="BL82" s="16"/>
      <c r="BM82" s="16"/>
      <c r="BN82" s="16"/>
      <c r="BO82" s="16"/>
      <c r="BP82" s="16"/>
      <c r="BQ82" s="16"/>
      <c r="BR82" s="16"/>
      <c r="BS82" s="16"/>
    </row>
    <row r="83" spans="1:71" ht="14.25" customHeight="1">
      <c r="A83" s="16"/>
      <c r="B83" s="16"/>
      <c r="C83" s="16"/>
      <c r="D83" s="16"/>
      <c r="E83" s="16"/>
      <c r="F83" s="16"/>
      <c r="G83" s="16"/>
      <c r="H83" s="16"/>
      <c r="I83" s="16"/>
      <c r="J83" s="16"/>
      <c r="K83" s="16"/>
      <c r="L83" s="16"/>
      <c r="M83" s="16"/>
      <c r="N83" s="16"/>
      <c r="O83" s="16"/>
      <c r="P83" s="16"/>
      <c r="Q83" s="16"/>
      <c r="R83" s="16"/>
      <c r="S83" s="16"/>
      <c r="T83" s="16"/>
      <c r="U83" s="16"/>
      <c r="V83" s="16"/>
      <c r="W83" s="16"/>
      <c r="X83" s="16"/>
      <c r="Y83" s="16"/>
      <c r="Z83" s="16"/>
      <c r="AA83" s="16"/>
      <c r="AB83" s="16"/>
      <c r="AC83" s="16"/>
      <c r="AD83" s="16"/>
      <c r="AE83" s="16"/>
      <c r="AF83" s="16"/>
      <c r="AG83" s="16"/>
      <c r="AH83" s="16"/>
      <c r="AI83" s="16"/>
      <c r="AJ83" s="16"/>
      <c r="AK83" s="16"/>
      <c r="AL83" s="16"/>
      <c r="AM83" s="16"/>
      <c r="AN83" s="16"/>
      <c r="AO83" s="16"/>
      <c r="AP83" s="16"/>
      <c r="AQ83" s="16"/>
      <c r="AR83" s="16"/>
      <c r="AS83" s="16"/>
      <c r="AT83" s="16"/>
      <c r="AU83" s="16"/>
      <c r="AV83" s="16"/>
      <c r="AW83" s="16"/>
      <c r="AX83" s="16"/>
      <c r="AY83" s="16"/>
      <c r="AZ83" s="16"/>
      <c r="BA83" s="16"/>
      <c r="BB83" s="16"/>
      <c r="BC83" s="49"/>
      <c r="BD83" s="16"/>
      <c r="BE83" s="16"/>
      <c r="BF83" s="16"/>
      <c r="BG83" s="16"/>
      <c r="BH83" s="16"/>
      <c r="BI83" s="16"/>
      <c r="BJ83" s="16"/>
      <c r="BK83" s="16"/>
      <c r="BL83" s="16"/>
      <c r="BM83" s="16"/>
      <c r="BN83" s="16"/>
      <c r="BO83" s="16"/>
      <c r="BP83" s="16"/>
      <c r="BQ83" s="16"/>
      <c r="BR83" s="16"/>
      <c r="BS83" s="16"/>
    </row>
    <row r="84" spans="1:71" ht="14.25" customHeight="1">
      <c r="A84" s="16"/>
      <c r="B84" s="16"/>
      <c r="C84" s="16"/>
      <c r="D84" s="16"/>
      <c r="E84" s="16"/>
      <c r="F84" s="16"/>
      <c r="G84" s="16"/>
      <c r="H84" s="16"/>
      <c r="I84" s="16"/>
      <c r="J84" s="16"/>
      <c r="K84" s="16"/>
      <c r="L84" s="16"/>
      <c r="M84" s="16"/>
      <c r="N84" s="16"/>
      <c r="O84" s="16"/>
      <c r="P84" s="16"/>
      <c r="Q84" s="16"/>
      <c r="R84" s="16"/>
      <c r="S84" s="16"/>
      <c r="T84" s="16"/>
      <c r="U84" s="16"/>
      <c r="V84" s="16"/>
      <c r="W84" s="16"/>
      <c r="X84" s="16"/>
      <c r="Y84" s="16"/>
      <c r="Z84" s="16"/>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16"/>
      <c r="AY84" s="16"/>
      <c r="AZ84" s="16"/>
      <c r="BA84" s="16"/>
      <c r="BB84" s="16"/>
      <c r="BC84" s="49"/>
      <c r="BD84" s="16"/>
      <c r="BE84" s="16"/>
      <c r="BF84" s="16"/>
      <c r="BG84" s="16"/>
      <c r="BH84" s="16"/>
      <c r="BI84" s="16"/>
      <c r="BJ84" s="16"/>
      <c r="BK84" s="16"/>
      <c r="BL84" s="16"/>
      <c r="BM84" s="16"/>
      <c r="BN84" s="16"/>
      <c r="BO84" s="16"/>
      <c r="BP84" s="16"/>
      <c r="BQ84" s="16"/>
      <c r="BR84" s="16"/>
      <c r="BS84" s="16"/>
    </row>
    <row r="85" spans="1:71" ht="14.25" customHeight="1">
      <c r="A85" s="16"/>
      <c r="B85" s="16"/>
      <c r="C85" s="16"/>
      <c r="D85" s="16"/>
      <c r="E85" s="16"/>
      <c r="F85" s="16"/>
      <c r="G85" s="16"/>
      <c r="H85" s="16"/>
      <c r="I85" s="16"/>
      <c r="J85" s="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c r="BA85" s="16"/>
      <c r="BB85" s="16"/>
      <c r="BC85" s="49"/>
      <c r="BD85" s="16"/>
      <c r="BE85" s="16"/>
      <c r="BF85" s="16"/>
      <c r="BG85" s="16"/>
      <c r="BH85" s="16"/>
      <c r="BI85" s="16"/>
      <c r="BJ85" s="16"/>
      <c r="BK85" s="16"/>
      <c r="BL85" s="16"/>
      <c r="BM85" s="16"/>
      <c r="BN85" s="16"/>
      <c r="BO85" s="16"/>
      <c r="BP85" s="16"/>
      <c r="BQ85" s="16"/>
      <c r="BR85" s="16"/>
      <c r="BS85" s="16"/>
    </row>
    <row r="86" spans="1:71" ht="14.25" customHeight="1">
      <c r="A86" s="16"/>
      <c r="B86" s="16"/>
      <c r="C86" s="16"/>
      <c r="D86" s="16"/>
      <c r="E86" s="16"/>
      <c r="F86" s="16"/>
      <c r="G86" s="16"/>
      <c r="H86" s="16"/>
      <c r="I86" s="16"/>
      <c r="J86" s="16"/>
      <c r="K86" s="16"/>
      <c r="L86" s="16"/>
      <c r="M86" s="16"/>
      <c r="N86" s="16"/>
      <c r="O86" s="16"/>
      <c r="P86" s="16"/>
      <c r="Q86" s="16"/>
      <c r="R86" s="16"/>
      <c r="S86" s="16"/>
      <c r="T86" s="16"/>
      <c r="U86" s="16"/>
      <c r="V86" s="16"/>
      <c r="W86" s="16"/>
      <c r="X86" s="16"/>
      <c r="Y86" s="16"/>
      <c r="Z86" s="16"/>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16"/>
      <c r="AY86" s="16"/>
      <c r="AZ86" s="16"/>
      <c r="BA86" s="16"/>
      <c r="BB86" s="16"/>
      <c r="BC86" s="49"/>
      <c r="BD86" s="16"/>
      <c r="BE86" s="16"/>
      <c r="BF86" s="16"/>
      <c r="BG86" s="16"/>
      <c r="BH86" s="16"/>
      <c r="BI86" s="16"/>
      <c r="BJ86" s="16"/>
      <c r="BK86" s="16"/>
      <c r="BL86" s="16"/>
      <c r="BM86" s="16"/>
      <c r="BN86" s="16"/>
      <c r="BO86" s="16"/>
      <c r="BP86" s="16"/>
      <c r="BQ86" s="16"/>
      <c r="BR86" s="16"/>
      <c r="BS86" s="16"/>
    </row>
    <row r="87" spans="1:71" ht="14.25" customHeight="1">
      <c r="A87" s="16"/>
      <c r="B87" s="16"/>
      <c r="C87" s="16"/>
      <c r="D87" s="16"/>
      <c r="E87" s="16"/>
      <c r="F87" s="16"/>
      <c r="G87" s="16"/>
      <c r="H87" s="16"/>
      <c r="I87" s="16"/>
      <c r="J87" s="16"/>
      <c r="K87" s="16"/>
      <c r="L87" s="16"/>
      <c r="M87" s="16"/>
      <c r="N87" s="16"/>
      <c r="O87" s="16"/>
      <c r="P87" s="16"/>
      <c r="Q87" s="16"/>
      <c r="R87" s="16"/>
      <c r="S87" s="16"/>
      <c r="T87" s="16"/>
      <c r="U87" s="16"/>
      <c r="V87" s="16"/>
      <c r="W87" s="16"/>
      <c r="X87" s="16"/>
      <c r="Y87" s="16"/>
      <c r="Z87" s="16"/>
      <c r="AA87" s="16"/>
      <c r="AB87" s="16"/>
      <c r="AC87" s="16"/>
      <c r="AD87" s="16"/>
      <c r="AE87" s="16"/>
      <c r="AF87" s="16"/>
      <c r="AG87" s="16"/>
      <c r="AH87" s="16"/>
      <c r="AI87" s="16"/>
      <c r="AJ87" s="16"/>
      <c r="AK87" s="16"/>
      <c r="AL87" s="16"/>
      <c r="AM87" s="16"/>
      <c r="AN87" s="16"/>
      <c r="AO87" s="16"/>
      <c r="AP87" s="16"/>
      <c r="AQ87" s="16"/>
      <c r="AR87" s="16"/>
      <c r="AS87" s="16"/>
      <c r="AT87" s="16"/>
      <c r="AU87" s="16"/>
      <c r="AV87" s="16"/>
      <c r="AW87" s="16"/>
      <c r="AX87" s="16"/>
      <c r="AY87" s="16"/>
      <c r="AZ87" s="16"/>
      <c r="BA87" s="16"/>
      <c r="BB87" s="16"/>
      <c r="BC87" s="49"/>
      <c r="BD87" s="16"/>
      <c r="BE87" s="16"/>
      <c r="BF87" s="16"/>
      <c r="BG87" s="16"/>
      <c r="BH87" s="16"/>
      <c r="BI87" s="16"/>
      <c r="BJ87" s="16"/>
      <c r="BK87" s="16"/>
      <c r="BL87" s="16"/>
      <c r="BM87" s="16"/>
      <c r="BN87" s="16"/>
      <c r="BO87" s="16"/>
      <c r="BP87" s="16"/>
      <c r="BQ87" s="16"/>
      <c r="BR87" s="16"/>
      <c r="BS87" s="16"/>
    </row>
    <row r="88" spans="1:71" ht="14.25" customHeight="1">
      <c r="A88" s="16"/>
      <c r="B88" s="16"/>
      <c r="C88" s="16"/>
      <c r="D88" s="16"/>
      <c r="E88" s="16"/>
      <c r="F88" s="16"/>
      <c r="G88" s="16"/>
      <c r="H88" s="16"/>
      <c r="I88" s="16"/>
      <c r="J88" s="16"/>
      <c r="K88" s="16"/>
      <c r="L88" s="16"/>
      <c r="M88" s="16"/>
      <c r="N88" s="16"/>
      <c r="O88" s="16"/>
      <c r="P88" s="16"/>
      <c r="Q88" s="16"/>
      <c r="R88" s="16"/>
      <c r="S88" s="16"/>
      <c r="T88" s="16"/>
      <c r="U88" s="16"/>
      <c r="V88" s="16"/>
      <c r="W88" s="16"/>
      <c r="X88" s="16"/>
      <c r="Y88" s="16"/>
      <c r="Z88" s="16"/>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16"/>
      <c r="AZ88" s="16"/>
      <c r="BA88" s="16"/>
      <c r="BB88" s="16"/>
      <c r="BC88" s="49"/>
      <c r="BD88" s="16"/>
      <c r="BE88" s="16"/>
      <c r="BF88" s="16"/>
      <c r="BG88" s="16"/>
      <c r="BH88" s="16"/>
      <c r="BI88" s="16"/>
      <c r="BJ88" s="16"/>
      <c r="BK88" s="16"/>
      <c r="BL88" s="16"/>
      <c r="BM88" s="16"/>
      <c r="BN88" s="16"/>
      <c r="BO88" s="16"/>
      <c r="BP88" s="16"/>
      <c r="BQ88" s="16"/>
      <c r="BR88" s="16"/>
      <c r="BS88" s="16"/>
    </row>
    <row r="89" spans="1:71" ht="14.25" customHeight="1">
      <c r="A89" s="16"/>
      <c r="B89" s="16"/>
      <c r="C89" s="16"/>
      <c r="D89" s="16"/>
      <c r="E89" s="16"/>
      <c r="F89" s="16"/>
      <c r="G89" s="16"/>
      <c r="H89" s="16"/>
      <c r="I89" s="16"/>
      <c r="J89" s="16"/>
      <c r="K89" s="16"/>
      <c r="L89" s="16"/>
      <c r="M89" s="16"/>
      <c r="N89" s="16"/>
      <c r="O89" s="16"/>
      <c r="P89" s="16"/>
      <c r="Q89" s="16"/>
      <c r="R89" s="16"/>
      <c r="S89" s="16"/>
      <c r="T89" s="16"/>
      <c r="U89" s="16"/>
      <c r="V89" s="16"/>
      <c r="W89" s="16"/>
      <c r="X89" s="16"/>
      <c r="Y89" s="16"/>
      <c r="Z89" s="1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6"/>
      <c r="AY89" s="16"/>
      <c r="AZ89" s="16"/>
      <c r="BA89" s="16"/>
      <c r="BB89" s="16"/>
      <c r="BC89" s="49"/>
      <c r="BD89" s="16"/>
      <c r="BE89" s="16"/>
      <c r="BF89" s="16"/>
      <c r="BG89" s="16"/>
      <c r="BH89" s="16"/>
      <c r="BI89" s="16"/>
      <c r="BJ89" s="16"/>
      <c r="BK89" s="16"/>
      <c r="BL89" s="16"/>
      <c r="BM89" s="16"/>
      <c r="BN89" s="16"/>
      <c r="BO89" s="16"/>
      <c r="BP89" s="16"/>
      <c r="BQ89" s="16"/>
      <c r="BR89" s="16"/>
      <c r="BS89" s="16"/>
    </row>
    <row r="90" spans="1:71" ht="14.25" customHeight="1">
      <c r="A90" s="16"/>
      <c r="B90" s="16"/>
      <c r="C90" s="16"/>
      <c r="D90" s="16"/>
      <c r="E90" s="16"/>
      <c r="F90" s="16"/>
      <c r="G90" s="16"/>
      <c r="H90" s="16"/>
      <c r="I90" s="16"/>
      <c r="J90" s="16"/>
      <c r="K90" s="16"/>
      <c r="L90" s="16"/>
      <c r="M90" s="16"/>
      <c r="N90" s="16"/>
      <c r="O90" s="16"/>
      <c r="P90" s="16"/>
      <c r="Q90" s="16"/>
      <c r="R90" s="16"/>
      <c r="S90" s="16"/>
      <c r="T90" s="16"/>
      <c r="U90" s="16"/>
      <c r="V90" s="16"/>
      <c r="W90" s="16"/>
      <c r="X90" s="16"/>
      <c r="Y90" s="16"/>
      <c r="Z90" s="1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6"/>
      <c r="BA90" s="16"/>
      <c r="BB90" s="16"/>
      <c r="BC90" s="49"/>
      <c r="BD90" s="16"/>
      <c r="BE90" s="16"/>
      <c r="BF90" s="16"/>
      <c r="BG90" s="16"/>
      <c r="BH90" s="16"/>
      <c r="BI90" s="16"/>
      <c r="BJ90" s="16"/>
      <c r="BK90" s="16"/>
      <c r="BL90" s="16"/>
      <c r="BM90" s="16"/>
      <c r="BN90" s="16"/>
      <c r="BO90" s="16"/>
      <c r="BP90" s="16"/>
      <c r="BQ90" s="16"/>
      <c r="BR90" s="16"/>
      <c r="BS90" s="16"/>
    </row>
    <row r="91" spans="1:71" ht="14.25" customHeight="1">
      <c r="A91" s="16"/>
      <c r="B91" s="16"/>
      <c r="C91" s="16"/>
      <c r="D91" s="16"/>
      <c r="E91" s="16"/>
      <c r="F91" s="16"/>
      <c r="G91" s="16"/>
      <c r="H91" s="16"/>
      <c r="I91" s="16"/>
      <c r="J91" s="16"/>
      <c r="K91" s="16"/>
      <c r="L91" s="16"/>
      <c r="M91" s="16"/>
      <c r="N91" s="16"/>
      <c r="O91" s="16"/>
      <c r="P91" s="16"/>
      <c r="Q91" s="16"/>
      <c r="R91" s="16"/>
      <c r="S91" s="16"/>
      <c r="T91" s="16"/>
      <c r="U91" s="16"/>
      <c r="V91" s="16"/>
      <c r="W91" s="16"/>
      <c r="X91" s="16"/>
      <c r="Y91" s="16"/>
      <c r="Z91" s="1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6"/>
      <c r="BA91" s="16"/>
      <c r="BB91" s="16"/>
      <c r="BC91" s="49"/>
      <c r="BD91" s="16"/>
      <c r="BE91" s="16"/>
      <c r="BF91" s="16"/>
      <c r="BG91" s="16"/>
      <c r="BH91" s="16"/>
      <c r="BI91" s="16"/>
      <c r="BJ91" s="16"/>
      <c r="BK91" s="16"/>
      <c r="BL91" s="16"/>
      <c r="BM91" s="16"/>
      <c r="BN91" s="16"/>
      <c r="BO91" s="16"/>
      <c r="BP91" s="16"/>
      <c r="BQ91" s="16"/>
      <c r="BR91" s="16"/>
      <c r="BS91" s="16"/>
    </row>
    <row r="92" spans="1:71" ht="14.25" customHeight="1">
      <c r="A92" s="16"/>
      <c r="B92" s="16"/>
      <c r="C92" s="16"/>
      <c r="D92" s="16"/>
      <c r="E92" s="16"/>
      <c r="F92" s="16"/>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16"/>
      <c r="AU92" s="16"/>
      <c r="AV92" s="16"/>
      <c r="AW92" s="16"/>
      <c r="AX92" s="16"/>
      <c r="AY92" s="16"/>
      <c r="AZ92" s="16"/>
      <c r="BA92" s="16"/>
      <c r="BB92" s="16"/>
      <c r="BC92" s="49"/>
      <c r="BD92" s="16"/>
      <c r="BE92" s="16"/>
      <c r="BF92" s="16"/>
      <c r="BG92" s="16"/>
      <c r="BH92" s="16"/>
      <c r="BI92" s="16"/>
      <c r="BJ92" s="16"/>
      <c r="BK92" s="16"/>
      <c r="BL92" s="16"/>
      <c r="BM92" s="16"/>
      <c r="BN92" s="16"/>
      <c r="BO92" s="16"/>
      <c r="BP92" s="16"/>
      <c r="BQ92" s="16"/>
      <c r="BR92" s="16"/>
      <c r="BS92" s="16"/>
    </row>
    <row r="93" spans="1:71" ht="14.25" customHeight="1">
      <c r="A93" s="16"/>
      <c r="B93" s="16"/>
      <c r="C93" s="16"/>
      <c r="D93" s="16"/>
      <c r="E93" s="16"/>
      <c r="F93" s="16"/>
      <c r="G93" s="16"/>
      <c r="H93" s="16"/>
      <c r="I93" s="16"/>
      <c r="J93" s="16"/>
      <c r="K93" s="16"/>
      <c r="L93" s="16"/>
      <c r="M93" s="16"/>
      <c r="N93" s="16"/>
      <c r="O93" s="16"/>
      <c r="P93" s="16"/>
      <c r="Q93" s="16"/>
      <c r="R93" s="16"/>
      <c r="S93" s="16"/>
      <c r="T93" s="16"/>
      <c r="U93" s="16"/>
      <c r="V93" s="16"/>
      <c r="W93" s="16"/>
      <c r="X93" s="16"/>
      <c r="Y93" s="16"/>
      <c r="Z93" s="16"/>
      <c r="AA93" s="16"/>
      <c r="AB93" s="16"/>
      <c r="AC93" s="16"/>
      <c r="AD93" s="16"/>
      <c r="AE93" s="16"/>
      <c r="AF93" s="16"/>
      <c r="AG93" s="16"/>
      <c r="AH93" s="16"/>
      <c r="AI93" s="16"/>
      <c r="AJ93" s="16"/>
      <c r="AK93" s="16"/>
      <c r="AL93" s="16"/>
      <c r="AM93" s="16"/>
      <c r="AN93" s="16"/>
      <c r="AO93" s="16"/>
      <c r="AP93" s="16"/>
      <c r="AQ93" s="16"/>
      <c r="AR93" s="16"/>
      <c r="AS93" s="16"/>
      <c r="AT93" s="16"/>
      <c r="AU93" s="16"/>
      <c r="AV93" s="16"/>
      <c r="AW93" s="16"/>
      <c r="AX93" s="16"/>
      <c r="AY93" s="16"/>
      <c r="AZ93" s="16"/>
      <c r="BA93" s="16"/>
      <c r="BB93" s="16"/>
      <c r="BC93" s="49"/>
      <c r="BD93" s="16"/>
      <c r="BE93" s="16"/>
      <c r="BF93" s="16"/>
      <c r="BG93" s="16"/>
      <c r="BH93" s="16"/>
      <c r="BI93" s="16"/>
      <c r="BJ93" s="16"/>
      <c r="BK93" s="16"/>
      <c r="BL93" s="16"/>
      <c r="BM93" s="16"/>
      <c r="BN93" s="16"/>
      <c r="BO93" s="16"/>
      <c r="BP93" s="16"/>
      <c r="BQ93" s="16"/>
      <c r="BR93" s="16"/>
      <c r="BS93" s="16"/>
    </row>
    <row r="94" spans="1:71" ht="14.25" customHeight="1">
      <c r="A94" s="16"/>
      <c r="B94" s="16"/>
      <c r="C94" s="16"/>
      <c r="D94" s="16"/>
      <c r="E94" s="16"/>
      <c r="F94" s="16"/>
      <c r="G94" s="16"/>
      <c r="H94" s="16"/>
      <c r="I94" s="16"/>
      <c r="J94" s="16"/>
      <c r="K94" s="16"/>
      <c r="L94" s="16"/>
      <c r="M94" s="16"/>
      <c r="N94" s="16"/>
      <c r="O94" s="16"/>
      <c r="P94" s="16"/>
      <c r="Q94" s="16"/>
      <c r="R94" s="16"/>
      <c r="S94" s="16"/>
      <c r="T94" s="16"/>
      <c r="U94" s="16"/>
      <c r="V94" s="16"/>
      <c r="W94" s="16"/>
      <c r="X94" s="16"/>
      <c r="Y94" s="16"/>
      <c r="Z94" s="16"/>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16"/>
      <c r="AY94" s="16"/>
      <c r="AZ94" s="16"/>
      <c r="BA94" s="16"/>
      <c r="BB94" s="16"/>
      <c r="BC94" s="49"/>
      <c r="BD94" s="16"/>
      <c r="BE94" s="16"/>
      <c r="BF94" s="16"/>
      <c r="BG94" s="16"/>
      <c r="BH94" s="16"/>
      <c r="BI94" s="16"/>
      <c r="BJ94" s="16"/>
      <c r="BK94" s="16"/>
      <c r="BL94" s="16"/>
      <c r="BM94" s="16"/>
      <c r="BN94" s="16"/>
      <c r="BO94" s="16"/>
      <c r="BP94" s="16"/>
      <c r="BQ94" s="16"/>
      <c r="BR94" s="16"/>
      <c r="BS94" s="16"/>
    </row>
    <row r="95" spans="1:71" ht="14.25" customHeight="1">
      <c r="A95" s="16"/>
      <c r="B95" s="16"/>
      <c r="C95" s="16"/>
      <c r="D95" s="16"/>
      <c r="E95" s="16"/>
      <c r="F95" s="16"/>
      <c r="G95" s="16"/>
      <c r="H95" s="16"/>
      <c r="I95" s="16"/>
      <c r="J95" s="16"/>
      <c r="K95" s="16"/>
      <c r="L95" s="16"/>
      <c r="M95" s="16"/>
      <c r="N95" s="16"/>
      <c r="O95" s="16"/>
      <c r="P95" s="16"/>
      <c r="Q95" s="16"/>
      <c r="R95" s="16"/>
      <c r="S95" s="16"/>
      <c r="T95" s="16"/>
      <c r="U95" s="16"/>
      <c r="V95" s="16"/>
      <c r="W95" s="16"/>
      <c r="X95" s="16"/>
      <c r="Y95" s="16"/>
      <c r="Z95" s="16"/>
      <c r="AA95" s="16"/>
      <c r="AB95" s="16"/>
      <c r="AC95" s="16"/>
      <c r="AD95" s="16"/>
      <c r="AE95" s="16"/>
      <c r="AF95" s="16"/>
      <c r="AG95" s="16"/>
      <c r="AH95" s="16"/>
      <c r="AI95" s="16"/>
      <c r="AJ95" s="16"/>
      <c r="AK95" s="16"/>
      <c r="AL95" s="16"/>
      <c r="AM95" s="16"/>
      <c r="AN95" s="16"/>
      <c r="AO95" s="16"/>
      <c r="AP95" s="16"/>
      <c r="AQ95" s="16"/>
      <c r="AR95" s="16"/>
      <c r="AS95" s="16"/>
      <c r="AT95" s="16"/>
      <c r="AU95" s="16"/>
      <c r="AV95" s="16"/>
      <c r="AW95" s="16"/>
      <c r="AX95" s="16"/>
      <c r="AY95" s="16"/>
      <c r="AZ95" s="16"/>
      <c r="BA95" s="16"/>
      <c r="BB95" s="16"/>
      <c r="BC95" s="49"/>
      <c r="BD95" s="16"/>
      <c r="BE95" s="16"/>
      <c r="BF95" s="16"/>
      <c r="BG95" s="16"/>
      <c r="BH95" s="16"/>
      <c r="BI95" s="16"/>
      <c r="BJ95" s="16"/>
      <c r="BK95" s="16"/>
      <c r="BL95" s="16"/>
      <c r="BM95" s="16"/>
      <c r="BN95" s="16"/>
      <c r="BO95" s="16"/>
      <c r="BP95" s="16"/>
      <c r="BQ95" s="16"/>
      <c r="BR95" s="16"/>
      <c r="BS95" s="16"/>
    </row>
    <row r="96" spans="1:71" ht="14.25" customHeight="1">
      <c r="A96" s="16"/>
      <c r="B96" s="16"/>
      <c r="C96" s="16"/>
      <c r="D96" s="16"/>
      <c r="E96" s="16"/>
      <c r="F96" s="16"/>
      <c r="G96" s="16"/>
      <c r="H96" s="16"/>
      <c r="I96" s="16"/>
      <c r="J96" s="16"/>
      <c r="K96" s="16"/>
      <c r="L96" s="16"/>
      <c r="M96" s="16"/>
      <c r="N96" s="16"/>
      <c r="O96" s="16"/>
      <c r="P96" s="16"/>
      <c r="Q96" s="16"/>
      <c r="R96" s="16"/>
      <c r="S96" s="16"/>
      <c r="T96" s="16"/>
      <c r="U96" s="16"/>
      <c r="V96" s="16"/>
      <c r="W96" s="16"/>
      <c r="X96" s="16"/>
      <c r="Y96" s="16"/>
      <c r="Z96" s="16"/>
      <c r="AA96" s="16"/>
      <c r="AB96" s="16"/>
      <c r="AC96" s="16"/>
      <c r="AD96" s="16"/>
      <c r="AE96" s="16"/>
      <c r="AF96" s="16"/>
      <c r="AG96" s="16"/>
      <c r="AH96" s="16"/>
      <c r="AI96" s="16"/>
      <c r="AJ96" s="16"/>
      <c r="AK96" s="16"/>
      <c r="AL96" s="16"/>
      <c r="AM96" s="16"/>
      <c r="AN96" s="16"/>
      <c r="AO96" s="16"/>
      <c r="AP96" s="16"/>
      <c r="AQ96" s="16"/>
      <c r="AR96" s="16"/>
      <c r="AS96" s="16"/>
      <c r="AT96" s="16"/>
      <c r="AU96" s="16"/>
      <c r="AV96" s="16"/>
      <c r="AW96" s="16"/>
      <c r="AX96" s="16"/>
      <c r="AY96" s="16"/>
      <c r="AZ96" s="16"/>
      <c r="BA96" s="16"/>
      <c r="BB96" s="16"/>
      <c r="BC96" s="49"/>
      <c r="BD96" s="16"/>
      <c r="BE96" s="16"/>
      <c r="BF96" s="16"/>
      <c r="BG96" s="16"/>
      <c r="BH96" s="16"/>
      <c r="BI96" s="16"/>
      <c r="BJ96" s="16"/>
      <c r="BK96" s="16"/>
      <c r="BL96" s="16"/>
      <c r="BM96" s="16"/>
      <c r="BN96" s="16"/>
      <c r="BO96" s="16"/>
      <c r="BP96" s="16"/>
      <c r="BQ96" s="16"/>
      <c r="BR96" s="16"/>
      <c r="BS96" s="16"/>
    </row>
    <row r="97" spans="1:71" ht="14.25" customHeight="1">
      <c r="A97" s="16"/>
      <c r="B97" s="16"/>
      <c r="C97" s="16"/>
      <c r="D97" s="16"/>
      <c r="E97" s="16"/>
      <c r="F97" s="16"/>
      <c r="G97" s="16"/>
      <c r="H97" s="16"/>
      <c r="I97" s="16"/>
      <c r="J97" s="16"/>
      <c r="K97" s="16"/>
      <c r="L97" s="16"/>
      <c r="M97" s="16"/>
      <c r="N97" s="16"/>
      <c r="O97" s="16"/>
      <c r="P97" s="16"/>
      <c r="Q97" s="16"/>
      <c r="R97" s="16"/>
      <c r="S97" s="16"/>
      <c r="T97" s="16"/>
      <c r="U97" s="16"/>
      <c r="V97" s="16"/>
      <c r="W97" s="16"/>
      <c r="X97" s="16"/>
      <c r="Y97" s="16"/>
      <c r="Z97" s="16"/>
      <c r="AA97" s="16"/>
      <c r="AB97" s="16"/>
      <c r="AC97" s="16"/>
      <c r="AD97" s="16"/>
      <c r="AE97" s="16"/>
      <c r="AF97" s="16"/>
      <c r="AG97" s="16"/>
      <c r="AH97" s="16"/>
      <c r="AI97" s="16"/>
      <c r="AJ97" s="16"/>
      <c r="AK97" s="16"/>
      <c r="AL97" s="16"/>
      <c r="AM97" s="16"/>
      <c r="AN97" s="16"/>
      <c r="AO97" s="16"/>
      <c r="AP97" s="16"/>
      <c r="AQ97" s="16"/>
      <c r="AR97" s="16"/>
      <c r="AS97" s="16"/>
      <c r="AT97" s="16"/>
      <c r="AU97" s="16"/>
      <c r="AV97" s="16"/>
      <c r="AW97" s="16"/>
      <c r="AX97" s="16"/>
      <c r="AY97" s="16"/>
      <c r="AZ97" s="16"/>
      <c r="BA97" s="16"/>
      <c r="BB97" s="16"/>
      <c r="BC97" s="49"/>
      <c r="BD97" s="16"/>
      <c r="BE97" s="16"/>
      <c r="BF97" s="16"/>
      <c r="BG97" s="16"/>
      <c r="BH97" s="16"/>
      <c r="BI97" s="16"/>
      <c r="BJ97" s="16"/>
      <c r="BK97" s="16"/>
      <c r="BL97" s="16"/>
      <c r="BM97" s="16"/>
      <c r="BN97" s="16"/>
      <c r="BO97" s="16"/>
      <c r="BP97" s="16"/>
      <c r="BQ97" s="16"/>
      <c r="BR97" s="16"/>
      <c r="BS97" s="16"/>
    </row>
    <row r="98" spans="1:71" ht="14.25" customHeight="1">
      <c r="A98" s="16"/>
      <c r="B98" s="16"/>
      <c r="C98" s="16"/>
      <c r="D98" s="16"/>
      <c r="E98" s="16"/>
      <c r="F98" s="16"/>
      <c r="G98" s="16"/>
      <c r="H98" s="16"/>
      <c r="I98" s="16"/>
      <c r="J98" s="16"/>
      <c r="K98" s="16"/>
      <c r="L98" s="16"/>
      <c r="M98" s="16"/>
      <c r="N98" s="16"/>
      <c r="O98" s="16"/>
      <c r="P98" s="16"/>
      <c r="Q98" s="16"/>
      <c r="R98" s="16"/>
      <c r="S98" s="16"/>
      <c r="T98" s="16"/>
      <c r="U98" s="16"/>
      <c r="V98" s="16"/>
      <c r="W98" s="16"/>
      <c r="X98" s="16"/>
      <c r="Y98" s="16"/>
      <c r="Z98" s="16"/>
      <c r="AA98" s="16"/>
      <c r="AB98" s="16"/>
      <c r="AC98" s="16"/>
      <c r="AD98" s="16"/>
      <c r="AE98" s="16"/>
      <c r="AF98" s="16"/>
      <c r="AG98" s="16"/>
      <c r="AH98" s="16"/>
      <c r="AI98" s="16"/>
      <c r="AJ98" s="16"/>
      <c r="AK98" s="16"/>
      <c r="AL98" s="16"/>
      <c r="AM98" s="16"/>
      <c r="AN98" s="16"/>
      <c r="AO98" s="16"/>
      <c r="AP98" s="16"/>
      <c r="AQ98" s="16"/>
      <c r="AR98" s="16"/>
      <c r="AS98" s="16"/>
      <c r="AT98" s="16"/>
      <c r="AU98" s="16"/>
      <c r="AV98" s="16"/>
      <c r="AW98" s="16"/>
      <c r="AX98" s="16"/>
      <c r="AY98" s="16"/>
      <c r="AZ98" s="16"/>
      <c r="BA98" s="16"/>
      <c r="BB98" s="16"/>
      <c r="BC98" s="49"/>
      <c r="BD98" s="16"/>
      <c r="BE98" s="16"/>
      <c r="BF98" s="16"/>
      <c r="BG98" s="16"/>
      <c r="BH98" s="16"/>
      <c r="BI98" s="16"/>
      <c r="BJ98" s="16"/>
      <c r="BK98" s="16"/>
      <c r="BL98" s="16"/>
      <c r="BM98" s="16"/>
      <c r="BN98" s="16"/>
      <c r="BO98" s="16"/>
      <c r="BP98" s="16"/>
      <c r="BQ98" s="16"/>
      <c r="BR98" s="16"/>
      <c r="BS98" s="16"/>
    </row>
    <row r="99" spans="1:71" ht="14.25" customHeight="1">
      <c r="A99" s="16"/>
      <c r="B99" s="16"/>
      <c r="C99" s="16"/>
      <c r="D99" s="16"/>
      <c r="E99" s="16"/>
      <c r="F99" s="16"/>
      <c r="G99" s="16"/>
      <c r="H99" s="16"/>
      <c r="I99" s="16"/>
      <c r="J99" s="16"/>
      <c r="K99" s="16"/>
      <c r="L99" s="16"/>
      <c r="M99" s="16"/>
      <c r="N99" s="16"/>
      <c r="O99" s="16"/>
      <c r="P99" s="16"/>
      <c r="Q99" s="16"/>
      <c r="R99" s="16"/>
      <c r="S99" s="16"/>
      <c r="T99" s="16"/>
      <c r="U99" s="16"/>
      <c r="V99" s="16"/>
      <c r="W99" s="16"/>
      <c r="X99" s="16"/>
      <c r="Y99" s="16"/>
      <c r="Z99" s="16"/>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c r="BA99" s="16"/>
      <c r="BB99" s="16"/>
      <c r="BC99" s="49"/>
      <c r="BD99" s="16"/>
      <c r="BE99" s="16"/>
      <c r="BF99" s="16"/>
      <c r="BG99" s="16"/>
      <c r="BH99" s="16"/>
      <c r="BI99" s="16"/>
      <c r="BJ99" s="16"/>
      <c r="BK99" s="16"/>
      <c r="BL99" s="16"/>
      <c r="BM99" s="16"/>
      <c r="BN99" s="16"/>
      <c r="BO99" s="16"/>
      <c r="BP99" s="16"/>
      <c r="BQ99" s="16"/>
      <c r="BR99" s="16"/>
      <c r="BS99" s="16"/>
    </row>
    <row r="100" spans="1:71" ht="14.25" customHeight="1">
      <c r="A100" s="16"/>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c r="AA100" s="16"/>
      <c r="AB100" s="16"/>
      <c r="AC100" s="16"/>
      <c r="AD100" s="16"/>
      <c r="AE100" s="16"/>
      <c r="AF100" s="16"/>
      <c r="AG100" s="16"/>
      <c r="AH100" s="16"/>
      <c r="AI100" s="16"/>
      <c r="AJ100" s="16"/>
      <c r="AK100" s="16"/>
      <c r="AL100" s="16"/>
      <c r="AM100" s="16"/>
      <c r="AN100" s="16"/>
      <c r="AO100" s="16"/>
      <c r="AP100" s="16"/>
      <c r="AQ100" s="16"/>
      <c r="AR100" s="16"/>
      <c r="AS100" s="16"/>
      <c r="AT100" s="16"/>
      <c r="AU100" s="16"/>
      <c r="AV100" s="16"/>
      <c r="AW100" s="16"/>
      <c r="AX100" s="16"/>
      <c r="AY100" s="16"/>
      <c r="AZ100" s="16"/>
      <c r="BA100" s="16"/>
      <c r="BB100" s="16"/>
      <c r="BC100" s="49"/>
      <c r="BD100" s="16"/>
      <c r="BE100" s="16"/>
      <c r="BF100" s="16"/>
      <c r="BG100" s="16"/>
      <c r="BH100" s="16"/>
      <c r="BI100" s="16"/>
      <c r="BJ100" s="16"/>
      <c r="BK100" s="16"/>
      <c r="BL100" s="16"/>
      <c r="BM100" s="16"/>
      <c r="BN100" s="16"/>
      <c r="BO100" s="16"/>
      <c r="BP100" s="16"/>
      <c r="BQ100" s="16"/>
      <c r="BR100" s="16"/>
      <c r="BS100" s="16"/>
    </row>
    <row r="101" spans="1:71" ht="14.25" customHeight="1">
      <c r="A101" s="16"/>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c r="AA101" s="16"/>
      <c r="AB101" s="16"/>
      <c r="AC101" s="16"/>
      <c r="AD101" s="16"/>
      <c r="AE101" s="16"/>
      <c r="AF101" s="16"/>
      <c r="AG101" s="16"/>
      <c r="AH101" s="16"/>
      <c r="AI101" s="16"/>
      <c r="AJ101" s="16"/>
      <c r="AK101" s="16"/>
      <c r="AL101" s="16"/>
      <c r="AM101" s="16"/>
      <c r="AN101" s="16"/>
      <c r="AO101" s="16"/>
      <c r="AP101" s="16"/>
      <c r="AQ101" s="16"/>
      <c r="AR101" s="16"/>
      <c r="AS101" s="16"/>
      <c r="AT101" s="16"/>
      <c r="AU101" s="16"/>
      <c r="AV101" s="16"/>
      <c r="AW101" s="16"/>
      <c r="AX101" s="16"/>
      <c r="AY101" s="16"/>
      <c r="AZ101" s="16"/>
      <c r="BA101" s="16"/>
      <c r="BB101" s="16"/>
      <c r="BC101" s="49"/>
      <c r="BD101" s="16"/>
      <c r="BE101" s="16"/>
      <c r="BF101" s="16"/>
      <c r="BG101" s="16"/>
      <c r="BH101" s="16"/>
      <c r="BI101" s="16"/>
      <c r="BJ101" s="16"/>
      <c r="BK101" s="16"/>
      <c r="BL101" s="16"/>
      <c r="BM101" s="16"/>
      <c r="BN101" s="16"/>
      <c r="BO101" s="16"/>
      <c r="BP101" s="16"/>
      <c r="BQ101" s="16"/>
      <c r="BR101" s="16"/>
      <c r="BS101" s="16"/>
    </row>
    <row r="102" spans="1:71" ht="14.25" customHeight="1">
      <c r="A102" s="16"/>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c r="AA102" s="16"/>
      <c r="AB102" s="16"/>
      <c r="AC102" s="16"/>
      <c r="AD102" s="16"/>
      <c r="AE102" s="16"/>
      <c r="AF102" s="16"/>
      <c r="AG102" s="16"/>
      <c r="AH102" s="16"/>
      <c r="AI102" s="16"/>
      <c r="AJ102" s="16"/>
      <c r="AK102" s="16"/>
      <c r="AL102" s="16"/>
      <c r="AM102" s="16"/>
      <c r="AN102" s="16"/>
      <c r="AO102" s="16"/>
      <c r="AP102" s="16"/>
      <c r="AQ102" s="16"/>
      <c r="AR102" s="16"/>
      <c r="AS102" s="16"/>
      <c r="AT102" s="16"/>
      <c r="AU102" s="16"/>
      <c r="AV102" s="16"/>
      <c r="AW102" s="16"/>
      <c r="AX102" s="16"/>
      <c r="AY102" s="16"/>
      <c r="AZ102" s="16"/>
      <c r="BA102" s="16"/>
      <c r="BB102" s="16"/>
      <c r="BC102" s="49"/>
      <c r="BD102" s="16"/>
      <c r="BE102" s="16"/>
      <c r="BF102" s="16"/>
      <c r="BG102" s="16"/>
      <c r="BH102" s="16"/>
      <c r="BI102" s="16"/>
      <c r="BJ102" s="16"/>
      <c r="BK102" s="16"/>
      <c r="BL102" s="16"/>
      <c r="BM102" s="16"/>
      <c r="BN102" s="16"/>
      <c r="BO102" s="16"/>
      <c r="BP102" s="16"/>
      <c r="BQ102" s="16"/>
      <c r="BR102" s="16"/>
      <c r="BS102" s="16"/>
    </row>
    <row r="103" spans="1:71" ht="14.25" customHeight="1">
      <c r="A103" s="16"/>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c r="AA103" s="16"/>
      <c r="AB103" s="16"/>
      <c r="AC103" s="16"/>
      <c r="AD103" s="16"/>
      <c r="AE103" s="16"/>
      <c r="AF103" s="16"/>
      <c r="AG103" s="16"/>
      <c r="AH103" s="16"/>
      <c r="AI103" s="16"/>
      <c r="AJ103" s="16"/>
      <c r="AK103" s="16"/>
      <c r="AL103" s="16"/>
      <c r="AM103" s="16"/>
      <c r="AN103" s="16"/>
      <c r="AO103" s="16"/>
      <c r="AP103" s="16"/>
      <c r="AQ103" s="16"/>
      <c r="AR103" s="16"/>
      <c r="AS103" s="16"/>
      <c r="AT103" s="16"/>
      <c r="AU103" s="16"/>
      <c r="AV103" s="16"/>
      <c r="AW103" s="16"/>
      <c r="AX103" s="16"/>
      <c r="AY103" s="16"/>
      <c r="AZ103" s="16"/>
      <c r="BA103" s="16"/>
      <c r="BB103" s="16"/>
      <c r="BC103" s="49"/>
      <c r="BD103" s="16"/>
      <c r="BE103" s="16"/>
      <c r="BF103" s="16"/>
      <c r="BG103" s="16"/>
      <c r="BH103" s="16"/>
      <c r="BI103" s="16"/>
      <c r="BJ103" s="16"/>
      <c r="BK103" s="16"/>
      <c r="BL103" s="16"/>
      <c r="BM103" s="16"/>
      <c r="BN103" s="16"/>
      <c r="BO103" s="16"/>
      <c r="BP103" s="16"/>
      <c r="BQ103" s="16"/>
      <c r="BR103" s="16"/>
      <c r="BS103" s="16"/>
    </row>
    <row r="104" spans="1:71" ht="14.25" customHeight="1">
      <c r="A104" s="16"/>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c r="AZ104" s="16"/>
      <c r="BA104" s="16"/>
      <c r="BB104" s="16"/>
      <c r="BC104" s="49"/>
      <c r="BD104" s="16"/>
      <c r="BE104" s="16"/>
      <c r="BF104" s="16"/>
      <c r="BG104" s="16"/>
      <c r="BH104" s="16"/>
      <c r="BI104" s="16"/>
      <c r="BJ104" s="16"/>
      <c r="BK104" s="16"/>
      <c r="BL104" s="16"/>
      <c r="BM104" s="16"/>
      <c r="BN104" s="16"/>
      <c r="BO104" s="16"/>
      <c r="BP104" s="16"/>
      <c r="BQ104" s="16"/>
      <c r="BR104" s="16"/>
      <c r="BS104" s="16"/>
    </row>
    <row r="105" spans="1:71" ht="14.25" customHeight="1">
      <c r="A105" s="16"/>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c r="AA105" s="16"/>
      <c r="AB105" s="16"/>
      <c r="AC105" s="16"/>
      <c r="AD105" s="16"/>
      <c r="AE105" s="16"/>
      <c r="AF105" s="16"/>
      <c r="AG105" s="16"/>
      <c r="AH105" s="16"/>
      <c r="AI105" s="16"/>
      <c r="AJ105" s="16"/>
      <c r="AK105" s="16"/>
      <c r="AL105" s="16"/>
      <c r="AM105" s="16"/>
      <c r="AN105" s="16"/>
      <c r="AO105" s="16"/>
      <c r="AP105" s="16"/>
      <c r="AQ105" s="16"/>
      <c r="AR105" s="16"/>
      <c r="AS105" s="16"/>
      <c r="AT105" s="16"/>
      <c r="AU105" s="16"/>
      <c r="AV105" s="16"/>
      <c r="AW105" s="16"/>
      <c r="AX105" s="16"/>
      <c r="AY105" s="16"/>
      <c r="AZ105" s="16"/>
      <c r="BA105" s="16"/>
      <c r="BB105" s="16"/>
      <c r="BC105" s="49"/>
      <c r="BD105" s="16"/>
      <c r="BE105" s="16"/>
      <c r="BF105" s="16"/>
      <c r="BG105" s="16"/>
      <c r="BH105" s="16"/>
      <c r="BI105" s="16"/>
      <c r="BJ105" s="16"/>
      <c r="BK105" s="16"/>
      <c r="BL105" s="16"/>
      <c r="BM105" s="16"/>
      <c r="BN105" s="16"/>
      <c r="BO105" s="16"/>
      <c r="BP105" s="16"/>
      <c r="BQ105" s="16"/>
      <c r="BR105" s="16"/>
      <c r="BS105" s="16"/>
    </row>
    <row r="106" spans="1:71" ht="14.25" customHeight="1">
      <c r="A106" s="16"/>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c r="AZ106" s="16"/>
      <c r="BA106" s="16"/>
      <c r="BB106" s="16"/>
      <c r="BC106" s="49"/>
      <c r="BD106" s="16"/>
      <c r="BE106" s="16"/>
      <c r="BF106" s="16"/>
      <c r="BG106" s="16"/>
      <c r="BH106" s="16"/>
      <c r="BI106" s="16"/>
      <c r="BJ106" s="16"/>
      <c r="BK106" s="16"/>
      <c r="BL106" s="16"/>
      <c r="BM106" s="16"/>
      <c r="BN106" s="16"/>
      <c r="BO106" s="16"/>
      <c r="BP106" s="16"/>
      <c r="BQ106" s="16"/>
      <c r="BR106" s="16"/>
      <c r="BS106" s="16"/>
    </row>
    <row r="107" spans="1:71" ht="14.25" customHeight="1">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c r="AZ107" s="16"/>
      <c r="BA107" s="16"/>
      <c r="BB107" s="16"/>
      <c r="BC107" s="49"/>
      <c r="BD107" s="16"/>
      <c r="BE107" s="16"/>
      <c r="BF107" s="16"/>
      <c r="BG107" s="16"/>
      <c r="BH107" s="16"/>
      <c r="BI107" s="16"/>
      <c r="BJ107" s="16"/>
      <c r="BK107" s="16"/>
      <c r="BL107" s="16"/>
      <c r="BM107" s="16"/>
      <c r="BN107" s="16"/>
      <c r="BO107" s="16"/>
      <c r="BP107" s="16"/>
      <c r="BQ107" s="16"/>
      <c r="BR107" s="16"/>
      <c r="BS107" s="16"/>
    </row>
    <row r="108" spans="1:71" ht="14.25" customHeight="1">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c r="AZ108" s="16"/>
      <c r="BA108" s="16"/>
      <c r="BB108" s="16"/>
      <c r="BC108" s="49"/>
      <c r="BD108" s="16"/>
      <c r="BE108" s="16"/>
      <c r="BF108" s="16"/>
      <c r="BG108" s="16"/>
      <c r="BH108" s="16"/>
      <c r="BI108" s="16"/>
      <c r="BJ108" s="16"/>
      <c r="BK108" s="16"/>
      <c r="BL108" s="16"/>
      <c r="BM108" s="16"/>
      <c r="BN108" s="16"/>
      <c r="BO108" s="16"/>
      <c r="BP108" s="16"/>
      <c r="BQ108" s="16"/>
      <c r="BR108" s="16"/>
      <c r="BS108" s="16"/>
    </row>
    <row r="109" spans="1:71" ht="14.25" customHeight="1">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c r="AZ109" s="16"/>
      <c r="BA109" s="16"/>
      <c r="BB109" s="16"/>
      <c r="BC109" s="49"/>
      <c r="BD109" s="16"/>
      <c r="BE109" s="16"/>
      <c r="BF109" s="16"/>
      <c r="BG109" s="16"/>
      <c r="BH109" s="16"/>
      <c r="BI109" s="16"/>
      <c r="BJ109" s="16"/>
      <c r="BK109" s="16"/>
      <c r="BL109" s="16"/>
      <c r="BM109" s="16"/>
      <c r="BN109" s="16"/>
      <c r="BO109" s="16"/>
      <c r="BP109" s="16"/>
      <c r="BQ109" s="16"/>
      <c r="BR109" s="16"/>
      <c r="BS109" s="16"/>
    </row>
    <row r="110" spans="1:71" ht="14.25" customHeight="1">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c r="AZ110" s="16"/>
      <c r="BA110" s="16"/>
      <c r="BB110" s="16"/>
      <c r="BC110" s="49"/>
      <c r="BD110" s="16"/>
      <c r="BE110" s="16"/>
      <c r="BF110" s="16"/>
      <c r="BG110" s="16"/>
      <c r="BH110" s="16"/>
      <c r="BI110" s="16"/>
      <c r="BJ110" s="16"/>
      <c r="BK110" s="16"/>
      <c r="BL110" s="16"/>
      <c r="BM110" s="16"/>
      <c r="BN110" s="16"/>
      <c r="BO110" s="16"/>
      <c r="BP110" s="16"/>
      <c r="BQ110" s="16"/>
      <c r="BR110" s="16"/>
      <c r="BS110" s="16"/>
    </row>
    <row r="111" spans="1:71" ht="14.25" customHeight="1">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16"/>
      <c r="AY111" s="16"/>
      <c r="AZ111" s="16"/>
      <c r="BA111" s="16"/>
      <c r="BB111" s="16"/>
      <c r="BC111" s="49"/>
      <c r="BD111" s="16"/>
      <c r="BE111" s="16"/>
      <c r="BF111" s="16"/>
      <c r="BG111" s="16"/>
      <c r="BH111" s="16"/>
      <c r="BI111" s="16"/>
      <c r="BJ111" s="16"/>
      <c r="BK111" s="16"/>
      <c r="BL111" s="16"/>
      <c r="BM111" s="16"/>
      <c r="BN111" s="16"/>
      <c r="BO111" s="16"/>
      <c r="BP111" s="16"/>
      <c r="BQ111" s="16"/>
      <c r="BR111" s="16"/>
      <c r="BS111" s="16"/>
    </row>
    <row r="112" spans="1:71" ht="14.25" customHeight="1">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c r="AA112" s="16"/>
      <c r="AB112" s="16"/>
      <c r="AC112" s="16"/>
      <c r="AD112" s="16"/>
      <c r="AE112" s="16"/>
      <c r="AF112" s="16"/>
      <c r="AG112" s="16"/>
      <c r="AH112" s="16"/>
      <c r="AI112" s="16"/>
      <c r="AJ112" s="16"/>
      <c r="AK112" s="16"/>
      <c r="AL112" s="16"/>
      <c r="AM112" s="16"/>
      <c r="AN112" s="16"/>
      <c r="AO112" s="16"/>
      <c r="AP112" s="16"/>
      <c r="AQ112" s="16"/>
      <c r="AR112" s="16"/>
      <c r="AS112" s="16"/>
      <c r="AT112" s="16"/>
      <c r="AU112" s="16"/>
      <c r="AV112" s="16"/>
      <c r="AW112" s="16"/>
      <c r="AX112" s="16"/>
      <c r="AY112" s="16"/>
      <c r="AZ112" s="16"/>
      <c r="BA112" s="16"/>
      <c r="BB112" s="16"/>
      <c r="BC112" s="49"/>
      <c r="BD112" s="16"/>
      <c r="BE112" s="16"/>
      <c r="BF112" s="16"/>
      <c r="BG112" s="16"/>
      <c r="BH112" s="16"/>
      <c r="BI112" s="16"/>
      <c r="BJ112" s="16"/>
      <c r="BK112" s="16"/>
      <c r="BL112" s="16"/>
      <c r="BM112" s="16"/>
      <c r="BN112" s="16"/>
      <c r="BO112" s="16"/>
      <c r="BP112" s="16"/>
      <c r="BQ112" s="16"/>
      <c r="BR112" s="16"/>
      <c r="BS112" s="16"/>
    </row>
    <row r="113" spans="1:71" ht="14.25" customHeight="1">
      <c r="A113" s="16"/>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c r="AZ113" s="16"/>
      <c r="BA113" s="16"/>
      <c r="BB113" s="16"/>
      <c r="BC113" s="49"/>
      <c r="BD113" s="16"/>
      <c r="BE113" s="16"/>
      <c r="BF113" s="16"/>
      <c r="BG113" s="16"/>
      <c r="BH113" s="16"/>
      <c r="BI113" s="16"/>
      <c r="BJ113" s="16"/>
      <c r="BK113" s="16"/>
      <c r="BL113" s="16"/>
      <c r="BM113" s="16"/>
      <c r="BN113" s="16"/>
      <c r="BO113" s="16"/>
      <c r="BP113" s="16"/>
      <c r="BQ113" s="16"/>
      <c r="BR113" s="16"/>
      <c r="BS113" s="16"/>
    </row>
    <row r="114" spans="1:71" ht="14.25" customHeight="1">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c r="AZ114" s="16"/>
      <c r="BA114" s="16"/>
      <c r="BB114" s="16"/>
      <c r="BC114" s="49"/>
      <c r="BD114" s="16"/>
      <c r="BE114" s="16"/>
      <c r="BF114" s="16"/>
      <c r="BG114" s="16"/>
      <c r="BH114" s="16"/>
      <c r="BI114" s="16"/>
      <c r="BJ114" s="16"/>
      <c r="BK114" s="16"/>
      <c r="BL114" s="16"/>
      <c r="BM114" s="16"/>
      <c r="BN114" s="16"/>
      <c r="BO114" s="16"/>
      <c r="BP114" s="16"/>
      <c r="BQ114" s="16"/>
      <c r="BR114" s="16"/>
      <c r="BS114" s="16"/>
    </row>
    <row r="115" spans="1:71" ht="14.25" customHeight="1">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c r="AZ115" s="16"/>
      <c r="BA115" s="16"/>
      <c r="BB115" s="16"/>
      <c r="BC115" s="49"/>
      <c r="BD115" s="16"/>
      <c r="BE115" s="16"/>
      <c r="BF115" s="16"/>
      <c r="BG115" s="16"/>
      <c r="BH115" s="16"/>
      <c r="BI115" s="16"/>
      <c r="BJ115" s="16"/>
      <c r="BK115" s="16"/>
      <c r="BL115" s="16"/>
      <c r="BM115" s="16"/>
      <c r="BN115" s="16"/>
      <c r="BO115" s="16"/>
      <c r="BP115" s="16"/>
      <c r="BQ115" s="16"/>
      <c r="BR115" s="16"/>
      <c r="BS115" s="16"/>
    </row>
    <row r="116" spans="1:71" ht="14.25" customHeight="1">
      <c r="A116" s="16"/>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c r="AZ116" s="16"/>
      <c r="BA116" s="16"/>
      <c r="BB116" s="16"/>
      <c r="BC116" s="49"/>
      <c r="BD116" s="16"/>
      <c r="BE116" s="16"/>
      <c r="BF116" s="16"/>
      <c r="BG116" s="16"/>
      <c r="BH116" s="16"/>
      <c r="BI116" s="16"/>
      <c r="BJ116" s="16"/>
      <c r="BK116" s="16"/>
      <c r="BL116" s="16"/>
      <c r="BM116" s="16"/>
      <c r="BN116" s="16"/>
      <c r="BO116" s="16"/>
      <c r="BP116" s="16"/>
      <c r="BQ116" s="16"/>
      <c r="BR116" s="16"/>
      <c r="BS116" s="16"/>
    </row>
    <row r="117" spans="1:71" ht="14.25" customHeight="1">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c r="AA117" s="16"/>
      <c r="AB117" s="16"/>
      <c r="AC117" s="16"/>
      <c r="AD117" s="16"/>
      <c r="AE117" s="16"/>
      <c r="AF117" s="16"/>
      <c r="AG117" s="16"/>
      <c r="AH117" s="16"/>
      <c r="AI117" s="16"/>
      <c r="AJ117" s="16"/>
      <c r="AK117" s="16"/>
      <c r="AL117" s="16"/>
      <c r="AM117" s="16"/>
      <c r="AN117" s="16"/>
      <c r="AO117" s="16"/>
      <c r="AP117" s="16"/>
      <c r="AQ117" s="16"/>
      <c r="AR117" s="16"/>
      <c r="AS117" s="16"/>
      <c r="AT117" s="16"/>
      <c r="AU117" s="16"/>
      <c r="AV117" s="16"/>
      <c r="AW117" s="16"/>
      <c r="AX117" s="16"/>
      <c r="AY117" s="16"/>
      <c r="AZ117" s="16"/>
      <c r="BA117" s="16"/>
      <c r="BB117" s="16"/>
      <c r="BC117" s="49"/>
      <c r="BD117" s="16"/>
      <c r="BE117" s="16"/>
      <c r="BF117" s="16"/>
      <c r="BG117" s="16"/>
      <c r="BH117" s="16"/>
      <c r="BI117" s="16"/>
      <c r="BJ117" s="16"/>
      <c r="BK117" s="16"/>
      <c r="BL117" s="16"/>
      <c r="BM117" s="16"/>
      <c r="BN117" s="16"/>
      <c r="BO117" s="16"/>
      <c r="BP117" s="16"/>
      <c r="BQ117" s="16"/>
      <c r="BR117" s="16"/>
      <c r="BS117" s="16"/>
    </row>
    <row r="118" spans="1:71" ht="14.25" customHeight="1">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16"/>
      <c r="AS118" s="16"/>
      <c r="AT118" s="16"/>
      <c r="AU118" s="16"/>
      <c r="AV118" s="16"/>
      <c r="AW118" s="16"/>
      <c r="AX118" s="16"/>
      <c r="AY118" s="16"/>
      <c r="AZ118" s="16"/>
      <c r="BA118" s="16"/>
      <c r="BB118" s="16"/>
      <c r="BC118" s="49"/>
      <c r="BD118" s="16"/>
      <c r="BE118" s="16"/>
      <c r="BF118" s="16"/>
      <c r="BG118" s="16"/>
      <c r="BH118" s="16"/>
      <c r="BI118" s="16"/>
      <c r="BJ118" s="16"/>
      <c r="BK118" s="16"/>
      <c r="BL118" s="16"/>
      <c r="BM118" s="16"/>
      <c r="BN118" s="16"/>
      <c r="BO118" s="16"/>
      <c r="BP118" s="16"/>
      <c r="BQ118" s="16"/>
      <c r="BR118" s="16"/>
      <c r="BS118" s="16"/>
    </row>
    <row r="119" spans="1:71" ht="14.25" customHeight="1">
      <c r="A119" s="16"/>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c r="AA119" s="16"/>
      <c r="AB119" s="16"/>
      <c r="AC119" s="16"/>
      <c r="AD119" s="16"/>
      <c r="AE119" s="16"/>
      <c r="AF119" s="16"/>
      <c r="AG119" s="16"/>
      <c r="AH119" s="16"/>
      <c r="AI119" s="16"/>
      <c r="AJ119" s="16"/>
      <c r="AK119" s="16"/>
      <c r="AL119" s="16"/>
      <c r="AM119" s="16"/>
      <c r="AN119" s="16"/>
      <c r="AO119" s="16"/>
      <c r="AP119" s="16"/>
      <c r="AQ119" s="16"/>
      <c r="AR119" s="16"/>
      <c r="AS119" s="16"/>
      <c r="AT119" s="16"/>
      <c r="AU119" s="16"/>
      <c r="AV119" s="16"/>
      <c r="AW119" s="16"/>
      <c r="AX119" s="16"/>
      <c r="AY119" s="16"/>
      <c r="AZ119" s="16"/>
      <c r="BA119" s="16"/>
      <c r="BB119" s="16"/>
      <c r="BC119" s="49"/>
      <c r="BD119" s="16"/>
      <c r="BE119" s="16"/>
      <c r="BF119" s="16"/>
      <c r="BG119" s="16"/>
      <c r="BH119" s="16"/>
      <c r="BI119" s="16"/>
      <c r="BJ119" s="16"/>
      <c r="BK119" s="16"/>
      <c r="BL119" s="16"/>
      <c r="BM119" s="16"/>
      <c r="BN119" s="16"/>
      <c r="BO119" s="16"/>
      <c r="BP119" s="16"/>
      <c r="BQ119" s="16"/>
      <c r="BR119" s="16"/>
      <c r="BS119" s="16"/>
    </row>
    <row r="120" spans="1:71" ht="14.25" customHeight="1">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c r="AA120" s="16"/>
      <c r="AB120" s="16"/>
      <c r="AC120" s="16"/>
      <c r="AD120" s="16"/>
      <c r="AE120" s="16"/>
      <c r="AF120" s="16"/>
      <c r="AG120" s="16"/>
      <c r="AH120" s="16"/>
      <c r="AI120" s="16"/>
      <c r="AJ120" s="16"/>
      <c r="AK120" s="16"/>
      <c r="AL120" s="16"/>
      <c r="AM120" s="16"/>
      <c r="AN120" s="16"/>
      <c r="AO120" s="16"/>
      <c r="AP120" s="16"/>
      <c r="AQ120" s="16"/>
      <c r="AR120" s="16"/>
      <c r="AS120" s="16"/>
      <c r="AT120" s="16"/>
      <c r="AU120" s="16"/>
      <c r="AV120" s="16"/>
      <c r="AW120" s="16"/>
      <c r="AX120" s="16"/>
      <c r="AY120" s="16"/>
      <c r="AZ120" s="16"/>
      <c r="BA120" s="16"/>
      <c r="BB120" s="16"/>
      <c r="BC120" s="49"/>
      <c r="BD120" s="16"/>
      <c r="BE120" s="16"/>
      <c r="BF120" s="16"/>
      <c r="BG120" s="16"/>
      <c r="BH120" s="16"/>
      <c r="BI120" s="16"/>
      <c r="BJ120" s="16"/>
      <c r="BK120" s="16"/>
      <c r="BL120" s="16"/>
      <c r="BM120" s="16"/>
      <c r="BN120" s="16"/>
      <c r="BO120" s="16"/>
      <c r="BP120" s="16"/>
      <c r="BQ120" s="16"/>
      <c r="BR120" s="16"/>
      <c r="BS120" s="16"/>
    </row>
    <row r="121" spans="1:71" ht="14.25" customHeight="1">
      <c r="A121" s="16"/>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c r="AA121" s="16"/>
      <c r="AB121" s="16"/>
      <c r="AC121" s="16"/>
      <c r="AD121" s="16"/>
      <c r="AE121" s="16"/>
      <c r="AF121" s="16"/>
      <c r="AG121" s="16"/>
      <c r="AH121" s="16"/>
      <c r="AI121" s="16"/>
      <c r="AJ121" s="16"/>
      <c r="AK121" s="16"/>
      <c r="AL121" s="16"/>
      <c r="AM121" s="16"/>
      <c r="AN121" s="16"/>
      <c r="AO121" s="16"/>
      <c r="AP121" s="16"/>
      <c r="AQ121" s="16"/>
      <c r="AR121" s="16"/>
      <c r="AS121" s="16"/>
      <c r="AT121" s="16"/>
      <c r="AU121" s="16"/>
      <c r="AV121" s="16"/>
      <c r="AW121" s="16"/>
      <c r="AX121" s="16"/>
      <c r="AY121" s="16"/>
      <c r="AZ121" s="16"/>
      <c r="BA121" s="16"/>
      <c r="BB121" s="16"/>
      <c r="BC121" s="49"/>
      <c r="BD121" s="16"/>
      <c r="BE121" s="16"/>
      <c r="BF121" s="16"/>
      <c r="BG121" s="16"/>
      <c r="BH121" s="16"/>
      <c r="BI121" s="16"/>
      <c r="BJ121" s="16"/>
      <c r="BK121" s="16"/>
      <c r="BL121" s="16"/>
      <c r="BM121" s="16"/>
      <c r="BN121" s="16"/>
      <c r="BO121" s="16"/>
      <c r="BP121" s="16"/>
      <c r="BQ121" s="16"/>
      <c r="BR121" s="16"/>
      <c r="BS121" s="16"/>
    </row>
    <row r="122" spans="1:71" ht="14.25" customHeight="1">
      <c r="A122" s="16"/>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c r="Z122" s="16"/>
      <c r="AA122" s="16"/>
      <c r="AB122" s="16"/>
      <c r="AC122" s="16"/>
      <c r="AD122" s="16"/>
      <c r="AE122" s="16"/>
      <c r="AF122" s="16"/>
      <c r="AG122" s="16"/>
      <c r="AH122" s="16"/>
      <c r="AI122" s="16"/>
      <c r="AJ122" s="16"/>
      <c r="AK122" s="16"/>
      <c r="AL122" s="16"/>
      <c r="AM122" s="16"/>
      <c r="AN122" s="16"/>
      <c r="AO122" s="16"/>
      <c r="AP122" s="16"/>
      <c r="AQ122" s="16"/>
      <c r="AR122" s="16"/>
      <c r="AS122" s="16"/>
      <c r="AT122" s="16"/>
      <c r="AU122" s="16"/>
      <c r="AV122" s="16"/>
      <c r="AW122" s="16"/>
      <c r="AX122" s="16"/>
      <c r="AY122" s="16"/>
      <c r="AZ122" s="16"/>
      <c r="BA122" s="16"/>
      <c r="BB122" s="16"/>
      <c r="BC122" s="49"/>
      <c r="BD122" s="16"/>
      <c r="BE122" s="16"/>
      <c r="BF122" s="16"/>
      <c r="BG122" s="16"/>
      <c r="BH122" s="16"/>
      <c r="BI122" s="16"/>
      <c r="BJ122" s="16"/>
      <c r="BK122" s="16"/>
      <c r="BL122" s="16"/>
      <c r="BM122" s="16"/>
      <c r="BN122" s="16"/>
      <c r="BO122" s="16"/>
      <c r="BP122" s="16"/>
      <c r="BQ122" s="16"/>
      <c r="BR122" s="16"/>
      <c r="BS122" s="16"/>
    </row>
    <row r="123" spans="1:71" ht="14.25" customHeight="1">
      <c r="A123" s="16"/>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6"/>
      <c r="AA123" s="16"/>
      <c r="AB123" s="16"/>
      <c r="AC123" s="16"/>
      <c r="AD123" s="16"/>
      <c r="AE123" s="16"/>
      <c r="AF123" s="16"/>
      <c r="AG123" s="16"/>
      <c r="AH123" s="16"/>
      <c r="AI123" s="16"/>
      <c r="AJ123" s="16"/>
      <c r="AK123" s="16"/>
      <c r="AL123" s="16"/>
      <c r="AM123" s="16"/>
      <c r="AN123" s="16"/>
      <c r="AO123" s="16"/>
      <c r="AP123" s="16"/>
      <c r="AQ123" s="16"/>
      <c r="AR123" s="16"/>
      <c r="AS123" s="16"/>
      <c r="AT123" s="16"/>
      <c r="AU123" s="16"/>
      <c r="AV123" s="16"/>
      <c r="AW123" s="16"/>
      <c r="AX123" s="16"/>
      <c r="AY123" s="16"/>
      <c r="AZ123" s="16"/>
      <c r="BA123" s="16"/>
      <c r="BB123" s="16"/>
      <c r="BC123" s="49"/>
      <c r="BD123" s="16"/>
      <c r="BE123" s="16"/>
      <c r="BF123" s="16"/>
      <c r="BG123" s="16"/>
      <c r="BH123" s="16"/>
      <c r="BI123" s="16"/>
      <c r="BJ123" s="16"/>
      <c r="BK123" s="16"/>
      <c r="BL123" s="16"/>
      <c r="BM123" s="16"/>
      <c r="BN123" s="16"/>
      <c r="BO123" s="16"/>
      <c r="BP123" s="16"/>
      <c r="BQ123" s="16"/>
      <c r="BR123" s="16"/>
      <c r="BS123" s="16"/>
    </row>
    <row r="124" spans="1:71" ht="14.25" customHeight="1">
      <c r="A124" s="16"/>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c r="Z124" s="16"/>
      <c r="AA124" s="16"/>
      <c r="AB124" s="16"/>
      <c r="AC124" s="16"/>
      <c r="AD124" s="16"/>
      <c r="AE124" s="16"/>
      <c r="AF124" s="16"/>
      <c r="AG124" s="16"/>
      <c r="AH124" s="16"/>
      <c r="AI124" s="16"/>
      <c r="AJ124" s="16"/>
      <c r="AK124" s="16"/>
      <c r="AL124" s="16"/>
      <c r="AM124" s="16"/>
      <c r="AN124" s="16"/>
      <c r="AO124" s="16"/>
      <c r="AP124" s="16"/>
      <c r="AQ124" s="16"/>
      <c r="AR124" s="16"/>
      <c r="AS124" s="16"/>
      <c r="AT124" s="16"/>
      <c r="AU124" s="16"/>
      <c r="AV124" s="16"/>
      <c r="AW124" s="16"/>
      <c r="AX124" s="16"/>
      <c r="AY124" s="16"/>
      <c r="AZ124" s="16"/>
      <c r="BA124" s="16"/>
      <c r="BB124" s="16"/>
      <c r="BC124" s="49"/>
      <c r="BD124" s="16"/>
      <c r="BE124" s="16"/>
      <c r="BF124" s="16"/>
      <c r="BG124" s="16"/>
      <c r="BH124" s="16"/>
      <c r="BI124" s="16"/>
      <c r="BJ124" s="16"/>
      <c r="BK124" s="16"/>
      <c r="BL124" s="16"/>
      <c r="BM124" s="16"/>
      <c r="BN124" s="16"/>
      <c r="BO124" s="16"/>
      <c r="BP124" s="16"/>
      <c r="BQ124" s="16"/>
      <c r="BR124" s="16"/>
      <c r="BS124" s="16"/>
    </row>
    <row r="125" spans="1:71" ht="14.25" customHeight="1">
      <c r="A125" s="16"/>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c r="BB125" s="16"/>
      <c r="BC125" s="49"/>
      <c r="BD125" s="16"/>
      <c r="BE125" s="16"/>
      <c r="BF125" s="16"/>
      <c r="BG125" s="16"/>
      <c r="BH125" s="16"/>
      <c r="BI125" s="16"/>
      <c r="BJ125" s="16"/>
      <c r="BK125" s="16"/>
      <c r="BL125" s="16"/>
      <c r="BM125" s="16"/>
      <c r="BN125" s="16"/>
      <c r="BO125" s="16"/>
      <c r="BP125" s="16"/>
      <c r="BQ125" s="16"/>
      <c r="BR125" s="16"/>
      <c r="BS125" s="16"/>
    </row>
    <row r="126" spans="1:71" ht="14.25" customHeight="1">
      <c r="A126" s="16"/>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c r="AA126" s="16"/>
      <c r="AB126" s="16"/>
      <c r="AC126" s="16"/>
      <c r="AD126" s="16"/>
      <c r="AE126" s="16"/>
      <c r="AF126" s="16"/>
      <c r="AG126" s="16"/>
      <c r="AH126" s="16"/>
      <c r="AI126" s="16"/>
      <c r="AJ126" s="16"/>
      <c r="AK126" s="16"/>
      <c r="AL126" s="16"/>
      <c r="AM126" s="16"/>
      <c r="AN126" s="16"/>
      <c r="AO126" s="16"/>
      <c r="AP126" s="16"/>
      <c r="AQ126" s="16"/>
      <c r="AR126" s="16"/>
      <c r="AS126" s="16"/>
      <c r="AT126" s="16"/>
      <c r="AU126" s="16"/>
      <c r="AV126" s="16"/>
      <c r="AW126" s="16"/>
      <c r="AX126" s="16"/>
      <c r="AY126" s="16"/>
      <c r="AZ126" s="16"/>
      <c r="BA126" s="16"/>
      <c r="BB126" s="16"/>
      <c r="BC126" s="49"/>
      <c r="BD126" s="16"/>
      <c r="BE126" s="16"/>
      <c r="BF126" s="16"/>
      <c r="BG126" s="16"/>
      <c r="BH126" s="16"/>
      <c r="BI126" s="16"/>
      <c r="BJ126" s="16"/>
      <c r="BK126" s="16"/>
      <c r="BL126" s="16"/>
      <c r="BM126" s="16"/>
      <c r="BN126" s="16"/>
      <c r="BO126" s="16"/>
      <c r="BP126" s="16"/>
      <c r="BQ126" s="16"/>
      <c r="BR126" s="16"/>
      <c r="BS126" s="16"/>
    </row>
    <row r="127" spans="1:71" ht="14.25" customHeight="1">
      <c r="A127" s="16"/>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c r="AA127" s="16"/>
      <c r="AB127" s="16"/>
      <c r="AC127" s="16"/>
      <c r="AD127" s="16"/>
      <c r="AE127" s="16"/>
      <c r="AF127" s="16"/>
      <c r="AG127" s="16"/>
      <c r="AH127" s="16"/>
      <c r="AI127" s="16"/>
      <c r="AJ127" s="16"/>
      <c r="AK127" s="16"/>
      <c r="AL127" s="16"/>
      <c r="AM127" s="16"/>
      <c r="AN127" s="16"/>
      <c r="AO127" s="16"/>
      <c r="AP127" s="16"/>
      <c r="AQ127" s="16"/>
      <c r="AR127" s="16"/>
      <c r="AS127" s="16"/>
      <c r="AT127" s="16"/>
      <c r="AU127" s="16"/>
      <c r="AV127" s="16"/>
      <c r="AW127" s="16"/>
      <c r="AX127" s="16"/>
      <c r="AY127" s="16"/>
      <c r="AZ127" s="16"/>
      <c r="BA127" s="16"/>
      <c r="BB127" s="16"/>
      <c r="BC127" s="49"/>
      <c r="BD127" s="16"/>
      <c r="BE127" s="16"/>
      <c r="BF127" s="16"/>
      <c r="BG127" s="16"/>
      <c r="BH127" s="16"/>
      <c r="BI127" s="16"/>
      <c r="BJ127" s="16"/>
      <c r="BK127" s="16"/>
      <c r="BL127" s="16"/>
      <c r="BM127" s="16"/>
      <c r="BN127" s="16"/>
      <c r="BO127" s="16"/>
      <c r="BP127" s="16"/>
      <c r="BQ127" s="16"/>
      <c r="BR127" s="16"/>
      <c r="BS127" s="16"/>
    </row>
    <row r="128" spans="1:71" ht="14.25" customHeight="1">
      <c r="A128" s="16"/>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c r="AA128" s="16"/>
      <c r="AB128" s="16"/>
      <c r="AC128" s="16"/>
      <c r="AD128" s="16"/>
      <c r="AE128" s="16"/>
      <c r="AF128" s="16"/>
      <c r="AG128" s="16"/>
      <c r="AH128" s="16"/>
      <c r="AI128" s="16"/>
      <c r="AJ128" s="16"/>
      <c r="AK128" s="16"/>
      <c r="AL128" s="16"/>
      <c r="AM128" s="16"/>
      <c r="AN128" s="16"/>
      <c r="AO128" s="16"/>
      <c r="AP128" s="16"/>
      <c r="AQ128" s="16"/>
      <c r="AR128" s="16"/>
      <c r="AS128" s="16"/>
      <c r="AT128" s="16"/>
      <c r="AU128" s="16"/>
      <c r="AV128" s="16"/>
      <c r="AW128" s="16"/>
      <c r="AX128" s="16"/>
      <c r="AY128" s="16"/>
      <c r="AZ128" s="16"/>
      <c r="BA128" s="16"/>
      <c r="BB128" s="16"/>
      <c r="BC128" s="49"/>
      <c r="BD128" s="16"/>
      <c r="BE128" s="16"/>
      <c r="BF128" s="16"/>
      <c r="BG128" s="16"/>
      <c r="BH128" s="16"/>
      <c r="BI128" s="16"/>
      <c r="BJ128" s="16"/>
      <c r="BK128" s="16"/>
      <c r="BL128" s="16"/>
      <c r="BM128" s="16"/>
      <c r="BN128" s="16"/>
      <c r="BO128" s="16"/>
      <c r="BP128" s="16"/>
      <c r="BQ128" s="16"/>
      <c r="BR128" s="16"/>
      <c r="BS128" s="16"/>
    </row>
    <row r="129" spans="1:71" ht="14.25" customHeight="1">
      <c r="A129" s="16"/>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c r="AA129" s="16"/>
      <c r="AB129" s="16"/>
      <c r="AC129" s="16"/>
      <c r="AD129" s="16"/>
      <c r="AE129" s="16"/>
      <c r="AF129" s="16"/>
      <c r="AG129" s="16"/>
      <c r="AH129" s="16"/>
      <c r="AI129" s="16"/>
      <c r="AJ129" s="16"/>
      <c r="AK129" s="16"/>
      <c r="AL129" s="16"/>
      <c r="AM129" s="16"/>
      <c r="AN129" s="16"/>
      <c r="AO129" s="16"/>
      <c r="AP129" s="16"/>
      <c r="AQ129" s="16"/>
      <c r="AR129" s="16"/>
      <c r="AS129" s="16"/>
      <c r="AT129" s="16"/>
      <c r="AU129" s="16"/>
      <c r="AV129" s="16"/>
      <c r="AW129" s="16"/>
      <c r="AX129" s="16"/>
      <c r="AY129" s="16"/>
      <c r="AZ129" s="16"/>
      <c r="BA129" s="16"/>
      <c r="BB129" s="16"/>
      <c r="BC129" s="49"/>
      <c r="BD129" s="16"/>
      <c r="BE129" s="16"/>
      <c r="BF129" s="16"/>
      <c r="BG129" s="16"/>
      <c r="BH129" s="16"/>
      <c r="BI129" s="16"/>
      <c r="BJ129" s="16"/>
      <c r="BK129" s="16"/>
      <c r="BL129" s="16"/>
      <c r="BM129" s="16"/>
      <c r="BN129" s="16"/>
      <c r="BO129" s="16"/>
      <c r="BP129" s="16"/>
      <c r="BQ129" s="16"/>
      <c r="BR129" s="16"/>
      <c r="BS129" s="16"/>
    </row>
    <row r="130" spans="1:71" ht="14.25" customHeight="1">
      <c r="A130" s="16"/>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c r="AA130" s="16"/>
      <c r="AB130" s="16"/>
      <c r="AC130" s="16"/>
      <c r="AD130" s="16"/>
      <c r="AE130" s="16"/>
      <c r="AF130" s="16"/>
      <c r="AG130" s="16"/>
      <c r="AH130" s="16"/>
      <c r="AI130" s="16"/>
      <c r="AJ130" s="16"/>
      <c r="AK130" s="16"/>
      <c r="AL130" s="16"/>
      <c r="AM130" s="16"/>
      <c r="AN130" s="16"/>
      <c r="AO130" s="16"/>
      <c r="AP130" s="16"/>
      <c r="AQ130" s="16"/>
      <c r="AR130" s="16"/>
      <c r="AS130" s="16"/>
      <c r="AT130" s="16"/>
      <c r="AU130" s="16"/>
      <c r="AV130" s="16"/>
      <c r="AW130" s="16"/>
      <c r="AX130" s="16"/>
      <c r="AY130" s="16"/>
      <c r="AZ130" s="16"/>
      <c r="BA130" s="16"/>
      <c r="BB130" s="16"/>
      <c r="BC130" s="49"/>
      <c r="BD130" s="16"/>
      <c r="BE130" s="16"/>
      <c r="BF130" s="16"/>
      <c r="BG130" s="16"/>
      <c r="BH130" s="16"/>
      <c r="BI130" s="16"/>
      <c r="BJ130" s="16"/>
      <c r="BK130" s="16"/>
      <c r="BL130" s="16"/>
      <c r="BM130" s="16"/>
      <c r="BN130" s="16"/>
      <c r="BO130" s="16"/>
      <c r="BP130" s="16"/>
      <c r="BQ130" s="16"/>
      <c r="BR130" s="16"/>
      <c r="BS130" s="16"/>
    </row>
    <row r="131" spans="1:71" ht="14.25" customHeight="1">
      <c r="A131" s="16"/>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c r="AA131" s="16"/>
      <c r="AB131" s="16"/>
      <c r="AC131" s="16"/>
      <c r="AD131" s="16"/>
      <c r="AE131" s="16"/>
      <c r="AF131" s="16"/>
      <c r="AG131" s="16"/>
      <c r="AH131" s="16"/>
      <c r="AI131" s="16"/>
      <c r="AJ131" s="16"/>
      <c r="AK131" s="16"/>
      <c r="AL131" s="16"/>
      <c r="AM131" s="16"/>
      <c r="AN131" s="16"/>
      <c r="AO131" s="16"/>
      <c r="AP131" s="16"/>
      <c r="AQ131" s="16"/>
      <c r="AR131" s="16"/>
      <c r="AS131" s="16"/>
      <c r="AT131" s="16"/>
      <c r="AU131" s="16"/>
      <c r="AV131" s="16"/>
      <c r="AW131" s="16"/>
      <c r="AX131" s="16"/>
      <c r="AY131" s="16"/>
      <c r="AZ131" s="16"/>
      <c r="BA131" s="16"/>
      <c r="BB131" s="16"/>
      <c r="BC131" s="49"/>
      <c r="BD131" s="16"/>
      <c r="BE131" s="16"/>
      <c r="BF131" s="16"/>
      <c r="BG131" s="16"/>
      <c r="BH131" s="16"/>
      <c r="BI131" s="16"/>
      <c r="BJ131" s="16"/>
      <c r="BK131" s="16"/>
      <c r="BL131" s="16"/>
      <c r="BM131" s="16"/>
      <c r="BN131" s="16"/>
      <c r="BO131" s="16"/>
      <c r="BP131" s="16"/>
      <c r="BQ131" s="16"/>
      <c r="BR131" s="16"/>
      <c r="BS131" s="16"/>
    </row>
    <row r="132" spans="1:71" ht="14.25" customHeight="1">
      <c r="A132" s="16"/>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c r="AA132" s="16"/>
      <c r="AB132" s="16"/>
      <c r="AC132" s="16"/>
      <c r="AD132" s="16"/>
      <c r="AE132" s="16"/>
      <c r="AF132" s="16"/>
      <c r="AG132" s="16"/>
      <c r="AH132" s="16"/>
      <c r="AI132" s="16"/>
      <c r="AJ132" s="16"/>
      <c r="AK132" s="16"/>
      <c r="AL132" s="16"/>
      <c r="AM132" s="16"/>
      <c r="AN132" s="16"/>
      <c r="AO132" s="16"/>
      <c r="AP132" s="16"/>
      <c r="AQ132" s="16"/>
      <c r="AR132" s="16"/>
      <c r="AS132" s="16"/>
      <c r="AT132" s="16"/>
      <c r="AU132" s="16"/>
      <c r="AV132" s="16"/>
      <c r="AW132" s="16"/>
      <c r="AX132" s="16"/>
      <c r="AY132" s="16"/>
      <c r="AZ132" s="16"/>
      <c r="BA132" s="16"/>
      <c r="BB132" s="16"/>
      <c r="BC132" s="49"/>
      <c r="BD132" s="16"/>
      <c r="BE132" s="16"/>
      <c r="BF132" s="16"/>
      <c r="BG132" s="16"/>
      <c r="BH132" s="16"/>
      <c r="BI132" s="16"/>
      <c r="BJ132" s="16"/>
      <c r="BK132" s="16"/>
      <c r="BL132" s="16"/>
      <c r="BM132" s="16"/>
      <c r="BN132" s="16"/>
      <c r="BO132" s="16"/>
      <c r="BP132" s="16"/>
      <c r="BQ132" s="16"/>
      <c r="BR132" s="16"/>
      <c r="BS132" s="16"/>
    </row>
    <row r="133" spans="1:71" ht="14.25" customHeight="1">
      <c r="A133" s="16"/>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c r="AZ133" s="16"/>
      <c r="BA133" s="16"/>
      <c r="BB133" s="16"/>
      <c r="BC133" s="49"/>
      <c r="BD133" s="16"/>
      <c r="BE133" s="16"/>
      <c r="BF133" s="16"/>
      <c r="BG133" s="16"/>
      <c r="BH133" s="16"/>
      <c r="BI133" s="16"/>
      <c r="BJ133" s="16"/>
      <c r="BK133" s="16"/>
      <c r="BL133" s="16"/>
      <c r="BM133" s="16"/>
      <c r="BN133" s="16"/>
      <c r="BO133" s="16"/>
      <c r="BP133" s="16"/>
      <c r="BQ133" s="16"/>
      <c r="BR133" s="16"/>
      <c r="BS133" s="16"/>
    </row>
    <row r="134" spans="1:71" ht="14.25" customHeight="1">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c r="AA134" s="16"/>
      <c r="AB134" s="16"/>
      <c r="AC134" s="16"/>
      <c r="AD134" s="16"/>
      <c r="AE134" s="16"/>
      <c r="AF134" s="16"/>
      <c r="AG134" s="16"/>
      <c r="AH134" s="16"/>
      <c r="AI134" s="16"/>
      <c r="AJ134" s="16"/>
      <c r="AK134" s="16"/>
      <c r="AL134" s="16"/>
      <c r="AM134" s="16"/>
      <c r="AN134" s="16"/>
      <c r="AO134" s="16"/>
      <c r="AP134" s="16"/>
      <c r="AQ134" s="16"/>
      <c r="AR134" s="16"/>
      <c r="AS134" s="16"/>
      <c r="AT134" s="16"/>
      <c r="AU134" s="16"/>
      <c r="AV134" s="16"/>
      <c r="AW134" s="16"/>
      <c r="AX134" s="16"/>
      <c r="AY134" s="16"/>
      <c r="AZ134" s="16"/>
      <c r="BA134" s="16"/>
      <c r="BB134" s="16"/>
      <c r="BC134" s="49"/>
      <c r="BD134" s="16"/>
      <c r="BE134" s="16"/>
      <c r="BF134" s="16"/>
      <c r="BG134" s="16"/>
      <c r="BH134" s="16"/>
      <c r="BI134" s="16"/>
      <c r="BJ134" s="16"/>
      <c r="BK134" s="16"/>
      <c r="BL134" s="16"/>
      <c r="BM134" s="16"/>
      <c r="BN134" s="16"/>
      <c r="BO134" s="16"/>
      <c r="BP134" s="16"/>
      <c r="BQ134" s="16"/>
      <c r="BR134" s="16"/>
      <c r="BS134" s="16"/>
    </row>
    <row r="135" spans="1:71" ht="14.25" customHeight="1">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c r="AA135" s="16"/>
      <c r="AB135" s="16"/>
      <c r="AC135" s="16"/>
      <c r="AD135" s="16"/>
      <c r="AE135" s="16"/>
      <c r="AF135" s="16"/>
      <c r="AG135" s="16"/>
      <c r="AH135" s="16"/>
      <c r="AI135" s="16"/>
      <c r="AJ135" s="16"/>
      <c r="AK135" s="16"/>
      <c r="AL135" s="16"/>
      <c r="AM135" s="16"/>
      <c r="AN135" s="16"/>
      <c r="AO135" s="16"/>
      <c r="AP135" s="16"/>
      <c r="AQ135" s="16"/>
      <c r="AR135" s="16"/>
      <c r="AS135" s="16"/>
      <c r="AT135" s="16"/>
      <c r="AU135" s="16"/>
      <c r="AV135" s="16"/>
      <c r="AW135" s="16"/>
      <c r="AX135" s="16"/>
      <c r="AY135" s="16"/>
      <c r="AZ135" s="16"/>
      <c r="BA135" s="16"/>
      <c r="BB135" s="16"/>
      <c r="BC135" s="49"/>
      <c r="BD135" s="16"/>
      <c r="BE135" s="16"/>
      <c r="BF135" s="16"/>
      <c r="BG135" s="16"/>
      <c r="BH135" s="16"/>
      <c r="BI135" s="16"/>
      <c r="BJ135" s="16"/>
      <c r="BK135" s="16"/>
      <c r="BL135" s="16"/>
      <c r="BM135" s="16"/>
      <c r="BN135" s="16"/>
      <c r="BO135" s="16"/>
      <c r="BP135" s="16"/>
      <c r="BQ135" s="16"/>
      <c r="BR135" s="16"/>
      <c r="BS135" s="16"/>
    </row>
    <row r="136" spans="1:71" ht="14.25" customHeight="1">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c r="AA136" s="16"/>
      <c r="AB136" s="16"/>
      <c r="AC136" s="16"/>
      <c r="AD136" s="16"/>
      <c r="AE136" s="16"/>
      <c r="AF136" s="16"/>
      <c r="AG136" s="16"/>
      <c r="AH136" s="16"/>
      <c r="AI136" s="16"/>
      <c r="AJ136" s="16"/>
      <c r="AK136" s="16"/>
      <c r="AL136" s="16"/>
      <c r="AM136" s="16"/>
      <c r="AN136" s="16"/>
      <c r="AO136" s="16"/>
      <c r="AP136" s="16"/>
      <c r="AQ136" s="16"/>
      <c r="AR136" s="16"/>
      <c r="AS136" s="16"/>
      <c r="AT136" s="16"/>
      <c r="AU136" s="16"/>
      <c r="AV136" s="16"/>
      <c r="AW136" s="16"/>
      <c r="AX136" s="16"/>
      <c r="AY136" s="16"/>
      <c r="AZ136" s="16"/>
      <c r="BA136" s="16"/>
      <c r="BB136" s="16"/>
      <c r="BC136" s="49"/>
      <c r="BD136" s="16"/>
      <c r="BE136" s="16"/>
      <c r="BF136" s="16"/>
      <c r="BG136" s="16"/>
      <c r="BH136" s="16"/>
      <c r="BI136" s="16"/>
      <c r="BJ136" s="16"/>
      <c r="BK136" s="16"/>
      <c r="BL136" s="16"/>
      <c r="BM136" s="16"/>
      <c r="BN136" s="16"/>
      <c r="BO136" s="16"/>
      <c r="BP136" s="16"/>
      <c r="BQ136" s="16"/>
      <c r="BR136" s="16"/>
      <c r="BS136" s="16"/>
    </row>
    <row r="137" spans="1:71" ht="14.25" customHeight="1">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c r="AA137" s="16"/>
      <c r="AB137" s="16"/>
      <c r="AC137" s="16"/>
      <c r="AD137" s="16"/>
      <c r="AE137" s="16"/>
      <c r="AF137" s="16"/>
      <c r="AG137" s="16"/>
      <c r="AH137" s="16"/>
      <c r="AI137" s="16"/>
      <c r="AJ137" s="16"/>
      <c r="AK137" s="16"/>
      <c r="AL137" s="16"/>
      <c r="AM137" s="16"/>
      <c r="AN137" s="16"/>
      <c r="AO137" s="16"/>
      <c r="AP137" s="16"/>
      <c r="AQ137" s="16"/>
      <c r="AR137" s="16"/>
      <c r="AS137" s="16"/>
      <c r="AT137" s="16"/>
      <c r="AU137" s="16"/>
      <c r="AV137" s="16"/>
      <c r="AW137" s="16"/>
      <c r="AX137" s="16"/>
      <c r="AY137" s="16"/>
      <c r="AZ137" s="16"/>
      <c r="BA137" s="16"/>
      <c r="BB137" s="16"/>
      <c r="BC137" s="49"/>
      <c r="BD137" s="16"/>
      <c r="BE137" s="16"/>
      <c r="BF137" s="16"/>
      <c r="BG137" s="16"/>
      <c r="BH137" s="16"/>
      <c r="BI137" s="16"/>
      <c r="BJ137" s="16"/>
      <c r="BK137" s="16"/>
      <c r="BL137" s="16"/>
      <c r="BM137" s="16"/>
      <c r="BN137" s="16"/>
      <c r="BO137" s="16"/>
      <c r="BP137" s="16"/>
      <c r="BQ137" s="16"/>
      <c r="BR137" s="16"/>
      <c r="BS137" s="16"/>
    </row>
    <row r="138" spans="1:71" ht="14.25" customHeight="1">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c r="AA138" s="16"/>
      <c r="AB138" s="16"/>
      <c r="AC138" s="16"/>
      <c r="AD138" s="16"/>
      <c r="AE138" s="16"/>
      <c r="AF138" s="16"/>
      <c r="AG138" s="16"/>
      <c r="AH138" s="16"/>
      <c r="AI138" s="16"/>
      <c r="AJ138" s="16"/>
      <c r="AK138" s="16"/>
      <c r="AL138" s="16"/>
      <c r="AM138" s="16"/>
      <c r="AN138" s="16"/>
      <c r="AO138" s="16"/>
      <c r="AP138" s="16"/>
      <c r="AQ138" s="16"/>
      <c r="AR138" s="16"/>
      <c r="AS138" s="16"/>
      <c r="AT138" s="16"/>
      <c r="AU138" s="16"/>
      <c r="AV138" s="16"/>
      <c r="AW138" s="16"/>
      <c r="AX138" s="16"/>
      <c r="AY138" s="16"/>
      <c r="AZ138" s="16"/>
      <c r="BA138" s="16"/>
      <c r="BB138" s="16"/>
      <c r="BC138" s="49"/>
      <c r="BD138" s="16"/>
      <c r="BE138" s="16"/>
      <c r="BF138" s="16"/>
      <c r="BG138" s="16"/>
      <c r="BH138" s="16"/>
      <c r="BI138" s="16"/>
      <c r="BJ138" s="16"/>
      <c r="BK138" s="16"/>
      <c r="BL138" s="16"/>
      <c r="BM138" s="16"/>
      <c r="BN138" s="16"/>
      <c r="BO138" s="16"/>
      <c r="BP138" s="16"/>
      <c r="BQ138" s="16"/>
      <c r="BR138" s="16"/>
      <c r="BS138" s="16"/>
    </row>
    <row r="139" spans="1:71" ht="14.25" customHeight="1">
      <c r="A139" s="1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c r="AA139" s="16"/>
      <c r="AB139" s="16"/>
      <c r="AC139" s="16"/>
      <c r="AD139" s="16"/>
      <c r="AE139" s="16"/>
      <c r="AF139" s="16"/>
      <c r="AG139" s="16"/>
      <c r="AH139" s="16"/>
      <c r="AI139" s="16"/>
      <c r="AJ139" s="16"/>
      <c r="AK139" s="16"/>
      <c r="AL139" s="16"/>
      <c r="AM139" s="16"/>
      <c r="AN139" s="16"/>
      <c r="AO139" s="16"/>
      <c r="AP139" s="16"/>
      <c r="AQ139" s="16"/>
      <c r="AR139" s="16"/>
      <c r="AS139" s="16"/>
      <c r="AT139" s="16"/>
      <c r="AU139" s="16"/>
      <c r="AV139" s="16"/>
      <c r="AW139" s="16"/>
      <c r="AX139" s="16"/>
      <c r="AY139" s="16"/>
      <c r="AZ139" s="16"/>
      <c r="BA139" s="16"/>
      <c r="BB139" s="16"/>
      <c r="BC139" s="49"/>
      <c r="BD139" s="16"/>
      <c r="BE139" s="16"/>
      <c r="BF139" s="16"/>
      <c r="BG139" s="16"/>
      <c r="BH139" s="16"/>
      <c r="BI139" s="16"/>
      <c r="BJ139" s="16"/>
      <c r="BK139" s="16"/>
      <c r="BL139" s="16"/>
      <c r="BM139" s="16"/>
      <c r="BN139" s="16"/>
      <c r="BO139" s="16"/>
      <c r="BP139" s="16"/>
      <c r="BQ139" s="16"/>
      <c r="BR139" s="16"/>
      <c r="BS139" s="16"/>
    </row>
    <row r="140" spans="1:71" ht="14.25" customHeight="1">
      <c r="A140" s="1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c r="AA140" s="16"/>
      <c r="AB140" s="16"/>
      <c r="AC140" s="16"/>
      <c r="AD140" s="16"/>
      <c r="AE140" s="16"/>
      <c r="AF140" s="16"/>
      <c r="AG140" s="16"/>
      <c r="AH140" s="16"/>
      <c r="AI140" s="16"/>
      <c r="AJ140" s="16"/>
      <c r="AK140" s="16"/>
      <c r="AL140" s="16"/>
      <c r="AM140" s="16"/>
      <c r="AN140" s="16"/>
      <c r="AO140" s="16"/>
      <c r="AP140" s="16"/>
      <c r="AQ140" s="16"/>
      <c r="AR140" s="16"/>
      <c r="AS140" s="16"/>
      <c r="AT140" s="16"/>
      <c r="AU140" s="16"/>
      <c r="AV140" s="16"/>
      <c r="AW140" s="16"/>
      <c r="AX140" s="16"/>
      <c r="AY140" s="16"/>
      <c r="AZ140" s="16"/>
      <c r="BA140" s="16"/>
      <c r="BB140" s="16"/>
      <c r="BC140" s="49"/>
      <c r="BD140" s="16"/>
      <c r="BE140" s="16"/>
      <c r="BF140" s="16"/>
      <c r="BG140" s="16"/>
      <c r="BH140" s="16"/>
      <c r="BI140" s="16"/>
      <c r="BJ140" s="16"/>
      <c r="BK140" s="16"/>
      <c r="BL140" s="16"/>
      <c r="BM140" s="16"/>
      <c r="BN140" s="16"/>
      <c r="BO140" s="16"/>
      <c r="BP140" s="16"/>
      <c r="BQ140" s="16"/>
      <c r="BR140" s="16"/>
      <c r="BS140" s="16"/>
    </row>
    <row r="141" spans="1:71" ht="14.25" customHeight="1">
      <c r="A141" s="1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c r="AA141" s="16"/>
      <c r="AB141" s="16"/>
      <c r="AC141" s="16"/>
      <c r="AD141" s="16"/>
      <c r="AE141" s="16"/>
      <c r="AF141" s="16"/>
      <c r="AG141" s="16"/>
      <c r="AH141" s="16"/>
      <c r="AI141" s="16"/>
      <c r="AJ141" s="16"/>
      <c r="AK141" s="16"/>
      <c r="AL141" s="16"/>
      <c r="AM141" s="16"/>
      <c r="AN141" s="16"/>
      <c r="AO141" s="16"/>
      <c r="AP141" s="16"/>
      <c r="AQ141" s="16"/>
      <c r="AR141" s="16"/>
      <c r="AS141" s="16"/>
      <c r="AT141" s="16"/>
      <c r="AU141" s="16"/>
      <c r="AV141" s="16"/>
      <c r="AW141" s="16"/>
      <c r="AX141" s="16"/>
      <c r="AY141" s="16"/>
      <c r="AZ141" s="16"/>
      <c r="BA141" s="16"/>
      <c r="BB141" s="16"/>
      <c r="BC141" s="49"/>
      <c r="BD141" s="16"/>
      <c r="BE141" s="16"/>
      <c r="BF141" s="16"/>
      <c r="BG141" s="16"/>
      <c r="BH141" s="16"/>
      <c r="BI141" s="16"/>
      <c r="BJ141" s="16"/>
      <c r="BK141" s="16"/>
      <c r="BL141" s="16"/>
      <c r="BM141" s="16"/>
      <c r="BN141" s="16"/>
      <c r="BO141" s="16"/>
      <c r="BP141" s="16"/>
      <c r="BQ141" s="16"/>
      <c r="BR141" s="16"/>
      <c r="BS141" s="16"/>
    </row>
    <row r="142" spans="1:71" ht="14.25" customHeight="1">
      <c r="A142" s="1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c r="AA142" s="16"/>
      <c r="AB142" s="16"/>
      <c r="AC142" s="16"/>
      <c r="AD142" s="16"/>
      <c r="AE142" s="16"/>
      <c r="AF142" s="16"/>
      <c r="AG142" s="16"/>
      <c r="AH142" s="16"/>
      <c r="AI142" s="16"/>
      <c r="AJ142" s="16"/>
      <c r="AK142" s="16"/>
      <c r="AL142" s="16"/>
      <c r="AM142" s="16"/>
      <c r="AN142" s="16"/>
      <c r="AO142" s="16"/>
      <c r="AP142" s="16"/>
      <c r="AQ142" s="16"/>
      <c r="AR142" s="16"/>
      <c r="AS142" s="16"/>
      <c r="AT142" s="16"/>
      <c r="AU142" s="16"/>
      <c r="AV142" s="16"/>
      <c r="AW142" s="16"/>
      <c r="AX142" s="16"/>
      <c r="AY142" s="16"/>
      <c r="AZ142" s="16"/>
      <c r="BA142" s="16"/>
      <c r="BB142" s="16"/>
      <c r="BC142" s="49"/>
      <c r="BD142" s="16"/>
      <c r="BE142" s="16"/>
      <c r="BF142" s="16"/>
      <c r="BG142" s="16"/>
      <c r="BH142" s="16"/>
      <c r="BI142" s="16"/>
      <c r="BJ142" s="16"/>
      <c r="BK142" s="16"/>
      <c r="BL142" s="16"/>
      <c r="BM142" s="16"/>
      <c r="BN142" s="16"/>
      <c r="BO142" s="16"/>
      <c r="BP142" s="16"/>
      <c r="BQ142" s="16"/>
      <c r="BR142" s="16"/>
      <c r="BS142" s="16"/>
    </row>
    <row r="143" spans="1:71" ht="14.25" customHeight="1">
      <c r="A143" s="1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c r="AA143" s="16"/>
      <c r="AB143" s="16"/>
      <c r="AC143" s="16"/>
      <c r="AD143" s="16"/>
      <c r="AE143" s="16"/>
      <c r="AF143" s="16"/>
      <c r="AG143" s="16"/>
      <c r="AH143" s="16"/>
      <c r="AI143" s="16"/>
      <c r="AJ143" s="16"/>
      <c r="AK143" s="16"/>
      <c r="AL143" s="16"/>
      <c r="AM143" s="16"/>
      <c r="AN143" s="16"/>
      <c r="AO143" s="16"/>
      <c r="AP143" s="16"/>
      <c r="AQ143" s="16"/>
      <c r="AR143" s="16"/>
      <c r="AS143" s="16"/>
      <c r="AT143" s="16"/>
      <c r="AU143" s="16"/>
      <c r="AV143" s="16"/>
      <c r="AW143" s="16"/>
      <c r="AX143" s="16"/>
      <c r="AY143" s="16"/>
      <c r="AZ143" s="16"/>
      <c r="BA143" s="16"/>
      <c r="BB143" s="16"/>
      <c r="BC143" s="49"/>
      <c r="BD143" s="16"/>
      <c r="BE143" s="16"/>
      <c r="BF143" s="16"/>
      <c r="BG143" s="16"/>
      <c r="BH143" s="16"/>
      <c r="BI143" s="16"/>
      <c r="BJ143" s="16"/>
      <c r="BK143" s="16"/>
      <c r="BL143" s="16"/>
      <c r="BM143" s="16"/>
      <c r="BN143" s="16"/>
      <c r="BO143" s="16"/>
      <c r="BP143" s="16"/>
      <c r="BQ143" s="16"/>
      <c r="BR143" s="16"/>
      <c r="BS143" s="16"/>
    </row>
    <row r="144" spans="1:71" ht="14.25" customHeight="1">
      <c r="A144" s="1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6"/>
      <c r="AA144" s="16"/>
      <c r="AB144" s="16"/>
      <c r="AC144" s="16"/>
      <c r="AD144" s="16"/>
      <c r="AE144" s="16"/>
      <c r="AF144" s="16"/>
      <c r="AG144" s="16"/>
      <c r="AH144" s="16"/>
      <c r="AI144" s="16"/>
      <c r="AJ144" s="16"/>
      <c r="AK144" s="16"/>
      <c r="AL144" s="16"/>
      <c r="AM144" s="16"/>
      <c r="AN144" s="16"/>
      <c r="AO144" s="16"/>
      <c r="AP144" s="16"/>
      <c r="AQ144" s="16"/>
      <c r="AR144" s="16"/>
      <c r="AS144" s="16"/>
      <c r="AT144" s="16"/>
      <c r="AU144" s="16"/>
      <c r="AV144" s="16"/>
      <c r="AW144" s="16"/>
      <c r="AX144" s="16"/>
      <c r="AY144" s="16"/>
      <c r="AZ144" s="16"/>
      <c r="BA144" s="16"/>
      <c r="BB144" s="16"/>
      <c r="BC144" s="49"/>
      <c r="BD144" s="16"/>
      <c r="BE144" s="16"/>
      <c r="BF144" s="16"/>
      <c r="BG144" s="16"/>
      <c r="BH144" s="16"/>
      <c r="BI144" s="16"/>
      <c r="BJ144" s="16"/>
      <c r="BK144" s="16"/>
      <c r="BL144" s="16"/>
      <c r="BM144" s="16"/>
      <c r="BN144" s="16"/>
      <c r="BO144" s="16"/>
      <c r="BP144" s="16"/>
      <c r="BQ144" s="16"/>
      <c r="BR144" s="16"/>
      <c r="BS144" s="16"/>
    </row>
    <row r="145" spans="1:71" ht="14.25" customHeight="1">
      <c r="A145" s="16"/>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c r="Z145" s="16"/>
      <c r="AA145" s="16"/>
      <c r="AB145" s="16"/>
      <c r="AC145" s="16"/>
      <c r="AD145" s="16"/>
      <c r="AE145" s="16"/>
      <c r="AF145" s="16"/>
      <c r="AG145" s="16"/>
      <c r="AH145" s="16"/>
      <c r="AI145" s="16"/>
      <c r="AJ145" s="16"/>
      <c r="AK145" s="16"/>
      <c r="AL145" s="16"/>
      <c r="AM145" s="16"/>
      <c r="AN145" s="16"/>
      <c r="AO145" s="16"/>
      <c r="AP145" s="16"/>
      <c r="AQ145" s="16"/>
      <c r="AR145" s="16"/>
      <c r="AS145" s="16"/>
      <c r="AT145" s="16"/>
      <c r="AU145" s="16"/>
      <c r="AV145" s="16"/>
      <c r="AW145" s="16"/>
      <c r="AX145" s="16"/>
      <c r="AY145" s="16"/>
      <c r="AZ145" s="16"/>
      <c r="BA145" s="16"/>
      <c r="BB145" s="16"/>
      <c r="BC145" s="49"/>
      <c r="BD145" s="16"/>
      <c r="BE145" s="16"/>
      <c r="BF145" s="16"/>
      <c r="BG145" s="16"/>
      <c r="BH145" s="16"/>
      <c r="BI145" s="16"/>
      <c r="BJ145" s="16"/>
      <c r="BK145" s="16"/>
      <c r="BL145" s="16"/>
      <c r="BM145" s="16"/>
      <c r="BN145" s="16"/>
      <c r="BO145" s="16"/>
      <c r="BP145" s="16"/>
      <c r="BQ145" s="16"/>
      <c r="BR145" s="16"/>
      <c r="BS145" s="16"/>
    </row>
    <row r="146" spans="1:71" ht="14.25" customHeight="1">
      <c r="A146" s="16"/>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49"/>
      <c r="BD146" s="16"/>
      <c r="BE146" s="16"/>
      <c r="BF146" s="16"/>
      <c r="BG146" s="16"/>
      <c r="BH146" s="16"/>
      <c r="BI146" s="16"/>
      <c r="BJ146" s="16"/>
      <c r="BK146" s="16"/>
      <c r="BL146" s="16"/>
      <c r="BM146" s="16"/>
      <c r="BN146" s="16"/>
      <c r="BO146" s="16"/>
      <c r="BP146" s="16"/>
      <c r="BQ146" s="16"/>
      <c r="BR146" s="16"/>
      <c r="BS146" s="16"/>
    </row>
    <row r="147" spans="1:71" ht="14.25" customHeight="1">
      <c r="A147" s="16"/>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c r="Z147" s="16"/>
      <c r="AA147" s="16"/>
      <c r="AB147" s="16"/>
      <c r="AC147" s="16"/>
      <c r="AD147" s="16"/>
      <c r="AE147" s="16"/>
      <c r="AF147" s="16"/>
      <c r="AG147" s="16"/>
      <c r="AH147" s="16"/>
      <c r="AI147" s="16"/>
      <c r="AJ147" s="16"/>
      <c r="AK147" s="16"/>
      <c r="AL147" s="16"/>
      <c r="AM147" s="16"/>
      <c r="AN147" s="16"/>
      <c r="AO147" s="16"/>
      <c r="AP147" s="16"/>
      <c r="AQ147" s="16"/>
      <c r="AR147" s="16"/>
      <c r="AS147" s="16"/>
      <c r="AT147" s="16"/>
      <c r="AU147" s="16"/>
      <c r="AV147" s="16"/>
      <c r="AW147" s="16"/>
      <c r="AX147" s="16"/>
      <c r="AY147" s="16"/>
      <c r="AZ147" s="16"/>
      <c r="BA147" s="16"/>
      <c r="BB147" s="16"/>
      <c r="BC147" s="49"/>
      <c r="BD147" s="16"/>
      <c r="BE147" s="16"/>
      <c r="BF147" s="16"/>
      <c r="BG147" s="16"/>
      <c r="BH147" s="16"/>
      <c r="BI147" s="16"/>
      <c r="BJ147" s="16"/>
      <c r="BK147" s="16"/>
      <c r="BL147" s="16"/>
      <c r="BM147" s="16"/>
      <c r="BN147" s="16"/>
      <c r="BO147" s="16"/>
      <c r="BP147" s="16"/>
      <c r="BQ147" s="16"/>
      <c r="BR147" s="16"/>
      <c r="BS147" s="16"/>
    </row>
    <row r="148" spans="1:71" ht="14.25" customHeight="1">
      <c r="A148" s="1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c r="AA148" s="16"/>
      <c r="AB148" s="16"/>
      <c r="AC148" s="16"/>
      <c r="AD148" s="16"/>
      <c r="AE148" s="16"/>
      <c r="AF148" s="16"/>
      <c r="AG148" s="16"/>
      <c r="AH148" s="16"/>
      <c r="AI148" s="16"/>
      <c r="AJ148" s="16"/>
      <c r="AK148" s="16"/>
      <c r="AL148" s="16"/>
      <c r="AM148" s="16"/>
      <c r="AN148" s="16"/>
      <c r="AO148" s="16"/>
      <c r="AP148" s="16"/>
      <c r="AQ148" s="16"/>
      <c r="AR148" s="16"/>
      <c r="AS148" s="16"/>
      <c r="AT148" s="16"/>
      <c r="AU148" s="16"/>
      <c r="AV148" s="16"/>
      <c r="AW148" s="16"/>
      <c r="AX148" s="16"/>
      <c r="AY148" s="16"/>
      <c r="AZ148" s="16"/>
      <c r="BA148" s="16"/>
      <c r="BB148" s="16"/>
      <c r="BC148" s="49"/>
      <c r="BD148" s="16"/>
      <c r="BE148" s="16"/>
      <c r="BF148" s="16"/>
      <c r="BG148" s="16"/>
      <c r="BH148" s="16"/>
      <c r="BI148" s="16"/>
      <c r="BJ148" s="16"/>
      <c r="BK148" s="16"/>
      <c r="BL148" s="16"/>
      <c r="BM148" s="16"/>
      <c r="BN148" s="16"/>
      <c r="BO148" s="16"/>
      <c r="BP148" s="16"/>
      <c r="BQ148" s="16"/>
      <c r="BR148" s="16"/>
      <c r="BS148" s="16"/>
    </row>
    <row r="149" spans="1:71" ht="14.25" customHeight="1">
      <c r="A149" s="16"/>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c r="AA149" s="16"/>
      <c r="AB149" s="16"/>
      <c r="AC149" s="16"/>
      <c r="AD149" s="16"/>
      <c r="AE149" s="16"/>
      <c r="AF149" s="16"/>
      <c r="AG149" s="16"/>
      <c r="AH149" s="16"/>
      <c r="AI149" s="16"/>
      <c r="AJ149" s="16"/>
      <c r="AK149" s="16"/>
      <c r="AL149" s="16"/>
      <c r="AM149" s="16"/>
      <c r="AN149" s="16"/>
      <c r="AO149" s="16"/>
      <c r="AP149" s="16"/>
      <c r="AQ149" s="16"/>
      <c r="AR149" s="16"/>
      <c r="AS149" s="16"/>
      <c r="AT149" s="16"/>
      <c r="AU149" s="16"/>
      <c r="AV149" s="16"/>
      <c r="AW149" s="16"/>
      <c r="AX149" s="16"/>
      <c r="AY149" s="16"/>
      <c r="AZ149" s="16"/>
      <c r="BA149" s="16"/>
      <c r="BB149" s="16"/>
      <c r="BC149" s="49"/>
      <c r="BD149" s="16"/>
      <c r="BE149" s="16"/>
      <c r="BF149" s="16"/>
      <c r="BG149" s="16"/>
      <c r="BH149" s="16"/>
      <c r="BI149" s="16"/>
      <c r="BJ149" s="16"/>
      <c r="BK149" s="16"/>
      <c r="BL149" s="16"/>
      <c r="BM149" s="16"/>
      <c r="BN149" s="16"/>
      <c r="BO149" s="16"/>
      <c r="BP149" s="16"/>
      <c r="BQ149" s="16"/>
      <c r="BR149" s="16"/>
      <c r="BS149" s="16"/>
    </row>
    <row r="150" spans="1:71" ht="14.25" customHeight="1">
      <c r="A150" s="1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c r="AA150" s="16"/>
      <c r="AB150" s="16"/>
      <c r="AC150" s="16"/>
      <c r="AD150" s="16"/>
      <c r="AE150" s="16"/>
      <c r="AF150" s="16"/>
      <c r="AG150" s="16"/>
      <c r="AH150" s="16"/>
      <c r="AI150" s="16"/>
      <c r="AJ150" s="16"/>
      <c r="AK150" s="16"/>
      <c r="AL150" s="16"/>
      <c r="AM150" s="16"/>
      <c r="AN150" s="16"/>
      <c r="AO150" s="16"/>
      <c r="AP150" s="16"/>
      <c r="AQ150" s="16"/>
      <c r="AR150" s="16"/>
      <c r="AS150" s="16"/>
      <c r="AT150" s="16"/>
      <c r="AU150" s="16"/>
      <c r="AV150" s="16"/>
      <c r="AW150" s="16"/>
      <c r="AX150" s="16"/>
      <c r="AY150" s="16"/>
      <c r="AZ150" s="16"/>
      <c r="BA150" s="16"/>
      <c r="BB150" s="16"/>
      <c r="BC150" s="49"/>
      <c r="BD150" s="16"/>
      <c r="BE150" s="16"/>
      <c r="BF150" s="16"/>
      <c r="BG150" s="16"/>
      <c r="BH150" s="16"/>
      <c r="BI150" s="16"/>
      <c r="BJ150" s="16"/>
      <c r="BK150" s="16"/>
      <c r="BL150" s="16"/>
      <c r="BM150" s="16"/>
      <c r="BN150" s="16"/>
      <c r="BO150" s="16"/>
      <c r="BP150" s="16"/>
      <c r="BQ150" s="16"/>
      <c r="BR150" s="16"/>
      <c r="BS150" s="16"/>
    </row>
    <row r="151" spans="1:71" ht="14.25" customHeight="1">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c r="AA151" s="16"/>
      <c r="AB151" s="16"/>
      <c r="AC151" s="16"/>
      <c r="AD151" s="16"/>
      <c r="AE151" s="16"/>
      <c r="AF151" s="16"/>
      <c r="AG151" s="16"/>
      <c r="AH151" s="16"/>
      <c r="AI151" s="16"/>
      <c r="AJ151" s="16"/>
      <c r="AK151" s="16"/>
      <c r="AL151" s="16"/>
      <c r="AM151" s="16"/>
      <c r="AN151" s="16"/>
      <c r="AO151" s="16"/>
      <c r="AP151" s="16"/>
      <c r="AQ151" s="16"/>
      <c r="AR151" s="16"/>
      <c r="AS151" s="16"/>
      <c r="AT151" s="16"/>
      <c r="AU151" s="16"/>
      <c r="AV151" s="16"/>
      <c r="AW151" s="16"/>
      <c r="AX151" s="16"/>
      <c r="AY151" s="16"/>
      <c r="AZ151" s="16"/>
      <c r="BA151" s="16"/>
      <c r="BB151" s="16"/>
      <c r="BC151" s="49"/>
      <c r="BD151" s="16"/>
      <c r="BE151" s="16"/>
      <c r="BF151" s="16"/>
      <c r="BG151" s="16"/>
      <c r="BH151" s="16"/>
      <c r="BI151" s="16"/>
      <c r="BJ151" s="16"/>
      <c r="BK151" s="16"/>
      <c r="BL151" s="16"/>
      <c r="BM151" s="16"/>
      <c r="BN151" s="16"/>
      <c r="BO151" s="16"/>
      <c r="BP151" s="16"/>
      <c r="BQ151" s="16"/>
      <c r="BR151" s="16"/>
      <c r="BS151" s="16"/>
    </row>
    <row r="152" spans="1:71" ht="14.25" customHeight="1">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c r="AA152" s="16"/>
      <c r="AB152" s="16"/>
      <c r="AC152" s="16"/>
      <c r="AD152" s="16"/>
      <c r="AE152" s="16"/>
      <c r="AF152" s="16"/>
      <c r="AG152" s="16"/>
      <c r="AH152" s="16"/>
      <c r="AI152" s="16"/>
      <c r="AJ152" s="16"/>
      <c r="AK152" s="16"/>
      <c r="AL152" s="16"/>
      <c r="AM152" s="16"/>
      <c r="AN152" s="16"/>
      <c r="AO152" s="16"/>
      <c r="AP152" s="16"/>
      <c r="AQ152" s="16"/>
      <c r="AR152" s="16"/>
      <c r="AS152" s="16"/>
      <c r="AT152" s="16"/>
      <c r="AU152" s="16"/>
      <c r="AV152" s="16"/>
      <c r="AW152" s="16"/>
      <c r="AX152" s="16"/>
      <c r="AY152" s="16"/>
      <c r="AZ152" s="16"/>
      <c r="BA152" s="16"/>
      <c r="BB152" s="16"/>
      <c r="BC152" s="49"/>
      <c r="BD152" s="16"/>
      <c r="BE152" s="16"/>
      <c r="BF152" s="16"/>
      <c r="BG152" s="16"/>
      <c r="BH152" s="16"/>
      <c r="BI152" s="16"/>
      <c r="BJ152" s="16"/>
      <c r="BK152" s="16"/>
      <c r="BL152" s="16"/>
      <c r="BM152" s="16"/>
      <c r="BN152" s="16"/>
      <c r="BO152" s="16"/>
      <c r="BP152" s="16"/>
      <c r="BQ152" s="16"/>
      <c r="BR152" s="16"/>
      <c r="BS152" s="16"/>
    </row>
    <row r="153" spans="1:71" ht="14.25" customHeight="1">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c r="AA153" s="16"/>
      <c r="AB153" s="16"/>
      <c r="AC153" s="16"/>
      <c r="AD153" s="16"/>
      <c r="AE153" s="16"/>
      <c r="AF153" s="16"/>
      <c r="AG153" s="16"/>
      <c r="AH153" s="16"/>
      <c r="AI153" s="16"/>
      <c r="AJ153" s="16"/>
      <c r="AK153" s="16"/>
      <c r="AL153" s="16"/>
      <c r="AM153" s="16"/>
      <c r="AN153" s="16"/>
      <c r="AO153" s="16"/>
      <c r="AP153" s="16"/>
      <c r="AQ153" s="16"/>
      <c r="AR153" s="16"/>
      <c r="AS153" s="16"/>
      <c r="AT153" s="16"/>
      <c r="AU153" s="16"/>
      <c r="AV153" s="16"/>
      <c r="AW153" s="16"/>
      <c r="AX153" s="16"/>
      <c r="AY153" s="16"/>
      <c r="AZ153" s="16"/>
      <c r="BA153" s="16"/>
      <c r="BB153" s="16"/>
      <c r="BC153" s="49"/>
      <c r="BD153" s="16"/>
      <c r="BE153" s="16"/>
      <c r="BF153" s="16"/>
      <c r="BG153" s="16"/>
      <c r="BH153" s="16"/>
      <c r="BI153" s="16"/>
      <c r="BJ153" s="16"/>
      <c r="BK153" s="16"/>
      <c r="BL153" s="16"/>
      <c r="BM153" s="16"/>
      <c r="BN153" s="16"/>
      <c r="BO153" s="16"/>
      <c r="BP153" s="16"/>
      <c r="BQ153" s="16"/>
      <c r="BR153" s="16"/>
      <c r="BS153" s="16"/>
    </row>
    <row r="154" spans="1:71" ht="14.25" customHeight="1">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c r="AA154" s="16"/>
      <c r="AB154" s="16"/>
      <c r="AC154" s="16"/>
      <c r="AD154" s="16"/>
      <c r="AE154" s="16"/>
      <c r="AF154" s="16"/>
      <c r="AG154" s="16"/>
      <c r="AH154" s="16"/>
      <c r="AI154" s="16"/>
      <c r="AJ154" s="16"/>
      <c r="AK154" s="16"/>
      <c r="AL154" s="16"/>
      <c r="AM154" s="16"/>
      <c r="AN154" s="16"/>
      <c r="AO154" s="16"/>
      <c r="AP154" s="16"/>
      <c r="AQ154" s="16"/>
      <c r="AR154" s="16"/>
      <c r="AS154" s="16"/>
      <c r="AT154" s="16"/>
      <c r="AU154" s="16"/>
      <c r="AV154" s="16"/>
      <c r="AW154" s="16"/>
      <c r="AX154" s="16"/>
      <c r="AY154" s="16"/>
      <c r="AZ154" s="16"/>
      <c r="BA154" s="16"/>
      <c r="BB154" s="16"/>
      <c r="BC154" s="49"/>
      <c r="BD154" s="16"/>
      <c r="BE154" s="16"/>
      <c r="BF154" s="16"/>
      <c r="BG154" s="16"/>
      <c r="BH154" s="16"/>
      <c r="BI154" s="16"/>
      <c r="BJ154" s="16"/>
      <c r="BK154" s="16"/>
      <c r="BL154" s="16"/>
      <c r="BM154" s="16"/>
      <c r="BN154" s="16"/>
      <c r="BO154" s="16"/>
      <c r="BP154" s="16"/>
      <c r="BQ154" s="16"/>
      <c r="BR154" s="16"/>
      <c r="BS154" s="16"/>
    </row>
    <row r="155" spans="1:71" ht="14.25" customHeight="1">
      <c r="A155" s="1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c r="AA155" s="16"/>
      <c r="AB155" s="16"/>
      <c r="AC155" s="16"/>
      <c r="AD155" s="16"/>
      <c r="AE155" s="16"/>
      <c r="AF155" s="16"/>
      <c r="AG155" s="16"/>
      <c r="AH155" s="16"/>
      <c r="AI155" s="16"/>
      <c r="AJ155" s="16"/>
      <c r="AK155" s="16"/>
      <c r="AL155" s="16"/>
      <c r="AM155" s="16"/>
      <c r="AN155" s="16"/>
      <c r="AO155" s="16"/>
      <c r="AP155" s="16"/>
      <c r="AQ155" s="16"/>
      <c r="AR155" s="16"/>
      <c r="AS155" s="16"/>
      <c r="AT155" s="16"/>
      <c r="AU155" s="16"/>
      <c r="AV155" s="16"/>
      <c r="AW155" s="16"/>
      <c r="AX155" s="16"/>
      <c r="AY155" s="16"/>
      <c r="AZ155" s="16"/>
      <c r="BA155" s="16"/>
      <c r="BB155" s="16"/>
      <c r="BC155" s="49"/>
      <c r="BD155" s="16"/>
      <c r="BE155" s="16"/>
      <c r="BF155" s="16"/>
      <c r="BG155" s="16"/>
      <c r="BH155" s="16"/>
      <c r="BI155" s="16"/>
      <c r="BJ155" s="16"/>
      <c r="BK155" s="16"/>
      <c r="BL155" s="16"/>
      <c r="BM155" s="16"/>
      <c r="BN155" s="16"/>
      <c r="BO155" s="16"/>
      <c r="BP155" s="16"/>
      <c r="BQ155" s="16"/>
      <c r="BR155" s="16"/>
      <c r="BS155" s="16"/>
    </row>
    <row r="156" spans="1:71" ht="14.25" customHeight="1">
      <c r="A156" s="1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c r="AA156" s="16"/>
      <c r="AB156" s="16"/>
      <c r="AC156" s="16"/>
      <c r="AD156" s="16"/>
      <c r="AE156" s="16"/>
      <c r="AF156" s="16"/>
      <c r="AG156" s="16"/>
      <c r="AH156" s="16"/>
      <c r="AI156" s="16"/>
      <c r="AJ156" s="16"/>
      <c r="AK156" s="16"/>
      <c r="AL156" s="16"/>
      <c r="AM156" s="16"/>
      <c r="AN156" s="16"/>
      <c r="AO156" s="16"/>
      <c r="AP156" s="16"/>
      <c r="AQ156" s="16"/>
      <c r="AR156" s="16"/>
      <c r="AS156" s="16"/>
      <c r="AT156" s="16"/>
      <c r="AU156" s="16"/>
      <c r="AV156" s="16"/>
      <c r="AW156" s="16"/>
      <c r="AX156" s="16"/>
      <c r="AY156" s="16"/>
      <c r="AZ156" s="16"/>
      <c r="BA156" s="16"/>
      <c r="BB156" s="16"/>
      <c r="BC156" s="49"/>
      <c r="BD156" s="16"/>
      <c r="BE156" s="16"/>
      <c r="BF156" s="16"/>
      <c r="BG156" s="16"/>
      <c r="BH156" s="16"/>
      <c r="BI156" s="16"/>
      <c r="BJ156" s="16"/>
      <c r="BK156" s="16"/>
      <c r="BL156" s="16"/>
      <c r="BM156" s="16"/>
      <c r="BN156" s="16"/>
      <c r="BO156" s="16"/>
      <c r="BP156" s="16"/>
      <c r="BQ156" s="16"/>
      <c r="BR156" s="16"/>
      <c r="BS156" s="16"/>
    </row>
    <row r="157" spans="1:71" ht="14.25" customHeight="1">
      <c r="A157" s="1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c r="Z157" s="16"/>
      <c r="AA157" s="16"/>
      <c r="AB157" s="16"/>
      <c r="AC157" s="16"/>
      <c r="AD157" s="16"/>
      <c r="AE157" s="16"/>
      <c r="AF157" s="16"/>
      <c r="AG157" s="16"/>
      <c r="AH157" s="16"/>
      <c r="AI157" s="16"/>
      <c r="AJ157" s="16"/>
      <c r="AK157" s="16"/>
      <c r="AL157" s="16"/>
      <c r="AM157" s="16"/>
      <c r="AN157" s="16"/>
      <c r="AO157" s="16"/>
      <c r="AP157" s="16"/>
      <c r="AQ157" s="16"/>
      <c r="AR157" s="16"/>
      <c r="AS157" s="16"/>
      <c r="AT157" s="16"/>
      <c r="AU157" s="16"/>
      <c r="AV157" s="16"/>
      <c r="AW157" s="16"/>
      <c r="AX157" s="16"/>
      <c r="AY157" s="16"/>
      <c r="AZ157" s="16"/>
      <c r="BA157" s="16"/>
      <c r="BB157" s="16"/>
      <c r="BC157" s="49"/>
      <c r="BD157" s="16"/>
      <c r="BE157" s="16"/>
      <c r="BF157" s="16"/>
      <c r="BG157" s="16"/>
      <c r="BH157" s="16"/>
      <c r="BI157" s="16"/>
      <c r="BJ157" s="16"/>
      <c r="BK157" s="16"/>
      <c r="BL157" s="16"/>
      <c r="BM157" s="16"/>
      <c r="BN157" s="16"/>
      <c r="BO157" s="16"/>
      <c r="BP157" s="16"/>
      <c r="BQ157" s="16"/>
      <c r="BR157" s="16"/>
      <c r="BS157" s="16"/>
    </row>
    <row r="158" spans="1:71" ht="14.25" customHeight="1">
      <c r="A158" s="1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c r="AA158" s="16"/>
      <c r="AB158" s="16"/>
      <c r="AC158" s="16"/>
      <c r="AD158" s="16"/>
      <c r="AE158" s="16"/>
      <c r="AF158" s="16"/>
      <c r="AG158" s="16"/>
      <c r="AH158" s="16"/>
      <c r="AI158" s="16"/>
      <c r="AJ158" s="16"/>
      <c r="AK158" s="16"/>
      <c r="AL158" s="16"/>
      <c r="AM158" s="16"/>
      <c r="AN158" s="16"/>
      <c r="AO158" s="16"/>
      <c r="AP158" s="16"/>
      <c r="AQ158" s="16"/>
      <c r="AR158" s="16"/>
      <c r="AS158" s="16"/>
      <c r="AT158" s="16"/>
      <c r="AU158" s="16"/>
      <c r="AV158" s="16"/>
      <c r="AW158" s="16"/>
      <c r="AX158" s="16"/>
      <c r="AY158" s="16"/>
      <c r="AZ158" s="16"/>
      <c r="BA158" s="16"/>
      <c r="BB158" s="16"/>
      <c r="BC158" s="49"/>
      <c r="BD158" s="16"/>
      <c r="BE158" s="16"/>
      <c r="BF158" s="16"/>
      <c r="BG158" s="16"/>
      <c r="BH158" s="16"/>
      <c r="BI158" s="16"/>
      <c r="BJ158" s="16"/>
      <c r="BK158" s="16"/>
      <c r="BL158" s="16"/>
      <c r="BM158" s="16"/>
      <c r="BN158" s="16"/>
      <c r="BO158" s="16"/>
      <c r="BP158" s="16"/>
      <c r="BQ158" s="16"/>
      <c r="BR158" s="16"/>
      <c r="BS158" s="16"/>
    </row>
    <row r="159" spans="1:71" ht="14.25" customHeight="1">
      <c r="A159" s="1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6"/>
      <c r="AW159" s="16"/>
      <c r="AX159" s="16"/>
      <c r="AY159" s="16"/>
      <c r="AZ159" s="16"/>
      <c r="BA159" s="16"/>
      <c r="BB159" s="16"/>
      <c r="BC159" s="49"/>
      <c r="BD159" s="16"/>
      <c r="BE159" s="16"/>
      <c r="BF159" s="16"/>
      <c r="BG159" s="16"/>
      <c r="BH159" s="16"/>
      <c r="BI159" s="16"/>
      <c r="BJ159" s="16"/>
      <c r="BK159" s="16"/>
      <c r="BL159" s="16"/>
      <c r="BM159" s="16"/>
      <c r="BN159" s="16"/>
      <c r="BO159" s="16"/>
      <c r="BP159" s="16"/>
      <c r="BQ159" s="16"/>
      <c r="BR159" s="16"/>
      <c r="BS159" s="16"/>
    </row>
    <row r="160" spans="1:71" ht="14.25" customHeight="1">
      <c r="A160" s="1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c r="Z160" s="16"/>
      <c r="AA160" s="16"/>
      <c r="AB160" s="16"/>
      <c r="AC160" s="16"/>
      <c r="AD160" s="16"/>
      <c r="AE160" s="16"/>
      <c r="AF160" s="16"/>
      <c r="AG160" s="16"/>
      <c r="AH160" s="16"/>
      <c r="AI160" s="16"/>
      <c r="AJ160" s="16"/>
      <c r="AK160" s="16"/>
      <c r="AL160" s="16"/>
      <c r="AM160" s="16"/>
      <c r="AN160" s="16"/>
      <c r="AO160" s="16"/>
      <c r="AP160" s="16"/>
      <c r="AQ160" s="16"/>
      <c r="AR160" s="16"/>
      <c r="AS160" s="16"/>
      <c r="AT160" s="16"/>
      <c r="AU160" s="16"/>
      <c r="AV160" s="16"/>
      <c r="AW160" s="16"/>
      <c r="AX160" s="16"/>
      <c r="AY160" s="16"/>
      <c r="AZ160" s="16"/>
      <c r="BA160" s="16"/>
      <c r="BB160" s="16"/>
      <c r="BC160" s="49"/>
      <c r="BD160" s="16"/>
      <c r="BE160" s="16"/>
      <c r="BF160" s="16"/>
      <c r="BG160" s="16"/>
      <c r="BH160" s="16"/>
      <c r="BI160" s="16"/>
      <c r="BJ160" s="16"/>
      <c r="BK160" s="16"/>
      <c r="BL160" s="16"/>
      <c r="BM160" s="16"/>
      <c r="BN160" s="16"/>
      <c r="BO160" s="16"/>
      <c r="BP160" s="16"/>
      <c r="BQ160" s="16"/>
      <c r="BR160" s="16"/>
      <c r="BS160" s="16"/>
    </row>
    <row r="161" spans="1:71" ht="14.25" customHeight="1">
      <c r="A161" s="16"/>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c r="Z161" s="16"/>
      <c r="AA161" s="16"/>
      <c r="AB161" s="16"/>
      <c r="AC161" s="16"/>
      <c r="AD161" s="16"/>
      <c r="AE161" s="16"/>
      <c r="AF161" s="16"/>
      <c r="AG161" s="16"/>
      <c r="AH161" s="16"/>
      <c r="AI161" s="16"/>
      <c r="AJ161" s="16"/>
      <c r="AK161" s="16"/>
      <c r="AL161" s="16"/>
      <c r="AM161" s="16"/>
      <c r="AN161" s="16"/>
      <c r="AO161" s="16"/>
      <c r="AP161" s="16"/>
      <c r="AQ161" s="16"/>
      <c r="AR161" s="16"/>
      <c r="AS161" s="16"/>
      <c r="AT161" s="16"/>
      <c r="AU161" s="16"/>
      <c r="AV161" s="16"/>
      <c r="AW161" s="16"/>
      <c r="AX161" s="16"/>
      <c r="AY161" s="16"/>
      <c r="AZ161" s="16"/>
      <c r="BA161" s="16"/>
      <c r="BB161" s="16"/>
      <c r="BC161" s="49"/>
      <c r="BD161" s="16"/>
      <c r="BE161" s="16"/>
      <c r="BF161" s="16"/>
      <c r="BG161" s="16"/>
      <c r="BH161" s="16"/>
      <c r="BI161" s="16"/>
      <c r="BJ161" s="16"/>
      <c r="BK161" s="16"/>
      <c r="BL161" s="16"/>
      <c r="BM161" s="16"/>
      <c r="BN161" s="16"/>
      <c r="BO161" s="16"/>
      <c r="BP161" s="16"/>
      <c r="BQ161" s="16"/>
      <c r="BR161" s="16"/>
      <c r="BS161" s="16"/>
    </row>
    <row r="162" spans="1:71" ht="14.25" customHeight="1">
      <c r="A162" s="1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c r="Z162" s="16"/>
      <c r="AA162" s="16"/>
      <c r="AB162" s="16"/>
      <c r="AC162" s="16"/>
      <c r="AD162" s="16"/>
      <c r="AE162" s="16"/>
      <c r="AF162" s="16"/>
      <c r="AG162" s="16"/>
      <c r="AH162" s="16"/>
      <c r="AI162" s="16"/>
      <c r="AJ162" s="16"/>
      <c r="AK162" s="16"/>
      <c r="AL162" s="16"/>
      <c r="AM162" s="16"/>
      <c r="AN162" s="16"/>
      <c r="AO162" s="16"/>
      <c r="AP162" s="16"/>
      <c r="AQ162" s="16"/>
      <c r="AR162" s="16"/>
      <c r="AS162" s="16"/>
      <c r="AT162" s="16"/>
      <c r="AU162" s="16"/>
      <c r="AV162" s="16"/>
      <c r="AW162" s="16"/>
      <c r="AX162" s="16"/>
      <c r="AY162" s="16"/>
      <c r="AZ162" s="16"/>
      <c r="BA162" s="16"/>
      <c r="BB162" s="16"/>
      <c r="BC162" s="49"/>
      <c r="BD162" s="16"/>
      <c r="BE162" s="16"/>
      <c r="BF162" s="16"/>
      <c r="BG162" s="16"/>
      <c r="BH162" s="16"/>
      <c r="BI162" s="16"/>
      <c r="BJ162" s="16"/>
      <c r="BK162" s="16"/>
      <c r="BL162" s="16"/>
      <c r="BM162" s="16"/>
      <c r="BN162" s="16"/>
      <c r="BO162" s="16"/>
      <c r="BP162" s="16"/>
      <c r="BQ162" s="16"/>
      <c r="BR162" s="16"/>
      <c r="BS162" s="16"/>
    </row>
    <row r="163" spans="1:71" ht="14.25" customHeight="1">
      <c r="A163" s="1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6"/>
      <c r="AA163" s="16"/>
      <c r="AB163" s="16"/>
      <c r="AC163" s="16"/>
      <c r="AD163" s="16"/>
      <c r="AE163" s="16"/>
      <c r="AF163" s="16"/>
      <c r="AG163" s="16"/>
      <c r="AH163" s="16"/>
      <c r="AI163" s="16"/>
      <c r="AJ163" s="16"/>
      <c r="AK163" s="16"/>
      <c r="AL163" s="16"/>
      <c r="AM163" s="16"/>
      <c r="AN163" s="16"/>
      <c r="AO163" s="16"/>
      <c r="AP163" s="16"/>
      <c r="AQ163" s="16"/>
      <c r="AR163" s="16"/>
      <c r="AS163" s="16"/>
      <c r="AT163" s="16"/>
      <c r="AU163" s="16"/>
      <c r="AV163" s="16"/>
      <c r="AW163" s="16"/>
      <c r="AX163" s="16"/>
      <c r="AY163" s="16"/>
      <c r="AZ163" s="16"/>
      <c r="BA163" s="16"/>
      <c r="BB163" s="16"/>
      <c r="BC163" s="49"/>
      <c r="BD163" s="16"/>
      <c r="BE163" s="16"/>
      <c r="BF163" s="16"/>
      <c r="BG163" s="16"/>
      <c r="BH163" s="16"/>
      <c r="BI163" s="16"/>
      <c r="BJ163" s="16"/>
      <c r="BK163" s="16"/>
      <c r="BL163" s="16"/>
      <c r="BM163" s="16"/>
      <c r="BN163" s="16"/>
      <c r="BO163" s="16"/>
      <c r="BP163" s="16"/>
      <c r="BQ163" s="16"/>
      <c r="BR163" s="16"/>
      <c r="BS163" s="16"/>
    </row>
    <row r="164" spans="1:71" ht="14.25" customHeight="1">
      <c r="A164" s="1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c r="Z164" s="16"/>
      <c r="AA164" s="16"/>
      <c r="AB164" s="16"/>
      <c r="AC164" s="16"/>
      <c r="AD164" s="16"/>
      <c r="AE164" s="16"/>
      <c r="AF164" s="16"/>
      <c r="AG164" s="16"/>
      <c r="AH164" s="16"/>
      <c r="AI164" s="16"/>
      <c r="AJ164" s="16"/>
      <c r="AK164" s="16"/>
      <c r="AL164" s="16"/>
      <c r="AM164" s="16"/>
      <c r="AN164" s="16"/>
      <c r="AO164" s="16"/>
      <c r="AP164" s="16"/>
      <c r="AQ164" s="16"/>
      <c r="AR164" s="16"/>
      <c r="AS164" s="16"/>
      <c r="AT164" s="16"/>
      <c r="AU164" s="16"/>
      <c r="AV164" s="16"/>
      <c r="AW164" s="16"/>
      <c r="AX164" s="16"/>
      <c r="AY164" s="16"/>
      <c r="AZ164" s="16"/>
      <c r="BA164" s="16"/>
      <c r="BB164" s="16"/>
      <c r="BC164" s="49"/>
      <c r="BD164" s="16"/>
      <c r="BE164" s="16"/>
      <c r="BF164" s="16"/>
      <c r="BG164" s="16"/>
      <c r="BH164" s="16"/>
      <c r="BI164" s="16"/>
      <c r="BJ164" s="16"/>
      <c r="BK164" s="16"/>
      <c r="BL164" s="16"/>
      <c r="BM164" s="16"/>
      <c r="BN164" s="16"/>
      <c r="BO164" s="16"/>
      <c r="BP164" s="16"/>
      <c r="BQ164" s="16"/>
      <c r="BR164" s="16"/>
      <c r="BS164" s="16"/>
    </row>
    <row r="165" spans="1:71" ht="14.25" customHeight="1">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16"/>
      <c r="AF165" s="16"/>
      <c r="AG165" s="16"/>
      <c r="AH165" s="16"/>
      <c r="AI165" s="16"/>
      <c r="AJ165" s="16"/>
      <c r="AK165" s="16"/>
      <c r="AL165" s="16"/>
      <c r="AM165" s="16"/>
      <c r="AN165" s="16"/>
      <c r="AO165" s="16"/>
      <c r="AP165" s="16"/>
      <c r="AQ165" s="16"/>
      <c r="AR165" s="16"/>
      <c r="AS165" s="16"/>
      <c r="AT165" s="16"/>
      <c r="AU165" s="16"/>
      <c r="AV165" s="16"/>
      <c r="AW165" s="16"/>
      <c r="AX165" s="16"/>
      <c r="AY165" s="16"/>
      <c r="AZ165" s="16"/>
      <c r="BA165" s="16"/>
      <c r="BB165" s="16"/>
      <c r="BC165" s="49"/>
      <c r="BD165" s="16"/>
      <c r="BE165" s="16"/>
      <c r="BF165" s="16"/>
      <c r="BG165" s="16"/>
      <c r="BH165" s="16"/>
      <c r="BI165" s="16"/>
      <c r="BJ165" s="16"/>
      <c r="BK165" s="16"/>
      <c r="BL165" s="16"/>
      <c r="BM165" s="16"/>
      <c r="BN165" s="16"/>
      <c r="BO165" s="16"/>
      <c r="BP165" s="16"/>
      <c r="BQ165" s="16"/>
      <c r="BR165" s="16"/>
      <c r="BS165" s="16"/>
    </row>
    <row r="166" spans="1:71" ht="14.25" customHeight="1">
      <c r="A166" s="1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c r="AA166" s="16"/>
      <c r="AB166" s="16"/>
      <c r="AC166" s="16"/>
      <c r="AD166" s="16"/>
      <c r="AE166" s="16"/>
      <c r="AF166" s="16"/>
      <c r="AG166" s="16"/>
      <c r="AH166" s="16"/>
      <c r="AI166" s="16"/>
      <c r="AJ166" s="16"/>
      <c r="AK166" s="16"/>
      <c r="AL166" s="16"/>
      <c r="AM166" s="16"/>
      <c r="AN166" s="16"/>
      <c r="AO166" s="16"/>
      <c r="AP166" s="16"/>
      <c r="AQ166" s="16"/>
      <c r="AR166" s="16"/>
      <c r="AS166" s="16"/>
      <c r="AT166" s="16"/>
      <c r="AU166" s="16"/>
      <c r="AV166" s="16"/>
      <c r="AW166" s="16"/>
      <c r="AX166" s="16"/>
      <c r="AY166" s="16"/>
      <c r="AZ166" s="16"/>
      <c r="BA166" s="16"/>
      <c r="BB166" s="16"/>
      <c r="BC166" s="49"/>
      <c r="BD166" s="16"/>
      <c r="BE166" s="16"/>
      <c r="BF166" s="16"/>
      <c r="BG166" s="16"/>
      <c r="BH166" s="16"/>
      <c r="BI166" s="16"/>
      <c r="BJ166" s="16"/>
      <c r="BK166" s="16"/>
      <c r="BL166" s="16"/>
      <c r="BM166" s="16"/>
      <c r="BN166" s="16"/>
      <c r="BO166" s="16"/>
      <c r="BP166" s="16"/>
      <c r="BQ166" s="16"/>
      <c r="BR166" s="16"/>
      <c r="BS166" s="16"/>
    </row>
    <row r="167" spans="1:71" ht="14.25" customHeight="1">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c r="AA167" s="16"/>
      <c r="AB167" s="16"/>
      <c r="AC167" s="16"/>
      <c r="AD167" s="16"/>
      <c r="AE167" s="16"/>
      <c r="AF167" s="16"/>
      <c r="AG167" s="16"/>
      <c r="AH167" s="16"/>
      <c r="AI167" s="16"/>
      <c r="AJ167" s="16"/>
      <c r="AK167" s="16"/>
      <c r="AL167" s="16"/>
      <c r="AM167" s="16"/>
      <c r="AN167" s="16"/>
      <c r="AO167" s="16"/>
      <c r="AP167" s="16"/>
      <c r="AQ167" s="16"/>
      <c r="AR167" s="16"/>
      <c r="AS167" s="16"/>
      <c r="AT167" s="16"/>
      <c r="AU167" s="16"/>
      <c r="AV167" s="16"/>
      <c r="AW167" s="16"/>
      <c r="AX167" s="16"/>
      <c r="AY167" s="16"/>
      <c r="AZ167" s="16"/>
      <c r="BA167" s="16"/>
      <c r="BB167" s="16"/>
      <c r="BC167" s="49"/>
      <c r="BD167" s="16"/>
      <c r="BE167" s="16"/>
      <c r="BF167" s="16"/>
      <c r="BG167" s="16"/>
      <c r="BH167" s="16"/>
      <c r="BI167" s="16"/>
      <c r="BJ167" s="16"/>
      <c r="BK167" s="16"/>
      <c r="BL167" s="16"/>
      <c r="BM167" s="16"/>
      <c r="BN167" s="16"/>
      <c r="BO167" s="16"/>
      <c r="BP167" s="16"/>
      <c r="BQ167" s="16"/>
      <c r="BR167" s="16"/>
      <c r="BS167" s="16"/>
    </row>
    <row r="168" spans="1:71" ht="14.25" customHeight="1">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c r="AA168" s="16"/>
      <c r="AB168" s="16"/>
      <c r="AC168" s="16"/>
      <c r="AD168" s="16"/>
      <c r="AE168" s="16"/>
      <c r="AF168" s="16"/>
      <c r="AG168" s="16"/>
      <c r="AH168" s="16"/>
      <c r="AI168" s="16"/>
      <c r="AJ168" s="16"/>
      <c r="AK168" s="16"/>
      <c r="AL168" s="16"/>
      <c r="AM168" s="16"/>
      <c r="AN168" s="16"/>
      <c r="AO168" s="16"/>
      <c r="AP168" s="16"/>
      <c r="AQ168" s="16"/>
      <c r="AR168" s="16"/>
      <c r="AS168" s="16"/>
      <c r="AT168" s="16"/>
      <c r="AU168" s="16"/>
      <c r="AV168" s="16"/>
      <c r="AW168" s="16"/>
      <c r="AX168" s="16"/>
      <c r="AY168" s="16"/>
      <c r="AZ168" s="16"/>
      <c r="BA168" s="16"/>
      <c r="BB168" s="16"/>
      <c r="BC168" s="49"/>
      <c r="BD168" s="16"/>
      <c r="BE168" s="16"/>
      <c r="BF168" s="16"/>
      <c r="BG168" s="16"/>
      <c r="BH168" s="16"/>
      <c r="BI168" s="16"/>
      <c r="BJ168" s="16"/>
      <c r="BK168" s="16"/>
      <c r="BL168" s="16"/>
      <c r="BM168" s="16"/>
      <c r="BN168" s="16"/>
      <c r="BO168" s="16"/>
      <c r="BP168" s="16"/>
      <c r="BQ168" s="16"/>
      <c r="BR168" s="16"/>
      <c r="BS168" s="16"/>
    </row>
    <row r="169" spans="1:71" ht="14.25" customHeight="1">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c r="AA169" s="16"/>
      <c r="AB169" s="16"/>
      <c r="AC169" s="16"/>
      <c r="AD169" s="16"/>
      <c r="AE169" s="16"/>
      <c r="AF169" s="16"/>
      <c r="AG169" s="16"/>
      <c r="AH169" s="16"/>
      <c r="AI169" s="16"/>
      <c r="AJ169" s="16"/>
      <c r="AK169" s="16"/>
      <c r="AL169" s="16"/>
      <c r="AM169" s="16"/>
      <c r="AN169" s="16"/>
      <c r="AO169" s="16"/>
      <c r="AP169" s="16"/>
      <c r="AQ169" s="16"/>
      <c r="AR169" s="16"/>
      <c r="AS169" s="16"/>
      <c r="AT169" s="16"/>
      <c r="AU169" s="16"/>
      <c r="AV169" s="16"/>
      <c r="AW169" s="16"/>
      <c r="AX169" s="16"/>
      <c r="AY169" s="16"/>
      <c r="AZ169" s="16"/>
      <c r="BA169" s="16"/>
      <c r="BB169" s="16"/>
      <c r="BC169" s="49"/>
      <c r="BD169" s="16"/>
      <c r="BE169" s="16"/>
      <c r="BF169" s="16"/>
      <c r="BG169" s="16"/>
      <c r="BH169" s="16"/>
      <c r="BI169" s="16"/>
      <c r="BJ169" s="16"/>
      <c r="BK169" s="16"/>
      <c r="BL169" s="16"/>
      <c r="BM169" s="16"/>
      <c r="BN169" s="16"/>
      <c r="BO169" s="16"/>
      <c r="BP169" s="16"/>
      <c r="BQ169" s="16"/>
      <c r="BR169" s="16"/>
      <c r="BS169" s="16"/>
    </row>
    <row r="170" spans="1:71" ht="14.25" customHeight="1">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c r="AA170" s="16"/>
      <c r="AB170" s="16"/>
      <c r="AC170" s="16"/>
      <c r="AD170" s="16"/>
      <c r="AE170" s="16"/>
      <c r="AF170" s="16"/>
      <c r="AG170" s="16"/>
      <c r="AH170" s="16"/>
      <c r="AI170" s="16"/>
      <c r="AJ170" s="16"/>
      <c r="AK170" s="16"/>
      <c r="AL170" s="16"/>
      <c r="AM170" s="16"/>
      <c r="AN170" s="16"/>
      <c r="AO170" s="16"/>
      <c r="AP170" s="16"/>
      <c r="AQ170" s="16"/>
      <c r="AR170" s="16"/>
      <c r="AS170" s="16"/>
      <c r="AT170" s="16"/>
      <c r="AU170" s="16"/>
      <c r="AV170" s="16"/>
      <c r="AW170" s="16"/>
      <c r="AX170" s="16"/>
      <c r="AY170" s="16"/>
      <c r="AZ170" s="16"/>
      <c r="BA170" s="16"/>
      <c r="BB170" s="16"/>
      <c r="BC170" s="49"/>
      <c r="BD170" s="16"/>
      <c r="BE170" s="16"/>
      <c r="BF170" s="16"/>
      <c r="BG170" s="16"/>
      <c r="BH170" s="16"/>
      <c r="BI170" s="16"/>
      <c r="BJ170" s="16"/>
      <c r="BK170" s="16"/>
      <c r="BL170" s="16"/>
      <c r="BM170" s="16"/>
      <c r="BN170" s="16"/>
      <c r="BO170" s="16"/>
      <c r="BP170" s="16"/>
      <c r="BQ170" s="16"/>
      <c r="BR170" s="16"/>
      <c r="BS170" s="16"/>
    </row>
    <row r="171" spans="1:71" ht="14.25" customHeight="1">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c r="AA171" s="16"/>
      <c r="AB171" s="16"/>
      <c r="AC171" s="16"/>
      <c r="AD171" s="16"/>
      <c r="AE171" s="16"/>
      <c r="AF171" s="16"/>
      <c r="AG171" s="16"/>
      <c r="AH171" s="16"/>
      <c r="AI171" s="16"/>
      <c r="AJ171" s="16"/>
      <c r="AK171" s="16"/>
      <c r="AL171" s="16"/>
      <c r="AM171" s="16"/>
      <c r="AN171" s="16"/>
      <c r="AO171" s="16"/>
      <c r="AP171" s="16"/>
      <c r="AQ171" s="16"/>
      <c r="AR171" s="16"/>
      <c r="AS171" s="16"/>
      <c r="AT171" s="16"/>
      <c r="AU171" s="16"/>
      <c r="AV171" s="16"/>
      <c r="AW171" s="16"/>
      <c r="AX171" s="16"/>
      <c r="AY171" s="16"/>
      <c r="AZ171" s="16"/>
      <c r="BA171" s="16"/>
      <c r="BB171" s="16"/>
      <c r="BC171" s="49"/>
      <c r="BD171" s="16"/>
      <c r="BE171" s="16"/>
      <c r="BF171" s="16"/>
      <c r="BG171" s="16"/>
      <c r="BH171" s="16"/>
      <c r="BI171" s="16"/>
      <c r="BJ171" s="16"/>
      <c r="BK171" s="16"/>
      <c r="BL171" s="16"/>
      <c r="BM171" s="16"/>
      <c r="BN171" s="16"/>
      <c r="BO171" s="16"/>
      <c r="BP171" s="16"/>
      <c r="BQ171" s="16"/>
      <c r="BR171" s="16"/>
      <c r="BS171" s="16"/>
    </row>
    <row r="172" spans="1:71" ht="14.25" customHeight="1">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c r="AE172" s="16"/>
      <c r="AF172" s="16"/>
      <c r="AG172" s="16"/>
      <c r="AH172" s="16"/>
      <c r="AI172" s="16"/>
      <c r="AJ172" s="16"/>
      <c r="AK172" s="16"/>
      <c r="AL172" s="16"/>
      <c r="AM172" s="16"/>
      <c r="AN172" s="16"/>
      <c r="AO172" s="16"/>
      <c r="AP172" s="16"/>
      <c r="AQ172" s="16"/>
      <c r="AR172" s="16"/>
      <c r="AS172" s="16"/>
      <c r="AT172" s="16"/>
      <c r="AU172" s="16"/>
      <c r="AV172" s="16"/>
      <c r="AW172" s="16"/>
      <c r="AX172" s="16"/>
      <c r="AY172" s="16"/>
      <c r="AZ172" s="16"/>
      <c r="BA172" s="16"/>
      <c r="BB172" s="16"/>
      <c r="BC172" s="49"/>
      <c r="BD172" s="16"/>
      <c r="BE172" s="16"/>
      <c r="BF172" s="16"/>
      <c r="BG172" s="16"/>
      <c r="BH172" s="16"/>
      <c r="BI172" s="16"/>
      <c r="BJ172" s="16"/>
      <c r="BK172" s="16"/>
      <c r="BL172" s="16"/>
      <c r="BM172" s="16"/>
      <c r="BN172" s="16"/>
      <c r="BO172" s="16"/>
      <c r="BP172" s="16"/>
      <c r="BQ172" s="16"/>
      <c r="BR172" s="16"/>
      <c r="BS172" s="16"/>
    </row>
    <row r="173" spans="1:71" ht="14.25" customHeight="1">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c r="AC173" s="16"/>
      <c r="AD173" s="16"/>
      <c r="AE173" s="16"/>
      <c r="AF173" s="16"/>
      <c r="AG173" s="16"/>
      <c r="AH173" s="16"/>
      <c r="AI173" s="16"/>
      <c r="AJ173" s="16"/>
      <c r="AK173" s="16"/>
      <c r="AL173" s="16"/>
      <c r="AM173" s="16"/>
      <c r="AN173" s="16"/>
      <c r="AO173" s="16"/>
      <c r="AP173" s="16"/>
      <c r="AQ173" s="16"/>
      <c r="AR173" s="16"/>
      <c r="AS173" s="16"/>
      <c r="AT173" s="16"/>
      <c r="AU173" s="16"/>
      <c r="AV173" s="16"/>
      <c r="AW173" s="16"/>
      <c r="AX173" s="16"/>
      <c r="AY173" s="16"/>
      <c r="AZ173" s="16"/>
      <c r="BA173" s="16"/>
      <c r="BB173" s="16"/>
      <c r="BC173" s="49"/>
      <c r="BD173" s="16"/>
      <c r="BE173" s="16"/>
      <c r="BF173" s="16"/>
      <c r="BG173" s="16"/>
      <c r="BH173" s="16"/>
      <c r="BI173" s="16"/>
      <c r="BJ173" s="16"/>
      <c r="BK173" s="16"/>
      <c r="BL173" s="16"/>
      <c r="BM173" s="16"/>
      <c r="BN173" s="16"/>
      <c r="BO173" s="16"/>
      <c r="BP173" s="16"/>
      <c r="BQ173" s="16"/>
      <c r="BR173" s="16"/>
      <c r="BS173" s="16"/>
    </row>
    <row r="174" spans="1:71" ht="14.25" customHeight="1">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c r="AC174" s="16"/>
      <c r="AD174" s="16"/>
      <c r="AE174" s="16"/>
      <c r="AF174" s="16"/>
      <c r="AG174" s="16"/>
      <c r="AH174" s="16"/>
      <c r="AI174" s="16"/>
      <c r="AJ174" s="16"/>
      <c r="AK174" s="16"/>
      <c r="AL174" s="16"/>
      <c r="AM174" s="16"/>
      <c r="AN174" s="16"/>
      <c r="AO174" s="16"/>
      <c r="AP174" s="16"/>
      <c r="AQ174" s="16"/>
      <c r="AR174" s="16"/>
      <c r="AS174" s="16"/>
      <c r="AT174" s="16"/>
      <c r="AU174" s="16"/>
      <c r="AV174" s="16"/>
      <c r="AW174" s="16"/>
      <c r="AX174" s="16"/>
      <c r="AY174" s="16"/>
      <c r="AZ174" s="16"/>
      <c r="BA174" s="16"/>
      <c r="BB174" s="16"/>
      <c r="BC174" s="49"/>
      <c r="BD174" s="16"/>
      <c r="BE174" s="16"/>
      <c r="BF174" s="16"/>
      <c r="BG174" s="16"/>
      <c r="BH174" s="16"/>
      <c r="BI174" s="16"/>
      <c r="BJ174" s="16"/>
      <c r="BK174" s="16"/>
      <c r="BL174" s="16"/>
      <c r="BM174" s="16"/>
      <c r="BN174" s="16"/>
      <c r="BO174" s="16"/>
      <c r="BP174" s="16"/>
      <c r="BQ174" s="16"/>
      <c r="BR174" s="16"/>
      <c r="BS174" s="16"/>
    </row>
    <row r="175" spans="1:71" ht="14.25" customHeight="1">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c r="AA175" s="16"/>
      <c r="AB175" s="16"/>
      <c r="AC175" s="16"/>
      <c r="AD175" s="16"/>
      <c r="AE175" s="16"/>
      <c r="AF175" s="16"/>
      <c r="AG175" s="16"/>
      <c r="AH175" s="16"/>
      <c r="AI175" s="16"/>
      <c r="AJ175" s="16"/>
      <c r="AK175" s="16"/>
      <c r="AL175" s="16"/>
      <c r="AM175" s="16"/>
      <c r="AN175" s="16"/>
      <c r="AO175" s="16"/>
      <c r="AP175" s="16"/>
      <c r="AQ175" s="16"/>
      <c r="AR175" s="16"/>
      <c r="AS175" s="16"/>
      <c r="AT175" s="16"/>
      <c r="AU175" s="16"/>
      <c r="AV175" s="16"/>
      <c r="AW175" s="16"/>
      <c r="AX175" s="16"/>
      <c r="AY175" s="16"/>
      <c r="AZ175" s="16"/>
      <c r="BA175" s="16"/>
      <c r="BB175" s="16"/>
      <c r="BC175" s="49"/>
      <c r="BD175" s="16"/>
      <c r="BE175" s="16"/>
      <c r="BF175" s="16"/>
      <c r="BG175" s="16"/>
      <c r="BH175" s="16"/>
      <c r="BI175" s="16"/>
      <c r="BJ175" s="16"/>
      <c r="BK175" s="16"/>
      <c r="BL175" s="16"/>
      <c r="BM175" s="16"/>
      <c r="BN175" s="16"/>
      <c r="BO175" s="16"/>
      <c r="BP175" s="16"/>
      <c r="BQ175" s="16"/>
      <c r="BR175" s="16"/>
      <c r="BS175" s="16"/>
    </row>
    <row r="176" spans="1:71" ht="14.25" customHeight="1">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c r="AD176" s="16"/>
      <c r="AE176" s="16"/>
      <c r="AF176" s="16"/>
      <c r="AG176" s="16"/>
      <c r="AH176" s="16"/>
      <c r="AI176" s="16"/>
      <c r="AJ176" s="16"/>
      <c r="AK176" s="16"/>
      <c r="AL176" s="16"/>
      <c r="AM176" s="16"/>
      <c r="AN176" s="16"/>
      <c r="AO176" s="16"/>
      <c r="AP176" s="16"/>
      <c r="AQ176" s="16"/>
      <c r="AR176" s="16"/>
      <c r="AS176" s="16"/>
      <c r="AT176" s="16"/>
      <c r="AU176" s="16"/>
      <c r="AV176" s="16"/>
      <c r="AW176" s="16"/>
      <c r="AX176" s="16"/>
      <c r="AY176" s="16"/>
      <c r="AZ176" s="16"/>
      <c r="BA176" s="16"/>
      <c r="BB176" s="16"/>
      <c r="BC176" s="49"/>
      <c r="BD176" s="16"/>
      <c r="BE176" s="16"/>
      <c r="BF176" s="16"/>
      <c r="BG176" s="16"/>
      <c r="BH176" s="16"/>
      <c r="BI176" s="16"/>
      <c r="BJ176" s="16"/>
      <c r="BK176" s="16"/>
      <c r="BL176" s="16"/>
      <c r="BM176" s="16"/>
      <c r="BN176" s="16"/>
      <c r="BO176" s="16"/>
      <c r="BP176" s="16"/>
      <c r="BQ176" s="16"/>
      <c r="BR176" s="16"/>
      <c r="BS176" s="16"/>
    </row>
    <row r="177" spans="1:71" ht="14.25" customHeight="1">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c r="AD177" s="16"/>
      <c r="AE177" s="16"/>
      <c r="AF177" s="16"/>
      <c r="AG177" s="16"/>
      <c r="AH177" s="16"/>
      <c r="AI177" s="16"/>
      <c r="AJ177" s="16"/>
      <c r="AK177" s="16"/>
      <c r="AL177" s="16"/>
      <c r="AM177" s="16"/>
      <c r="AN177" s="16"/>
      <c r="AO177" s="16"/>
      <c r="AP177" s="16"/>
      <c r="AQ177" s="16"/>
      <c r="AR177" s="16"/>
      <c r="AS177" s="16"/>
      <c r="AT177" s="16"/>
      <c r="AU177" s="16"/>
      <c r="AV177" s="16"/>
      <c r="AW177" s="16"/>
      <c r="AX177" s="16"/>
      <c r="AY177" s="16"/>
      <c r="AZ177" s="16"/>
      <c r="BA177" s="16"/>
      <c r="BB177" s="16"/>
      <c r="BC177" s="49"/>
      <c r="BD177" s="16"/>
      <c r="BE177" s="16"/>
      <c r="BF177" s="16"/>
      <c r="BG177" s="16"/>
      <c r="BH177" s="16"/>
      <c r="BI177" s="16"/>
      <c r="BJ177" s="16"/>
      <c r="BK177" s="16"/>
      <c r="BL177" s="16"/>
      <c r="BM177" s="16"/>
      <c r="BN177" s="16"/>
      <c r="BO177" s="16"/>
      <c r="BP177" s="16"/>
      <c r="BQ177" s="16"/>
      <c r="BR177" s="16"/>
      <c r="BS177" s="16"/>
    </row>
    <row r="178" spans="1:71" ht="14.25" customHeight="1">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c r="AA178" s="16"/>
      <c r="AB178" s="16"/>
      <c r="AC178" s="16"/>
      <c r="AD178" s="16"/>
      <c r="AE178" s="16"/>
      <c r="AF178" s="16"/>
      <c r="AG178" s="16"/>
      <c r="AH178" s="16"/>
      <c r="AI178" s="16"/>
      <c r="AJ178" s="16"/>
      <c r="AK178" s="16"/>
      <c r="AL178" s="16"/>
      <c r="AM178" s="16"/>
      <c r="AN178" s="16"/>
      <c r="AO178" s="16"/>
      <c r="AP178" s="16"/>
      <c r="AQ178" s="16"/>
      <c r="AR178" s="16"/>
      <c r="AS178" s="16"/>
      <c r="AT178" s="16"/>
      <c r="AU178" s="16"/>
      <c r="AV178" s="16"/>
      <c r="AW178" s="16"/>
      <c r="AX178" s="16"/>
      <c r="AY178" s="16"/>
      <c r="AZ178" s="16"/>
      <c r="BA178" s="16"/>
      <c r="BB178" s="16"/>
      <c r="BC178" s="49"/>
      <c r="BD178" s="16"/>
      <c r="BE178" s="16"/>
      <c r="BF178" s="16"/>
      <c r="BG178" s="16"/>
      <c r="BH178" s="16"/>
      <c r="BI178" s="16"/>
      <c r="BJ178" s="16"/>
      <c r="BK178" s="16"/>
      <c r="BL178" s="16"/>
      <c r="BM178" s="16"/>
      <c r="BN178" s="16"/>
      <c r="BO178" s="16"/>
      <c r="BP178" s="16"/>
      <c r="BQ178" s="16"/>
      <c r="BR178" s="16"/>
      <c r="BS178" s="16"/>
    </row>
    <row r="179" spans="1:71" ht="14.25" customHeight="1">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c r="AD179" s="16"/>
      <c r="AE179" s="16"/>
      <c r="AF179" s="16"/>
      <c r="AG179" s="16"/>
      <c r="AH179" s="16"/>
      <c r="AI179" s="16"/>
      <c r="AJ179" s="16"/>
      <c r="AK179" s="16"/>
      <c r="AL179" s="16"/>
      <c r="AM179" s="16"/>
      <c r="AN179" s="16"/>
      <c r="AO179" s="16"/>
      <c r="AP179" s="16"/>
      <c r="AQ179" s="16"/>
      <c r="AR179" s="16"/>
      <c r="AS179" s="16"/>
      <c r="AT179" s="16"/>
      <c r="AU179" s="16"/>
      <c r="AV179" s="16"/>
      <c r="AW179" s="16"/>
      <c r="AX179" s="16"/>
      <c r="AY179" s="16"/>
      <c r="AZ179" s="16"/>
      <c r="BA179" s="16"/>
      <c r="BB179" s="16"/>
      <c r="BC179" s="49"/>
      <c r="BD179" s="16"/>
      <c r="BE179" s="16"/>
      <c r="BF179" s="16"/>
      <c r="BG179" s="16"/>
      <c r="BH179" s="16"/>
      <c r="BI179" s="16"/>
      <c r="BJ179" s="16"/>
      <c r="BK179" s="16"/>
      <c r="BL179" s="16"/>
      <c r="BM179" s="16"/>
      <c r="BN179" s="16"/>
      <c r="BO179" s="16"/>
      <c r="BP179" s="16"/>
      <c r="BQ179" s="16"/>
      <c r="BR179" s="16"/>
      <c r="BS179" s="16"/>
    </row>
    <row r="180" spans="1:71" ht="14.25" customHeight="1">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c r="AD180" s="16"/>
      <c r="AE180" s="16"/>
      <c r="AF180" s="16"/>
      <c r="AG180" s="16"/>
      <c r="AH180" s="16"/>
      <c r="AI180" s="16"/>
      <c r="AJ180" s="16"/>
      <c r="AK180" s="16"/>
      <c r="AL180" s="16"/>
      <c r="AM180" s="16"/>
      <c r="AN180" s="16"/>
      <c r="AO180" s="16"/>
      <c r="AP180" s="16"/>
      <c r="AQ180" s="16"/>
      <c r="AR180" s="16"/>
      <c r="AS180" s="16"/>
      <c r="AT180" s="16"/>
      <c r="AU180" s="16"/>
      <c r="AV180" s="16"/>
      <c r="AW180" s="16"/>
      <c r="AX180" s="16"/>
      <c r="AY180" s="16"/>
      <c r="AZ180" s="16"/>
      <c r="BA180" s="16"/>
      <c r="BB180" s="16"/>
      <c r="BC180" s="49"/>
      <c r="BD180" s="16"/>
      <c r="BE180" s="16"/>
      <c r="BF180" s="16"/>
      <c r="BG180" s="16"/>
      <c r="BH180" s="16"/>
      <c r="BI180" s="16"/>
      <c r="BJ180" s="16"/>
      <c r="BK180" s="16"/>
      <c r="BL180" s="16"/>
      <c r="BM180" s="16"/>
      <c r="BN180" s="16"/>
      <c r="BO180" s="16"/>
      <c r="BP180" s="16"/>
      <c r="BQ180" s="16"/>
      <c r="BR180" s="16"/>
      <c r="BS180" s="16"/>
    </row>
    <row r="181" spans="1:71" ht="14.25" customHeight="1">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c r="AD181" s="16"/>
      <c r="AE181" s="16"/>
      <c r="AF181" s="16"/>
      <c r="AG181" s="16"/>
      <c r="AH181" s="16"/>
      <c r="AI181" s="16"/>
      <c r="AJ181" s="16"/>
      <c r="AK181" s="16"/>
      <c r="AL181" s="16"/>
      <c r="AM181" s="16"/>
      <c r="AN181" s="16"/>
      <c r="AO181" s="16"/>
      <c r="AP181" s="16"/>
      <c r="AQ181" s="16"/>
      <c r="AR181" s="16"/>
      <c r="AS181" s="16"/>
      <c r="AT181" s="16"/>
      <c r="AU181" s="16"/>
      <c r="AV181" s="16"/>
      <c r="AW181" s="16"/>
      <c r="AX181" s="16"/>
      <c r="AY181" s="16"/>
      <c r="AZ181" s="16"/>
      <c r="BA181" s="16"/>
      <c r="BB181" s="16"/>
      <c r="BC181" s="49"/>
      <c r="BD181" s="16"/>
      <c r="BE181" s="16"/>
      <c r="BF181" s="16"/>
      <c r="BG181" s="16"/>
      <c r="BH181" s="16"/>
      <c r="BI181" s="16"/>
      <c r="BJ181" s="16"/>
      <c r="BK181" s="16"/>
      <c r="BL181" s="16"/>
      <c r="BM181" s="16"/>
      <c r="BN181" s="16"/>
      <c r="BO181" s="16"/>
      <c r="BP181" s="16"/>
      <c r="BQ181" s="16"/>
      <c r="BR181" s="16"/>
      <c r="BS181" s="16"/>
    </row>
    <row r="182" spans="1:71" ht="14.25" customHeight="1">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c r="AD182" s="16"/>
      <c r="AE182" s="16"/>
      <c r="AF182" s="16"/>
      <c r="AG182" s="16"/>
      <c r="AH182" s="16"/>
      <c r="AI182" s="16"/>
      <c r="AJ182" s="16"/>
      <c r="AK182" s="16"/>
      <c r="AL182" s="16"/>
      <c r="AM182" s="16"/>
      <c r="AN182" s="16"/>
      <c r="AO182" s="16"/>
      <c r="AP182" s="16"/>
      <c r="AQ182" s="16"/>
      <c r="AR182" s="16"/>
      <c r="AS182" s="16"/>
      <c r="AT182" s="16"/>
      <c r="AU182" s="16"/>
      <c r="AV182" s="16"/>
      <c r="AW182" s="16"/>
      <c r="AX182" s="16"/>
      <c r="AY182" s="16"/>
      <c r="AZ182" s="16"/>
      <c r="BA182" s="16"/>
      <c r="BB182" s="16"/>
      <c r="BC182" s="49"/>
      <c r="BD182" s="16"/>
      <c r="BE182" s="16"/>
      <c r="BF182" s="16"/>
      <c r="BG182" s="16"/>
      <c r="BH182" s="16"/>
      <c r="BI182" s="16"/>
      <c r="BJ182" s="16"/>
      <c r="BK182" s="16"/>
      <c r="BL182" s="16"/>
      <c r="BM182" s="16"/>
      <c r="BN182" s="16"/>
      <c r="BO182" s="16"/>
      <c r="BP182" s="16"/>
      <c r="BQ182" s="16"/>
      <c r="BR182" s="16"/>
      <c r="BS182" s="16"/>
    </row>
    <row r="183" spans="1:71" ht="14.25" customHeight="1">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c r="AD183" s="16"/>
      <c r="AE183" s="16"/>
      <c r="AF183" s="16"/>
      <c r="AG183" s="16"/>
      <c r="AH183" s="16"/>
      <c r="AI183" s="16"/>
      <c r="AJ183" s="16"/>
      <c r="AK183" s="16"/>
      <c r="AL183" s="16"/>
      <c r="AM183" s="16"/>
      <c r="AN183" s="16"/>
      <c r="AO183" s="16"/>
      <c r="AP183" s="16"/>
      <c r="AQ183" s="16"/>
      <c r="AR183" s="16"/>
      <c r="AS183" s="16"/>
      <c r="AT183" s="16"/>
      <c r="AU183" s="16"/>
      <c r="AV183" s="16"/>
      <c r="AW183" s="16"/>
      <c r="AX183" s="16"/>
      <c r="AY183" s="16"/>
      <c r="AZ183" s="16"/>
      <c r="BA183" s="16"/>
      <c r="BB183" s="16"/>
      <c r="BC183" s="49"/>
      <c r="BD183" s="16"/>
      <c r="BE183" s="16"/>
      <c r="BF183" s="16"/>
      <c r="BG183" s="16"/>
      <c r="BH183" s="16"/>
      <c r="BI183" s="16"/>
      <c r="BJ183" s="16"/>
      <c r="BK183" s="16"/>
      <c r="BL183" s="16"/>
      <c r="BM183" s="16"/>
      <c r="BN183" s="16"/>
      <c r="BO183" s="16"/>
      <c r="BP183" s="16"/>
      <c r="BQ183" s="16"/>
      <c r="BR183" s="16"/>
      <c r="BS183" s="16"/>
    </row>
    <row r="184" spans="1:71" ht="14.25" customHeight="1">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c r="AD184" s="16"/>
      <c r="AE184" s="16"/>
      <c r="AF184" s="16"/>
      <c r="AG184" s="16"/>
      <c r="AH184" s="16"/>
      <c r="AI184" s="16"/>
      <c r="AJ184" s="16"/>
      <c r="AK184" s="16"/>
      <c r="AL184" s="16"/>
      <c r="AM184" s="16"/>
      <c r="AN184" s="16"/>
      <c r="AO184" s="16"/>
      <c r="AP184" s="16"/>
      <c r="AQ184" s="16"/>
      <c r="AR184" s="16"/>
      <c r="AS184" s="16"/>
      <c r="AT184" s="16"/>
      <c r="AU184" s="16"/>
      <c r="AV184" s="16"/>
      <c r="AW184" s="16"/>
      <c r="AX184" s="16"/>
      <c r="AY184" s="16"/>
      <c r="AZ184" s="16"/>
      <c r="BA184" s="16"/>
      <c r="BB184" s="16"/>
      <c r="BC184" s="49"/>
      <c r="BD184" s="16"/>
      <c r="BE184" s="16"/>
      <c r="BF184" s="16"/>
      <c r="BG184" s="16"/>
      <c r="BH184" s="16"/>
      <c r="BI184" s="16"/>
      <c r="BJ184" s="16"/>
      <c r="BK184" s="16"/>
      <c r="BL184" s="16"/>
      <c r="BM184" s="16"/>
      <c r="BN184" s="16"/>
      <c r="BO184" s="16"/>
      <c r="BP184" s="16"/>
      <c r="BQ184" s="16"/>
      <c r="BR184" s="16"/>
      <c r="BS184" s="16"/>
    </row>
    <row r="185" spans="1:71" ht="14.25" customHeight="1">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c r="AD185" s="16"/>
      <c r="AE185" s="16"/>
      <c r="AF185" s="16"/>
      <c r="AG185" s="16"/>
      <c r="AH185" s="16"/>
      <c r="AI185" s="16"/>
      <c r="AJ185" s="16"/>
      <c r="AK185" s="16"/>
      <c r="AL185" s="16"/>
      <c r="AM185" s="16"/>
      <c r="AN185" s="16"/>
      <c r="AO185" s="16"/>
      <c r="AP185" s="16"/>
      <c r="AQ185" s="16"/>
      <c r="AR185" s="16"/>
      <c r="AS185" s="16"/>
      <c r="AT185" s="16"/>
      <c r="AU185" s="16"/>
      <c r="AV185" s="16"/>
      <c r="AW185" s="16"/>
      <c r="AX185" s="16"/>
      <c r="AY185" s="16"/>
      <c r="AZ185" s="16"/>
      <c r="BA185" s="16"/>
      <c r="BB185" s="16"/>
      <c r="BC185" s="49"/>
      <c r="BD185" s="16"/>
      <c r="BE185" s="16"/>
      <c r="BF185" s="16"/>
      <c r="BG185" s="16"/>
      <c r="BH185" s="16"/>
      <c r="BI185" s="16"/>
      <c r="BJ185" s="16"/>
      <c r="BK185" s="16"/>
      <c r="BL185" s="16"/>
      <c r="BM185" s="16"/>
      <c r="BN185" s="16"/>
      <c r="BO185" s="16"/>
      <c r="BP185" s="16"/>
      <c r="BQ185" s="16"/>
      <c r="BR185" s="16"/>
      <c r="BS185" s="16"/>
    </row>
    <row r="186" spans="1:71" ht="14.25" customHeight="1">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c r="AD186" s="16"/>
      <c r="AE186" s="16"/>
      <c r="AF186" s="16"/>
      <c r="AG186" s="16"/>
      <c r="AH186" s="16"/>
      <c r="AI186" s="16"/>
      <c r="AJ186" s="16"/>
      <c r="AK186" s="16"/>
      <c r="AL186" s="16"/>
      <c r="AM186" s="16"/>
      <c r="AN186" s="16"/>
      <c r="AO186" s="16"/>
      <c r="AP186" s="16"/>
      <c r="AQ186" s="16"/>
      <c r="AR186" s="16"/>
      <c r="AS186" s="16"/>
      <c r="AT186" s="16"/>
      <c r="AU186" s="16"/>
      <c r="AV186" s="16"/>
      <c r="AW186" s="16"/>
      <c r="AX186" s="16"/>
      <c r="AY186" s="16"/>
      <c r="AZ186" s="16"/>
      <c r="BA186" s="16"/>
      <c r="BB186" s="16"/>
      <c r="BC186" s="49"/>
      <c r="BD186" s="16"/>
      <c r="BE186" s="16"/>
      <c r="BF186" s="16"/>
      <c r="BG186" s="16"/>
      <c r="BH186" s="16"/>
      <c r="BI186" s="16"/>
      <c r="BJ186" s="16"/>
      <c r="BK186" s="16"/>
      <c r="BL186" s="16"/>
      <c r="BM186" s="16"/>
      <c r="BN186" s="16"/>
      <c r="BO186" s="16"/>
      <c r="BP186" s="16"/>
      <c r="BQ186" s="16"/>
      <c r="BR186" s="16"/>
      <c r="BS186" s="16"/>
    </row>
    <row r="187" spans="1:71" ht="14.25" customHeight="1">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16"/>
      <c r="AB187" s="16"/>
      <c r="AC187" s="16"/>
      <c r="AD187" s="16"/>
      <c r="AE187" s="16"/>
      <c r="AF187" s="16"/>
      <c r="AG187" s="16"/>
      <c r="AH187" s="16"/>
      <c r="AI187" s="16"/>
      <c r="AJ187" s="16"/>
      <c r="AK187" s="16"/>
      <c r="AL187" s="16"/>
      <c r="AM187" s="16"/>
      <c r="AN187" s="16"/>
      <c r="AO187" s="16"/>
      <c r="AP187" s="16"/>
      <c r="AQ187" s="16"/>
      <c r="AR187" s="16"/>
      <c r="AS187" s="16"/>
      <c r="AT187" s="16"/>
      <c r="AU187" s="16"/>
      <c r="AV187" s="16"/>
      <c r="AW187" s="16"/>
      <c r="AX187" s="16"/>
      <c r="AY187" s="16"/>
      <c r="AZ187" s="16"/>
      <c r="BA187" s="16"/>
      <c r="BB187" s="16"/>
      <c r="BC187" s="49"/>
      <c r="BD187" s="16"/>
      <c r="BE187" s="16"/>
      <c r="BF187" s="16"/>
      <c r="BG187" s="16"/>
      <c r="BH187" s="16"/>
      <c r="BI187" s="16"/>
      <c r="BJ187" s="16"/>
      <c r="BK187" s="16"/>
      <c r="BL187" s="16"/>
      <c r="BM187" s="16"/>
      <c r="BN187" s="16"/>
      <c r="BO187" s="16"/>
      <c r="BP187" s="16"/>
      <c r="BQ187" s="16"/>
      <c r="BR187" s="16"/>
      <c r="BS187" s="16"/>
    </row>
    <row r="188" spans="1:71" ht="14.25" customHeight="1">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c r="AD188" s="16"/>
      <c r="AE188" s="16"/>
      <c r="AF188" s="16"/>
      <c r="AG188" s="16"/>
      <c r="AH188" s="16"/>
      <c r="AI188" s="16"/>
      <c r="AJ188" s="16"/>
      <c r="AK188" s="16"/>
      <c r="AL188" s="16"/>
      <c r="AM188" s="16"/>
      <c r="AN188" s="16"/>
      <c r="AO188" s="16"/>
      <c r="AP188" s="16"/>
      <c r="AQ188" s="16"/>
      <c r="AR188" s="16"/>
      <c r="AS188" s="16"/>
      <c r="AT188" s="16"/>
      <c r="AU188" s="16"/>
      <c r="AV188" s="16"/>
      <c r="AW188" s="16"/>
      <c r="AX188" s="16"/>
      <c r="AY188" s="16"/>
      <c r="AZ188" s="16"/>
      <c r="BA188" s="16"/>
      <c r="BB188" s="16"/>
      <c r="BC188" s="49"/>
      <c r="BD188" s="16"/>
      <c r="BE188" s="16"/>
      <c r="BF188" s="16"/>
      <c r="BG188" s="16"/>
      <c r="BH188" s="16"/>
      <c r="BI188" s="16"/>
      <c r="BJ188" s="16"/>
      <c r="BK188" s="16"/>
      <c r="BL188" s="16"/>
      <c r="BM188" s="16"/>
      <c r="BN188" s="16"/>
      <c r="BO188" s="16"/>
      <c r="BP188" s="16"/>
      <c r="BQ188" s="16"/>
      <c r="BR188" s="16"/>
      <c r="BS188" s="16"/>
    </row>
    <row r="189" spans="1:71" ht="14.25" customHeight="1">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c r="AD189" s="16"/>
      <c r="AE189" s="16"/>
      <c r="AF189" s="16"/>
      <c r="AG189" s="16"/>
      <c r="AH189" s="16"/>
      <c r="AI189" s="16"/>
      <c r="AJ189" s="16"/>
      <c r="AK189" s="16"/>
      <c r="AL189" s="16"/>
      <c r="AM189" s="16"/>
      <c r="AN189" s="16"/>
      <c r="AO189" s="16"/>
      <c r="AP189" s="16"/>
      <c r="AQ189" s="16"/>
      <c r="AR189" s="16"/>
      <c r="AS189" s="16"/>
      <c r="AT189" s="16"/>
      <c r="AU189" s="16"/>
      <c r="AV189" s="16"/>
      <c r="AW189" s="16"/>
      <c r="AX189" s="16"/>
      <c r="AY189" s="16"/>
      <c r="AZ189" s="16"/>
      <c r="BA189" s="16"/>
      <c r="BB189" s="16"/>
      <c r="BC189" s="49"/>
      <c r="BD189" s="16"/>
      <c r="BE189" s="16"/>
      <c r="BF189" s="16"/>
      <c r="BG189" s="16"/>
      <c r="BH189" s="16"/>
      <c r="BI189" s="16"/>
      <c r="BJ189" s="16"/>
      <c r="BK189" s="16"/>
      <c r="BL189" s="16"/>
      <c r="BM189" s="16"/>
      <c r="BN189" s="16"/>
      <c r="BO189" s="16"/>
      <c r="BP189" s="16"/>
      <c r="BQ189" s="16"/>
      <c r="BR189" s="16"/>
      <c r="BS189" s="16"/>
    </row>
    <row r="190" spans="1:71" ht="14.25" customHeight="1">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c r="AD190" s="16"/>
      <c r="AE190" s="16"/>
      <c r="AF190" s="16"/>
      <c r="AG190" s="16"/>
      <c r="AH190" s="16"/>
      <c r="AI190" s="16"/>
      <c r="AJ190" s="16"/>
      <c r="AK190" s="16"/>
      <c r="AL190" s="16"/>
      <c r="AM190" s="16"/>
      <c r="AN190" s="16"/>
      <c r="AO190" s="16"/>
      <c r="AP190" s="16"/>
      <c r="AQ190" s="16"/>
      <c r="AR190" s="16"/>
      <c r="AS190" s="16"/>
      <c r="AT190" s="16"/>
      <c r="AU190" s="16"/>
      <c r="AV190" s="16"/>
      <c r="AW190" s="16"/>
      <c r="AX190" s="16"/>
      <c r="AY190" s="16"/>
      <c r="AZ190" s="16"/>
      <c r="BA190" s="16"/>
      <c r="BB190" s="16"/>
      <c r="BC190" s="49"/>
      <c r="BD190" s="16"/>
      <c r="BE190" s="16"/>
      <c r="BF190" s="16"/>
      <c r="BG190" s="16"/>
      <c r="BH190" s="16"/>
      <c r="BI190" s="16"/>
      <c r="BJ190" s="16"/>
      <c r="BK190" s="16"/>
      <c r="BL190" s="16"/>
      <c r="BM190" s="16"/>
      <c r="BN190" s="16"/>
      <c r="BO190" s="16"/>
      <c r="BP190" s="16"/>
      <c r="BQ190" s="16"/>
      <c r="BR190" s="16"/>
      <c r="BS190" s="16"/>
    </row>
    <row r="191" spans="1:71" ht="14.25" customHeight="1">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c r="AD191" s="16"/>
      <c r="AE191" s="16"/>
      <c r="AF191" s="16"/>
      <c r="AG191" s="16"/>
      <c r="AH191" s="16"/>
      <c r="AI191" s="16"/>
      <c r="AJ191" s="16"/>
      <c r="AK191" s="16"/>
      <c r="AL191" s="16"/>
      <c r="AM191" s="16"/>
      <c r="AN191" s="16"/>
      <c r="AO191" s="16"/>
      <c r="AP191" s="16"/>
      <c r="AQ191" s="16"/>
      <c r="AR191" s="16"/>
      <c r="AS191" s="16"/>
      <c r="AT191" s="16"/>
      <c r="AU191" s="16"/>
      <c r="AV191" s="16"/>
      <c r="AW191" s="16"/>
      <c r="AX191" s="16"/>
      <c r="AY191" s="16"/>
      <c r="AZ191" s="16"/>
      <c r="BA191" s="16"/>
      <c r="BB191" s="16"/>
      <c r="BC191" s="49"/>
      <c r="BD191" s="16"/>
      <c r="BE191" s="16"/>
      <c r="BF191" s="16"/>
      <c r="BG191" s="16"/>
      <c r="BH191" s="16"/>
      <c r="BI191" s="16"/>
      <c r="BJ191" s="16"/>
      <c r="BK191" s="16"/>
      <c r="BL191" s="16"/>
      <c r="BM191" s="16"/>
      <c r="BN191" s="16"/>
      <c r="BO191" s="16"/>
      <c r="BP191" s="16"/>
      <c r="BQ191" s="16"/>
      <c r="BR191" s="16"/>
      <c r="BS191" s="16"/>
    </row>
    <row r="192" spans="1:71" ht="14.25" customHeight="1">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c r="AD192" s="16"/>
      <c r="AE192" s="16"/>
      <c r="AF192" s="16"/>
      <c r="AG192" s="16"/>
      <c r="AH192" s="16"/>
      <c r="AI192" s="16"/>
      <c r="AJ192" s="16"/>
      <c r="AK192" s="16"/>
      <c r="AL192" s="16"/>
      <c r="AM192" s="16"/>
      <c r="AN192" s="16"/>
      <c r="AO192" s="16"/>
      <c r="AP192" s="16"/>
      <c r="AQ192" s="16"/>
      <c r="AR192" s="16"/>
      <c r="AS192" s="16"/>
      <c r="AT192" s="16"/>
      <c r="AU192" s="16"/>
      <c r="AV192" s="16"/>
      <c r="AW192" s="16"/>
      <c r="AX192" s="16"/>
      <c r="AY192" s="16"/>
      <c r="AZ192" s="16"/>
      <c r="BA192" s="16"/>
      <c r="BB192" s="16"/>
      <c r="BC192" s="49"/>
      <c r="BD192" s="16"/>
      <c r="BE192" s="16"/>
      <c r="BF192" s="16"/>
      <c r="BG192" s="16"/>
      <c r="BH192" s="16"/>
      <c r="BI192" s="16"/>
      <c r="BJ192" s="16"/>
      <c r="BK192" s="16"/>
      <c r="BL192" s="16"/>
      <c r="BM192" s="16"/>
      <c r="BN192" s="16"/>
      <c r="BO192" s="16"/>
      <c r="BP192" s="16"/>
      <c r="BQ192" s="16"/>
      <c r="BR192" s="16"/>
      <c r="BS192" s="16"/>
    </row>
    <row r="193" spans="1:71" ht="14.25" customHeight="1">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c r="AA193" s="16"/>
      <c r="AB193" s="16"/>
      <c r="AC193" s="16"/>
      <c r="AD193" s="16"/>
      <c r="AE193" s="16"/>
      <c r="AF193" s="16"/>
      <c r="AG193" s="16"/>
      <c r="AH193" s="16"/>
      <c r="AI193" s="16"/>
      <c r="AJ193" s="16"/>
      <c r="AK193" s="16"/>
      <c r="AL193" s="16"/>
      <c r="AM193" s="16"/>
      <c r="AN193" s="16"/>
      <c r="AO193" s="16"/>
      <c r="AP193" s="16"/>
      <c r="AQ193" s="16"/>
      <c r="AR193" s="16"/>
      <c r="AS193" s="16"/>
      <c r="AT193" s="16"/>
      <c r="AU193" s="16"/>
      <c r="AV193" s="16"/>
      <c r="AW193" s="16"/>
      <c r="AX193" s="16"/>
      <c r="AY193" s="16"/>
      <c r="AZ193" s="16"/>
      <c r="BA193" s="16"/>
      <c r="BB193" s="16"/>
      <c r="BC193" s="49"/>
      <c r="BD193" s="16"/>
      <c r="BE193" s="16"/>
      <c r="BF193" s="16"/>
      <c r="BG193" s="16"/>
      <c r="BH193" s="16"/>
      <c r="BI193" s="16"/>
      <c r="BJ193" s="16"/>
      <c r="BK193" s="16"/>
      <c r="BL193" s="16"/>
      <c r="BM193" s="16"/>
      <c r="BN193" s="16"/>
      <c r="BO193" s="16"/>
      <c r="BP193" s="16"/>
      <c r="BQ193" s="16"/>
      <c r="BR193" s="16"/>
      <c r="BS193" s="16"/>
    </row>
    <row r="194" spans="1:71" ht="14.25" customHeight="1">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c r="AA194" s="16"/>
      <c r="AB194" s="16"/>
      <c r="AC194" s="16"/>
      <c r="AD194" s="16"/>
      <c r="AE194" s="16"/>
      <c r="AF194" s="16"/>
      <c r="AG194" s="16"/>
      <c r="AH194" s="16"/>
      <c r="AI194" s="16"/>
      <c r="AJ194" s="16"/>
      <c r="AK194" s="16"/>
      <c r="AL194" s="16"/>
      <c r="AM194" s="16"/>
      <c r="AN194" s="16"/>
      <c r="AO194" s="16"/>
      <c r="AP194" s="16"/>
      <c r="AQ194" s="16"/>
      <c r="AR194" s="16"/>
      <c r="AS194" s="16"/>
      <c r="AT194" s="16"/>
      <c r="AU194" s="16"/>
      <c r="AV194" s="16"/>
      <c r="AW194" s="16"/>
      <c r="AX194" s="16"/>
      <c r="AY194" s="16"/>
      <c r="AZ194" s="16"/>
      <c r="BA194" s="16"/>
      <c r="BB194" s="16"/>
      <c r="BC194" s="49"/>
      <c r="BD194" s="16"/>
      <c r="BE194" s="16"/>
      <c r="BF194" s="16"/>
      <c r="BG194" s="16"/>
      <c r="BH194" s="16"/>
      <c r="BI194" s="16"/>
      <c r="BJ194" s="16"/>
      <c r="BK194" s="16"/>
      <c r="BL194" s="16"/>
      <c r="BM194" s="16"/>
      <c r="BN194" s="16"/>
      <c r="BO194" s="16"/>
      <c r="BP194" s="16"/>
      <c r="BQ194" s="16"/>
      <c r="BR194" s="16"/>
      <c r="BS194" s="16"/>
    </row>
    <row r="195" spans="1:71" ht="14.25" customHeight="1">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c r="AA195" s="16"/>
      <c r="AB195" s="16"/>
      <c r="AC195" s="16"/>
      <c r="AD195" s="16"/>
      <c r="AE195" s="16"/>
      <c r="AF195" s="16"/>
      <c r="AG195" s="16"/>
      <c r="AH195" s="16"/>
      <c r="AI195" s="16"/>
      <c r="AJ195" s="16"/>
      <c r="AK195" s="16"/>
      <c r="AL195" s="16"/>
      <c r="AM195" s="16"/>
      <c r="AN195" s="16"/>
      <c r="AO195" s="16"/>
      <c r="AP195" s="16"/>
      <c r="AQ195" s="16"/>
      <c r="AR195" s="16"/>
      <c r="AS195" s="16"/>
      <c r="AT195" s="16"/>
      <c r="AU195" s="16"/>
      <c r="AV195" s="16"/>
      <c r="AW195" s="16"/>
      <c r="AX195" s="16"/>
      <c r="AY195" s="16"/>
      <c r="AZ195" s="16"/>
      <c r="BA195" s="16"/>
      <c r="BB195" s="16"/>
      <c r="BC195" s="49"/>
      <c r="BD195" s="16"/>
      <c r="BE195" s="16"/>
      <c r="BF195" s="16"/>
      <c r="BG195" s="16"/>
      <c r="BH195" s="16"/>
      <c r="BI195" s="16"/>
      <c r="BJ195" s="16"/>
      <c r="BK195" s="16"/>
      <c r="BL195" s="16"/>
      <c r="BM195" s="16"/>
      <c r="BN195" s="16"/>
      <c r="BO195" s="16"/>
      <c r="BP195" s="16"/>
      <c r="BQ195" s="16"/>
      <c r="BR195" s="16"/>
      <c r="BS195" s="16"/>
    </row>
    <row r="196" spans="1:71" ht="14.25" customHeight="1">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c r="AA196" s="16"/>
      <c r="AB196" s="16"/>
      <c r="AC196" s="16"/>
      <c r="AD196" s="16"/>
      <c r="AE196" s="16"/>
      <c r="AF196" s="16"/>
      <c r="AG196" s="16"/>
      <c r="AH196" s="16"/>
      <c r="AI196" s="16"/>
      <c r="AJ196" s="16"/>
      <c r="AK196" s="16"/>
      <c r="AL196" s="16"/>
      <c r="AM196" s="16"/>
      <c r="AN196" s="16"/>
      <c r="AO196" s="16"/>
      <c r="AP196" s="16"/>
      <c r="AQ196" s="16"/>
      <c r="AR196" s="16"/>
      <c r="AS196" s="16"/>
      <c r="AT196" s="16"/>
      <c r="AU196" s="16"/>
      <c r="AV196" s="16"/>
      <c r="AW196" s="16"/>
      <c r="AX196" s="16"/>
      <c r="AY196" s="16"/>
      <c r="AZ196" s="16"/>
      <c r="BA196" s="16"/>
      <c r="BB196" s="16"/>
      <c r="BC196" s="49"/>
      <c r="BD196" s="16"/>
      <c r="BE196" s="16"/>
      <c r="BF196" s="16"/>
      <c r="BG196" s="16"/>
      <c r="BH196" s="16"/>
      <c r="BI196" s="16"/>
      <c r="BJ196" s="16"/>
      <c r="BK196" s="16"/>
      <c r="BL196" s="16"/>
      <c r="BM196" s="16"/>
      <c r="BN196" s="16"/>
      <c r="BO196" s="16"/>
      <c r="BP196" s="16"/>
      <c r="BQ196" s="16"/>
      <c r="BR196" s="16"/>
      <c r="BS196" s="16"/>
    </row>
    <row r="197" spans="1:71" ht="14.25" customHeight="1">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c r="AD197" s="16"/>
      <c r="AE197" s="16"/>
      <c r="AF197" s="16"/>
      <c r="AG197" s="16"/>
      <c r="AH197" s="16"/>
      <c r="AI197" s="16"/>
      <c r="AJ197" s="16"/>
      <c r="AK197" s="16"/>
      <c r="AL197" s="16"/>
      <c r="AM197" s="16"/>
      <c r="AN197" s="16"/>
      <c r="AO197" s="16"/>
      <c r="AP197" s="16"/>
      <c r="AQ197" s="16"/>
      <c r="AR197" s="16"/>
      <c r="AS197" s="16"/>
      <c r="AT197" s="16"/>
      <c r="AU197" s="16"/>
      <c r="AV197" s="16"/>
      <c r="AW197" s="16"/>
      <c r="AX197" s="16"/>
      <c r="AY197" s="16"/>
      <c r="AZ197" s="16"/>
      <c r="BA197" s="16"/>
      <c r="BB197" s="16"/>
      <c r="BC197" s="49"/>
      <c r="BD197" s="16"/>
      <c r="BE197" s="16"/>
      <c r="BF197" s="16"/>
      <c r="BG197" s="16"/>
      <c r="BH197" s="16"/>
      <c r="BI197" s="16"/>
      <c r="BJ197" s="16"/>
      <c r="BK197" s="16"/>
      <c r="BL197" s="16"/>
      <c r="BM197" s="16"/>
      <c r="BN197" s="16"/>
      <c r="BO197" s="16"/>
      <c r="BP197" s="16"/>
      <c r="BQ197" s="16"/>
      <c r="BR197" s="16"/>
      <c r="BS197" s="16"/>
    </row>
    <row r="198" spans="1:71" ht="14.25" customHeight="1">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c r="AD198" s="16"/>
      <c r="AE198" s="16"/>
      <c r="AF198" s="16"/>
      <c r="AG198" s="16"/>
      <c r="AH198" s="16"/>
      <c r="AI198" s="16"/>
      <c r="AJ198" s="16"/>
      <c r="AK198" s="16"/>
      <c r="AL198" s="16"/>
      <c r="AM198" s="16"/>
      <c r="AN198" s="16"/>
      <c r="AO198" s="16"/>
      <c r="AP198" s="16"/>
      <c r="AQ198" s="16"/>
      <c r="AR198" s="16"/>
      <c r="AS198" s="16"/>
      <c r="AT198" s="16"/>
      <c r="AU198" s="16"/>
      <c r="AV198" s="16"/>
      <c r="AW198" s="16"/>
      <c r="AX198" s="16"/>
      <c r="AY198" s="16"/>
      <c r="AZ198" s="16"/>
      <c r="BA198" s="16"/>
      <c r="BB198" s="16"/>
      <c r="BC198" s="49"/>
      <c r="BD198" s="16"/>
      <c r="BE198" s="16"/>
      <c r="BF198" s="16"/>
      <c r="BG198" s="16"/>
      <c r="BH198" s="16"/>
      <c r="BI198" s="16"/>
      <c r="BJ198" s="16"/>
      <c r="BK198" s="16"/>
      <c r="BL198" s="16"/>
      <c r="BM198" s="16"/>
      <c r="BN198" s="16"/>
      <c r="BO198" s="16"/>
      <c r="BP198" s="16"/>
      <c r="BQ198" s="16"/>
      <c r="BR198" s="16"/>
      <c r="BS198" s="16"/>
    </row>
    <row r="199" spans="1:71" ht="14.25" customHeight="1">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c r="AA199" s="16"/>
      <c r="AB199" s="16"/>
      <c r="AC199" s="16"/>
      <c r="AD199" s="16"/>
      <c r="AE199" s="16"/>
      <c r="AF199" s="16"/>
      <c r="AG199" s="16"/>
      <c r="AH199" s="16"/>
      <c r="AI199" s="16"/>
      <c r="AJ199" s="16"/>
      <c r="AK199" s="16"/>
      <c r="AL199" s="16"/>
      <c r="AM199" s="16"/>
      <c r="AN199" s="16"/>
      <c r="AO199" s="16"/>
      <c r="AP199" s="16"/>
      <c r="AQ199" s="16"/>
      <c r="AR199" s="16"/>
      <c r="AS199" s="16"/>
      <c r="AT199" s="16"/>
      <c r="AU199" s="16"/>
      <c r="AV199" s="16"/>
      <c r="AW199" s="16"/>
      <c r="AX199" s="16"/>
      <c r="AY199" s="16"/>
      <c r="AZ199" s="16"/>
      <c r="BA199" s="16"/>
      <c r="BB199" s="16"/>
      <c r="BC199" s="49"/>
      <c r="BD199" s="16"/>
      <c r="BE199" s="16"/>
      <c r="BF199" s="16"/>
      <c r="BG199" s="16"/>
      <c r="BH199" s="16"/>
      <c r="BI199" s="16"/>
      <c r="BJ199" s="16"/>
      <c r="BK199" s="16"/>
      <c r="BL199" s="16"/>
      <c r="BM199" s="16"/>
      <c r="BN199" s="16"/>
      <c r="BO199" s="16"/>
      <c r="BP199" s="16"/>
      <c r="BQ199" s="16"/>
      <c r="BR199" s="16"/>
      <c r="BS199" s="16"/>
    </row>
    <row r="200" spans="1:71" ht="14.25" customHeight="1">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c r="AA200" s="16"/>
      <c r="AB200" s="16"/>
      <c r="AC200" s="16"/>
      <c r="AD200" s="16"/>
      <c r="AE200" s="16"/>
      <c r="AF200" s="16"/>
      <c r="AG200" s="16"/>
      <c r="AH200" s="16"/>
      <c r="AI200" s="16"/>
      <c r="AJ200" s="16"/>
      <c r="AK200" s="16"/>
      <c r="AL200" s="16"/>
      <c r="AM200" s="16"/>
      <c r="AN200" s="16"/>
      <c r="AO200" s="16"/>
      <c r="AP200" s="16"/>
      <c r="AQ200" s="16"/>
      <c r="AR200" s="16"/>
      <c r="AS200" s="16"/>
      <c r="AT200" s="16"/>
      <c r="AU200" s="16"/>
      <c r="AV200" s="16"/>
      <c r="AW200" s="16"/>
      <c r="AX200" s="16"/>
      <c r="AY200" s="16"/>
      <c r="AZ200" s="16"/>
      <c r="BA200" s="16"/>
      <c r="BB200" s="16"/>
      <c r="BC200" s="49"/>
      <c r="BD200" s="16"/>
      <c r="BE200" s="16"/>
      <c r="BF200" s="16"/>
      <c r="BG200" s="16"/>
      <c r="BH200" s="16"/>
      <c r="BI200" s="16"/>
      <c r="BJ200" s="16"/>
      <c r="BK200" s="16"/>
      <c r="BL200" s="16"/>
      <c r="BM200" s="16"/>
      <c r="BN200" s="16"/>
      <c r="BO200" s="16"/>
      <c r="BP200" s="16"/>
      <c r="BQ200" s="16"/>
      <c r="BR200" s="16"/>
      <c r="BS200" s="16"/>
    </row>
    <row r="201" spans="1:71" ht="14.25" customHeight="1">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c r="AD201" s="16"/>
      <c r="AE201" s="16"/>
      <c r="AF201" s="16"/>
      <c r="AG201" s="16"/>
      <c r="AH201" s="16"/>
      <c r="AI201" s="16"/>
      <c r="AJ201" s="16"/>
      <c r="AK201" s="16"/>
      <c r="AL201" s="16"/>
      <c r="AM201" s="16"/>
      <c r="AN201" s="16"/>
      <c r="AO201" s="16"/>
      <c r="AP201" s="16"/>
      <c r="AQ201" s="16"/>
      <c r="AR201" s="16"/>
      <c r="AS201" s="16"/>
      <c r="AT201" s="16"/>
      <c r="AU201" s="16"/>
      <c r="AV201" s="16"/>
      <c r="AW201" s="16"/>
      <c r="AX201" s="16"/>
      <c r="AY201" s="16"/>
      <c r="AZ201" s="16"/>
      <c r="BA201" s="16"/>
      <c r="BB201" s="16"/>
      <c r="BC201" s="49"/>
      <c r="BD201" s="16"/>
      <c r="BE201" s="16"/>
      <c r="BF201" s="16"/>
      <c r="BG201" s="16"/>
      <c r="BH201" s="16"/>
      <c r="BI201" s="16"/>
      <c r="BJ201" s="16"/>
      <c r="BK201" s="16"/>
      <c r="BL201" s="16"/>
      <c r="BM201" s="16"/>
      <c r="BN201" s="16"/>
      <c r="BO201" s="16"/>
      <c r="BP201" s="16"/>
      <c r="BQ201" s="16"/>
      <c r="BR201" s="16"/>
      <c r="BS201" s="16"/>
    </row>
    <row r="202" spans="1:71" ht="14.25" customHeight="1">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c r="AD202" s="16"/>
      <c r="AE202" s="16"/>
      <c r="AF202" s="16"/>
      <c r="AG202" s="16"/>
      <c r="AH202" s="16"/>
      <c r="AI202" s="16"/>
      <c r="AJ202" s="16"/>
      <c r="AK202" s="16"/>
      <c r="AL202" s="16"/>
      <c r="AM202" s="16"/>
      <c r="AN202" s="16"/>
      <c r="AO202" s="16"/>
      <c r="AP202" s="16"/>
      <c r="AQ202" s="16"/>
      <c r="AR202" s="16"/>
      <c r="AS202" s="16"/>
      <c r="AT202" s="16"/>
      <c r="AU202" s="16"/>
      <c r="AV202" s="16"/>
      <c r="AW202" s="16"/>
      <c r="AX202" s="16"/>
      <c r="AY202" s="16"/>
      <c r="AZ202" s="16"/>
      <c r="BA202" s="16"/>
      <c r="BB202" s="16"/>
      <c r="BC202" s="49"/>
      <c r="BD202" s="16"/>
      <c r="BE202" s="16"/>
      <c r="BF202" s="16"/>
      <c r="BG202" s="16"/>
      <c r="BH202" s="16"/>
      <c r="BI202" s="16"/>
      <c r="BJ202" s="16"/>
      <c r="BK202" s="16"/>
      <c r="BL202" s="16"/>
      <c r="BM202" s="16"/>
      <c r="BN202" s="16"/>
      <c r="BO202" s="16"/>
      <c r="BP202" s="16"/>
      <c r="BQ202" s="16"/>
      <c r="BR202" s="16"/>
      <c r="BS202" s="16"/>
    </row>
    <row r="203" spans="1:71" ht="14.25" customHeight="1">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c r="AA203" s="16"/>
      <c r="AB203" s="16"/>
      <c r="AC203" s="16"/>
      <c r="AD203" s="16"/>
      <c r="AE203" s="16"/>
      <c r="AF203" s="16"/>
      <c r="AG203" s="16"/>
      <c r="AH203" s="16"/>
      <c r="AI203" s="16"/>
      <c r="AJ203" s="16"/>
      <c r="AK203" s="16"/>
      <c r="AL203" s="16"/>
      <c r="AM203" s="16"/>
      <c r="AN203" s="16"/>
      <c r="AO203" s="16"/>
      <c r="AP203" s="16"/>
      <c r="AQ203" s="16"/>
      <c r="AR203" s="16"/>
      <c r="AS203" s="16"/>
      <c r="AT203" s="16"/>
      <c r="AU203" s="16"/>
      <c r="AV203" s="16"/>
      <c r="AW203" s="16"/>
      <c r="AX203" s="16"/>
      <c r="AY203" s="16"/>
      <c r="AZ203" s="16"/>
      <c r="BA203" s="16"/>
      <c r="BB203" s="16"/>
      <c r="BC203" s="49"/>
      <c r="BD203" s="16"/>
      <c r="BE203" s="16"/>
      <c r="BF203" s="16"/>
      <c r="BG203" s="16"/>
      <c r="BH203" s="16"/>
      <c r="BI203" s="16"/>
      <c r="BJ203" s="16"/>
      <c r="BK203" s="16"/>
      <c r="BL203" s="16"/>
      <c r="BM203" s="16"/>
      <c r="BN203" s="16"/>
      <c r="BO203" s="16"/>
      <c r="BP203" s="16"/>
      <c r="BQ203" s="16"/>
      <c r="BR203" s="16"/>
      <c r="BS203" s="16"/>
    </row>
    <row r="204" spans="1:71" ht="14.25" customHeight="1">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c r="AA204" s="16"/>
      <c r="AB204" s="16"/>
      <c r="AC204" s="16"/>
      <c r="AD204" s="16"/>
      <c r="AE204" s="16"/>
      <c r="AF204" s="16"/>
      <c r="AG204" s="16"/>
      <c r="AH204" s="16"/>
      <c r="AI204" s="16"/>
      <c r="AJ204" s="16"/>
      <c r="AK204" s="16"/>
      <c r="AL204" s="16"/>
      <c r="AM204" s="16"/>
      <c r="AN204" s="16"/>
      <c r="AO204" s="16"/>
      <c r="AP204" s="16"/>
      <c r="AQ204" s="16"/>
      <c r="AR204" s="16"/>
      <c r="AS204" s="16"/>
      <c r="AT204" s="16"/>
      <c r="AU204" s="16"/>
      <c r="AV204" s="16"/>
      <c r="AW204" s="16"/>
      <c r="AX204" s="16"/>
      <c r="AY204" s="16"/>
      <c r="AZ204" s="16"/>
      <c r="BA204" s="16"/>
      <c r="BB204" s="16"/>
      <c r="BC204" s="49"/>
      <c r="BD204" s="16"/>
      <c r="BE204" s="16"/>
      <c r="BF204" s="16"/>
      <c r="BG204" s="16"/>
      <c r="BH204" s="16"/>
      <c r="BI204" s="16"/>
      <c r="BJ204" s="16"/>
      <c r="BK204" s="16"/>
      <c r="BL204" s="16"/>
      <c r="BM204" s="16"/>
      <c r="BN204" s="16"/>
      <c r="BO204" s="16"/>
      <c r="BP204" s="16"/>
      <c r="BQ204" s="16"/>
      <c r="BR204" s="16"/>
      <c r="BS204" s="16"/>
    </row>
    <row r="205" spans="1:71" ht="14.25" customHeight="1">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c r="AD205" s="16"/>
      <c r="AE205" s="16"/>
      <c r="AF205" s="16"/>
      <c r="AG205" s="16"/>
      <c r="AH205" s="16"/>
      <c r="AI205" s="16"/>
      <c r="AJ205" s="16"/>
      <c r="AK205" s="16"/>
      <c r="AL205" s="16"/>
      <c r="AM205" s="16"/>
      <c r="AN205" s="16"/>
      <c r="AO205" s="16"/>
      <c r="AP205" s="16"/>
      <c r="AQ205" s="16"/>
      <c r="AR205" s="16"/>
      <c r="AS205" s="16"/>
      <c r="AT205" s="16"/>
      <c r="AU205" s="16"/>
      <c r="AV205" s="16"/>
      <c r="AW205" s="16"/>
      <c r="AX205" s="16"/>
      <c r="AY205" s="16"/>
      <c r="AZ205" s="16"/>
      <c r="BA205" s="16"/>
      <c r="BB205" s="16"/>
      <c r="BC205" s="49"/>
      <c r="BD205" s="16"/>
      <c r="BE205" s="16"/>
      <c r="BF205" s="16"/>
      <c r="BG205" s="16"/>
      <c r="BH205" s="16"/>
      <c r="BI205" s="16"/>
      <c r="BJ205" s="16"/>
      <c r="BK205" s="16"/>
      <c r="BL205" s="16"/>
      <c r="BM205" s="16"/>
      <c r="BN205" s="16"/>
      <c r="BO205" s="16"/>
      <c r="BP205" s="16"/>
      <c r="BQ205" s="16"/>
      <c r="BR205" s="16"/>
      <c r="BS205" s="16"/>
    </row>
    <row r="206" spans="1:71" ht="14.25" customHeight="1">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c r="AE206" s="16"/>
      <c r="AF206" s="16"/>
      <c r="AG206" s="16"/>
      <c r="AH206" s="16"/>
      <c r="AI206" s="16"/>
      <c r="AJ206" s="16"/>
      <c r="AK206" s="16"/>
      <c r="AL206" s="16"/>
      <c r="AM206" s="16"/>
      <c r="AN206" s="16"/>
      <c r="AO206" s="16"/>
      <c r="AP206" s="16"/>
      <c r="AQ206" s="16"/>
      <c r="AR206" s="16"/>
      <c r="AS206" s="16"/>
      <c r="AT206" s="16"/>
      <c r="AU206" s="16"/>
      <c r="AV206" s="16"/>
      <c r="AW206" s="16"/>
      <c r="AX206" s="16"/>
      <c r="AY206" s="16"/>
      <c r="AZ206" s="16"/>
      <c r="BA206" s="16"/>
      <c r="BB206" s="16"/>
      <c r="BC206" s="49"/>
      <c r="BD206" s="16"/>
      <c r="BE206" s="16"/>
      <c r="BF206" s="16"/>
      <c r="BG206" s="16"/>
      <c r="BH206" s="16"/>
      <c r="BI206" s="16"/>
      <c r="BJ206" s="16"/>
      <c r="BK206" s="16"/>
      <c r="BL206" s="16"/>
      <c r="BM206" s="16"/>
      <c r="BN206" s="16"/>
      <c r="BO206" s="16"/>
      <c r="BP206" s="16"/>
      <c r="BQ206" s="16"/>
      <c r="BR206" s="16"/>
      <c r="BS206" s="16"/>
    </row>
    <row r="207" spans="1:71" ht="14.25" customHeight="1">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c r="AD207" s="16"/>
      <c r="AE207" s="16"/>
      <c r="AF207" s="16"/>
      <c r="AG207" s="16"/>
      <c r="AH207" s="16"/>
      <c r="AI207" s="16"/>
      <c r="AJ207" s="16"/>
      <c r="AK207" s="16"/>
      <c r="AL207" s="16"/>
      <c r="AM207" s="16"/>
      <c r="AN207" s="16"/>
      <c r="AO207" s="16"/>
      <c r="AP207" s="16"/>
      <c r="AQ207" s="16"/>
      <c r="AR207" s="16"/>
      <c r="AS207" s="16"/>
      <c r="AT207" s="16"/>
      <c r="AU207" s="16"/>
      <c r="AV207" s="16"/>
      <c r="AW207" s="16"/>
      <c r="AX207" s="16"/>
      <c r="AY207" s="16"/>
      <c r="AZ207" s="16"/>
      <c r="BA207" s="16"/>
      <c r="BB207" s="16"/>
      <c r="BC207" s="49"/>
      <c r="BD207" s="16"/>
      <c r="BE207" s="16"/>
      <c r="BF207" s="16"/>
      <c r="BG207" s="16"/>
      <c r="BH207" s="16"/>
      <c r="BI207" s="16"/>
      <c r="BJ207" s="16"/>
      <c r="BK207" s="16"/>
      <c r="BL207" s="16"/>
      <c r="BM207" s="16"/>
      <c r="BN207" s="16"/>
      <c r="BO207" s="16"/>
      <c r="BP207" s="16"/>
      <c r="BQ207" s="16"/>
      <c r="BR207" s="16"/>
      <c r="BS207" s="16"/>
    </row>
    <row r="208" spans="1:71" ht="14.25" customHeight="1">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c r="AD208" s="16"/>
      <c r="AE208" s="16"/>
      <c r="AF208" s="16"/>
      <c r="AG208" s="16"/>
      <c r="AH208" s="16"/>
      <c r="AI208" s="16"/>
      <c r="AJ208" s="16"/>
      <c r="AK208" s="16"/>
      <c r="AL208" s="16"/>
      <c r="AM208" s="16"/>
      <c r="AN208" s="16"/>
      <c r="AO208" s="16"/>
      <c r="AP208" s="16"/>
      <c r="AQ208" s="16"/>
      <c r="AR208" s="16"/>
      <c r="AS208" s="16"/>
      <c r="AT208" s="16"/>
      <c r="AU208" s="16"/>
      <c r="AV208" s="16"/>
      <c r="AW208" s="16"/>
      <c r="AX208" s="16"/>
      <c r="AY208" s="16"/>
      <c r="AZ208" s="16"/>
      <c r="BA208" s="16"/>
      <c r="BB208" s="16"/>
      <c r="BC208" s="49"/>
      <c r="BD208" s="16"/>
      <c r="BE208" s="16"/>
      <c r="BF208" s="16"/>
      <c r="BG208" s="16"/>
      <c r="BH208" s="16"/>
      <c r="BI208" s="16"/>
      <c r="BJ208" s="16"/>
      <c r="BK208" s="16"/>
      <c r="BL208" s="16"/>
      <c r="BM208" s="16"/>
      <c r="BN208" s="16"/>
      <c r="BO208" s="16"/>
      <c r="BP208" s="16"/>
      <c r="BQ208" s="16"/>
      <c r="BR208" s="16"/>
      <c r="BS208" s="16"/>
    </row>
    <row r="209" spans="1:71" ht="14.25" customHeight="1">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c r="AD209" s="16"/>
      <c r="AE209" s="16"/>
      <c r="AF209" s="16"/>
      <c r="AG209" s="16"/>
      <c r="AH209" s="16"/>
      <c r="AI209" s="16"/>
      <c r="AJ209" s="16"/>
      <c r="AK209" s="16"/>
      <c r="AL209" s="16"/>
      <c r="AM209" s="16"/>
      <c r="AN209" s="16"/>
      <c r="AO209" s="16"/>
      <c r="AP209" s="16"/>
      <c r="AQ209" s="16"/>
      <c r="AR209" s="16"/>
      <c r="AS209" s="16"/>
      <c r="AT209" s="16"/>
      <c r="AU209" s="16"/>
      <c r="AV209" s="16"/>
      <c r="AW209" s="16"/>
      <c r="AX209" s="16"/>
      <c r="AY209" s="16"/>
      <c r="AZ209" s="16"/>
      <c r="BA209" s="16"/>
      <c r="BB209" s="16"/>
      <c r="BC209" s="49"/>
      <c r="BD209" s="16"/>
      <c r="BE209" s="16"/>
      <c r="BF209" s="16"/>
      <c r="BG209" s="16"/>
      <c r="BH209" s="16"/>
      <c r="BI209" s="16"/>
      <c r="BJ209" s="16"/>
      <c r="BK209" s="16"/>
      <c r="BL209" s="16"/>
      <c r="BM209" s="16"/>
      <c r="BN209" s="16"/>
      <c r="BO209" s="16"/>
      <c r="BP209" s="16"/>
      <c r="BQ209" s="16"/>
      <c r="BR209" s="16"/>
      <c r="BS209" s="16"/>
    </row>
    <row r="210" spans="1:71" ht="14.25" customHeight="1">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c r="AD210" s="16"/>
      <c r="AE210" s="16"/>
      <c r="AF210" s="16"/>
      <c r="AG210" s="16"/>
      <c r="AH210" s="16"/>
      <c r="AI210" s="16"/>
      <c r="AJ210" s="16"/>
      <c r="AK210" s="16"/>
      <c r="AL210" s="16"/>
      <c r="AM210" s="16"/>
      <c r="AN210" s="16"/>
      <c r="AO210" s="16"/>
      <c r="AP210" s="16"/>
      <c r="AQ210" s="16"/>
      <c r="AR210" s="16"/>
      <c r="AS210" s="16"/>
      <c r="AT210" s="16"/>
      <c r="AU210" s="16"/>
      <c r="AV210" s="16"/>
      <c r="AW210" s="16"/>
      <c r="AX210" s="16"/>
      <c r="AY210" s="16"/>
      <c r="AZ210" s="16"/>
      <c r="BA210" s="16"/>
      <c r="BB210" s="16"/>
      <c r="BC210" s="49"/>
      <c r="BD210" s="16"/>
      <c r="BE210" s="16"/>
      <c r="BF210" s="16"/>
      <c r="BG210" s="16"/>
      <c r="BH210" s="16"/>
      <c r="BI210" s="16"/>
      <c r="BJ210" s="16"/>
      <c r="BK210" s="16"/>
      <c r="BL210" s="16"/>
      <c r="BM210" s="16"/>
      <c r="BN210" s="16"/>
      <c r="BO210" s="16"/>
      <c r="BP210" s="16"/>
      <c r="BQ210" s="16"/>
      <c r="BR210" s="16"/>
      <c r="BS210" s="16"/>
    </row>
    <row r="211" spans="1:71" ht="14.25" customHeight="1">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c r="AE211" s="16"/>
      <c r="AF211" s="16"/>
      <c r="AG211" s="16"/>
      <c r="AH211" s="16"/>
      <c r="AI211" s="16"/>
      <c r="AJ211" s="16"/>
      <c r="AK211" s="16"/>
      <c r="AL211" s="16"/>
      <c r="AM211" s="16"/>
      <c r="AN211" s="16"/>
      <c r="AO211" s="16"/>
      <c r="AP211" s="16"/>
      <c r="AQ211" s="16"/>
      <c r="AR211" s="16"/>
      <c r="AS211" s="16"/>
      <c r="AT211" s="16"/>
      <c r="AU211" s="16"/>
      <c r="AV211" s="16"/>
      <c r="AW211" s="16"/>
      <c r="AX211" s="16"/>
      <c r="AY211" s="16"/>
      <c r="AZ211" s="16"/>
      <c r="BA211" s="16"/>
      <c r="BB211" s="16"/>
      <c r="BC211" s="49"/>
      <c r="BD211" s="16"/>
      <c r="BE211" s="16"/>
      <c r="BF211" s="16"/>
      <c r="BG211" s="16"/>
      <c r="BH211" s="16"/>
      <c r="BI211" s="16"/>
      <c r="BJ211" s="16"/>
      <c r="BK211" s="16"/>
      <c r="BL211" s="16"/>
      <c r="BM211" s="16"/>
      <c r="BN211" s="16"/>
      <c r="BO211" s="16"/>
      <c r="BP211" s="16"/>
      <c r="BQ211" s="16"/>
      <c r="BR211" s="16"/>
      <c r="BS211" s="16"/>
    </row>
    <row r="212" spans="1:71" ht="14.25" customHeight="1">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c r="AD212" s="16"/>
      <c r="AE212" s="16"/>
      <c r="AF212" s="16"/>
      <c r="AG212" s="16"/>
      <c r="AH212" s="16"/>
      <c r="AI212" s="16"/>
      <c r="AJ212" s="16"/>
      <c r="AK212" s="16"/>
      <c r="AL212" s="16"/>
      <c r="AM212" s="16"/>
      <c r="AN212" s="16"/>
      <c r="AO212" s="16"/>
      <c r="AP212" s="16"/>
      <c r="AQ212" s="16"/>
      <c r="AR212" s="16"/>
      <c r="AS212" s="16"/>
      <c r="AT212" s="16"/>
      <c r="AU212" s="16"/>
      <c r="AV212" s="16"/>
      <c r="AW212" s="16"/>
      <c r="AX212" s="16"/>
      <c r="AY212" s="16"/>
      <c r="AZ212" s="16"/>
      <c r="BA212" s="16"/>
      <c r="BB212" s="16"/>
      <c r="BC212" s="49"/>
      <c r="BD212" s="16"/>
      <c r="BE212" s="16"/>
      <c r="BF212" s="16"/>
      <c r="BG212" s="16"/>
      <c r="BH212" s="16"/>
      <c r="BI212" s="16"/>
      <c r="BJ212" s="16"/>
      <c r="BK212" s="16"/>
      <c r="BL212" s="16"/>
      <c r="BM212" s="16"/>
      <c r="BN212" s="16"/>
      <c r="BO212" s="16"/>
      <c r="BP212" s="16"/>
      <c r="BQ212" s="16"/>
      <c r="BR212" s="16"/>
      <c r="BS212" s="16"/>
    </row>
    <row r="213" spans="1:71" ht="14.25" customHeight="1">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c r="AD213" s="16"/>
      <c r="AE213" s="16"/>
      <c r="AF213" s="16"/>
      <c r="AG213" s="16"/>
      <c r="AH213" s="16"/>
      <c r="AI213" s="16"/>
      <c r="AJ213" s="16"/>
      <c r="AK213" s="16"/>
      <c r="AL213" s="16"/>
      <c r="AM213" s="16"/>
      <c r="AN213" s="16"/>
      <c r="AO213" s="16"/>
      <c r="AP213" s="16"/>
      <c r="AQ213" s="16"/>
      <c r="AR213" s="16"/>
      <c r="AS213" s="16"/>
      <c r="AT213" s="16"/>
      <c r="AU213" s="16"/>
      <c r="AV213" s="16"/>
      <c r="AW213" s="16"/>
      <c r="AX213" s="16"/>
      <c r="AY213" s="16"/>
      <c r="AZ213" s="16"/>
      <c r="BA213" s="16"/>
      <c r="BB213" s="16"/>
      <c r="BC213" s="49"/>
      <c r="BD213" s="16"/>
      <c r="BE213" s="16"/>
      <c r="BF213" s="16"/>
      <c r="BG213" s="16"/>
      <c r="BH213" s="16"/>
      <c r="BI213" s="16"/>
      <c r="BJ213" s="16"/>
      <c r="BK213" s="16"/>
      <c r="BL213" s="16"/>
      <c r="BM213" s="16"/>
      <c r="BN213" s="16"/>
      <c r="BO213" s="16"/>
      <c r="BP213" s="16"/>
      <c r="BQ213" s="16"/>
      <c r="BR213" s="16"/>
      <c r="BS213" s="16"/>
    </row>
    <row r="214" spans="1:71" ht="14.25" customHeight="1">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c r="AE214" s="16"/>
      <c r="AF214" s="16"/>
      <c r="AG214" s="16"/>
      <c r="AH214" s="16"/>
      <c r="AI214" s="16"/>
      <c r="AJ214" s="16"/>
      <c r="AK214" s="16"/>
      <c r="AL214" s="16"/>
      <c r="AM214" s="16"/>
      <c r="AN214" s="16"/>
      <c r="AO214" s="16"/>
      <c r="AP214" s="16"/>
      <c r="AQ214" s="16"/>
      <c r="AR214" s="16"/>
      <c r="AS214" s="16"/>
      <c r="AT214" s="16"/>
      <c r="AU214" s="16"/>
      <c r="AV214" s="16"/>
      <c r="AW214" s="16"/>
      <c r="AX214" s="16"/>
      <c r="AY214" s="16"/>
      <c r="AZ214" s="16"/>
      <c r="BA214" s="16"/>
      <c r="BB214" s="16"/>
      <c r="BC214" s="49"/>
      <c r="BD214" s="16"/>
      <c r="BE214" s="16"/>
      <c r="BF214" s="16"/>
      <c r="BG214" s="16"/>
      <c r="BH214" s="16"/>
      <c r="BI214" s="16"/>
      <c r="BJ214" s="16"/>
      <c r="BK214" s="16"/>
      <c r="BL214" s="16"/>
      <c r="BM214" s="16"/>
      <c r="BN214" s="16"/>
      <c r="BO214" s="16"/>
      <c r="BP214" s="16"/>
      <c r="BQ214" s="16"/>
      <c r="BR214" s="16"/>
      <c r="BS214" s="16"/>
    </row>
    <row r="215" spans="1:71" ht="14.25" customHeight="1">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c r="AD215" s="16"/>
      <c r="AE215" s="16"/>
      <c r="AF215" s="16"/>
      <c r="AG215" s="16"/>
      <c r="AH215" s="16"/>
      <c r="AI215" s="16"/>
      <c r="AJ215" s="16"/>
      <c r="AK215" s="16"/>
      <c r="AL215" s="16"/>
      <c r="AM215" s="16"/>
      <c r="AN215" s="16"/>
      <c r="AO215" s="16"/>
      <c r="AP215" s="16"/>
      <c r="AQ215" s="16"/>
      <c r="AR215" s="16"/>
      <c r="AS215" s="16"/>
      <c r="AT215" s="16"/>
      <c r="AU215" s="16"/>
      <c r="AV215" s="16"/>
      <c r="AW215" s="16"/>
      <c r="AX215" s="16"/>
      <c r="AY215" s="16"/>
      <c r="AZ215" s="16"/>
      <c r="BA215" s="16"/>
      <c r="BB215" s="16"/>
      <c r="BC215" s="49"/>
      <c r="BD215" s="16"/>
      <c r="BE215" s="16"/>
      <c r="BF215" s="16"/>
      <c r="BG215" s="16"/>
      <c r="BH215" s="16"/>
      <c r="BI215" s="16"/>
      <c r="BJ215" s="16"/>
      <c r="BK215" s="16"/>
      <c r="BL215" s="16"/>
      <c r="BM215" s="16"/>
      <c r="BN215" s="16"/>
      <c r="BO215" s="16"/>
      <c r="BP215" s="16"/>
      <c r="BQ215" s="16"/>
      <c r="BR215" s="16"/>
      <c r="BS215" s="16"/>
    </row>
    <row r="216" spans="1:71" ht="14.25" customHeight="1">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c r="AD216" s="16"/>
      <c r="AE216" s="16"/>
      <c r="AF216" s="16"/>
      <c r="AG216" s="16"/>
      <c r="AH216" s="16"/>
      <c r="AI216" s="16"/>
      <c r="AJ216" s="16"/>
      <c r="AK216" s="16"/>
      <c r="AL216" s="16"/>
      <c r="AM216" s="16"/>
      <c r="AN216" s="16"/>
      <c r="AO216" s="16"/>
      <c r="AP216" s="16"/>
      <c r="AQ216" s="16"/>
      <c r="AR216" s="16"/>
      <c r="AS216" s="16"/>
      <c r="AT216" s="16"/>
      <c r="AU216" s="16"/>
      <c r="AV216" s="16"/>
      <c r="AW216" s="16"/>
      <c r="AX216" s="16"/>
      <c r="AY216" s="16"/>
      <c r="AZ216" s="16"/>
      <c r="BA216" s="16"/>
      <c r="BB216" s="16"/>
      <c r="BC216" s="49"/>
      <c r="BD216" s="16"/>
      <c r="BE216" s="16"/>
      <c r="BF216" s="16"/>
      <c r="BG216" s="16"/>
      <c r="BH216" s="16"/>
      <c r="BI216" s="16"/>
      <c r="BJ216" s="16"/>
      <c r="BK216" s="16"/>
      <c r="BL216" s="16"/>
      <c r="BM216" s="16"/>
      <c r="BN216" s="16"/>
      <c r="BO216" s="16"/>
      <c r="BP216" s="16"/>
      <c r="BQ216" s="16"/>
      <c r="BR216" s="16"/>
      <c r="BS216" s="16"/>
    </row>
    <row r="217" spans="1:71" ht="14.25" customHeight="1">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c r="AD217" s="16"/>
      <c r="AE217" s="16"/>
      <c r="AF217" s="16"/>
      <c r="AG217" s="16"/>
      <c r="AH217" s="16"/>
      <c r="AI217" s="16"/>
      <c r="AJ217" s="16"/>
      <c r="AK217" s="16"/>
      <c r="AL217" s="16"/>
      <c r="AM217" s="16"/>
      <c r="AN217" s="16"/>
      <c r="AO217" s="16"/>
      <c r="AP217" s="16"/>
      <c r="AQ217" s="16"/>
      <c r="AR217" s="16"/>
      <c r="AS217" s="16"/>
      <c r="AT217" s="16"/>
      <c r="AU217" s="16"/>
      <c r="AV217" s="16"/>
      <c r="AW217" s="16"/>
      <c r="AX217" s="16"/>
      <c r="AY217" s="16"/>
      <c r="AZ217" s="16"/>
      <c r="BA217" s="16"/>
      <c r="BB217" s="16"/>
      <c r="BC217" s="49"/>
      <c r="BD217" s="16"/>
      <c r="BE217" s="16"/>
      <c r="BF217" s="16"/>
      <c r="BG217" s="16"/>
      <c r="BH217" s="16"/>
      <c r="BI217" s="16"/>
      <c r="BJ217" s="16"/>
      <c r="BK217" s="16"/>
      <c r="BL217" s="16"/>
      <c r="BM217" s="16"/>
      <c r="BN217" s="16"/>
      <c r="BO217" s="16"/>
      <c r="BP217" s="16"/>
      <c r="BQ217" s="16"/>
      <c r="BR217" s="16"/>
      <c r="BS217" s="16"/>
    </row>
    <row r="218" spans="1:71" ht="14.25" customHeight="1">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c r="AD218" s="16"/>
      <c r="AE218" s="16"/>
      <c r="AF218" s="16"/>
      <c r="AG218" s="16"/>
      <c r="AH218" s="16"/>
      <c r="AI218" s="16"/>
      <c r="AJ218" s="16"/>
      <c r="AK218" s="16"/>
      <c r="AL218" s="16"/>
      <c r="AM218" s="16"/>
      <c r="AN218" s="16"/>
      <c r="AO218" s="16"/>
      <c r="AP218" s="16"/>
      <c r="AQ218" s="16"/>
      <c r="AR218" s="16"/>
      <c r="AS218" s="16"/>
      <c r="AT218" s="16"/>
      <c r="AU218" s="16"/>
      <c r="AV218" s="16"/>
      <c r="AW218" s="16"/>
      <c r="AX218" s="16"/>
      <c r="AY218" s="16"/>
      <c r="AZ218" s="16"/>
      <c r="BA218" s="16"/>
      <c r="BB218" s="16"/>
      <c r="BC218" s="49"/>
      <c r="BD218" s="16"/>
      <c r="BE218" s="16"/>
      <c r="BF218" s="16"/>
      <c r="BG218" s="16"/>
      <c r="BH218" s="16"/>
      <c r="BI218" s="16"/>
      <c r="BJ218" s="16"/>
      <c r="BK218" s="16"/>
      <c r="BL218" s="16"/>
      <c r="BM218" s="16"/>
      <c r="BN218" s="16"/>
      <c r="BO218" s="16"/>
      <c r="BP218" s="16"/>
      <c r="BQ218" s="16"/>
      <c r="BR218" s="16"/>
      <c r="BS218" s="16"/>
    </row>
    <row r="219" spans="1:71" ht="14.25" customHeight="1">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c r="AD219" s="16"/>
      <c r="AE219" s="16"/>
      <c r="AF219" s="16"/>
      <c r="AG219" s="16"/>
      <c r="AH219" s="16"/>
      <c r="AI219" s="16"/>
      <c r="AJ219" s="16"/>
      <c r="AK219" s="16"/>
      <c r="AL219" s="16"/>
      <c r="AM219" s="16"/>
      <c r="AN219" s="16"/>
      <c r="AO219" s="16"/>
      <c r="AP219" s="16"/>
      <c r="AQ219" s="16"/>
      <c r="AR219" s="16"/>
      <c r="AS219" s="16"/>
      <c r="AT219" s="16"/>
      <c r="AU219" s="16"/>
      <c r="AV219" s="16"/>
      <c r="AW219" s="16"/>
      <c r="AX219" s="16"/>
      <c r="AY219" s="16"/>
      <c r="AZ219" s="16"/>
      <c r="BA219" s="16"/>
      <c r="BB219" s="16"/>
      <c r="BC219" s="49"/>
      <c r="BD219" s="16"/>
      <c r="BE219" s="16"/>
      <c r="BF219" s="16"/>
      <c r="BG219" s="16"/>
      <c r="BH219" s="16"/>
      <c r="BI219" s="16"/>
      <c r="BJ219" s="16"/>
      <c r="BK219" s="16"/>
      <c r="BL219" s="16"/>
      <c r="BM219" s="16"/>
      <c r="BN219" s="16"/>
      <c r="BO219" s="16"/>
      <c r="BP219" s="16"/>
      <c r="BQ219" s="16"/>
      <c r="BR219" s="16"/>
      <c r="BS219" s="16"/>
    </row>
    <row r="220" spans="1:71" ht="14.25" customHeight="1">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c r="AD220" s="16"/>
      <c r="AE220" s="16"/>
      <c r="AF220" s="16"/>
      <c r="AG220" s="16"/>
      <c r="AH220" s="16"/>
      <c r="AI220" s="16"/>
      <c r="AJ220" s="16"/>
      <c r="AK220" s="16"/>
      <c r="AL220" s="16"/>
      <c r="AM220" s="16"/>
      <c r="AN220" s="16"/>
      <c r="AO220" s="16"/>
      <c r="AP220" s="16"/>
      <c r="AQ220" s="16"/>
      <c r="AR220" s="16"/>
      <c r="AS220" s="16"/>
      <c r="AT220" s="16"/>
      <c r="AU220" s="16"/>
      <c r="AV220" s="16"/>
      <c r="AW220" s="16"/>
      <c r="AX220" s="16"/>
      <c r="AY220" s="16"/>
      <c r="AZ220" s="16"/>
      <c r="BA220" s="16"/>
      <c r="BB220" s="16"/>
      <c r="BC220" s="49"/>
      <c r="BD220" s="16"/>
      <c r="BE220" s="16"/>
      <c r="BF220" s="16"/>
      <c r="BG220" s="16"/>
      <c r="BH220" s="16"/>
      <c r="BI220" s="16"/>
      <c r="BJ220" s="16"/>
      <c r="BK220" s="16"/>
      <c r="BL220" s="16"/>
      <c r="BM220" s="16"/>
      <c r="BN220" s="16"/>
      <c r="BO220" s="16"/>
      <c r="BP220" s="16"/>
      <c r="BQ220" s="16"/>
      <c r="BR220" s="16"/>
      <c r="BS220" s="16"/>
    </row>
    <row r="221" spans="1:71" ht="14.25" customHeight="1">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16"/>
      <c r="AH221" s="16"/>
      <c r="AI221" s="16"/>
      <c r="AJ221" s="16"/>
      <c r="AK221" s="16"/>
      <c r="AL221" s="16"/>
      <c r="AM221" s="16"/>
      <c r="AN221" s="16"/>
      <c r="AO221" s="16"/>
      <c r="AP221" s="16"/>
      <c r="AQ221" s="16"/>
      <c r="AR221" s="16"/>
      <c r="AS221" s="16"/>
      <c r="AT221" s="16"/>
      <c r="AU221" s="16"/>
      <c r="AV221" s="16"/>
      <c r="AW221" s="16"/>
      <c r="AX221" s="16"/>
      <c r="AY221" s="16"/>
      <c r="AZ221" s="16"/>
      <c r="BA221" s="16"/>
      <c r="BB221" s="16"/>
      <c r="BC221" s="49"/>
      <c r="BD221" s="16"/>
      <c r="BE221" s="16"/>
      <c r="BF221" s="16"/>
      <c r="BG221" s="16"/>
      <c r="BH221" s="16"/>
      <c r="BI221" s="16"/>
      <c r="BJ221" s="16"/>
      <c r="BK221" s="16"/>
      <c r="BL221" s="16"/>
      <c r="BM221" s="16"/>
      <c r="BN221" s="16"/>
      <c r="BO221" s="16"/>
      <c r="BP221" s="16"/>
      <c r="BQ221" s="16"/>
      <c r="BR221" s="16"/>
      <c r="BS221" s="16"/>
    </row>
    <row r="222" spans="1:71" ht="14.25" customHeight="1">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16"/>
      <c r="AH222" s="16"/>
      <c r="AI222" s="16"/>
      <c r="AJ222" s="16"/>
      <c r="AK222" s="16"/>
      <c r="AL222" s="16"/>
      <c r="AM222" s="16"/>
      <c r="AN222" s="16"/>
      <c r="AO222" s="16"/>
      <c r="AP222" s="16"/>
      <c r="AQ222" s="16"/>
      <c r="AR222" s="16"/>
      <c r="AS222" s="16"/>
      <c r="AT222" s="16"/>
      <c r="AU222" s="16"/>
      <c r="AV222" s="16"/>
      <c r="AW222" s="16"/>
      <c r="AX222" s="16"/>
      <c r="AY222" s="16"/>
      <c r="AZ222" s="16"/>
      <c r="BA222" s="16"/>
      <c r="BB222" s="16"/>
      <c r="BC222" s="49"/>
      <c r="BD222" s="16"/>
      <c r="BE222" s="16"/>
      <c r="BF222" s="16"/>
      <c r="BG222" s="16"/>
      <c r="BH222" s="16"/>
      <c r="BI222" s="16"/>
      <c r="BJ222" s="16"/>
      <c r="BK222" s="16"/>
      <c r="BL222" s="16"/>
      <c r="BM222" s="16"/>
      <c r="BN222" s="16"/>
      <c r="BO222" s="16"/>
      <c r="BP222" s="16"/>
      <c r="BQ222" s="16"/>
      <c r="BR222" s="16"/>
      <c r="BS222" s="16"/>
    </row>
    <row r="223" spans="1:71" ht="14.25" customHeight="1">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c r="AD223" s="16"/>
      <c r="AE223" s="16"/>
      <c r="AF223" s="16"/>
      <c r="AG223" s="16"/>
      <c r="AH223" s="16"/>
      <c r="AI223" s="16"/>
      <c r="AJ223" s="16"/>
      <c r="AK223" s="16"/>
      <c r="AL223" s="16"/>
      <c r="AM223" s="16"/>
      <c r="AN223" s="16"/>
      <c r="AO223" s="16"/>
      <c r="AP223" s="16"/>
      <c r="AQ223" s="16"/>
      <c r="AR223" s="16"/>
      <c r="AS223" s="16"/>
      <c r="AT223" s="16"/>
      <c r="AU223" s="16"/>
      <c r="AV223" s="16"/>
      <c r="AW223" s="16"/>
      <c r="AX223" s="16"/>
      <c r="AY223" s="16"/>
      <c r="AZ223" s="16"/>
      <c r="BA223" s="16"/>
      <c r="BB223" s="16"/>
      <c r="BC223" s="49"/>
      <c r="BD223" s="16"/>
      <c r="BE223" s="16"/>
      <c r="BF223" s="16"/>
      <c r="BG223" s="16"/>
      <c r="BH223" s="16"/>
      <c r="BI223" s="16"/>
      <c r="BJ223" s="16"/>
      <c r="BK223" s="16"/>
      <c r="BL223" s="16"/>
      <c r="BM223" s="16"/>
      <c r="BN223" s="16"/>
      <c r="BO223" s="16"/>
      <c r="BP223" s="16"/>
      <c r="BQ223" s="16"/>
      <c r="BR223" s="16"/>
      <c r="BS223" s="16"/>
    </row>
    <row r="224" spans="1:71" ht="14.25" customHeight="1">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c r="AD224" s="16"/>
      <c r="AE224" s="16"/>
      <c r="AF224" s="16"/>
      <c r="AG224" s="16"/>
      <c r="AH224" s="16"/>
      <c r="AI224" s="16"/>
      <c r="AJ224" s="16"/>
      <c r="AK224" s="16"/>
      <c r="AL224" s="16"/>
      <c r="AM224" s="16"/>
      <c r="AN224" s="16"/>
      <c r="AO224" s="16"/>
      <c r="AP224" s="16"/>
      <c r="AQ224" s="16"/>
      <c r="AR224" s="16"/>
      <c r="AS224" s="16"/>
      <c r="AT224" s="16"/>
      <c r="AU224" s="16"/>
      <c r="AV224" s="16"/>
      <c r="AW224" s="16"/>
      <c r="AX224" s="16"/>
      <c r="AY224" s="16"/>
      <c r="AZ224" s="16"/>
      <c r="BA224" s="16"/>
      <c r="BB224" s="16"/>
      <c r="BC224" s="49"/>
      <c r="BD224" s="16"/>
      <c r="BE224" s="16"/>
      <c r="BF224" s="16"/>
      <c r="BG224" s="16"/>
      <c r="BH224" s="16"/>
      <c r="BI224" s="16"/>
      <c r="BJ224" s="16"/>
      <c r="BK224" s="16"/>
      <c r="BL224" s="16"/>
      <c r="BM224" s="16"/>
      <c r="BN224" s="16"/>
      <c r="BO224" s="16"/>
      <c r="BP224" s="16"/>
      <c r="BQ224" s="16"/>
      <c r="BR224" s="16"/>
      <c r="BS224" s="16"/>
    </row>
    <row r="225" spans="1:71" ht="14.25" customHeight="1">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16"/>
      <c r="AE225" s="16"/>
      <c r="AF225" s="16"/>
      <c r="AG225" s="16"/>
      <c r="AH225" s="16"/>
      <c r="AI225" s="16"/>
      <c r="AJ225" s="16"/>
      <c r="AK225" s="16"/>
      <c r="AL225" s="16"/>
      <c r="AM225" s="16"/>
      <c r="AN225" s="16"/>
      <c r="AO225" s="16"/>
      <c r="AP225" s="16"/>
      <c r="AQ225" s="16"/>
      <c r="AR225" s="16"/>
      <c r="AS225" s="16"/>
      <c r="AT225" s="16"/>
      <c r="AU225" s="16"/>
      <c r="AV225" s="16"/>
      <c r="AW225" s="16"/>
      <c r="AX225" s="16"/>
      <c r="AY225" s="16"/>
      <c r="AZ225" s="16"/>
      <c r="BA225" s="16"/>
      <c r="BB225" s="16"/>
      <c r="BC225" s="49"/>
      <c r="BD225" s="16"/>
      <c r="BE225" s="16"/>
      <c r="BF225" s="16"/>
      <c r="BG225" s="16"/>
      <c r="BH225" s="16"/>
      <c r="BI225" s="16"/>
      <c r="BJ225" s="16"/>
      <c r="BK225" s="16"/>
      <c r="BL225" s="16"/>
      <c r="BM225" s="16"/>
      <c r="BN225" s="16"/>
      <c r="BO225" s="16"/>
      <c r="BP225" s="16"/>
      <c r="BQ225" s="16"/>
      <c r="BR225" s="16"/>
      <c r="BS225" s="16"/>
    </row>
    <row r="226" spans="1:71" ht="14.25" customHeight="1">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16"/>
      <c r="AH226" s="16"/>
      <c r="AI226" s="16"/>
      <c r="AJ226" s="16"/>
      <c r="AK226" s="16"/>
      <c r="AL226" s="16"/>
      <c r="AM226" s="16"/>
      <c r="AN226" s="16"/>
      <c r="AO226" s="16"/>
      <c r="AP226" s="16"/>
      <c r="AQ226" s="16"/>
      <c r="AR226" s="16"/>
      <c r="AS226" s="16"/>
      <c r="AT226" s="16"/>
      <c r="AU226" s="16"/>
      <c r="AV226" s="16"/>
      <c r="AW226" s="16"/>
      <c r="AX226" s="16"/>
      <c r="AY226" s="16"/>
      <c r="AZ226" s="16"/>
      <c r="BA226" s="16"/>
      <c r="BB226" s="16"/>
      <c r="BC226" s="49"/>
      <c r="BD226" s="16"/>
      <c r="BE226" s="16"/>
      <c r="BF226" s="16"/>
      <c r="BG226" s="16"/>
      <c r="BH226" s="16"/>
      <c r="BI226" s="16"/>
      <c r="BJ226" s="16"/>
      <c r="BK226" s="16"/>
      <c r="BL226" s="16"/>
      <c r="BM226" s="16"/>
      <c r="BN226" s="16"/>
      <c r="BO226" s="16"/>
      <c r="BP226" s="16"/>
      <c r="BQ226" s="16"/>
      <c r="BR226" s="16"/>
      <c r="BS226" s="16"/>
    </row>
    <row r="227" spans="1:71" ht="14.25" customHeight="1">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16"/>
      <c r="AE227" s="16"/>
      <c r="AF227" s="16"/>
      <c r="AG227" s="16"/>
      <c r="AH227" s="16"/>
      <c r="AI227" s="16"/>
      <c r="AJ227" s="16"/>
      <c r="AK227" s="16"/>
      <c r="AL227" s="16"/>
      <c r="AM227" s="16"/>
      <c r="AN227" s="16"/>
      <c r="AO227" s="16"/>
      <c r="AP227" s="16"/>
      <c r="AQ227" s="16"/>
      <c r="AR227" s="16"/>
      <c r="AS227" s="16"/>
      <c r="AT227" s="16"/>
      <c r="AU227" s="16"/>
      <c r="AV227" s="16"/>
      <c r="AW227" s="16"/>
      <c r="AX227" s="16"/>
      <c r="AY227" s="16"/>
      <c r="AZ227" s="16"/>
      <c r="BA227" s="16"/>
      <c r="BB227" s="16"/>
      <c r="BC227" s="49"/>
      <c r="BD227" s="16"/>
      <c r="BE227" s="16"/>
      <c r="BF227" s="16"/>
      <c r="BG227" s="16"/>
      <c r="BH227" s="16"/>
      <c r="BI227" s="16"/>
      <c r="BJ227" s="16"/>
      <c r="BK227" s="16"/>
      <c r="BL227" s="16"/>
      <c r="BM227" s="16"/>
      <c r="BN227" s="16"/>
      <c r="BO227" s="16"/>
      <c r="BP227" s="16"/>
      <c r="BQ227" s="16"/>
      <c r="BR227" s="16"/>
      <c r="BS227" s="16"/>
    </row>
    <row r="228" spans="1:71" ht="14.25" customHeight="1">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c r="AD228" s="16"/>
      <c r="AE228" s="16"/>
      <c r="AF228" s="16"/>
      <c r="AG228" s="16"/>
      <c r="AH228" s="16"/>
      <c r="AI228" s="16"/>
      <c r="AJ228" s="16"/>
      <c r="AK228" s="16"/>
      <c r="AL228" s="16"/>
      <c r="AM228" s="16"/>
      <c r="AN228" s="16"/>
      <c r="AO228" s="16"/>
      <c r="AP228" s="16"/>
      <c r="AQ228" s="16"/>
      <c r="AR228" s="16"/>
      <c r="AS228" s="16"/>
      <c r="AT228" s="16"/>
      <c r="AU228" s="16"/>
      <c r="AV228" s="16"/>
      <c r="AW228" s="16"/>
      <c r="AX228" s="16"/>
      <c r="AY228" s="16"/>
      <c r="AZ228" s="16"/>
      <c r="BA228" s="16"/>
      <c r="BB228" s="16"/>
      <c r="BC228" s="49"/>
      <c r="BD228" s="16"/>
      <c r="BE228" s="16"/>
      <c r="BF228" s="16"/>
      <c r="BG228" s="16"/>
      <c r="BH228" s="16"/>
      <c r="BI228" s="16"/>
      <c r="BJ228" s="16"/>
      <c r="BK228" s="16"/>
      <c r="BL228" s="16"/>
      <c r="BM228" s="16"/>
      <c r="BN228" s="16"/>
      <c r="BO228" s="16"/>
      <c r="BP228" s="16"/>
      <c r="BQ228" s="16"/>
      <c r="BR228" s="16"/>
      <c r="BS228" s="16"/>
    </row>
    <row r="229" spans="1:71" ht="14.25" customHeight="1">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c r="AD229" s="16"/>
      <c r="AE229" s="16"/>
      <c r="AF229" s="16"/>
      <c r="AG229" s="16"/>
      <c r="AH229" s="16"/>
      <c r="AI229" s="16"/>
      <c r="AJ229" s="16"/>
      <c r="AK229" s="16"/>
      <c r="AL229" s="16"/>
      <c r="AM229" s="16"/>
      <c r="AN229" s="16"/>
      <c r="AO229" s="16"/>
      <c r="AP229" s="16"/>
      <c r="AQ229" s="16"/>
      <c r="AR229" s="16"/>
      <c r="AS229" s="16"/>
      <c r="AT229" s="16"/>
      <c r="AU229" s="16"/>
      <c r="AV229" s="16"/>
      <c r="AW229" s="16"/>
      <c r="AX229" s="16"/>
      <c r="AY229" s="16"/>
      <c r="AZ229" s="16"/>
      <c r="BA229" s="16"/>
      <c r="BB229" s="16"/>
      <c r="BC229" s="49"/>
      <c r="BD229" s="16"/>
      <c r="BE229" s="16"/>
      <c r="BF229" s="16"/>
      <c r="BG229" s="16"/>
      <c r="BH229" s="16"/>
      <c r="BI229" s="16"/>
      <c r="BJ229" s="16"/>
      <c r="BK229" s="16"/>
      <c r="BL229" s="16"/>
      <c r="BM229" s="16"/>
      <c r="BN229" s="16"/>
      <c r="BO229" s="16"/>
      <c r="BP229" s="16"/>
      <c r="BQ229" s="16"/>
      <c r="BR229" s="16"/>
      <c r="BS229" s="16"/>
    </row>
    <row r="230" spans="1:71" ht="14.25" customHeight="1">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c r="AE230" s="16"/>
      <c r="AF230" s="16"/>
      <c r="AG230" s="16"/>
      <c r="AH230" s="16"/>
      <c r="AI230" s="16"/>
      <c r="AJ230" s="16"/>
      <c r="AK230" s="16"/>
      <c r="AL230" s="16"/>
      <c r="AM230" s="16"/>
      <c r="AN230" s="16"/>
      <c r="AO230" s="16"/>
      <c r="AP230" s="16"/>
      <c r="AQ230" s="16"/>
      <c r="AR230" s="16"/>
      <c r="AS230" s="16"/>
      <c r="AT230" s="16"/>
      <c r="AU230" s="16"/>
      <c r="AV230" s="16"/>
      <c r="AW230" s="16"/>
      <c r="AX230" s="16"/>
      <c r="AY230" s="16"/>
      <c r="AZ230" s="16"/>
      <c r="BA230" s="16"/>
      <c r="BB230" s="16"/>
      <c r="BC230" s="49"/>
      <c r="BD230" s="16"/>
      <c r="BE230" s="16"/>
      <c r="BF230" s="16"/>
      <c r="BG230" s="16"/>
      <c r="BH230" s="16"/>
      <c r="BI230" s="16"/>
      <c r="BJ230" s="16"/>
      <c r="BK230" s="16"/>
      <c r="BL230" s="16"/>
      <c r="BM230" s="16"/>
      <c r="BN230" s="16"/>
      <c r="BO230" s="16"/>
      <c r="BP230" s="16"/>
      <c r="BQ230" s="16"/>
      <c r="BR230" s="16"/>
      <c r="BS230" s="16"/>
    </row>
    <row r="231" spans="1:71" ht="14.25" customHeight="1">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c r="AD231" s="16"/>
      <c r="AE231" s="16"/>
      <c r="AF231" s="16"/>
      <c r="AG231" s="16"/>
      <c r="AH231" s="16"/>
      <c r="AI231" s="16"/>
      <c r="AJ231" s="16"/>
      <c r="AK231" s="16"/>
      <c r="AL231" s="16"/>
      <c r="AM231" s="16"/>
      <c r="AN231" s="16"/>
      <c r="AO231" s="16"/>
      <c r="AP231" s="16"/>
      <c r="AQ231" s="16"/>
      <c r="AR231" s="16"/>
      <c r="AS231" s="16"/>
      <c r="AT231" s="16"/>
      <c r="AU231" s="16"/>
      <c r="AV231" s="16"/>
      <c r="AW231" s="16"/>
      <c r="AX231" s="16"/>
      <c r="AY231" s="16"/>
      <c r="AZ231" s="16"/>
      <c r="BA231" s="16"/>
      <c r="BB231" s="16"/>
      <c r="BC231" s="49"/>
      <c r="BD231" s="16"/>
      <c r="BE231" s="16"/>
      <c r="BF231" s="16"/>
      <c r="BG231" s="16"/>
      <c r="BH231" s="16"/>
      <c r="BI231" s="16"/>
      <c r="BJ231" s="16"/>
      <c r="BK231" s="16"/>
      <c r="BL231" s="16"/>
      <c r="BM231" s="16"/>
      <c r="BN231" s="16"/>
      <c r="BO231" s="16"/>
      <c r="BP231" s="16"/>
      <c r="BQ231" s="16"/>
      <c r="BR231" s="16"/>
      <c r="BS231" s="16"/>
    </row>
    <row r="232" spans="1:71" ht="14.25" customHeight="1">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c r="AD232" s="16"/>
      <c r="AE232" s="16"/>
      <c r="AF232" s="16"/>
      <c r="AG232" s="16"/>
      <c r="AH232" s="16"/>
      <c r="AI232" s="16"/>
      <c r="AJ232" s="16"/>
      <c r="AK232" s="16"/>
      <c r="AL232" s="16"/>
      <c r="AM232" s="16"/>
      <c r="AN232" s="16"/>
      <c r="AO232" s="16"/>
      <c r="AP232" s="16"/>
      <c r="AQ232" s="16"/>
      <c r="AR232" s="16"/>
      <c r="AS232" s="16"/>
      <c r="AT232" s="16"/>
      <c r="AU232" s="16"/>
      <c r="AV232" s="16"/>
      <c r="AW232" s="16"/>
      <c r="AX232" s="16"/>
      <c r="AY232" s="16"/>
      <c r="AZ232" s="16"/>
      <c r="BA232" s="16"/>
      <c r="BB232" s="16"/>
      <c r="BC232" s="49"/>
      <c r="BD232" s="16"/>
      <c r="BE232" s="16"/>
      <c r="BF232" s="16"/>
      <c r="BG232" s="16"/>
      <c r="BH232" s="16"/>
      <c r="BI232" s="16"/>
      <c r="BJ232" s="16"/>
      <c r="BK232" s="16"/>
      <c r="BL232" s="16"/>
      <c r="BM232" s="16"/>
      <c r="BN232" s="16"/>
      <c r="BO232" s="16"/>
      <c r="BP232" s="16"/>
      <c r="BQ232" s="16"/>
      <c r="BR232" s="16"/>
      <c r="BS232" s="16"/>
    </row>
    <row r="233" spans="1:71" ht="14.25" customHeight="1">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c r="AD233" s="16"/>
      <c r="AE233" s="16"/>
      <c r="AF233" s="16"/>
      <c r="AG233" s="16"/>
      <c r="AH233" s="16"/>
      <c r="AI233" s="16"/>
      <c r="AJ233" s="16"/>
      <c r="AK233" s="16"/>
      <c r="AL233" s="16"/>
      <c r="AM233" s="16"/>
      <c r="AN233" s="16"/>
      <c r="AO233" s="16"/>
      <c r="AP233" s="16"/>
      <c r="AQ233" s="16"/>
      <c r="AR233" s="16"/>
      <c r="AS233" s="16"/>
      <c r="AT233" s="16"/>
      <c r="AU233" s="16"/>
      <c r="AV233" s="16"/>
      <c r="AW233" s="16"/>
      <c r="AX233" s="16"/>
      <c r="AY233" s="16"/>
      <c r="AZ233" s="16"/>
      <c r="BA233" s="16"/>
      <c r="BB233" s="16"/>
      <c r="BC233" s="49"/>
      <c r="BD233" s="16"/>
      <c r="BE233" s="16"/>
      <c r="BF233" s="16"/>
      <c r="BG233" s="16"/>
      <c r="BH233" s="16"/>
      <c r="BI233" s="16"/>
      <c r="BJ233" s="16"/>
      <c r="BK233" s="16"/>
      <c r="BL233" s="16"/>
      <c r="BM233" s="16"/>
      <c r="BN233" s="16"/>
      <c r="BO233" s="16"/>
      <c r="BP233" s="16"/>
      <c r="BQ233" s="16"/>
      <c r="BR233" s="16"/>
      <c r="BS233" s="16"/>
    </row>
    <row r="234" spans="1:71" ht="14.25" customHeight="1">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c r="AD234" s="16"/>
      <c r="AE234" s="16"/>
      <c r="AF234" s="16"/>
      <c r="AG234" s="16"/>
      <c r="AH234" s="16"/>
      <c r="AI234" s="16"/>
      <c r="AJ234" s="16"/>
      <c r="AK234" s="16"/>
      <c r="AL234" s="16"/>
      <c r="AM234" s="16"/>
      <c r="AN234" s="16"/>
      <c r="AO234" s="16"/>
      <c r="AP234" s="16"/>
      <c r="AQ234" s="16"/>
      <c r="AR234" s="16"/>
      <c r="AS234" s="16"/>
      <c r="AT234" s="16"/>
      <c r="AU234" s="16"/>
      <c r="AV234" s="16"/>
      <c r="AW234" s="16"/>
      <c r="AX234" s="16"/>
      <c r="AY234" s="16"/>
      <c r="AZ234" s="16"/>
      <c r="BA234" s="16"/>
      <c r="BB234" s="16"/>
      <c r="BC234" s="49"/>
      <c r="BD234" s="16"/>
      <c r="BE234" s="16"/>
      <c r="BF234" s="16"/>
      <c r="BG234" s="16"/>
      <c r="BH234" s="16"/>
      <c r="BI234" s="16"/>
      <c r="BJ234" s="16"/>
      <c r="BK234" s="16"/>
      <c r="BL234" s="16"/>
      <c r="BM234" s="16"/>
      <c r="BN234" s="16"/>
      <c r="BO234" s="16"/>
      <c r="BP234" s="16"/>
      <c r="BQ234" s="16"/>
      <c r="BR234" s="16"/>
      <c r="BS234" s="16"/>
    </row>
    <row r="235" spans="1:71" ht="14.25" customHeight="1">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c r="AE235" s="16"/>
      <c r="AF235" s="16"/>
      <c r="AG235" s="16"/>
      <c r="AH235" s="16"/>
      <c r="AI235" s="16"/>
      <c r="AJ235" s="16"/>
      <c r="AK235" s="16"/>
      <c r="AL235" s="16"/>
      <c r="AM235" s="16"/>
      <c r="AN235" s="16"/>
      <c r="AO235" s="16"/>
      <c r="AP235" s="16"/>
      <c r="AQ235" s="16"/>
      <c r="AR235" s="16"/>
      <c r="AS235" s="16"/>
      <c r="AT235" s="16"/>
      <c r="AU235" s="16"/>
      <c r="AV235" s="16"/>
      <c r="AW235" s="16"/>
      <c r="AX235" s="16"/>
      <c r="AY235" s="16"/>
      <c r="AZ235" s="16"/>
      <c r="BA235" s="16"/>
      <c r="BB235" s="16"/>
      <c r="BC235" s="49"/>
      <c r="BD235" s="16"/>
      <c r="BE235" s="16"/>
      <c r="BF235" s="16"/>
      <c r="BG235" s="16"/>
      <c r="BH235" s="16"/>
      <c r="BI235" s="16"/>
      <c r="BJ235" s="16"/>
      <c r="BK235" s="16"/>
      <c r="BL235" s="16"/>
      <c r="BM235" s="16"/>
      <c r="BN235" s="16"/>
      <c r="BO235" s="16"/>
      <c r="BP235" s="16"/>
      <c r="BQ235" s="16"/>
      <c r="BR235" s="16"/>
      <c r="BS235" s="16"/>
    </row>
    <row r="236" spans="1:71" ht="14.25" customHeight="1">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c r="AD236" s="16"/>
      <c r="AE236" s="16"/>
      <c r="AF236" s="16"/>
      <c r="AG236" s="16"/>
      <c r="AH236" s="16"/>
      <c r="AI236" s="16"/>
      <c r="AJ236" s="16"/>
      <c r="AK236" s="16"/>
      <c r="AL236" s="16"/>
      <c r="AM236" s="16"/>
      <c r="AN236" s="16"/>
      <c r="AO236" s="16"/>
      <c r="AP236" s="16"/>
      <c r="AQ236" s="16"/>
      <c r="AR236" s="16"/>
      <c r="AS236" s="16"/>
      <c r="AT236" s="16"/>
      <c r="AU236" s="16"/>
      <c r="AV236" s="16"/>
      <c r="AW236" s="16"/>
      <c r="AX236" s="16"/>
      <c r="AY236" s="16"/>
      <c r="AZ236" s="16"/>
      <c r="BA236" s="16"/>
      <c r="BB236" s="16"/>
      <c r="BC236" s="49"/>
      <c r="BD236" s="16"/>
      <c r="BE236" s="16"/>
      <c r="BF236" s="16"/>
      <c r="BG236" s="16"/>
      <c r="BH236" s="16"/>
      <c r="BI236" s="16"/>
      <c r="BJ236" s="16"/>
      <c r="BK236" s="16"/>
      <c r="BL236" s="16"/>
      <c r="BM236" s="16"/>
      <c r="BN236" s="16"/>
      <c r="BO236" s="16"/>
      <c r="BP236" s="16"/>
      <c r="BQ236" s="16"/>
      <c r="BR236" s="16"/>
      <c r="BS236" s="16"/>
    </row>
    <row r="237" spans="1:71" ht="14.25" customHeight="1">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c r="AD237" s="16"/>
      <c r="AE237" s="16"/>
      <c r="AF237" s="16"/>
      <c r="AG237" s="16"/>
      <c r="AH237" s="16"/>
      <c r="AI237" s="16"/>
      <c r="AJ237" s="16"/>
      <c r="AK237" s="16"/>
      <c r="AL237" s="16"/>
      <c r="AM237" s="16"/>
      <c r="AN237" s="16"/>
      <c r="AO237" s="16"/>
      <c r="AP237" s="16"/>
      <c r="AQ237" s="16"/>
      <c r="AR237" s="16"/>
      <c r="AS237" s="16"/>
      <c r="AT237" s="16"/>
      <c r="AU237" s="16"/>
      <c r="AV237" s="16"/>
      <c r="AW237" s="16"/>
      <c r="AX237" s="16"/>
      <c r="AY237" s="16"/>
      <c r="AZ237" s="16"/>
      <c r="BA237" s="16"/>
      <c r="BB237" s="16"/>
      <c r="BC237" s="49"/>
      <c r="BD237" s="16"/>
      <c r="BE237" s="16"/>
      <c r="BF237" s="16"/>
      <c r="BG237" s="16"/>
      <c r="BH237" s="16"/>
      <c r="BI237" s="16"/>
      <c r="BJ237" s="16"/>
      <c r="BK237" s="16"/>
      <c r="BL237" s="16"/>
      <c r="BM237" s="16"/>
      <c r="BN237" s="16"/>
      <c r="BO237" s="16"/>
      <c r="BP237" s="16"/>
      <c r="BQ237" s="16"/>
      <c r="BR237" s="16"/>
      <c r="BS237" s="16"/>
    </row>
    <row r="238" spans="1:71" ht="14.25" customHeight="1">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c r="AD238" s="16"/>
      <c r="AE238" s="16"/>
      <c r="AF238" s="16"/>
      <c r="AG238" s="16"/>
      <c r="AH238" s="16"/>
      <c r="AI238" s="16"/>
      <c r="AJ238" s="16"/>
      <c r="AK238" s="16"/>
      <c r="AL238" s="16"/>
      <c r="AM238" s="16"/>
      <c r="AN238" s="16"/>
      <c r="AO238" s="16"/>
      <c r="AP238" s="16"/>
      <c r="AQ238" s="16"/>
      <c r="AR238" s="16"/>
      <c r="AS238" s="16"/>
      <c r="AT238" s="16"/>
      <c r="AU238" s="16"/>
      <c r="AV238" s="16"/>
      <c r="AW238" s="16"/>
      <c r="AX238" s="16"/>
      <c r="AY238" s="16"/>
      <c r="AZ238" s="16"/>
      <c r="BA238" s="16"/>
      <c r="BB238" s="16"/>
      <c r="BC238" s="49"/>
      <c r="BD238" s="16"/>
      <c r="BE238" s="16"/>
      <c r="BF238" s="16"/>
      <c r="BG238" s="16"/>
      <c r="BH238" s="16"/>
      <c r="BI238" s="16"/>
      <c r="BJ238" s="16"/>
      <c r="BK238" s="16"/>
      <c r="BL238" s="16"/>
      <c r="BM238" s="16"/>
      <c r="BN238" s="16"/>
      <c r="BO238" s="16"/>
      <c r="BP238" s="16"/>
      <c r="BQ238" s="16"/>
      <c r="BR238" s="16"/>
      <c r="BS238" s="16"/>
    </row>
    <row r="239" spans="1:71" ht="15.75" customHeight="1"/>
    <row r="240" spans="1:71"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11">
    <mergeCell ref="BU1:BV1"/>
    <mergeCell ref="BM1:BN1"/>
    <mergeCell ref="A1:D1"/>
    <mergeCell ref="F1:M1"/>
    <mergeCell ref="O1:V1"/>
    <mergeCell ref="X1:AE1"/>
    <mergeCell ref="AG1:AP1"/>
    <mergeCell ref="AR1:BC1"/>
    <mergeCell ref="BE1:BF1"/>
    <mergeCell ref="BH1:BK1"/>
    <mergeCell ref="BP1:BS1"/>
  </mergeCells>
  <conditionalFormatting sqref="A3:B35 A38">
    <cfRule type="expression" dxfId="851" priority="2">
      <formula>$A3="Vincent"</formula>
    </cfRule>
  </conditionalFormatting>
  <conditionalFormatting sqref="B37:B39">
    <cfRule type="expression" dxfId="850" priority="3">
      <formula>$A37="Vincent"</formula>
    </cfRule>
  </conditionalFormatting>
  <conditionalFormatting sqref="BR3:BR35">
    <cfRule type="containsText" dxfId="849" priority="4" operator="containsText" text="TRUE">
      <formula>NOT(ISERROR(SEARCH(("TRUE"),(BR3))))</formula>
    </cfRule>
  </conditionalFormatting>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9BECF-D86C-1C45-83D8-392CDA62DBEF}">
  <dimension ref="A1:BG1003"/>
  <sheetViews>
    <sheetView topLeftCell="E1" zoomScaleNormal="100" workbookViewId="0">
      <selection activeCell="I21" sqref="I21"/>
    </sheetView>
  </sheetViews>
  <sheetFormatPr defaultColWidth="12.625" defaultRowHeight="15" customHeight="1"/>
  <cols>
    <col min="1" max="1" width="36.625" customWidth="1"/>
    <col min="2" max="2" width="28.125" customWidth="1"/>
    <col min="3" max="3" width="21" customWidth="1"/>
    <col min="4" max="4" width="17.5" customWidth="1"/>
    <col min="5" max="5" width="16.125" customWidth="1"/>
    <col min="6" max="6" width="21.5" customWidth="1"/>
    <col min="7" max="7" width="22.625" customWidth="1"/>
    <col min="8" max="8" width="18.625" customWidth="1"/>
    <col min="9" max="9" width="19.625" customWidth="1"/>
    <col min="10" max="10" width="18.875" customWidth="1"/>
    <col min="11" max="11" width="21.625" customWidth="1"/>
    <col min="12" max="12" width="17.375" customWidth="1"/>
    <col min="13" max="13" width="15.125" customWidth="1"/>
    <col min="14" max="14" width="15.625" customWidth="1"/>
    <col min="15" max="15" width="28.5" customWidth="1"/>
    <col min="16" max="16" width="13.125" customWidth="1"/>
    <col min="17" max="17" width="21.875" customWidth="1"/>
    <col min="18" max="18" width="27" customWidth="1"/>
    <col min="19" max="19" width="20.5" customWidth="1"/>
    <col min="20" max="22" width="7.625" customWidth="1"/>
    <col min="23" max="23" width="31.875" customWidth="1"/>
    <col min="24" max="24" width="7.625" customWidth="1"/>
    <col min="25" max="25" width="8.375" customWidth="1"/>
    <col min="26" max="26" width="21.625" customWidth="1"/>
    <col min="27" max="27" width="12" customWidth="1"/>
    <col min="28" max="28" width="16.5" customWidth="1"/>
    <col min="29" max="29" width="6" customWidth="1"/>
    <col min="30" max="30" width="13.625" customWidth="1"/>
  </cols>
  <sheetData>
    <row r="1" spans="1:59" ht="171" customHeight="1">
      <c r="A1" s="703"/>
      <c r="B1" s="704"/>
      <c r="C1" s="705"/>
      <c r="D1" s="16"/>
      <c r="E1" s="572" t="s">
        <v>403</v>
      </c>
      <c r="F1" s="704"/>
      <c r="G1" s="704"/>
      <c r="H1" s="705"/>
      <c r="I1" s="16"/>
      <c r="J1" s="16"/>
      <c r="K1" s="16"/>
      <c r="L1" s="16"/>
      <c r="M1" s="16"/>
      <c r="N1" s="16"/>
      <c r="O1" s="16"/>
      <c r="P1" s="16"/>
      <c r="Q1" s="16"/>
      <c r="R1" s="16"/>
      <c r="S1" s="16"/>
      <c r="T1" s="16"/>
      <c r="U1" s="16"/>
      <c r="V1" s="16"/>
      <c r="W1" s="16"/>
      <c r="X1" s="16"/>
      <c r="Y1" s="16"/>
      <c r="Z1" s="16"/>
      <c r="AA1" s="16"/>
      <c r="AB1" s="16"/>
      <c r="AC1" s="16"/>
      <c r="AD1" s="16"/>
    </row>
    <row r="2" spans="1:59">
      <c r="A2" s="58" t="s">
        <v>404</v>
      </c>
      <c r="B2" s="152" t="s">
        <v>405</v>
      </c>
      <c r="C2" s="59"/>
      <c r="D2" s="16"/>
      <c r="E2" s="60" t="s">
        <v>406</v>
      </c>
      <c r="F2" s="153" t="s">
        <v>407</v>
      </c>
      <c r="G2" s="154"/>
      <c r="H2" s="61"/>
      <c r="I2" s="16"/>
      <c r="J2" s="16"/>
      <c r="K2" s="16"/>
      <c r="L2" s="16"/>
      <c r="M2" s="16"/>
      <c r="N2" s="16"/>
      <c r="O2" s="16"/>
      <c r="P2" s="16"/>
      <c r="Q2" s="16"/>
      <c r="R2" s="16"/>
      <c r="S2" s="16"/>
      <c r="T2" s="16"/>
      <c r="U2" s="16"/>
      <c r="V2" s="16"/>
      <c r="W2" s="16"/>
      <c r="X2" s="16"/>
      <c r="Y2" s="16"/>
      <c r="Z2" s="15"/>
      <c r="AA2" s="15"/>
      <c r="AB2" s="15"/>
      <c r="AC2" s="15"/>
      <c r="AD2" s="16"/>
      <c r="AE2" s="16"/>
      <c r="AF2" s="16"/>
      <c r="AG2" s="16"/>
      <c r="AH2" s="16"/>
      <c r="AI2" s="17"/>
      <c r="AJ2" s="17"/>
      <c r="AK2" s="17"/>
      <c r="AL2" s="17"/>
      <c r="AM2" s="17"/>
      <c r="AN2" s="17"/>
      <c r="AO2" s="17"/>
      <c r="AP2" s="17"/>
      <c r="AQ2" s="17"/>
      <c r="AR2" s="18"/>
      <c r="AS2" s="17"/>
      <c r="AT2" s="17"/>
      <c r="AU2" s="16"/>
      <c r="AV2" s="16"/>
      <c r="AW2" s="16"/>
      <c r="AX2" s="16"/>
      <c r="AY2" s="16"/>
      <c r="AZ2" s="16"/>
      <c r="BA2" s="16"/>
    </row>
    <row r="3" spans="1:59">
      <c r="A3" s="62" t="s">
        <v>408</v>
      </c>
      <c r="B3" s="155">
        <v>1</v>
      </c>
      <c r="C3" s="156"/>
      <c r="D3" s="16"/>
      <c r="E3" s="63" t="s">
        <v>409</v>
      </c>
      <c r="F3" s="189">
        <v>45798</v>
      </c>
      <c r="G3" s="158"/>
      <c r="H3" s="159"/>
      <c r="I3" s="16"/>
      <c r="J3" s="16"/>
      <c r="K3" s="16"/>
      <c r="L3" s="16"/>
      <c r="M3" s="16"/>
      <c r="N3" s="16"/>
      <c r="O3" s="16"/>
      <c r="P3" s="16"/>
      <c r="Q3" s="16"/>
      <c r="R3" s="16"/>
      <c r="S3" s="16"/>
      <c r="T3" s="16"/>
      <c r="U3" s="16"/>
      <c r="V3" s="16"/>
      <c r="W3" s="16"/>
      <c r="X3" s="16"/>
      <c r="Y3" s="16"/>
      <c r="Z3" s="16"/>
      <c r="AA3" s="16"/>
      <c r="AB3" s="16"/>
      <c r="AC3" s="16"/>
      <c r="AD3" s="16"/>
    </row>
    <row r="4" spans="1:59">
      <c r="A4" s="160" t="s">
        <v>410</v>
      </c>
      <c r="B4" s="161">
        <v>45812</v>
      </c>
      <c r="C4" s="162"/>
      <c r="D4" s="16"/>
      <c r="E4" s="163"/>
      <c r="F4" s="164"/>
      <c r="G4" s="165"/>
      <c r="H4" s="166"/>
      <c r="I4" s="16"/>
      <c r="J4" s="16"/>
      <c r="K4" s="16"/>
      <c r="L4" s="16"/>
      <c r="M4" s="16"/>
      <c r="N4" s="16"/>
      <c r="O4" s="16"/>
      <c r="P4" s="16"/>
      <c r="Q4" s="16"/>
      <c r="R4" s="16"/>
      <c r="S4" s="16"/>
      <c r="T4" s="16"/>
      <c r="U4" s="16"/>
      <c r="V4" s="16"/>
      <c r="W4" s="16"/>
      <c r="X4" s="16"/>
      <c r="Y4" s="16"/>
      <c r="Z4" s="16"/>
      <c r="AA4" s="16"/>
      <c r="AB4" s="16"/>
      <c r="AC4" s="16"/>
      <c r="AD4" s="16"/>
    </row>
    <row r="5" spans="1:59">
      <c r="A5" s="167" t="s">
        <v>411</v>
      </c>
      <c r="B5" s="168"/>
      <c r="C5" s="167"/>
      <c r="D5" s="16"/>
      <c r="E5" s="169" t="s">
        <v>412</v>
      </c>
      <c r="F5" s="169"/>
      <c r="G5" s="158"/>
      <c r="H5" s="169"/>
      <c r="I5" s="16"/>
      <c r="J5" s="16"/>
      <c r="K5" s="16"/>
      <c r="L5" s="16"/>
      <c r="M5" s="16"/>
      <c r="N5" s="16"/>
      <c r="O5" s="16"/>
      <c r="P5" s="16"/>
      <c r="Q5" s="16"/>
      <c r="R5" s="16"/>
      <c r="S5" s="16"/>
      <c r="T5" s="16"/>
      <c r="U5" s="16"/>
      <c r="V5" s="16"/>
      <c r="W5" s="16"/>
      <c r="X5" s="16"/>
      <c r="Y5" s="16"/>
      <c r="Z5" s="16"/>
      <c r="AA5" s="16"/>
      <c r="AB5" s="16"/>
      <c r="AC5" s="16"/>
      <c r="AD5" s="16"/>
    </row>
    <row r="6" spans="1:59">
      <c r="A6" s="15"/>
      <c r="B6" s="64"/>
      <c r="C6" s="16"/>
      <c r="D6" s="16"/>
      <c r="E6" s="16"/>
      <c r="F6" s="16"/>
      <c r="G6" s="16"/>
      <c r="H6" s="16"/>
      <c r="I6" s="16"/>
      <c r="J6" s="64"/>
      <c r="K6" s="16"/>
      <c r="L6" s="16"/>
      <c r="M6" s="16"/>
      <c r="N6" s="16"/>
      <c r="O6" s="16"/>
      <c r="P6" s="16"/>
      <c r="Q6" s="16"/>
      <c r="R6" s="16"/>
      <c r="S6" s="16"/>
      <c r="T6" s="16"/>
      <c r="U6" s="16"/>
      <c r="V6" s="16"/>
      <c r="W6" s="16"/>
      <c r="X6" s="16"/>
      <c r="Y6" s="16"/>
      <c r="Z6" s="16"/>
      <c r="AA6" s="16"/>
      <c r="AB6" s="16"/>
      <c r="AC6" s="16"/>
      <c r="AD6" s="16"/>
    </row>
    <row r="7" spans="1:59">
      <c r="A7" s="170" t="s">
        <v>413</v>
      </c>
      <c r="B7" s="59">
        <v>103</v>
      </c>
      <c r="C7" s="16"/>
      <c r="D7" s="573" t="s">
        <v>414</v>
      </c>
      <c r="E7" s="701"/>
      <c r="F7" s="701"/>
      <c r="G7" s="701"/>
      <c r="H7" s="701"/>
      <c r="I7" s="701"/>
      <c r="J7" s="16"/>
      <c r="K7" s="16"/>
      <c r="L7" s="16"/>
      <c r="M7" s="16"/>
      <c r="N7" s="16"/>
      <c r="O7" s="16"/>
      <c r="P7" s="16"/>
      <c r="Q7" s="16"/>
      <c r="R7" s="16"/>
      <c r="S7" s="16"/>
      <c r="T7" s="16"/>
      <c r="U7" s="16"/>
      <c r="V7" s="16"/>
      <c r="W7" s="16"/>
      <c r="X7" s="16"/>
      <c r="Y7" s="16"/>
      <c r="Z7" s="16"/>
      <c r="AA7" s="16"/>
      <c r="AB7" s="16"/>
      <c r="AC7" s="16"/>
      <c r="AD7" s="16"/>
    </row>
    <row r="8" spans="1:59" ht="14.25" customHeight="1">
      <c r="A8" s="171" t="s">
        <v>415</v>
      </c>
      <c r="B8" s="172">
        <f ca="1">M21-M17</f>
        <v>5527.5004573341557</v>
      </c>
      <c r="C8" s="16" t="s">
        <v>416</v>
      </c>
      <c r="D8" s="574" t="s">
        <v>417</v>
      </c>
      <c r="E8" s="704"/>
      <c r="F8" s="704"/>
      <c r="G8" s="704"/>
      <c r="H8" s="704"/>
      <c r="I8" s="704"/>
      <c r="J8" s="16"/>
      <c r="K8" s="16"/>
      <c r="L8" s="16"/>
      <c r="M8" s="16"/>
      <c r="N8" s="16"/>
      <c r="O8" s="16"/>
      <c r="P8" s="16"/>
      <c r="Q8" s="16"/>
      <c r="R8" s="16"/>
      <c r="S8" s="16"/>
      <c r="T8" s="16"/>
      <c r="U8" s="16"/>
      <c r="V8" s="16"/>
      <c r="W8" s="16"/>
      <c r="X8" s="16"/>
      <c r="Y8" s="16"/>
      <c r="Z8" s="16"/>
      <c r="AA8" s="16"/>
      <c r="AB8" s="16"/>
      <c r="AC8" s="16"/>
    </row>
    <row r="9" spans="1:59">
      <c r="A9" s="65" t="s">
        <v>418</v>
      </c>
      <c r="B9" s="173" t="s">
        <v>419</v>
      </c>
      <c r="C9" s="16"/>
      <c r="D9" s="16"/>
      <c r="E9" s="17"/>
      <c r="F9" s="17"/>
      <c r="G9" s="17"/>
      <c r="H9" s="17"/>
      <c r="I9" s="17"/>
      <c r="J9" s="17"/>
      <c r="K9" s="17"/>
      <c r="L9" s="17"/>
      <c r="M9" s="17"/>
      <c r="N9" s="17"/>
      <c r="O9" s="17"/>
      <c r="P9" s="17"/>
      <c r="Q9" s="16"/>
      <c r="R9" s="17"/>
      <c r="S9" s="17"/>
      <c r="T9" s="17"/>
      <c r="U9" s="17"/>
      <c r="V9" s="17"/>
      <c r="W9" s="17"/>
      <c r="X9" s="17"/>
      <c r="Y9" s="17"/>
      <c r="Z9" s="17"/>
      <c r="AA9" s="17"/>
      <c r="AB9" s="17"/>
      <c r="AC9" s="17"/>
      <c r="AD9" s="18" t="s">
        <v>242</v>
      </c>
    </row>
    <row r="10" spans="1:59">
      <c r="A10" s="174" t="s">
        <v>420</v>
      </c>
      <c r="B10" s="66">
        <f>COUNTA(A38:A42)</f>
        <v>1</v>
      </c>
      <c r="C10" s="16"/>
      <c r="D10" s="16"/>
      <c r="E10" s="17"/>
      <c r="F10" s="17"/>
      <c r="G10" s="17"/>
      <c r="H10" s="17"/>
      <c r="I10" s="17"/>
      <c r="J10" s="17"/>
      <c r="K10" s="17"/>
      <c r="L10" s="17"/>
      <c r="M10" s="17"/>
      <c r="N10" s="17"/>
      <c r="O10" s="17"/>
      <c r="P10" s="17"/>
      <c r="Q10" s="16"/>
      <c r="R10" s="17"/>
      <c r="S10" s="17"/>
      <c r="T10" s="17"/>
      <c r="U10" s="17"/>
      <c r="V10" s="17"/>
      <c r="W10" s="17"/>
      <c r="X10" s="17"/>
      <c r="Y10" s="17"/>
      <c r="Z10" s="17"/>
      <c r="AA10" s="17"/>
      <c r="AB10" s="17"/>
      <c r="AC10" s="17"/>
      <c r="AD10" s="18"/>
    </row>
    <row r="11" spans="1:59">
      <c r="A11" s="171" t="s">
        <v>421</v>
      </c>
      <c r="B11" s="238">
        <f>SUM(B38:B42)</f>
        <v>90</v>
      </c>
      <c r="C11" s="16"/>
      <c r="D11" s="16"/>
      <c r="E11" s="17"/>
      <c r="F11" s="17"/>
      <c r="G11" s="17"/>
      <c r="H11" s="17"/>
      <c r="I11" s="17"/>
      <c r="J11" s="17"/>
      <c r="K11" s="17"/>
      <c r="L11" s="17"/>
      <c r="M11" s="17"/>
      <c r="N11" s="17"/>
      <c r="O11" s="17"/>
      <c r="P11" s="17"/>
      <c r="Q11" s="16"/>
      <c r="R11" s="17"/>
      <c r="S11" s="17"/>
      <c r="T11" s="17"/>
      <c r="U11" s="17"/>
      <c r="V11" s="17"/>
      <c r="W11" s="17"/>
      <c r="X11" s="17"/>
      <c r="Y11" s="17"/>
      <c r="Z11" s="17"/>
      <c r="AA11" s="17"/>
      <c r="AB11" s="17"/>
      <c r="AC11" s="17"/>
      <c r="AD11" s="18"/>
    </row>
    <row r="12" spans="1:59">
      <c r="A12" s="239" t="s">
        <v>422</v>
      </c>
      <c r="B12" s="240" t="s">
        <v>317</v>
      </c>
      <c r="C12" s="16"/>
      <c r="D12" s="16"/>
      <c r="E12" s="17"/>
      <c r="F12" s="17"/>
      <c r="G12" s="17"/>
      <c r="H12" s="17"/>
      <c r="I12" s="17"/>
      <c r="J12" s="17"/>
      <c r="K12" s="17"/>
      <c r="L12" s="17"/>
      <c r="M12" s="17"/>
      <c r="N12" s="17"/>
      <c r="O12" s="17"/>
      <c r="P12" s="17"/>
      <c r="Q12" s="16"/>
      <c r="R12" s="17"/>
      <c r="S12" s="17"/>
      <c r="T12" s="17"/>
      <c r="U12" s="17"/>
      <c r="V12" s="17"/>
      <c r="W12" s="17"/>
      <c r="X12" s="17"/>
      <c r="Y12" s="17"/>
      <c r="Z12" s="17"/>
      <c r="AA12" s="17"/>
      <c r="AB12" s="17"/>
      <c r="AC12" s="17"/>
      <c r="AD12" s="18"/>
    </row>
    <row r="13" spans="1:59">
      <c r="A13" s="16"/>
      <c r="B13" s="16"/>
      <c r="C13" s="16"/>
      <c r="D13" s="16"/>
      <c r="E13" s="17"/>
      <c r="F13" s="17"/>
      <c r="G13" s="17"/>
      <c r="H13" s="17"/>
      <c r="I13" s="17"/>
      <c r="J13" s="17"/>
      <c r="K13" s="17"/>
      <c r="L13" s="17"/>
      <c r="M13" s="17"/>
      <c r="N13" s="17"/>
      <c r="O13" s="17"/>
      <c r="P13" s="17"/>
      <c r="Q13" s="16"/>
      <c r="R13" s="17"/>
      <c r="S13" s="17"/>
      <c r="T13" s="17"/>
      <c r="U13" s="17"/>
      <c r="V13" s="17"/>
      <c r="W13" s="17"/>
      <c r="X13" s="17"/>
      <c r="Y13" s="17"/>
      <c r="Z13" s="17"/>
      <c r="AA13" s="17"/>
      <c r="AB13" s="17"/>
      <c r="AC13" s="17"/>
      <c r="AD13" s="17" t="str" cm="1">
        <f t="array" ref="AD13:BF14">Constants!A2:AC3</f>
        <v>SC1</v>
      </c>
      <c r="AE13" s="17" t="str">
        <v>SC1 - Half</v>
      </c>
      <c r="AF13" s="17" t="str">
        <v>SC2</v>
      </c>
      <c r="AG13" s="17" t="str">
        <v>SC2 - Half</v>
      </c>
      <c r="AH13" s="17" t="str">
        <v>SC3</v>
      </c>
      <c r="AI13" s="17" t="str">
        <v>SC4</v>
      </c>
      <c r="AJ13" s="17" t="str">
        <v>SC5</v>
      </c>
      <c r="AK13" s="17" t="str">
        <v>SC6</v>
      </c>
      <c r="AL13" s="17" t="str">
        <v>Dojo</v>
      </c>
      <c r="AM13" s="17" t="str">
        <v>Boulder Wall</v>
      </c>
      <c r="AN13" s="17" t="str">
        <v>Climbing Wall</v>
      </c>
      <c r="AO13" s="17" t="str">
        <v>Artificial Hockey field</v>
      </c>
      <c r="AP13" s="17" t="str">
        <v>Artificial Hockey field - Half</v>
      </c>
      <c r="AQ13" s="17" t="str">
        <v>Artificial Soccer field</v>
      </c>
      <c r="AR13" s="17" t="str">
        <v>Artificial Soccer field - Half</v>
      </c>
      <c r="AS13" s="17" t="str">
        <v>Basketball</v>
      </c>
      <c r="AT13" s="17" t="str">
        <v>Bastille field</v>
      </c>
      <c r="AU13" s="17" t="str">
        <v>Beach fields</v>
      </c>
      <c r="AV13" s="17" t="str">
        <v>Shooting range</v>
      </c>
      <c r="AW13" s="17" t="str">
        <v>Multi/Lacrosse field</v>
      </c>
      <c r="AX13" s="17" t="str">
        <v>Multi/Lacrosse field - Half</v>
      </c>
      <c r="AY13" s="17" t="str">
        <v>Bootcamp field</v>
      </c>
      <c r="AZ13" s="17" t="str">
        <v>Multi/Baseball field</v>
      </c>
      <c r="BA13" s="17" t="str">
        <v>Tennis court</v>
      </c>
      <c r="BB13" s="17" t="str">
        <v>Utrack</v>
      </c>
      <c r="BC13" s="22" t="str">
        <v>Verreveld</v>
      </c>
      <c r="BD13" s="22" t="str">
        <v>Wsc</v>
      </c>
      <c r="BE13" s="22" t="str">
        <v>Indoor pool</v>
      </c>
      <c r="BF13" s="22" t="str">
        <v>Outdoor pool</v>
      </c>
      <c r="BG13" s="22"/>
    </row>
    <row r="14" spans="1:59" ht="15.95" thickBot="1">
      <c r="A14" s="175" t="s">
        <v>423</v>
      </c>
      <c r="B14" s="16"/>
      <c r="C14" s="16"/>
      <c r="D14" s="16"/>
      <c r="E14" s="16"/>
      <c r="F14" s="16"/>
      <c r="G14" s="175" t="s">
        <v>424</v>
      </c>
      <c r="I14" s="17"/>
      <c r="J14" s="17"/>
      <c r="K14" s="176" t="s">
        <v>425</v>
      </c>
      <c r="L14" s="17"/>
      <c r="M14" s="176" t="s">
        <v>426</v>
      </c>
      <c r="N14" s="17"/>
      <c r="O14" s="17"/>
      <c r="P14" s="17"/>
      <c r="Q14" s="17"/>
      <c r="R14" s="17"/>
      <c r="S14" s="16"/>
      <c r="T14" s="17"/>
      <c r="U14" s="17"/>
      <c r="V14" s="17"/>
      <c r="W14" s="17"/>
      <c r="X14" s="17"/>
      <c r="Y14" s="17"/>
      <c r="Z14" s="17"/>
      <c r="AA14" s="17"/>
      <c r="AB14" s="17"/>
      <c r="AC14" s="17"/>
      <c r="AD14" s="19">
        <v>67.5</v>
      </c>
      <c r="AE14" s="19">
        <v>35</v>
      </c>
      <c r="AF14" s="19">
        <v>67.5</v>
      </c>
      <c r="AG14" s="19">
        <v>35</v>
      </c>
      <c r="AH14" s="19">
        <v>40</v>
      </c>
      <c r="AI14" s="19">
        <v>40</v>
      </c>
      <c r="AJ14" s="19">
        <v>35</v>
      </c>
      <c r="AK14" s="19">
        <v>35</v>
      </c>
      <c r="AL14" s="19">
        <v>40</v>
      </c>
      <c r="AM14" s="19">
        <v>27.5</v>
      </c>
      <c r="AN14" s="19">
        <v>45</v>
      </c>
      <c r="AO14" s="19">
        <v>75</v>
      </c>
      <c r="AP14" s="19">
        <v>40</v>
      </c>
      <c r="AQ14" s="19">
        <v>75</v>
      </c>
      <c r="AR14" s="19">
        <v>40</v>
      </c>
      <c r="AS14" s="19">
        <v>30</v>
      </c>
      <c r="AT14" s="19">
        <v>50</v>
      </c>
      <c r="AU14" s="19">
        <v>75</v>
      </c>
      <c r="AV14" s="19">
        <v>40</v>
      </c>
      <c r="AW14" s="19">
        <v>75</v>
      </c>
      <c r="AX14" s="19">
        <v>40</v>
      </c>
      <c r="AY14" s="19">
        <v>50</v>
      </c>
      <c r="AZ14" s="19">
        <v>65</v>
      </c>
      <c r="BA14" s="19">
        <v>35</v>
      </c>
      <c r="BB14" s="19">
        <v>45</v>
      </c>
      <c r="BC14" s="19">
        <v>50</v>
      </c>
      <c r="BD14" s="19">
        <v>0</v>
      </c>
      <c r="BE14" s="19">
        <v>65</v>
      </c>
      <c r="BF14" s="20">
        <v>70</v>
      </c>
      <c r="BG14" s="20"/>
    </row>
    <row r="15" spans="1:59" ht="15.95" thickTop="1">
      <c r="A15" s="67"/>
      <c r="B15" s="68" t="str">
        <f>Constants!H6</f>
        <v>Performance training</v>
      </c>
      <c r="C15" s="68" t="str">
        <f>Constants!H7</f>
        <v>Performance coaching</v>
      </c>
      <c r="D15" s="68" t="str">
        <f>Constants!H8</f>
        <v>Dangerous</v>
      </c>
      <c r="E15" s="69" t="str">
        <f>Constants!H9</f>
        <v>Recreational</v>
      </c>
      <c r="F15" s="69" t="s">
        <v>290</v>
      </c>
      <c r="G15" s="70"/>
      <c r="H15" s="71" t="s">
        <v>427</v>
      </c>
      <c r="I15" s="72" t="s">
        <v>272</v>
      </c>
      <c r="J15" s="70" t="s">
        <v>5</v>
      </c>
      <c r="K15" s="72" t="s">
        <v>428</v>
      </c>
      <c r="L15" s="70" t="s">
        <v>429</v>
      </c>
      <c r="M15" s="73" cm="1">
        <f t="array" ref="M15">(SUM(IF($D$46:$D$50="PT",($F$46:$F$50)/1.5+IF($G$46:$G$50="yes",1)))+SUM(IF($D$46:$D$50="Extern",($F$46:$F$50)/1.5+IF($G$46:$G$50="yes",1)))+SUM(IF($D$46:$D$50="PT-ZZP",($F$46:$F$50)/1.5+IF($G$46:$G$50="yes",1))))*Constants!B10</f>
        <v>0</v>
      </c>
      <c r="N15" s="17"/>
      <c r="O15" s="17"/>
      <c r="P15" s="17"/>
      <c r="Q15" s="17"/>
      <c r="R15" s="16"/>
      <c r="S15" s="17"/>
      <c r="T15" s="17"/>
      <c r="U15" s="17"/>
      <c r="V15" s="17"/>
      <c r="W15" s="17"/>
      <c r="X15" s="17"/>
      <c r="Y15" s="17"/>
      <c r="Z15" s="17"/>
      <c r="AA15" s="17"/>
      <c r="AB15" s="17"/>
      <c r="AC15" s="17"/>
      <c r="AD15" s="16">
        <f t="shared" ref="AD15:BF15" si="0">SUMIF($B$71:$B$88,AD13,$F$71:$F$88)</f>
        <v>0</v>
      </c>
      <c r="AE15" s="16">
        <f t="shared" si="0"/>
        <v>0</v>
      </c>
      <c r="AF15" s="16">
        <f t="shared" si="0"/>
        <v>0</v>
      </c>
      <c r="AG15" s="16">
        <f t="shared" si="0"/>
        <v>0</v>
      </c>
      <c r="AH15" s="16">
        <f t="shared" si="0"/>
        <v>0</v>
      </c>
      <c r="AI15" s="16">
        <f t="shared" si="0"/>
        <v>0</v>
      </c>
      <c r="AJ15" s="16">
        <f t="shared" si="0"/>
        <v>42</v>
      </c>
      <c r="AK15" s="16">
        <f t="shared" si="0"/>
        <v>0</v>
      </c>
      <c r="AL15" s="16">
        <f t="shared" si="0"/>
        <v>0</v>
      </c>
      <c r="AM15" s="16">
        <f t="shared" si="0"/>
        <v>0</v>
      </c>
      <c r="AN15" s="16">
        <f t="shared" si="0"/>
        <v>0</v>
      </c>
      <c r="AO15" s="16">
        <f t="shared" si="0"/>
        <v>0</v>
      </c>
      <c r="AP15" s="16">
        <f t="shared" si="0"/>
        <v>0</v>
      </c>
      <c r="AQ15" s="16">
        <f t="shared" si="0"/>
        <v>0</v>
      </c>
      <c r="AR15" s="16">
        <f t="shared" si="0"/>
        <v>0</v>
      </c>
      <c r="AS15" s="16">
        <f t="shared" si="0"/>
        <v>0</v>
      </c>
      <c r="AT15" s="16">
        <f t="shared" si="0"/>
        <v>0</v>
      </c>
      <c r="AU15" s="16">
        <f t="shared" si="0"/>
        <v>0</v>
      </c>
      <c r="AV15" s="16">
        <f t="shared" si="0"/>
        <v>0</v>
      </c>
      <c r="AW15" s="16">
        <f t="shared" si="0"/>
        <v>0</v>
      </c>
      <c r="AX15" s="16">
        <f t="shared" si="0"/>
        <v>0</v>
      </c>
      <c r="AY15" s="16">
        <f t="shared" si="0"/>
        <v>0</v>
      </c>
      <c r="AZ15" s="16">
        <f t="shared" si="0"/>
        <v>0</v>
      </c>
      <c r="BA15" s="16">
        <f t="shared" si="0"/>
        <v>0</v>
      </c>
      <c r="BB15" s="16">
        <f t="shared" si="0"/>
        <v>63</v>
      </c>
      <c r="BC15" s="16">
        <f t="shared" si="0"/>
        <v>0</v>
      </c>
      <c r="BD15" s="16">
        <f t="shared" si="0"/>
        <v>0</v>
      </c>
      <c r="BE15" s="16">
        <f t="shared" si="0"/>
        <v>105</v>
      </c>
      <c r="BF15" s="16">
        <f t="shared" si="0"/>
        <v>63</v>
      </c>
    </row>
    <row r="16" spans="1:59">
      <c r="A16" s="74" t="str">
        <f>Constants!E6</f>
        <v>PT</v>
      </c>
      <c r="B16" s="16">
        <f>SUMIFS(Aloha!$F$55:$F$67,Aloha!$B$55:$B$67, B$15,Aloha!$H$55:$H$67,$A16)*(1+Constants!$B$7)</f>
        <v>0</v>
      </c>
      <c r="C16" s="16">
        <f>SUMIFS(Aloha!$F$55:$F$67,Aloha!$B$55:$B$67, C$15,Aloha!$H$55:$H$67,$A16)</f>
        <v>0</v>
      </c>
      <c r="D16" s="16">
        <f>SUMIFS(Aloha!$F$55:$F$67,Aloha!$B$55:$B$67, D$15,Aloha!$H$55:$H$67,$A16)*(1+Constants!$B$7)</f>
        <v>0</v>
      </c>
      <c r="E16" s="16">
        <f>SUMIFS(Aloha!$F$55:$F$67,Aloha!$B$55:$B$67, E$15,Aloha!$H$55:$H$67,$A16)*(1+Constants!$B$7)</f>
        <v>0</v>
      </c>
      <c r="F16" s="16">
        <f>SUMIFS(Aloha!$F$55:$F$67,Aloha!$B$55:$B$67, F$15,Aloha!$H$55:$H$67,$A16)*(1+Constants!$B$7)</f>
        <v>0</v>
      </c>
      <c r="G16" s="74" t="s">
        <v>430</v>
      </c>
      <c r="H16" s="16">
        <f>SUMIF(Aloha!$B$71:$B$89,"&lt;&gt;External",Aloha!$F$71:$F$89)</f>
        <v>273</v>
      </c>
      <c r="I16" s="75">
        <f>SUMIF(Aloha!$B$73:$B$89,"External",Aloha!$F$73:$F$89)</f>
        <v>1</v>
      </c>
      <c r="J16" s="234">
        <f>SUM($F$92:$F$105)</f>
        <v>772</v>
      </c>
      <c r="K16" s="76">
        <f>IF(OR(ISBLANK(B7),ISBLANK(B9)), "ERROR",MAX(MIN(J16,B7*Constants!B15)-Constants!B14*B7,0)*IF(B9="yes",Constants!B16,IF(B9="no",Constants!B17,0)))</f>
        <v>0</v>
      </c>
      <c r="L16" s="77" t="s">
        <v>360</v>
      </c>
      <c r="M16" s="76">
        <f>E16*Constants!B6+E17*Constants!B8+E22+E21</f>
        <v>0</v>
      </c>
      <c r="N16" s="17"/>
      <c r="O16" s="17"/>
      <c r="P16" s="17"/>
      <c r="Q16" s="17"/>
      <c r="R16" s="16"/>
      <c r="S16" s="17"/>
      <c r="T16" s="17"/>
      <c r="U16" s="17"/>
      <c r="V16" s="17"/>
      <c r="W16" s="17"/>
      <c r="X16" s="17"/>
      <c r="Y16" s="17"/>
      <c r="Z16" s="17"/>
      <c r="AA16" s="17"/>
      <c r="AB16" s="17"/>
      <c r="AC16" s="17"/>
      <c r="AD16" s="19">
        <f t="shared" ref="AD16:BF16" si="1">AD14*AD15</f>
        <v>0</v>
      </c>
      <c r="AE16" s="19">
        <f t="shared" si="1"/>
        <v>0</v>
      </c>
      <c r="AF16" s="19">
        <f t="shared" si="1"/>
        <v>0</v>
      </c>
      <c r="AG16" s="19">
        <f t="shared" si="1"/>
        <v>0</v>
      </c>
      <c r="AH16" s="19">
        <f t="shared" si="1"/>
        <v>0</v>
      </c>
      <c r="AI16" s="19">
        <f t="shared" si="1"/>
        <v>0</v>
      </c>
      <c r="AJ16" s="19">
        <f t="shared" si="1"/>
        <v>1470</v>
      </c>
      <c r="AK16" s="19">
        <f t="shared" si="1"/>
        <v>0</v>
      </c>
      <c r="AL16" s="19">
        <f t="shared" si="1"/>
        <v>0</v>
      </c>
      <c r="AM16" s="19">
        <f t="shared" si="1"/>
        <v>0</v>
      </c>
      <c r="AN16" s="19">
        <f t="shared" si="1"/>
        <v>0</v>
      </c>
      <c r="AO16" s="19">
        <f t="shared" si="1"/>
        <v>0</v>
      </c>
      <c r="AP16" s="19">
        <f t="shared" si="1"/>
        <v>0</v>
      </c>
      <c r="AQ16" s="19">
        <f t="shared" si="1"/>
        <v>0</v>
      </c>
      <c r="AR16" s="19">
        <f t="shared" si="1"/>
        <v>0</v>
      </c>
      <c r="AS16" s="19">
        <f t="shared" si="1"/>
        <v>0</v>
      </c>
      <c r="AT16" s="19">
        <f t="shared" si="1"/>
        <v>0</v>
      </c>
      <c r="AU16" s="19">
        <f t="shared" si="1"/>
        <v>0</v>
      </c>
      <c r="AV16" s="19">
        <f t="shared" si="1"/>
        <v>0</v>
      </c>
      <c r="AW16" s="19">
        <f t="shared" si="1"/>
        <v>0</v>
      </c>
      <c r="AX16" s="19">
        <f t="shared" si="1"/>
        <v>0</v>
      </c>
      <c r="AY16" s="19">
        <f t="shared" si="1"/>
        <v>0</v>
      </c>
      <c r="AZ16" s="19">
        <f t="shared" si="1"/>
        <v>0</v>
      </c>
      <c r="BA16" s="19">
        <f t="shared" si="1"/>
        <v>0</v>
      </c>
      <c r="BB16" s="19">
        <f t="shared" si="1"/>
        <v>2835</v>
      </c>
      <c r="BC16" s="19">
        <f t="shared" si="1"/>
        <v>0</v>
      </c>
      <c r="BD16" s="19">
        <f t="shared" si="1"/>
        <v>0</v>
      </c>
      <c r="BE16" s="19">
        <f t="shared" si="1"/>
        <v>6825</v>
      </c>
      <c r="BF16" s="19">
        <f t="shared" si="1"/>
        <v>4410</v>
      </c>
    </row>
    <row r="17" spans="1:36">
      <c r="A17" s="74" t="str">
        <f>Constants!E7</f>
        <v>PT-V</v>
      </c>
      <c r="B17" s="16">
        <f>SUMIFS(Aloha!$F$55:$F$67,Aloha!$B$55:$B$67, B$15,Aloha!$H$55:$H$67,$A17)*(1+Constants!$B$9)</f>
        <v>529.19999999999993</v>
      </c>
      <c r="C17" s="16">
        <f>SUMIFS(Aloha!$F$55:$F$67,Aloha!$B$55:$B$67, C$15,Aloha!$H$55:$H$67,$A17)</f>
        <v>0</v>
      </c>
      <c r="D17" s="16">
        <f>SUMIFS(Aloha!$F$55:$F$67,Aloha!$B$55:$B$67, D$15,Aloha!$H$55:$H$67,$A17)*(1+Constants!$B$9)</f>
        <v>0</v>
      </c>
      <c r="E17" s="16">
        <f>SUMIFS(Aloha!$F$55:$F$67,Aloha!$B$55:$B$67, E$15,Aloha!$H$55:$H$67,$A17)*(1+Constants!$B$9)</f>
        <v>0</v>
      </c>
      <c r="F17" s="16">
        <f>SUMIFS(Aloha!$F$55:$F$67,Aloha!$B$55:$B$67, F$15,Aloha!$H$55:$H$67,$A17)</f>
        <v>0</v>
      </c>
      <c r="G17" s="74" t="s">
        <v>38</v>
      </c>
      <c r="H17" s="78">
        <f>SUM(AD16:BZ16)</f>
        <v>15540</v>
      </c>
      <c r="I17" s="76" cm="1">
        <f t="array" ref="I17">SUM(IF($B$71:$B$87="External",$F$71:$F$87*$H$71:$H$87,0))</f>
        <v>200</v>
      </c>
      <c r="J17" s="79"/>
      <c r="K17" s="80"/>
      <c r="L17" s="77" t="s">
        <v>63</v>
      </c>
      <c r="M17" s="76">
        <f>J16-K16</f>
        <v>772</v>
      </c>
      <c r="N17" s="17"/>
      <c r="O17" s="17"/>
      <c r="P17" s="17"/>
      <c r="Q17" s="17"/>
      <c r="R17" s="16"/>
      <c r="S17" s="17"/>
      <c r="T17" s="17"/>
      <c r="U17" s="17"/>
      <c r="V17" s="17"/>
      <c r="W17" s="17"/>
      <c r="X17" s="17"/>
      <c r="Y17" s="17"/>
      <c r="Z17" s="17"/>
      <c r="AA17" s="17"/>
      <c r="AB17" s="17"/>
      <c r="AC17" s="17"/>
      <c r="AD17" s="17"/>
      <c r="AE17" s="17"/>
    </row>
    <row r="18" spans="1:36">
      <c r="A18" s="74" t="str">
        <f>Constants!E8</f>
        <v>PT-ZZP</v>
      </c>
      <c r="B18" s="16">
        <f>SUMIFS(Aloha!$F$55:$F$67,Aloha!$B$55:$B$67, B$15,Aloha!$H$55:$H$67,$A18)*(1+Constants!$B$7)</f>
        <v>0</v>
      </c>
      <c r="C18" s="16">
        <f>SUMIFS(Aloha!$F$55:$F$67,Aloha!$B$55:$B$67, C$15,Aloha!$H$55:$H$67,$A18)</f>
        <v>0</v>
      </c>
      <c r="D18" s="16">
        <f>SUMIFS(Aloha!$F$55:$F$67,Aloha!$B$55:$B$67, D$15,Aloha!$H$55:$H$67,$A18)*(1+Constants!$B$7)</f>
        <v>0</v>
      </c>
      <c r="E18" s="16">
        <f>SUMIFS(Aloha!$F$55:$F$67,Aloha!$B$55:$B$67, E$15,Aloha!$H$55:$H$67,$A18)*(1+Constants!$B$7)</f>
        <v>0</v>
      </c>
      <c r="F18" s="16">
        <f>SUMIFS(Aloha!$F$55:$F$67,Aloha!$B$55:$B$67, F$15,Aloha!$H$55:$H$67,$A18)*(1+Constants!$B$7)</f>
        <v>0</v>
      </c>
      <c r="G18" s="74"/>
      <c r="H18" s="78"/>
      <c r="J18" s="79"/>
      <c r="K18" s="80"/>
      <c r="L18" s="77" t="s">
        <v>60</v>
      </c>
      <c r="M18" s="76" t="str">
        <f>IF(I17-Constants!I17*$B$7&gt;0,$I$17-Constants!I17*$B$7,"-")</f>
        <v>-</v>
      </c>
      <c r="N18" s="17"/>
      <c r="O18" s="17"/>
      <c r="P18" s="17"/>
      <c r="Q18" s="17"/>
      <c r="R18" s="16"/>
      <c r="S18" s="17"/>
      <c r="T18" s="17"/>
      <c r="U18" s="17"/>
      <c r="V18" s="17"/>
      <c r="W18" s="17"/>
      <c r="X18" s="17"/>
      <c r="Y18" s="17"/>
      <c r="Z18" s="17"/>
      <c r="AA18" s="17"/>
      <c r="AB18" s="17"/>
      <c r="AC18" s="17"/>
      <c r="AD18" s="17"/>
      <c r="AE18" s="17"/>
    </row>
    <row r="19" spans="1:36">
      <c r="A19" s="74" t="str">
        <f>Constants!E9</f>
        <v>RT</v>
      </c>
      <c r="B19" s="16">
        <f>SUMIFS(Aloha!$F$55:$F$67,Aloha!$B$55:$B$67, B$15,Aloha!$H$55:$H$67,$A19)</f>
        <v>105</v>
      </c>
      <c r="C19" s="16">
        <f>SUMIFS(Aloha!$F$55:$F$67,Aloha!$B$55:$B$67, C$15,Aloha!$H$55:$H$67,$A19)</f>
        <v>0</v>
      </c>
      <c r="D19" s="16">
        <f>SUMIFS(Aloha!$F$55:$F$67,Aloha!$B$55:$B$67, D$15,Aloha!$H$55:$H$67,$A19)</f>
        <v>0</v>
      </c>
      <c r="E19" s="16">
        <f>SUMIFS(Aloha!$F$55:$F$67,Aloha!$B$55:$B$67, E$15,Aloha!$H$55:$H$67,$A19)</f>
        <v>525</v>
      </c>
      <c r="F19" s="16">
        <f>SUMIFS(Aloha!$F$55:$F$67,Aloha!$B$55:$B$67, F$15,Aloha!$H$55:$H$67,$A19)</f>
        <v>0</v>
      </c>
      <c r="G19" s="74" t="s">
        <v>396</v>
      </c>
      <c r="H19" s="78"/>
      <c r="I19" s="76">
        <f>IF(B7*Constants!I17&lt;I17,B7*Constants!I17,I17)</f>
        <v>200</v>
      </c>
      <c r="J19" s="79"/>
      <c r="K19" s="80"/>
      <c r="L19" s="77" t="s">
        <v>431</v>
      </c>
      <c r="M19" s="255">
        <f ca="1">Constants!C31*B7+Data!L3</f>
        <v>5527.5004573341557</v>
      </c>
      <c r="N19" s="17"/>
      <c r="O19" s="17"/>
      <c r="P19" s="17"/>
      <c r="Q19" s="17"/>
      <c r="R19" s="16"/>
      <c r="S19" s="17"/>
      <c r="T19" s="17"/>
      <c r="U19" s="17"/>
      <c r="V19" s="17"/>
      <c r="W19" s="17"/>
      <c r="X19" s="17"/>
      <c r="Y19" s="17"/>
      <c r="Z19" s="17"/>
      <c r="AA19" s="17"/>
      <c r="AB19" s="17"/>
      <c r="AC19" s="17"/>
      <c r="AD19" s="17"/>
      <c r="AE19" s="17"/>
    </row>
    <row r="20" spans="1:36">
      <c r="A20" s="74" t="str">
        <f>Constants!E10</f>
        <v>Extern</v>
      </c>
      <c r="B20" s="16">
        <f>SUMIFS(Aloha!$F$55:$F$67,Aloha!$B$55:$B$67, B$15,Aloha!$H$55:$H$67,$A20)</f>
        <v>0</v>
      </c>
      <c r="C20" s="16">
        <f>SUMIFS(Aloha!$F$55:$F$67,Aloha!$B$55:$B$67, C$15,Aloha!$H$55:$H$67,$A20)</f>
        <v>0</v>
      </c>
      <c r="D20" s="16">
        <f>SUMIFS(Aloha!$F$55:$F$67,Aloha!$B$55:$B$67, D$15,Aloha!$H$55:$H$67,$A20)</f>
        <v>0</v>
      </c>
      <c r="E20" s="16">
        <f>SUMIFS(Aloha!$F$55:$F$67,Aloha!$B$55:$B$67, E$15,Aloha!$H$55:$H$67,$A20)</f>
        <v>0</v>
      </c>
      <c r="F20" s="16">
        <f>SUMIFS(Aloha!$F$55:$F$67,Aloha!$B$55:$B$67, F$15,Aloha!$H$55:$H$67,$A20)</f>
        <v>0</v>
      </c>
      <c r="G20" s="81"/>
      <c r="H20" s="16"/>
      <c r="J20" s="79"/>
      <c r="K20" s="82"/>
      <c r="L20" s="83"/>
      <c r="M20" s="84"/>
      <c r="N20" s="17"/>
      <c r="O20" s="17"/>
      <c r="P20" s="17"/>
      <c r="Q20" s="17"/>
      <c r="R20" s="16"/>
      <c r="S20" s="17"/>
      <c r="T20" s="17"/>
      <c r="U20" s="17"/>
      <c r="V20" s="17"/>
      <c r="W20" s="17"/>
      <c r="X20" s="17"/>
      <c r="Y20" s="17"/>
      <c r="Z20" s="17"/>
      <c r="AA20" s="17"/>
      <c r="AB20" s="17"/>
      <c r="AC20" s="17"/>
      <c r="AD20" s="17"/>
      <c r="AE20" s="17"/>
    </row>
    <row r="21" spans="1:36">
      <c r="A21" s="74" t="str">
        <f>CONCATENATE(A18," Costs")</f>
        <v>PT-ZZP Costs</v>
      </c>
      <c r="B21" s="78">
        <f t="array" ref="B21">SUM(IF(Aloha!$B$55:$B$67=B$15,IF(Aloha!$H$55:$H$67="PT-ZZP",Aloha!$F$55:$F$67*Aloha!$I$55:$I$67*(1+Constants!$B$7),0),0))</f>
        <v>0</v>
      </c>
      <c r="C21" s="78">
        <f t="array" ref="C21">SUM(IF(Aloha!$B$55:$B$67=C$15,IF(Aloha!$H$55:$H$67="PT-ZZP",Aloha!$F$55:$F$67*Aloha!$I$55:$I$67,0),0))</f>
        <v>0</v>
      </c>
      <c r="D21" s="78">
        <f t="array" ref="D21">SUM(IF(Aloha!$B$55:$B$67=D$15,IF(Aloha!$H$55:$H$67="PT-ZZP",Aloha!$F$55:$F$67*Aloha!$I$55:$I$67*(1+Constants!$B$7),0),0))</f>
        <v>0</v>
      </c>
      <c r="E21" s="78">
        <f t="array" ref="E21">SUM(IF(Aloha!$B$55:$B$67=E$15,IF(Aloha!$H$55:$H$67="PT-ZZP",Aloha!$F$55:$F$67*Aloha!$I$55:$I$67*(1+Constants!$B$7),0),0))</f>
        <v>0</v>
      </c>
      <c r="F21" s="78">
        <f t="array" ref="F21">SUM(IF(Aloha!$B$55:$B$67=F$15,IF(Aloha!$H$55:$H$67="PT-ZZP",Aloha!$F$55:$F$67*Aloha!$I$55:$I$67*(1+Constants!$B$7),0),0))</f>
        <v>0</v>
      </c>
      <c r="G21" s="81"/>
      <c r="H21" s="16"/>
      <c r="I21" s="75"/>
      <c r="J21" s="79"/>
      <c r="K21" s="82"/>
      <c r="L21" s="77" t="s">
        <v>5</v>
      </c>
      <c r="M21" s="76">
        <f ca="1">SUM(M15:M20)</f>
        <v>6299.5004573341557</v>
      </c>
      <c r="N21" s="17"/>
      <c r="O21" s="17"/>
      <c r="P21" s="17"/>
      <c r="Q21" s="17"/>
      <c r="R21" s="16"/>
      <c r="S21" s="17"/>
      <c r="T21" s="17"/>
      <c r="U21" s="17"/>
      <c r="V21" s="17"/>
      <c r="W21" s="17"/>
      <c r="X21" s="17"/>
      <c r="Y21" s="17"/>
      <c r="Z21" s="17"/>
      <c r="AA21" s="17"/>
      <c r="AB21" s="17"/>
      <c r="AC21" s="17"/>
      <c r="AD21" s="17"/>
      <c r="AE21" s="17"/>
    </row>
    <row r="22" spans="1:36" ht="15.75" customHeight="1" thickBot="1">
      <c r="A22" s="74" t="str">
        <f>CONCATENATE(A20," Costs")</f>
        <v>Extern Costs</v>
      </c>
      <c r="B22" s="78">
        <f t="array" ref="B22">SUM(IF(Aloha!$B$55:$B$67=B$15,IF(Aloha!$H$55:$H$67="Extern",Aloha!$F$55:$F$67*Aloha!$I$55:$I$67,0),0))</f>
        <v>0</v>
      </c>
      <c r="C22" s="78">
        <f t="array" ref="C22">SUM(IF(Aloha!$B$55:$B$67=C$15,IF(Aloha!$H$55:$H$67="Extern",Aloha!$F$55:$F$67*Aloha!$I$55:$I$67,0),0))</f>
        <v>0</v>
      </c>
      <c r="D22" s="78">
        <f t="array" ref="D22">SUM(IF(Aloha!$B$55:$B$67=D$15,IF(Aloha!$H$55:$H$67="Extern",Aloha!$F$55:$F$67*Aloha!$I$55:$I$67,0),0))</f>
        <v>0</v>
      </c>
      <c r="E22" s="78">
        <f t="array" ref="E22">SUM(IF(Aloha!$B$55:$B$67=E$15,IF(Aloha!$H$55:$H$67="Extern",Aloha!$F$55:$F$67*Aloha!$I$55:$I$67,0),0))</f>
        <v>0</v>
      </c>
      <c r="F22" s="76">
        <f t="array" ref="F22">SUM(IF(Aloha!$B$55:$B$67=F$15,IF(Aloha!$H$55:$H$67="Extern",Aloha!$F$55:$F$67*Aloha!$I$55:$I$67,0),0))</f>
        <v>0</v>
      </c>
      <c r="G22" s="85"/>
      <c r="H22" s="177"/>
      <c r="I22" s="86"/>
      <c r="J22" s="87"/>
      <c r="K22" s="88"/>
      <c r="L22" s="87"/>
      <c r="M22" s="88"/>
      <c r="N22" s="17"/>
      <c r="O22" s="17"/>
      <c r="P22" s="17"/>
      <c r="Q22" s="17"/>
      <c r="R22" s="16"/>
      <c r="S22" s="17"/>
      <c r="T22" s="17"/>
      <c r="U22" s="17"/>
      <c r="V22" s="17"/>
      <c r="W22" s="17"/>
      <c r="X22" s="17"/>
      <c r="Y22" s="17"/>
      <c r="Z22" s="17"/>
      <c r="AA22" s="17"/>
      <c r="AB22" s="17"/>
      <c r="AC22" s="17"/>
      <c r="AD22" s="17"/>
      <c r="AE22" s="17"/>
    </row>
    <row r="23" spans="1:36" ht="15" customHeight="1" thickTop="1">
      <c r="A23" s="74" t="s">
        <v>432</v>
      </c>
      <c r="B23" s="78"/>
      <c r="C23" s="78"/>
      <c r="D23" s="78"/>
      <c r="E23" s="78"/>
      <c r="F23" s="76">
        <f t="array" ref="F23">SUMIFS(Aloha!$F$55:$F$67,Aloha!$B$55:$B$67,"Mentorship",Aloha!$H$55:$H$67,"PT-V")*Constants!B8+SUMIFS(Aloha!$F$55:$F$67,Aloha!$B$55:$B$67,"Mentorship",Aloha!$H$55:$H$67,"PT")*Constants!B6+SUMPRODUCT(IF(Aloha!$B$55:$B$67="Mentorship",IF(Aloha!$H$55:$H$67="PT-ZZP",Aloha!$F$55:$F$67*Aloha!$I$55:$I$67,0)))</f>
        <v>0</v>
      </c>
    </row>
    <row r="24" spans="1:36" ht="15" customHeight="1" thickBot="1">
      <c r="A24" s="89" t="s">
        <v>433</v>
      </c>
      <c r="B24" s="178"/>
      <c r="C24" s="178"/>
      <c r="D24" s="178"/>
      <c r="E24" s="178">
        <f>SUMIF(Aloha!$B$55:$B$67,"External Trainer Course",Aloha!$I$55:$I$67)</f>
        <v>0</v>
      </c>
      <c r="F24" s="90"/>
    </row>
    <row r="25" spans="1:36" ht="15.75" customHeight="1" thickTop="1">
      <c r="A25" s="16"/>
      <c r="B25" s="16"/>
      <c r="C25" s="16"/>
      <c r="D25" s="16"/>
      <c r="E25" s="17"/>
      <c r="F25" s="17"/>
      <c r="G25" s="17"/>
      <c r="H25" s="17"/>
      <c r="I25" s="17"/>
      <c r="J25" s="17"/>
      <c r="K25" s="17"/>
      <c r="L25" s="17"/>
      <c r="M25" s="17"/>
      <c r="N25" s="17"/>
      <c r="O25" s="17"/>
      <c r="P25" s="17"/>
      <c r="Q25" s="16"/>
      <c r="R25" s="17"/>
      <c r="S25" s="17"/>
      <c r="T25" s="17"/>
      <c r="U25" s="17"/>
      <c r="V25" s="17"/>
      <c r="W25" s="17"/>
      <c r="X25" s="17"/>
      <c r="Y25" s="17"/>
      <c r="Z25" s="17"/>
      <c r="AA25" s="17"/>
      <c r="AB25" s="17"/>
      <c r="AC25" s="17"/>
      <c r="AD25" s="17"/>
    </row>
    <row r="26" spans="1:36" ht="15.75" customHeight="1">
      <c r="A26" s="16"/>
      <c r="B26" s="16"/>
      <c r="C26" s="16"/>
      <c r="D26" s="16"/>
      <c r="E26" s="17"/>
      <c r="F26" s="17"/>
      <c r="G26" s="17"/>
      <c r="H26" s="17"/>
      <c r="I26" s="17"/>
      <c r="J26" s="17"/>
      <c r="K26" s="17"/>
      <c r="L26" s="17"/>
      <c r="M26" s="17"/>
      <c r="N26" s="17"/>
      <c r="O26" s="17"/>
      <c r="P26" s="17"/>
      <c r="Q26" s="16"/>
      <c r="R26" s="17"/>
      <c r="S26" s="17"/>
      <c r="T26" s="17"/>
      <c r="U26" s="17"/>
      <c r="V26" s="17"/>
      <c r="W26" s="17"/>
      <c r="X26" s="17"/>
      <c r="Y26" s="17"/>
      <c r="Z26" s="17"/>
      <c r="AA26" s="17"/>
      <c r="AB26" s="17"/>
      <c r="AC26" s="17"/>
      <c r="AD26" s="17"/>
    </row>
    <row r="27" spans="1:36" ht="15.75" customHeight="1" thickBot="1">
      <c r="A27" s="91" t="s">
        <v>434</v>
      </c>
      <c r="B27" s="17"/>
      <c r="C27" s="17"/>
      <c r="D27" s="17"/>
      <c r="E27" s="17"/>
      <c r="F27" s="17"/>
      <c r="G27" s="92"/>
      <c r="H27" s="19"/>
      <c r="I27" s="17"/>
      <c r="J27" s="17"/>
      <c r="K27" s="17"/>
      <c r="L27" s="17"/>
      <c r="M27" s="17"/>
      <c r="N27" s="17"/>
      <c r="O27" s="17"/>
      <c r="P27" s="17"/>
      <c r="Q27" s="16"/>
      <c r="R27" s="17"/>
      <c r="S27" s="17"/>
      <c r="T27" s="17"/>
      <c r="U27" s="17"/>
      <c r="V27" s="17"/>
      <c r="W27" s="17"/>
      <c r="X27" s="17"/>
      <c r="Y27" s="17"/>
      <c r="Z27" s="17"/>
      <c r="AA27" s="17"/>
      <c r="AB27" s="17"/>
      <c r="AC27" s="17"/>
      <c r="AD27" s="17"/>
    </row>
    <row r="28" spans="1:36" ht="15.75" customHeight="1" thickTop="1" thickBot="1">
      <c r="A28" s="706" t="s">
        <v>435</v>
      </c>
      <c r="B28" s="707"/>
      <c r="C28" s="707"/>
      <c r="D28" s="707"/>
      <c r="E28" s="707"/>
      <c r="F28" s="708"/>
      <c r="G28" s="15"/>
      <c r="H28" s="17"/>
      <c r="I28" s="17"/>
      <c r="J28" s="17"/>
      <c r="K28" s="17"/>
      <c r="L28" s="17"/>
      <c r="M28" s="17"/>
      <c r="N28" s="17"/>
      <c r="O28" s="17"/>
      <c r="P28" s="17"/>
      <c r="Q28" s="16"/>
      <c r="R28" s="17"/>
      <c r="S28" s="17"/>
      <c r="T28" s="17"/>
      <c r="U28" s="17"/>
      <c r="V28" s="17"/>
      <c r="W28" s="17"/>
      <c r="X28" s="17"/>
      <c r="Y28" s="17"/>
      <c r="Z28" s="17"/>
      <c r="AA28" s="17"/>
      <c r="AB28" s="17"/>
      <c r="AC28" s="17"/>
      <c r="AD28" s="242" t="s">
        <v>436</v>
      </c>
      <c r="AE28" s="16"/>
      <c r="AF28" s="128"/>
      <c r="AG28" s="51"/>
      <c r="AH28" s="51"/>
      <c r="AI28" s="51"/>
      <c r="AJ28" s="51"/>
    </row>
    <row r="29" spans="1:36" ht="15.75" customHeight="1" thickBot="1">
      <c r="A29" s="709" t="s">
        <v>437</v>
      </c>
      <c r="B29" s="696"/>
      <c r="C29" s="696"/>
      <c r="D29" s="696"/>
      <c r="E29" s="696"/>
      <c r="F29" s="710"/>
      <c r="G29" s="17"/>
      <c r="H29" s="17"/>
      <c r="I29" s="17"/>
      <c r="J29" s="17"/>
      <c r="K29" s="17"/>
      <c r="L29" s="17"/>
      <c r="M29" s="17"/>
      <c r="N29" s="17"/>
      <c r="O29" s="17"/>
      <c r="P29" s="17"/>
      <c r="Q29" s="16"/>
      <c r="R29" s="17"/>
      <c r="S29" s="17"/>
      <c r="T29" s="17"/>
      <c r="U29" s="17"/>
      <c r="V29" s="17"/>
      <c r="W29" s="17"/>
      <c r="X29" s="17"/>
      <c r="Y29" s="17"/>
      <c r="Z29" s="17"/>
      <c r="AA29" s="17"/>
      <c r="AB29" s="17"/>
      <c r="AC29" s="17"/>
      <c r="AD29" s="243" t="s">
        <v>438</v>
      </c>
      <c r="AE29" s="243" t="s">
        <v>439</v>
      </c>
      <c r="AF29" s="243" t="s">
        <v>440</v>
      </c>
      <c r="AG29" s="711" t="s">
        <v>441</v>
      </c>
      <c r="AH29" s="712"/>
      <c r="AI29" s="711" t="s">
        <v>434</v>
      </c>
      <c r="AJ29" s="712"/>
    </row>
    <row r="30" spans="1:36" ht="15.75" customHeight="1" thickBot="1">
      <c r="A30" s="709" t="s">
        <v>442</v>
      </c>
      <c r="B30" s="696"/>
      <c r="C30" s="696"/>
      <c r="D30" s="696"/>
      <c r="E30" s="696"/>
      <c r="F30" s="710"/>
      <c r="G30" s="17"/>
      <c r="H30" s="17"/>
      <c r="I30" s="17"/>
      <c r="J30" s="17"/>
      <c r="K30" s="17"/>
      <c r="L30" s="17"/>
      <c r="M30" s="17"/>
      <c r="N30" s="17"/>
      <c r="O30" s="17"/>
      <c r="P30" s="17"/>
      <c r="Q30" s="16"/>
      <c r="R30" s="17"/>
      <c r="S30" s="17"/>
      <c r="T30" s="17"/>
      <c r="U30" s="17"/>
      <c r="V30" s="17"/>
      <c r="W30" s="17"/>
      <c r="X30" s="17"/>
      <c r="Y30" s="17"/>
      <c r="Z30" s="17"/>
      <c r="AA30" s="17"/>
      <c r="AB30" s="17"/>
      <c r="AC30" s="17"/>
      <c r="AD30" s="244" t="str">
        <f>IF($B$12="individual",Constants!F55,Constants!L55)</f>
        <v>member count</v>
      </c>
      <c r="AE30" s="244">
        <f>B7</f>
        <v>103</v>
      </c>
      <c r="AF30" s="269">
        <f>IF(AE30&gt;=301,5,IF(AE30&gt;=176,4,IF(AE30&gt;=101,3,IF(AE30&gt;=51,2,1))))</f>
        <v>3</v>
      </c>
      <c r="AG30" s="560"/>
      <c r="AH30" s="560"/>
      <c r="AI30" s="560" t="s">
        <v>443</v>
      </c>
      <c r="AJ30" s="560"/>
    </row>
    <row r="31" spans="1:36" ht="15" customHeight="1" thickBot="1">
      <c r="A31" s="709" t="s">
        <v>444</v>
      </c>
      <c r="B31" s="696"/>
      <c r="C31" s="696"/>
      <c r="D31" s="696"/>
      <c r="E31" s="696"/>
      <c r="F31" s="710"/>
      <c r="G31" s="17"/>
      <c r="H31" s="17"/>
      <c r="I31" s="17"/>
      <c r="J31" s="17"/>
      <c r="K31" s="17"/>
      <c r="L31" s="17"/>
      <c r="M31" s="17"/>
      <c r="N31" s="17"/>
      <c r="O31" s="17"/>
      <c r="P31" s="17"/>
      <c r="Q31" s="16"/>
      <c r="R31" s="17"/>
      <c r="S31" s="17"/>
      <c r="T31" s="17"/>
      <c r="U31" s="17"/>
      <c r="V31" s="17"/>
      <c r="W31" s="17"/>
      <c r="X31" s="17"/>
      <c r="Y31" s="17"/>
      <c r="Z31" s="17"/>
      <c r="AA31" s="17"/>
      <c r="AB31" s="17"/>
      <c r="AC31" s="17"/>
      <c r="AD31" s="244" t="str">
        <f>IF($B$12="individual",Constants!F56,Constants!L56)</f>
        <v>number of trainings per week</v>
      </c>
      <c r="AE31" s="244" cm="1">
        <f t="array" ref="AE31">SUMPRODUCT(C55:C67*D55:D67)/42</f>
        <v>9.5</v>
      </c>
      <c r="AF31" s="270">
        <f>IF(AE31&gt;=4,3,IF(AE31&gt;=3,2,IF(AE31&gt;=2,1,0)))</f>
        <v>3</v>
      </c>
      <c r="AG31" s="560"/>
      <c r="AH31" s="560"/>
      <c r="AI31" s="560"/>
      <c r="AJ31" s="560"/>
    </row>
    <row r="32" spans="1:36" ht="15.75" customHeight="1" thickBot="1">
      <c r="A32" s="709" t="s">
        <v>445</v>
      </c>
      <c r="B32" s="696"/>
      <c r="C32" s="696"/>
      <c r="D32" s="696"/>
      <c r="E32" s="696"/>
      <c r="F32" s="710"/>
      <c r="G32" s="17"/>
      <c r="H32" s="16"/>
      <c r="I32" s="16"/>
      <c r="J32" s="16"/>
      <c r="K32" s="17"/>
      <c r="L32" s="17"/>
      <c r="M32" s="17"/>
      <c r="N32" s="17"/>
      <c r="O32" s="17"/>
      <c r="P32" s="17"/>
      <c r="Q32" s="16"/>
      <c r="R32" s="17"/>
      <c r="S32" s="17"/>
      <c r="T32" s="17"/>
      <c r="U32" s="17"/>
      <c r="V32" s="17"/>
      <c r="W32" s="17"/>
      <c r="X32" s="17"/>
      <c r="Y32" s="17"/>
      <c r="Z32" s="17"/>
      <c r="AA32" s="17"/>
      <c r="AB32" s="17"/>
      <c r="AC32" s="17"/>
      <c r="AD32" s="244" t="str">
        <f>IF($B$12="individual",Constants!F57,Constants!L57)</f>
        <v>number of trainings weeks per year</v>
      </c>
      <c r="AE32" s="252">
        <f>MAX(C55:C67)</f>
        <v>42</v>
      </c>
      <c r="AF32" s="250">
        <f>IF(AE32&gt;=40,3,IF(AE32&gt;=35,2,1))</f>
        <v>3</v>
      </c>
      <c r="AG32" s="560"/>
      <c r="AH32" s="560"/>
      <c r="AI32" s="560"/>
      <c r="AJ32" s="560"/>
    </row>
    <row r="33" spans="1:58" ht="15.75" customHeight="1" thickBot="1">
      <c r="A33" s="93" t="s">
        <v>446</v>
      </c>
      <c r="F33" s="94"/>
      <c r="G33" s="17"/>
      <c r="H33" s="16"/>
      <c r="I33" s="16"/>
      <c r="J33" s="16"/>
      <c r="K33" s="17"/>
      <c r="L33" s="17"/>
      <c r="M33" s="17"/>
      <c r="N33" s="17"/>
      <c r="O33" s="17"/>
      <c r="P33" s="17"/>
      <c r="Q33" s="16"/>
      <c r="R33" s="17"/>
      <c r="S33" s="17"/>
      <c r="T33" s="17"/>
      <c r="U33" s="17"/>
      <c r="V33" s="17"/>
      <c r="W33" s="17"/>
      <c r="X33" s="17"/>
      <c r="Y33" s="17"/>
      <c r="Z33" s="17"/>
      <c r="AA33" s="17"/>
      <c r="AB33" s="17"/>
      <c r="AC33" s="17"/>
      <c r="AD33" s="244" t="str">
        <f>IF($B$12="individual",Constants!F58,Constants!L58)</f>
        <v>number of training hours by RT / PT-V</v>
      </c>
      <c r="AE33" s="251">
        <f>(SUMIF(H55:H67,"RT",F55:F67)+SUMIF(H55:H67,"PT-V",F55:F67))/SUM(F55:F67)</f>
        <v>1</v>
      </c>
      <c r="AF33" s="270">
        <f>IF(AE33&gt;0.9,3,IF(AE33&gt;0.6,2,IF(AE33&gt;0.3,1,0)))</f>
        <v>3</v>
      </c>
      <c r="AG33" s="560"/>
      <c r="AH33" s="560"/>
      <c r="AI33" s="560"/>
      <c r="AJ33" s="560"/>
    </row>
    <row r="34" spans="1:58" ht="15.75" customHeight="1" thickBot="1">
      <c r="A34" s="713" t="s">
        <v>447</v>
      </c>
      <c r="B34" s="714"/>
      <c r="C34" s="714"/>
      <c r="D34" s="714"/>
      <c r="E34" s="714"/>
      <c r="F34" s="715"/>
      <c r="G34" s="17"/>
      <c r="H34" s="16"/>
      <c r="I34" s="16"/>
      <c r="J34" s="16"/>
      <c r="K34" s="17"/>
      <c r="L34" s="17"/>
      <c r="M34" s="17"/>
      <c r="N34" s="17"/>
      <c r="O34" s="17"/>
      <c r="P34" s="17"/>
      <c r="Q34" s="16"/>
      <c r="R34" s="17"/>
      <c r="S34" s="17"/>
      <c r="T34" s="17"/>
      <c r="U34" s="17"/>
      <c r="V34" s="17"/>
      <c r="W34" s="17"/>
      <c r="X34" s="17"/>
      <c r="Y34" s="17"/>
      <c r="Z34" s="17"/>
      <c r="AA34" s="17"/>
      <c r="AB34" s="17"/>
      <c r="AC34" s="17"/>
      <c r="AD34" s="244" t="str">
        <f>IF($B$12="individual",Constants!F59,Constants!L59)</f>
        <v>number of training groups / teams</v>
      </c>
      <c r="AE34" s="244">
        <v>9</v>
      </c>
      <c r="AF34" s="271">
        <f>IF(AE34&gt;9,3,IF(AE34&gt;4,2,IF(AE34&gt;2,1,0)))</f>
        <v>2</v>
      </c>
      <c r="AG34" s="560"/>
      <c r="AH34" s="560"/>
      <c r="AI34" s="560"/>
      <c r="AJ34" s="560"/>
    </row>
    <row r="35" spans="1:58" ht="15.75" customHeight="1" thickTop="1" thickBot="1">
      <c r="A35" s="16"/>
      <c r="G35" s="17"/>
      <c r="H35" s="16"/>
      <c r="I35" s="16"/>
      <c r="J35" s="16"/>
      <c r="K35" s="17"/>
      <c r="L35" s="17"/>
      <c r="M35" s="17"/>
      <c r="N35" s="17"/>
      <c r="O35" s="17"/>
      <c r="P35" s="17"/>
      <c r="Q35" s="16"/>
      <c r="R35" s="17"/>
      <c r="S35" s="17"/>
      <c r="T35" s="17"/>
      <c r="U35" s="17"/>
      <c r="V35" s="17"/>
      <c r="W35" s="17"/>
      <c r="X35" s="17"/>
      <c r="Y35" s="17"/>
      <c r="Z35" s="17"/>
      <c r="AA35" s="17"/>
      <c r="AB35" s="17"/>
      <c r="AC35" s="17"/>
      <c r="AD35" s="244" t="str">
        <f>IF($B$12="individual",Constants!F60,Constants!L60)</f>
        <v>number of competitions organised</v>
      </c>
      <c r="AE35" s="249">
        <v>4</v>
      </c>
      <c r="AF35" s="271">
        <f>IF(AE35&gt;=4,5,IF(AE35&gt;=2,3,IF(AE35&gt;=1,1,0)))</f>
        <v>5</v>
      </c>
      <c r="AG35" s="560"/>
      <c r="AH35" s="560"/>
      <c r="AI35" s="560"/>
      <c r="AJ35" s="560"/>
    </row>
    <row r="36" spans="1:58" ht="15.75" customHeight="1" thickBot="1">
      <c r="A36" s="179" t="s">
        <v>448</v>
      </c>
      <c r="B36" s="16"/>
      <c r="C36" s="16"/>
      <c r="D36" s="16"/>
      <c r="E36" s="16"/>
      <c r="F36" s="16"/>
      <c r="G36" s="16"/>
      <c r="H36" s="16"/>
      <c r="I36" s="16"/>
      <c r="J36" s="16"/>
      <c r="K36" s="16"/>
      <c r="L36" s="16"/>
      <c r="M36" s="16"/>
      <c r="N36" s="16"/>
      <c r="O36" s="16"/>
      <c r="P36" s="16"/>
      <c r="Q36" s="16"/>
      <c r="R36" s="16"/>
      <c r="S36" s="16"/>
      <c r="T36" s="16"/>
      <c r="U36" s="16"/>
      <c r="V36" s="16"/>
      <c r="W36" s="16"/>
      <c r="X36" s="16"/>
      <c r="Y36" s="16"/>
      <c r="Z36" s="16"/>
      <c r="AA36" s="16"/>
      <c r="AB36" s="18"/>
      <c r="AC36" s="16"/>
      <c r="AD36" s="244" t="str">
        <f>IF($B$12="individual",Constants!F61,Constants!L61)</f>
        <v>number of social activities</v>
      </c>
      <c r="AE36" s="249">
        <v>20</v>
      </c>
      <c r="AF36" s="271">
        <f>IF(AE36&gt;=20,2,IF(AE36&gt;=10,1,0))</f>
        <v>2</v>
      </c>
      <c r="AG36" s="560"/>
      <c r="AH36" s="560"/>
      <c r="AI36" s="560"/>
      <c r="AJ36" s="560"/>
    </row>
    <row r="37" spans="1:58" ht="15" customHeight="1" thickTop="1" thickBot="1">
      <c r="A37" s="258" t="s">
        <v>449</v>
      </c>
      <c r="B37" s="259" t="s">
        <v>450</v>
      </c>
      <c r="C37" s="258" t="s">
        <v>451</v>
      </c>
      <c r="D37" s="258" t="s">
        <v>452</v>
      </c>
      <c r="E37" s="258" t="s">
        <v>453</v>
      </c>
      <c r="F37" s="258" t="s">
        <v>454</v>
      </c>
      <c r="G37" s="259" t="s">
        <v>455</v>
      </c>
      <c r="H37" s="561" t="s">
        <v>456</v>
      </c>
      <c r="I37" s="716"/>
      <c r="J37" s="717"/>
      <c r="K37" s="98"/>
      <c r="L37" s="98"/>
      <c r="M37" s="98"/>
      <c r="N37" s="98"/>
      <c r="O37" s="98"/>
      <c r="P37" s="98"/>
      <c r="Q37" s="98"/>
      <c r="R37" s="98"/>
      <c r="S37" s="98"/>
      <c r="T37" s="98"/>
      <c r="U37" s="96"/>
      <c r="V37" s="96"/>
      <c r="W37" s="96"/>
      <c r="X37" s="96"/>
      <c r="Y37" s="99"/>
      <c r="Z37" s="96"/>
      <c r="AA37" s="96"/>
      <c r="AB37" s="100"/>
      <c r="AC37" s="100"/>
      <c r="AD37" s="244" t="str">
        <f>IF($B$12="individual",Constants!F62,Constants!L62)</f>
        <v>number of bar days</v>
      </c>
      <c r="AE37" s="249">
        <v>10</v>
      </c>
      <c r="AF37" s="271">
        <f>IF(AE37&gt;=15,2,IF(AE37&gt;=8,1,0))</f>
        <v>1</v>
      </c>
      <c r="AG37" s="560"/>
      <c r="AH37" s="560"/>
      <c r="AI37" s="560"/>
      <c r="AJ37" s="560"/>
      <c r="AK37" s="100"/>
      <c r="AL37" s="100"/>
      <c r="AM37" s="100"/>
      <c r="AN37" s="100"/>
      <c r="AO37" s="100"/>
      <c r="AP37" s="100"/>
      <c r="AQ37" s="100"/>
      <c r="AR37" s="100"/>
      <c r="AS37" s="100"/>
      <c r="AT37" s="100"/>
      <c r="AU37" s="100"/>
      <c r="AV37" s="100"/>
      <c r="AW37" s="100"/>
      <c r="AX37" s="100"/>
      <c r="AY37" s="100"/>
      <c r="AZ37" s="100"/>
      <c r="BA37" s="100"/>
      <c r="BB37" s="100"/>
      <c r="BC37" s="100"/>
      <c r="BD37" s="100"/>
      <c r="BE37" s="100"/>
      <c r="BF37" s="100"/>
    </row>
    <row r="38" spans="1:58" ht="14.25" customHeight="1" thickBot="1">
      <c r="A38" s="312" t="s">
        <v>457</v>
      </c>
      <c r="B38" s="323">
        <v>90</v>
      </c>
      <c r="C38" s="312" t="s">
        <v>458</v>
      </c>
      <c r="D38" s="312">
        <v>42</v>
      </c>
      <c r="E38" s="312" t="s">
        <v>459</v>
      </c>
      <c r="F38" s="324" t="s">
        <v>328</v>
      </c>
      <c r="G38" s="323" t="s">
        <v>460</v>
      </c>
      <c r="H38" s="571"/>
      <c r="I38" s="696"/>
      <c r="J38" s="718"/>
      <c r="K38" s="16"/>
      <c r="L38" s="16"/>
      <c r="M38" s="16"/>
      <c r="N38" s="16"/>
      <c r="O38" s="16"/>
      <c r="P38" s="16"/>
      <c r="Q38" s="16"/>
      <c r="R38" s="16"/>
      <c r="S38" s="16"/>
      <c r="T38" s="16"/>
      <c r="U38" s="16"/>
      <c r="V38" s="16"/>
      <c r="W38" s="16"/>
      <c r="X38" s="16"/>
      <c r="Y38" s="17"/>
      <c r="Z38" s="16"/>
      <c r="AA38" s="16"/>
      <c r="AD38" s="244" t="str">
        <f>IF($B$12="individual",Constants!F63,Constants!L63)</f>
        <v>own bar / extra location</v>
      </c>
      <c r="AE38" s="249">
        <v>0</v>
      </c>
      <c r="AF38" s="271">
        <f>IF(AE38&gt;=15,2,IF(AE38&gt;=8,1,0))</f>
        <v>0</v>
      </c>
      <c r="AG38" s="560"/>
      <c r="AH38" s="560"/>
      <c r="AI38" s="560"/>
      <c r="AJ38" s="560"/>
    </row>
    <row r="39" spans="1:58" ht="14.25" customHeight="1" thickBot="1">
      <c r="A39" s="312"/>
      <c r="B39" s="232"/>
      <c r="C39" s="269"/>
      <c r="D39" s="313"/>
      <c r="E39" s="245"/>
      <c r="F39" s="261"/>
      <c r="G39" s="325"/>
      <c r="H39" s="696"/>
      <c r="I39" s="696"/>
      <c r="J39" s="718"/>
      <c r="K39" s="16"/>
      <c r="L39" s="16"/>
      <c r="M39" s="16"/>
      <c r="N39" s="16"/>
      <c r="O39" s="16"/>
      <c r="P39" s="16"/>
      <c r="Q39" s="16"/>
      <c r="R39" s="16"/>
      <c r="S39" s="16"/>
      <c r="T39" s="16"/>
      <c r="U39" s="16"/>
      <c r="V39" s="16"/>
      <c r="W39" s="16"/>
      <c r="X39" s="16"/>
      <c r="Y39" s="17"/>
      <c r="Z39" s="16"/>
      <c r="AA39" s="16"/>
      <c r="AD39" s="244" t="str">
        <f>IF($B$12="individual",Constants!F65,Constants!L64)</f>
        <v>number of competitions attended</v>
      </c>
      <c r="AE39" s="249">
        <v>13</v>
      </c>
      <c r="AF39" s="273">
        <f>IF(B12="individual", IF(AE39&gt;10, 5, IF(AE39&gt;6, 3, IF(AE39&gt;2, 1, 0))), IF(AE39&gt;3, 3, IF(AE39&gt;1, 2, 1)))</f>
        <v>5</v>
      </c>
      <c r="AG39" s="560"/>
      <c r="AH39" s="560"/>
      <c r="AI39" s="560"/>
      <c r="AJ39" s="560"/>
    </row>
    <row r="40" spans="1:58" ht="15.75" customHeight="1" thickBot="1">
      <c r="A40" s="231"/>
      <c r="B40" s="232"/>
      <c r="C40" s="231"/>
      <c r="D40" s="232"/>
      <c r="E40" s="245"/>
      <c r="F40" s="261"/>
      <c r="G40" s="231"/>
      <c r="H40" s="696"/>
      <c r="I40" s="696"/>
      <c r="J40" s="718"/>
      <c r="K40" s="16"/>
      <c r="L40" s="16"/>
      <c r="M40" s="16"/>
      <c r="N40" s="16"/>
      <c r="O40" s="16"/>
      <c r="P40" s="16"/>
      <c r="Q40" s="16"/>
      <c r="R40" s="16"/>
      <c r="S40" s="16"/>
      <c r="T40" s="16"/>
      <c r="U40" s="16"/>
      <c r="V40" s="16"/>
      <c r="W40" s="16"/>
      <c r="X40" s="16"/>
      <c r="Y40" s="16"/>
      <c r="Z40" s="16"/>
      <c r="AA40" s="16"/>
      <c r="AD40" s="231" t="str">
        <f>IF($B$12="individual",Constants!F64,Constants!L65)</f>
        <v>n/a</v>
      </c>
      <c r="AE40" s="231" t="str">
        <f>IF(AD40="n/a","",COUNTA(A46:A50)/COUNTA(A38:A42))</f>
        <v/>
      </c>
      <c r="AF40" s="272" t="str">
        <f>IF(B12="group", IF(AE40&gt;0.15, 5, IF(AE40&gt;0.1, 3, IF(AE40&gt;0.05, 1, 0))), " ")</f>
        <v xml:space="preserve"> </v>
      </c>
      <c r="AG40" s="560"/>
      <c r="AH40" s="560"/>
      <c r="AI40" s="560"/>
      <c r="AJ40" s="560"/>
    </row>
    <row r="41" spans="1:58" ht="15.75" customHeight="1" thickBot="1">
      <c r="A41" s="231"/>
      <c r="B41" s="232"/>
      <c r="C41" s="231"/>
      <c r="D41" s="232"/>
      <c r="E41" s="245"/>
      <c r="F41" s="261"/>
      <c r="G41" s="231"/>
      <c r="H41" s="696"/>
      <c r="I41" s="696"/>
      <c r="J41" s="718"/>
      <c r="K41" s="16"/>
      <c r="L41" s="16"/>
      <c r="M41" s="16"/>
      <c r="N41" s="16"/>
      <c r="O41" s="16"/>
      <c r="P41" s="16"/>
      <c r="Q41" s="16"/>
      <c r="R41" s="16"/>
      <c r="S41" s="16"/>
      <c r="T41" s="16"/>
      <c r="U41" s="16"/>
      <c r="V41" s="16"/>
      <c r="W41" s="16"/>
      <c r="X41" s="16"/>
      <c r="Y41" s="16"/>
      <c r="Z41" s="16"/>
      <c r="AA41" s="16"/>
      <c r="AD41" s="16"/>
      <c r="AE41" s="275" t="s">
        <v>461</v>
      </c>
      <c r="AF41" s="277">
        <f>SUM(AF30:AF40)</f>
        <v>27</v>
      </c>
      <c r="AG41" s="247"/>
      <c r="AH41" s="245"/>
      <c r="AI41" s="246"/>
      <c r="AJ41" s="247"/>
    </row>
    <row r="42" spans="1:58" ht="15.75" customHeight="1" thickBot="1">
      <c r="A42" s="231"/>
      <c r="B42" s="326"/>
      <c r="C42" s="245"/>
      <c r="D42" s="232"/>
      <c r="E42" s="261"/>
      <c r="F42" s="261"/>
      <c r="G42" s="231"/>
      <c r="H42" s="719"/>
      <c r="I42" s="719"/>
      <c r="J42" s="720"/>
      <c r="K42" s="16"/>
      <c r="L42" s="16"/>
      <c r="M42" s="16"/>
      <c r="N42" s="16"/>
      <c r="O42" s="16"/>
      <c r="P42" s="16"/>
      <c r="Q42" s="16"/>
      <c r="R42" s="16"/>
      <c r="S42" s="16"/>
      <c r="T42" s="16"/>
      <c r="U42" s="16"/>
      <c r="V42" s="16"/>
      <c r="W42" s="16"/>
      <c r="X42" s="16"/>
      <c r="Y42" s="16"/>
      <c r="Z42" s="16"/>
      <c r="AA42" s="16"/>
    </row>
    <row r="43" spans="1:58" ht="15.75" customHeight="1" thickTop="1">
      <c r="A43" s="18"/>
      <c r="B43" s="18"/>
      <c r="C43" s="18"/>
      <c r="D43" s="18"/>
      <c r="E43" s="18"/>
      <c r="F43" s="18"/>
      <c r="G43" s="17"/>
      <c r="H43" s="17"/>
      <c r="I43" s="17"/>
      <c r="J43" s="17"/>
      <c r="K43" s="17"/>
      <c r="L43" s="17"/>
      <c r="M43" s="17"/>
      <c r="N43" s="17"/>
      <c r="O43" s="17"/>
      <c r="P43" s="17"/>
      <c r="Q43" s="16"/>
      <c r="R43" s="17"/>
      <c r="S43" s="17"/>
      <c r="T43" s="17"/>
      <c r="U43" s="17"/>
      <c r="V43" s="17"/>
      <c r="W43" s="17"/>
      <c r="X43" s="17"/>
      <c r="Y43" s="17"/>
      <c r="Z43" s="17"/>
      <c r="AA43" s="17"/>
      <c r="AB43" s="17"/>
      <c r="AC43" s="17"/>
      <c r="AD43" s="17"/>
    </row>
    <row r="44" spans="1:58" ht="15.75" customHeight="1" thickBot="1">
      <c r="A44" s="179" t="s">
        <v>462</v>
      </c>
      <c r="B44" s="169"/>
      <c r="C44" s="16"/>
      <c r="D44" s="16"/>
      <c r="E44" s="16"/>
      <c r="F44" s="16"/>
      <c r="G44" s="16"/>
      <c r="H44" s="16"/>
      <c r="I44" s="16"/>
      <c r="J44" s="16"/>
      <c r="K44" s="16"/>
      <c r="L44" s="16"/>
      <c r="M44" s="16"/>
      <c r="N44" s="16"/>
      <c r="O44" s="16"/>
      <c r="P44" s="16"/>
      <c r="Q44" s="16"/>
      <c r="R44" s="16"/>
      <c r="S44" s="16"/>
      <c r="T44" s="16"/>
      <c r="U44" s="16"/>
      <c r="V44" s="16"/>
      <c r="W44" s="16"/>
      <c r="X44" s="16"/>
      <c r="Y44" s="16"/>
      <c r="Z44" s="16"/>
      <c r="AA44" s="16"/>
      <c r="AB44" s="18"/>
      <c r="AC44" s="16"/>
      <c r="AD44" s="16"/>
    </row>
    <row r="45" spans="1:58" ht="15" customHeight="1" thickTop="1">
      <c r="A45" s="258" t="s">
        <v>449</v>
      </c>
      <c r="B45" s="259" t="s">
        <v>450</v>
      </c>
      <c r="C45" s="258" t="s">
        <v>463</v>
      </c>
      <c r="D45" s="258" t="s">
        <v>464</v>
      </c>
      <c r="E45" s="258" t="s">
        <v>465</v>
      </c>
      <c r="F45" s="258" t="s">
        <v>466</v>
      </c>
      <c r="G45" s="258" t="s">
        <v>467</v>
      </c>
      <c r="H45" s="259" t="s">
        <v>455</v>
      </c>
      <c r="I45" s="561" t="s">
        <v>456</v>
      </c>
      <c r="J45" s="716"/>
      <c r="K45" s="717"/>
      <c r="L45" s="98"/>
      <c r="M45" s="98"/>
      <c r="N45" s="98"/>
      <c r="O45" s="98"/>
      <c r="P45" s="98"/>
      <c r="Q45" s="98"/>
      <c r="R45" s="98"/>
      <c r="S45" s="98"/>
      <c r="T45" s="98"/>
      <c r="U45" s="98"/>
      <c r="V45" s="96"/>
      <c r="W45" s="96"/>
      <c r="X45" s="96"/>
      <c r="Y45" s="96"/>
      <c r="Z45" s="99"/>
      <c r="AA45" s="96"/>
      <c r="AB45" s="96"/>
      <c r="AC45" s="100"/>
      <c r="AD45" s="100"/>
      <c r="AE45" s="100"/>
      <c r="AF45" s="100"/>
      <c r="AG45" s="100"/>
      <c r="AH45" s="100"/>
      <c r="AI45" s="100"/>
      <c r="AJ45" s="100"/>
      <c r="AK45" s="100"/>
      <c r="AL45" s="100"/>
      <c r="AM45" s="100"/>
      <c r="AN45" s="100"/>
      <c r="AO45" s="100"/>
      <c r="AP45" s="100"/>
      <c r="AQ45" s="100"/>
      <c r="AR45" s="100"/>
      <c r="AS45" s="100"/>
      <c r="AT45" s="100"/>
      <c r="AU45" s="100"/>
      <c r="AV45" s="100"/>
      <c r="AW45" s="100"/>
      <c r="AX45" s="100"/>
      <c r="AY45" s="100"/>
      <c r="AZ45" s="100"/>
      <c r="BA45" s="100"/>
      <c r="BB45" s="100"/>
      <c r="BC45" s="100"/>
      <c r="BD45" s="100"/>
      <c r="BE45" s="100"/>
      <c r="BF45" s="100"/>
    </row>
    <row r="46" spans="1:58" ht="14.25" customHeight="1">
      <c r="A46" s="312" t="s">
        <v>468</v>
      </c>
      <c r="B46" s="323">
        <v>30</v>
      </c>
      <c r="C46" s="312" t="s">
        <v>469</v>
      </c>
      <c r="D46" s="312" t="s">
        <v>55</v>
      </c>
      <c r="E46" s="327" t="s">
        <v>470</v>
      </c>
      <c r="F46" s="327">
        <v>5.5</v>
      </c>
      <c r="G46" s="323" t="s">
        <v>471</v>
      </c>
      <c r="H46" s="323" t="s">
        <v>472</v>
      </c>
      <c r="I46" s="571" t="s">
        <v>473</v>
      </c>
      <c r="J46" s="696"/>
      <c r="K46" s="718"/>
      <c r="L46" s="16"/>
      <c r="M46" s="16"/>
      <c r="N46" s="16"/>
      <c r="O46" s="16"/>
      <c r="P46" s="16"/>
      <c r="Q46" s="16"/>
      <c r="R46" s="16"/>
      <c r="S46" s="16"/>
      <c r="T46" s="16"/>
      <c r="U46" s="16"/>
      <c r="V46" s="16"/>
      <c r="W46" s="16"/>
      <c r="X46" s="16"/>
      <c r="Y46" s="16"/>
      <c r="Z46" s="17"/>
      <c r="AA46" s="16"/>
      <c r="AB46" s="16"/>
    </row>
    <row r="47" spans="1:58" ht="14.25" customHeight="1">
      <c r="A47" s="312" t="s">
        <v>474</v>
      </c>
      <c r="B47" s="323">
        <v>15</v>
      </c>
      <c r="C47" s="312" t="s">
        <v>469</v>
      </c>
      <c r="D47" s="312" t="s">
        <v>55</v>
      </c>
      <c r="E47" s="328">
        <v>3</v>
      </c>
      <c r="F47" s="327">
        <v>4</v>
      </c>
      <c r="G47" s="323" t="s">
        <v>471</v>
      </c>
      <c r="H47" s="323"/>
      <c r="I47" s="696"/>
      <c r="J47" s="696"/>
      <c r="K47" s="718"/>
      <c r="L47" s="16"/>
      <c r="M47" s="16"/>
      <c r="N47" s="16"/>
      <c r="O47" s="16"/>
      <c r="P47" s="16"/>
      <c r="Q47" s="16"/>
      <c r="R47" s="16"/>
      <c r="S47" s="16"/>
      <c r="T47" s="16"/>
      <c r="U47" s="16"/>
      <c r="V47" s="16"/>
      <c r="W47" s="16"/>
      <c r="X47" s="16"/>
      <c r="Y47" s="16"/>
      <c r="Z47" s="17"/>
      <c r="AA47" s="16"/>
      <c r="AB47" s="16"/>
    </row>
    <row r="48" spans="1:58" ht="15.75" customHeight="1">
      <c r="A48" s="323"/>
      <c r="B48" s="323"/>
      <c r="C48" s="323"/>
      <c r="D48" s="312"/>
      <c r="E48" s="328"/>
      <c r="F48" s="327"/>
      <c r="G48" s="329"/>
      <c r="H48" s="323"/>
      <c r="I48" s="696"/>
      <c r="J48" s="696"/>
      <c r="K48" s="718"/>
      <c r="L48" s="16"/>
      <c r="M48" s="16"/>
      <c r="N48" s="16"/>
      <c r="O48" s="16"/>
      <c r="P48" s="16"/>
      <c r="Q48" s="16"/>
      <c r="R48" s="16"/>
      <c r="S48" s="16"/>
      <c r="T48" s="16"/>
      <c r="U48" s="16"/>
      <c r="V48" s="16"/>
      <c r="W48" s="16"/>
      <c r="X48" s="16"/>
      <c r="Y48" s="16"/>
      <c r="Z48" s="16"/>
      <c r="AA48" s="16"/>
      <c r="AB48" s="16"/>
    </row>
    <row r="49" spans="1:30" ht="15.75" customHeight="1">
      <c r="A49" s="231"/>
      <c r="B49" s="232"/>
      <c r="C49" s="231"/>
      <c r="D49" s="269"/>
      <c r="E49" s="245"/>
      <c r="F49" s="261"/>
      <c r="G49" s="263"/>
      <c r="H49" s="231"/>
      <c r="I49" s="696"/>
      <c r="J49" s="696"/>
      <c r="K49" s="718"/>
      <c r="L49" s="16"/>
      <c r="M49" s="16"/>
      <c r="N49" s="16"/>
      <c r="O49" s="16"/>
      <c r="P49" s="16"/>
      <c r="Q49" s="16"/>
      <c r="R49" s="16"/>
      <c r="S49" s="16"/>
      <c r="T49" s="16"/>
      <c r="U49" s="16"/>
      <c r="V49" s="16"/>
      <c r="W49" s="16"/>
      <c r="X49" s="16"/>
      <c r="Y49" s="16"/>
      <c r="Z49" s="16"/>
      <c r="AA49" s="16"/>
      <c r="AB49" s="16"/>
    </row>
    <row r="50" spans="1:30" ht="15.75" customHeight="1" thickBot="1">
      <c r="A50" s="231"/>
      <c r="B50" s="326"/>
      <c r="C50" s="245"/>
      <c r="D50" s="245"/>
      <c r="E50" s="261"/>
      <c r="F50" s="261"/>
      <c r="G50" s="263"/>
      <c r="H50" s="231"/>
      <c r="I50" s="719"/>
      <c r="J50" s="719"/>
      <c r="K50" s="720"/>
      <c r="L50" s="16"/>
      <c r="M50" s="16"/>
      <c r="N50" s="16"/>
      <c r="O50" s="16"/>
      <c r="P50" s="16"/>
      <c r="Q50" s="16"/>
      <c r="R50" s="16"/>
      <c r="S50" s="16"/>
      <c r="T50" s="16"/>
      <c r="U50" s="16"/>
      <c r="V50" s="16"/>
      <c r="W50" s="16"/>
      <c r="X50" s="16"/>
      <c r="Y50" s="16"/>
      <c r="Z50" s="16"/>
      <c r="AA50" s="16"/>
      <c r="AB50" s="16"/>
    </row>
    <row r="51" spans="1:30" ht="15.75" customHeight="1" thickTop="1">
      <c r="A51" s="15"/>
      <c r="B51" s="16"/>
      <c r="C51" s="16"/>
      <c r="D51" s="16"/>
      <c r="E51" s="16"/>
      <c r="F51" s="16"/>
      <c r="G51" s="16"/>
      <c r="H51" s="16"/>
      <c r="I51" s="16"/>
      <c r="J51" s="16"/>
      <c r="K51" s="16"/>
      <c r="L51" s="16"/>
      <c r="M51" s="16"/>
      <c r="N51" s="16"/>
      <c r="O51" s="16"/>
      <c r="P51" s="16"/>
      <c r="Q51" s="16"/>
      <c r="R51" s="16"/>
      <c r="S51" s="16"/>
      <c r="T51" s="16"/>
      <c r="U51" s="16"/>
      <c r="V51" s="16"/>
      <c r="W51" s="16"/>
      <c r="X51" s="16"/>
      <c r="Y51" s="16"/>
      <c r="Z51" s="16"/>
      <c r="AA51" s="16"/>
      <c r="AB51" s="16"/>
      <c r="AC51" s="16"/>
      <c r="AD51" s="16"/>
    </row>
    <row r="52" spans="1:30" ht="15.75" customHeight="1">
      <c r="A52" s="15"/>
      <c r="B52" s="16"/>
      <c r="C52" s="16"/>
      <c r="D52" s="16"/>
      <c r="E52" s="16"/>
      <c r="F52" s="16"/>
      <c r="G52" s="16"/>
      <c r="H52" s="16"/>
      <c r="I52" s="16"/>
      <c r="J52" s="16"/>
      <c r="K52" s="16"/>
      <c r="L52" s="16"/>
      <c r="M52" s="16"/>
      <c r="N52" s="16"/>
      <c r="O52" s="16"/>
      <c r="P52" s="16"/>
      <c r="Q52" s="16"/>
      <c r="W52" s="16"/>
      <c r="X52" s="16"/>
      <c r="Y52" s="16"/>
      <c r="Z52" s="16"/>
      <c r="AA52" s="16"/>
      <c r="AB52" s="16"/>
      <c r="AC52" s="16"/>
      <c r="AD52" s="16"/>
    </row>
    <row r="53" spans="1:30" ht="15.75" customHeight="1" thickBot="1">
      <c r="A53" s="186" t="s">
        <v>475</v>
      </c>
      <c r="B53" s="231"/>
      <c r="C53" s="231"/>
      <c r="D53" s="231"/>
      <c r="E53" s="231"/>
      <c r="F53" s="231"/>
      <c r="G53" s="231"/>
      <c r="H53" s="231"/>
      <c r="I53" s="231"/>
      <c r="J53" s="231"/>
      <c r="K53" s="16"/>
      <c r="L53" s="16"/>
      <c r="M53" s="16"/>
      <c r="N53" s="16"/>
      <c r="O53" s="16"/>
      <c r="P53" s="16"/>
      <c r="Q53" s="16"/>
      <c r="W53" s="16"/>
      <c r="X53" s="16"/>
      <c r="Y53" s="16"/>
      <c r="Z53" s="16"/>
      <c r="AA53" s="16"/>
      <c r="AB53" s="16"/>
      <c r="AC53" s="16"/>
      <c r="AD53" s="16"/>
    </row>
    <row r="54" spans="1:30" ht="15.75" customHeight="1" thickTop="1">
      <c r="A54" s="230" t="s">
        <v>476</v>
      </c>
      <c r="B54" s="230" t="s">
        <v>477</v>
      </c>
      <c r="C54" s="230" t="s">
        <v>478</v>
      </c>
      <c r="D54" s="230" t="s">
        <v>479</v>
      </c>
      <c r="E54" s="230" t="s">
        <v>480</v>
      </c>
      <c r="F54" s="230" t="s">
        <v>481</v>
      </c>
      <c r="G54" s="230" t="s">
        <v>482</v>
      </c>
      <c r="H54" s="230" t="s">
        <v>453</v>
      </c>
      <c r="I54" s="230" t="s">
        <v>483</v>
      </c>
      <c r="J54" s="230" t="s">
        <v>484</v>
      </c>
      <c r="K54" s="721" t="s">
        <v>485</v>
      </c>
      <c r="L54" s="716"/>
      <c r="M54" s="722"/>
      <c r="N54" s="15"/>
      <c r="O54" s="16"/>
      <c r="P54" s="16"/>
      <c r="Q54" s="16"/>
      <c r="W54" s="16"/>
      <c r="X54" s="16"/>
      <c r="Y54" s="16"/>
      <c r="Z54" s="16"/>
      <c r="AA54" s="16"/>
      <c r="AB54" s="16"/>
    </row>
    <row r="55" spans="1:30" ht="15" customHeight="1">
      <c r="A55" s="319" t="s">
        <v>486</v>
      </c>
      <c r="B55" s="319" t="s">
        <v>278</v>
      </c>
      <c r="C55" s="231">
        <v>42</v>
      </c>
      <c r="D55" s="231">
        <v>1</v>
      </c>
      <c r="E55" s="231">
        <v>1.5</v>
      </c>
      <c r="F55" s="231">
        <f>Table_4168260[[#This Row],['# Weeks]]*Table_4168260[[#This Row],['# Times/week]]*Table_4168260[[#This Row],[Total hours/week]]</f>
        <v>63</v>
      </c>
      <c r="G55" s="330" t="s">
        <v>487</v>
      </c>
      <c r="H55" s="319" t="s">
        <v>55</v>
      </c>
      <c r="I55" s="331" t="s">
        <v>328</v>
      </c>
      <c r="J55" s="231" t="s">
        <v>487</v>
      </c>
      <c r="K55" s="575" t="s">
        <v>488</v>
      </c>
      <c r="L55" s="696"/>
      <c r="M55" s="723"/>
      <c r="N55" s="16"/>
      <c r="O55" s="16"/>
      <c r="P55" s="16"/>
      <c r="Q55" s="16"/>
      <c r="W55" s="16"/>
      <c r="X55" s="16"/>
      <c r="Y55" s="16"/>
      <c r="Z55" s="16"/>
      <c r="AA55" s="16"/>
      <c r="AB55" s="16"/>
    </row>
    <row r="56" spans="1:30" ht="15.75" customHeight="1">
      <c r="A56" s="231" t="s">
        <v>489</v>
      </c>
      <c r="B56" s="319" t="s">
        <v>278</v>
      </c>
      <c r="C56" s="231">
        <v>42</v>
      </c>
      <c r="D56" s="231">
        <v>3</v>
      </c>
      <c r="E56" s="231">
        <v>3</v>
      </c>
      <c r="F56" s="231">
        <f>Table_4168260[[#This Row],['# Weeks]]*Table_4168260[[#This Row],['# Times/week]]*Table_4168260[[#This Row],[Total hours/week]]</f>
        <v>378</v>
      </c>
      <c r="G56" s="231" t="s">
        <v>490</v>
      </c>
      <c r="H56" s="319" t="s">
        <v>281</v>
      </c>
      <c r="I56" s="331" t="s">
        <v>328</v>
      </c>
      <c r="J56" s="231"/>
      <c r="K56" s="702"/>
      <c r="L56" s="696"/>
      <c r="M56" s="723"/>
      <c r="N56" s="16"/>
      <c r="O56" s="16"/>
      <c r="P56" s="16"/>
      <c r="Q56" s="16"/>
      <c r="W56" s="16"/>
      <c r="X56" s="16"/>
      <c r="Y56" s="16"/>
      <c r="Z56" s="16"/>
      <c r="AA56" s="16"/>
      <c r="AB56" s="16"/>
    </row>
    <row r="57" spans="1:30" ht="14.25" customHeight="1">
      <c r="A57" s="231" t="s">
        <v>491</v>
      </c>
      <c r="B57" s="319" t="s">
        <v>287</v>
      </c>
      <c r="C57" s="231">
        <v>42</v>
      </c>
      <c r="D57" s="231">
        <v>3</v>
      </c>
      <c r="E57" s="231">
        <v>3</v>
      </c>
      <c r="F57" s="231">
        <f>Table_4168260[[#This Row],['# Weeks]]*Table_4168260[[#This Row],['# Times/week]]*Table_4168260[[#This Row],[Total hours/week]]</f>
        <v>378</v>
      </c>
      <c r="G57" s="248" t="s">
        <v>487</v>
      </c>
      <c r="H57" s="319" t="s">
        <v>55</v>
      </c>
      <c r="I57" s="331" t="s">
        <v>328</v>
      </c>
      <c r="J57" s="231"/>
      <c r="K57" s="702"/>
      <c r="L57" s="696"/>
      <c r="M57" s="723"/>
      <c r="N57" s="16"/>
      <c r="O57" s="16"/>
      <c r="P57" s="16"/>
      <c r="Q57" s="16"/>
      <c r="W57" s="16"/>
      <c r="X57" s="16"/>
      <c r="Y57" s="16"/>
      <c r="Z57" s="16"/>
      <c r="AA57" s="16"/>
      <c r="AB57" s="16"/>
    </row>
    <row r="58" spans="1:30" ht="15.75" customHeight="1">
      <c r="A58" s="319" t="s">
        <v>492</v>
      </c>
      <c r="B58" s="319" t="s">
        <v>278</v>
      </c>
      <c r="C58" s="231">
        <v>21</v>
      </c>
      <c r="D58" s="231">
        <v>1</v>
      </c>
      <c r="E58" s="231">
        <v>2</v>
      </c>
      <c r="F58" s="231">
        <f>Table_4168260[[#This Row],['# Weeks]]*Table_4168260[[#This Row],['# Times/week]]*Table_4168260[[#This Row],[Total hours/week]]</f>
        <v>42</v>
      </c>
      <c r="G58" s="231" t="s">
        <v>493</v>
      </c>
      <c r="H58" s="319" t="s">
        <v>55</v>
      </c>
      <c r="I58" s="331" t="s">
        <v>328</v>
      </c>
      <c r="J58" s="231" t="s">
        <v>494</v>
      </c>
      <c r="K58" s="702"/>
      <c r="L58" s="696"/>
      <c r="M58" s="723"/>
      <c r="N58" s="16"/>
      <c r="O58" s="16"/>
      <c r="P58" s="16"/>
      <c r="Q58" s="16"/>
      <c r="W58" s="16"/>
      <c r="X58" s="16"/>
      <c r="Y58" s="16"/>
      <c r="Z58" s="16"/>
      <c r="AA58" s="16"/>
      <c r="AB58" s="16"/>
    </row>
    <row r="59" spans="1:30" ht="15.75" customHeight="1">
      <c r="A59" s="319" t="s">
        <v>495</v>
      </c>
      <c r="B59" s="319" t="s">
        <v>287</v>
      </c>
      <c r="C59" s="231">
        <v>21</v>
      </c>
      <c r="D59" s="231">
        <v>1</v>
      </c>
      <c r="E59" s="231">
        <v>2</v>
      </c>
      <c r="F59" s="231">
        <f>Table_4168260[[#This Row],['# Weeks]]*Table_4168260[[#This Row],['# Times/week]]*Table_4168260[[#This Row],[Total hours/week]]</f>
        <v>42</v>
      </c>
      <c r="G59" s="231" t="s">
        <v>487</v>
      </c>
      <c r="H59" s="319" t="s">
        <v>55</v>
      </c>
      <c r="I59" s="331" t="s">
        <v>328</v>
      </c>
      <c r="J59" s="231" t="s">
        <v>494</v>
      </c>
      <c r="K59" s="702"/>
      <c r="L59" s="696"/>
      <c r="M59" s="723"/>
      <c r="N59" s="16"/>
      <c r="O59" s="16"/>
      <c r="P59" s="16"/>
      <c r="Q59" s="16"/>
      <c r="W59" s="16"/>
      <c r="X59" s="16"/>
      <c r="Y59" s="16"/>
      <c r="Z59" s="16"/>
      <c r="AA59" s="16"/>
      <c r="AB59" s="16"/>
    </row>
    <row r="60" spans="1:30" ht="15.75" customHeight="1">
      <c r="A60" s="319" t="s">
        <v>496</v>
      </c>
      <c r="B60" s="319" t="s">
        <v>287</v>
      </c>
      <c r="C60" s="231">
        <v>21</v>
      </c>
      <c r="D60" s="231">
        <v>1</v>
      </c>
      <c r="E60" s="231">
        <v>1</v>
      </c>
      <c r="F60" s="231">
        <f>Table_4168260[[#This Row],['# Weeks]]*Table_4168260[[#This Row],['# Times/week]]*Table_4168260[[#This Row],[Total hours/week]]</f>
        <v>21</v>
      </c>
      <c r="G60" s="319" t="s">
        <v>497</v>
      </c>
      <c r="H60" s="319" t="s">
        <v>55</v>
      </c>
      <c r="I60" s="331" t="s">
        <v>328</v>
      </c>
      <c r="J60" s="231"/>
      <c r="K60" s="702"/>
      <c r="L60" s="696"/>
      <c r="M60" s="723"/>
      <c r="N60" s="16"/>
      <c r="O60" s="16"/>
      <c r="P60" s="16"/>
      <c r="Q60" s="16"/>
      <c r="W60" s="16"/>
      <c r="X60" s="16"/>
      <c r="Y60" s="16"/>
      <c r="Z60" s="16"/>
      <c r="AA60" s="16"/>
      <c r="AB60" s="16"/>
    </row>
    <row r="61" spans="1:30" ht="15.75" customHeight="1">
      <c r="A61" s="319" t="s">
        <v>498</v>
      </c>
      <c r="B61" s="319" t="s">
        <v>287</v>
      </c>
      <c r="C61" s="231">
        <v>21</v>
      </c>
      <c r="D61" s="231">
        <v>2</v>
      </c>
      <c r="E61" s="231">
        <v>2</v>
      </c>
      <c r="F61" s="231">
        <f>Table_4168260[[#This Row],['# Weeks]]*Table_4168260[[#This Row],['# Times/week]]*Table_4168260[[#This Row],[Total hours/week]]</f>
        <v>84</v>
      </c>
      <c r="G61" s="319" t="s">
        <v>487</v>
      </c>
      <c r="H61" s="319" t="s">
        <v>55</v>
      </c>
      <c r="I61" s="331" t="s">
        <v>328</v>
      </c>
      <c r="J61" s="231"/>
      <c r="K61" s="702"/>
      <c r="L61" s="696"/>
      <c r="M61" s="723"/>
      <c r="N61" s="16"/>
      <c r="O61" s="16"/>
      <c r="P61" s="16"/>
      <c r="Q61" s="16"/>
      <c r="W61" s="16"/>
      <c r="X61" s="16"/>
      <c r="Y61" s="16"/>
      <c r="Z61" s="16"/>
      <c r="AA61" s="16"/>
      <c r="AB61" s="16"/>
    </row>
    <row r="62" spans="1:30" ht="15.75" customHeight="1">
      <c r="A62" s="319"/>
      <c r="B62" s="319"/>
      <c r="C62" s="261"/>
      <c r="D62" s="261"/>
      <c r="E62" s="261"/>
      <c r="F62" s="262">
        <f>Table_4168260[[#This Row],['# Weeks]]*Table_4168260[[#This Row],['# Times/week]]*Table_4168260[[#This Row],[Total hours/week]]</f>
        <v>0</v>
      </c>
      <c r="G62" s="319"/>
      <c r="H62" s="319"/>
      <c r="I62" s="331"/>
      <c r="J62" s="231"/>
      <c r="K62" s="702"/>
      <c r="L62" s="696"/>
      <c r="M62" s="723"/>
      <c r="N62" s="16"/>
      <c r="O62" s="16"/>
      <c r="P62" s="16"/>
      <c r="Q62" s="16"/>
      <c r="W62" s="16"/>
      <c r="X62" s="16"/>
      <c r="Y62" s="16"/>
      <c r="Z62" s="16"/>
      <c r="AA62" s="16"/>
      <c r="AB62" s="16"/>
    </row>
    <row r="63" spans="1:30" ht="15.75" customHeight="1">
      <c r="A63" s="319"/>
      <c r="B63" s="319"/>
      <c r="C63" s="261"/>
      <c r="D63" s="261"/>
      <c r="E63" s="261"/>
      <c r="F63" s="262">
        <f>Table_4168260[[#This Row],['# Weeks]]*Table_4168260[[#This Row],['# Times/week]]*Table_4168260[[#This Row],[Total hours/week]]</f>
        <v>0</v>
      </c>
      <c r="G63" s="319"/>
      <c r="H63" s="319"/>
      <c r="I63" s="331"/>
      <c r="J63" s="231"/>
      <c r="K63" s="702"/>
      <c r="L63" s="696"/>
      <c r="M63" s="723"/>
      <c r="N63" s="16"/>
      <c r="O63" s="16"/>
      <c r="P63" s="16"/>
      <c r="Q63" s="16"/>
      <c r="W63" s="16"/>
      <c r="X63" s="16"/>
      <c r="Y63" s="16"/>
      <c r="Z63" s="16"/>
      <c r="AA63" s="16"/>
      <c r="AB63" s="16"/>
    </row>
    <row r="64" spans="1:30" ht="15.75" customHeight="1">
      <c r="A64" s="231"/>
      <c r="B64" s="319"/>
      <c r="C64" s="232"/>
      <c r="D64" s="232"/>
      <c r="E64" s="261"/>
      <c r="F64" s="262">
        <f>Table_4168260[[#This Row],['# Weeks]]*Table_4168260[[#This Row],['# Times/week]]*Table_4168260[[#This Row],[Total hours/week]]</f>
        <v>0</v>
      </c>
      <c r="G64" s="231"/>
      <c r="H64" s="319"/>
      <c r="I64" s="331"/>
      <c r="J64" s="231"/>
      <c r="K64" s="702"/>
      <c r="L64" s="696"/>
      <c r="M64" s="723"/>
      <c r="N64" s="16"/>
      <c r="O64" s="16"/>
      <c r="P64" s="16"/>
      <c r="Q64" s="16"/>
      <c r="W64" s="16"/>
      <c r="X64" s="16"/>
      <c r="Y64" s="16"/>
      <c r="Z64" s="16"/>
      <c r="AA64" s="16"/>
      <c r="AB64" s="16"/>
    </row>
    <row r="65" spans="1:30" ht="15.75" customHeight="1">
      <c r="A65" s="231"/>
      <c r="B65" s="319"/>
      <c r="C65" s="232"/>
      <c r="D65" s="232"/>
      <c r="E65" s="261"/>
      <c r="F65" s="262">
        <f>Table_4168260[[#This Row],['# Weeks]]*Table_4168260[[#This Row],['# Times/week]]*Table_4168260[[#This Row],[Total hours/week]]</f>
        <v>0</v>
      </c>
      <c r="G65" s="231"/>
      <c r="H65" s="319"/>
      <c r="I65" s="331"/>
      <c r="J65" s="231"/>
      <c r="K65" s="702"/>
      <c r="L65" s="696"/>
      <c r="M65" s="723"/>
      <c r="N65" s="16"/>
      <c r="O65" s="16"/>
      <c r="P65" s="16"/>
      <c r="Q65" s="16"/>
      <c r="W65" s="16"/>
      <c r="X65" s="16"/>
      <c r="Y65" s="16"/>
      <c r="Z65" s="16"/>
      <c r="AA65" s="16"/>
      <c r="AB65" s="16"/>
    </row>
    <row r="66" spans="1:30" ht="15.75" customHeight="1">
      <c r="A66" s="231"/>
      <c r="B66" s="319"/>
      <c r="C66" s="232"/>
      <c r="D66" s="232"/>
      <c r="E66" s="261"/>
      <c r="F66" s="262">
        <f>Table_4168260[[#This Row],['# Weeks]]*Table_4168260[[#This Row],['# Times/week]]*Table_4168260[[#This Row],[Total hours/week]]</f>
        <v>0</v>
      </c>
      <c r="G66" s="231"/>
      <c r="H66" s="319"/>
      <c r="I66" s="331"/>
      <c r="J66" s="231"/>
      <c r="K66" s="702"/>
      <c r="L66" s="696"/>
      <c r="M66" s="723"/>
      <c r="N66" s="16"/>
      <c r="O66" s="16"/>
      <c r="P66" s="16"/>
      <c r="Q66" s="16"/>
      <c r="W66" s="16"/>
      <c r="X66" s="16"/>
      <c r="Y66" s="16"/>
      <c r="Z66" s="16"/>
      <c r="AA66" s="16"/>
      <c r="AB66" s="16"/>
    </row>
    <row r="67" spans="1:30" ht="15.75" customHeight="1" thickBot="1">
      <c r="A67" s="231"/>
      <c r="B67" s="319"/>
      <c r="C67" s="245"/>
      <c r="D67" s="232"/>
      <c r="E67" s="261"/>
      <c r="F67" s="262">
        <f>Table_4168260[[#This Row],['# Weeks]]*Table_4168260[[#This Row],['# Times/week]]*Table_4168260[[#This Row],[Total hours/week]]</f>
        <v>0</v>
      </c>
      <c r="G67" s="263"/>
      <c r="H67" s="263"/>
      <c r="I67" s="264"/>
      <c r="J67" s="231"/>
      <c r="K67" s="724"/>
      <c r="L67" s="724"/>
      <c r="M67" s="725"/>
      <c r="N67" s="16"/>
      <c r="O67" s="16"/>
      <c r="P67" s="16"/>
      <c r="Q67" s="16"/>
      <c r="W67" s="16"/>
      <c r="X67" s="16"/>
      <c r="Y67" s="16"/>
      <c r="Z67" s="16"/>
      <c r="AA67" s="16"/>
      <c r="AB67" s="16"/>
    </row>
    <row r="68" spans="1:30" ht="15.75" customHeight="1" thickTop="1">
      <c r="A68" s="16"/>
      <c r="B68" s="16"/>
      <c r="C68" s="16"/>
      <c r="D68" s="16"/>
      <c r="E68" s="16"/>
      <c r="F68" s="16"/>
      <c r="G68" s="16"/>
      <c r="H68" s="16"/>
      <c r="I68" s="16"/>
      <c r="J68" s="16"/>
      <c r="K68" s="16"/>
      <c r="L68" s="16"/>
      <c r="M68" s="16"/>
      <c r="N68" s="16"/>
      <c r="O68" s="16"/>
      <c r="P68" s="16"/>
      <c r="Q68" s="16"/>
      <c r="W68" s="16"/>
      <c r="X68" s="16"/>
      <c r="Y68" s="16"/>
      <c r="Z68" s="16"/>
      <c r="AA68" s="16"/>
      <c r="AB68" s="16"/>
      <c r="AC68" s="16"/>
      <c r="AD68" s="16"/>
    </row>
    <row r="69" spans="1:30" ht="15.75" customHeight="1" thickBot="1">
      <c r="A69" s="186" t="s">
        <v>499</v>
      </c>
      <c r="B69" s="231"/>
      <c r="C69" s="231"/>
      <c r="D69" s="231"/>
      <c r="E69" s="231"/>
      <c r="F69" s="231"/>
      <c r="G69" s="231"/>
      <c r="H69" s="231"/>
      <c r="I69" s="231"/>
      <c r="J69" s="231"/>
      <c r="K69" s="123"/>
      <c r="L69" s="123"/>
      <c r="M69" s="16"/>
      <c r="N69" s="16"/>
      <c r="O69" s="16"/>
      <c r="P69" s="16"/>
      <c r="Q69" s="16"/>
      <c r="W69" s="16"/>
      <c r="X69" s="16"/>
      <c r="Y69" s="16"/>
      <c r="Z69" s="16"/>
      <c r="AA69" s="16"/>
      <c r="AB69" s="16"/>
      <c r="AC69" s="16"/>
      <c r="AD69" s="16"/>
    </row>
    <row r="70" spans="1:30" ht="15.75" customHeight="1" thickTop="1" thickBot="1">
      <c r="A70" s="230" t="s">
        <v>476</v>
      </c>
      <c r="B70" s="230" t="s">
        <v>500</v>
      </c>
      <c r="C70" s="230" t="s">
        <v>501</v>
      </c>
      <c r="D70" s="230" t="s">
        <v>502</v>
      </c>
      <c r="E70" s="230" t="s">
        <v>503</v>
      </c>
      <c r="F70" s="230" t="s">
        <v>504</v>
      </c>
      <c r="G70" s="230" t="s">
        <v>505</v>
      </c>
      <c r="H70" s="230" t="s">
        <v>506</v>
      </c>
      <c r="I70" s="230" t="s">
        <v>507</v>
      </c>
      <c r="J70" s="230" t="s">
        <v>508</v>
      </c>
      <c r="K70" s="561" t="s">
        <v>441</v>
      </c>
      <c r="L70" s="561"/>
      <c r="M70" s="561"/>
      <c r="N70" s="561"/>
      <c r="O70" s="570"/>
      <c r="P70" s="726" t="s">
        <v>434</v>
      </c>
      <c r="Q70" s="727"/>
      <c r="R70" s="16"/>
      <c r="S70" s="16"/>
      <c r="V70" s="16"/>
      <c r="W70" s="16"/>
      <c r="X70" s="16"/>
      <c r="Y70" s="16"/>
      <c r="Z70" s="16"/>
      <c r="AA70" s="16"/>
    </row>
    <row r="71" spans="1:30" ht="15.75" customHeight="1" thickTop="1">
      <c r="A71" s="327" t="s">
        <v>509</v>
      </c>
      <c r="B71" s="323" t="s">
        <v>267</v>
      </c>
      <c r="C71" s="323" t="s">
        <v>510</v>
      </c>
      <c r="D71" s="323">
        <v>1.5</v>
      </c>
      <c r="E71" s="328">
        <v>42</v>
      </c>
      <c r="F71" s="326">
        <f>Aloha!$D71*Aloha!$E71</f>
        <v>63</v>
      </c>
      <c r="G71" s="245"/>
      <c r="H71" s="332">
        <f>IF($B71= "","-",IF($B71= "External","Specify location tariff", INDEX(Constants!$3:$3,MATCH($B71,Constants!$2:$2,0))))</f>
        <v>45</v>
      </c>
      <c r="I71" s="333">
        <f t="shared" ref="I71:I87" si="2">IF($H71="-","-",IF($H71="Specify location tariff","-",$H71*$F71))</f>
        <v>2835</v>
      </c>
      <c r="J71" s="247"/>
      <c r="K71" s="562"/>
      <c r="L71" s="562"/>
      <c r="M71" s="562"/>
      <c r="N71" s="562"/>
      <c r="O71" s="562"/>
      <c r="P71" s="564" t="s">
        <v>511</v>
      </c>
      <c r="Q71" s="565"/>
      <c r="R71" s="16"/>
      <c r="S71" s="16"/>
      <c r="V71" s="16"/>
      <c r="W71" s="16"/>
      <c r="X71" s="16"/>
      <c r="Y71" s="16"/>
      <c r="Z71" s="16"/>
      <c r="AA71" s="16"/>
    </row>
    <row r="72" spans="1:30" ht="15.75" customHeight="1">
      <c r="A72" s="334" t="s">
        <v>509</v>
      </c>
      <c r="B72" s="334" t="s">
        <v>270</v>
      </c>
      <c r="C72" s="334" t="s">
        <v>512</v>
      </c>
      <c r="D72" s="335">
        <v>1</v>
      </c>
      <c r="E72" s="336">
        <v>21</v>
      </c>
      <c r="F72" s="326">
        <f>Aloha!$D72*Aloha!$E72</f>
        <v>21</v>
      </c>
      <c r="G72" s="245"/>
      <c r="H72" s="332">
        <f>IF($B72= "","-",IF($B72= "External","Specify location tariff", INDEX(Constants!$3:$3,MATCH($B72,Constants!$2:$2,0))))</f>
        <v>65</v>
      </c>
      <c r="I72" s="333">
        <f t="shared" si="2"/>
        <v>1365</v>
      </c>
      <c r="J72" s="247"/>
      <c r="K72" s="562"/>
      <c r="L72" s="562"/>
      <c r="M72" s="562"/>
      <c r="N72" s="562"/>
      <c r="O72" s="562"/>
      <c r="P72" s="566"/>
      <c r="Q72" s="567"/>
      <c r="R72" s="16"/>
      <c r="S72" s="16"/>
      <c r="V72" s="16"/>
      <c r="W72" s="16"/>
      <c r="X72" s="16"/>
      <c r="Y72" s="16"/>
      <c r="Z72" s="16"/>
      <c r="AA72" s="16"/>
    </row>
    <row r="73" spans="1:30" ht="15.75" customHeight="1">
      <c r="A73" s="323" t="s">
        <v>509</v>
      </c>
      <c r="B73" s="323" t="s">
        <v>270</v>
      </c>
      <c r="C73" s="323" t="s">
        <v>513</v>
      </c>
      <c r="D73" s="323">
        <v>3</v>
      </c>
      <c r="E73" s="328">
        <v>21</v>
      </c>
      <c r="F73" s="326">
        <f>Aloha!$D73*Aloha!$E73</f>
        <v>63</v>
      </c>
      <c r="G73" s="245"/>
      <c r="H73" s="332">
        <f>IF($B73= "","-",IF($B73= "External","Specify location tariff", INDEX(Constants!$3:$3,MATCH($B73,Constants!$2:$2,0))))</f>
        <v>65</v>
      </c>
      <c r="I73" s="333">
        <f t="shared" si="2"/>
        <v>4095</v>
      </c>
      <c r="J73" s="247"/>
      <c r="K73" s="562"/>
      <c r="L73" s="562"/>
      <c r="M73" s="562"/>
      <c r="N73" s="562"/>
      <c r="O73" s="562"/>
      <c r="P73" s="566"/>
      <c r="Q73" s="567"/>
      <c r="R73" s="16"/>
      <c r="S73" s="16"/>
      <c r="V73" s="16"/>
      <c r="W73" s="16"/>
      <c r="X73" s="16"/>
      <c r="Y73" s="16"/>
      <c r="Z73" s="16"/>
      <c r="AA73" s="16"/>
    </row>
    <row r="74" spans="1:30" ht="15.75" customHeight="1">
      <c r="A74" s="323" t="s">
        <v>509</v>
      </c>
      <c r="B74" s="323" t="s">
        <v>270</v>
      </c>
      <c r="C74" s="323" t="s">
        <v>514</v>
      </c>
      <c r="D74" s="323">
        <v>1</v>
      </c>
      <c r="E74" s="328">
        <v>21</v>
      </c>
      <c r="F74" s="326">
        <f>Aloha!$D74*Aloha!$E74</f>
        <v>21</v>
      </c>
      <c r="G74" s="245"/>
      <c r="H74" s="332">
        <f>IF($B74= "","-",IF($B74= "External","Specify location tariff", INDEX(Constants!$3:$3,MATCH($B74,Constants!$2:$2,0))))</f>
        <v>65</v>
      </c>
      <c r="I74" s="333">
        <f t="shared" si="2"/>
        <v>1365</v>
      </c>
      <c r="J74" s="247"/>
      <c r="K74" s="562"/>
      <c r="L74" s="562"/>
      <c r="M74" s="562"/>
      <c r="N74" s="562"/>
      <c r="O74" s="562"/>
      <c r="P74" s="566"/>
      <c r="Q74" s="567"/>
      <c r="R74" s="16"/>
      <c r="S74" s="16"/>
      <c r="V74" s="16"/>
      <c r="W74" s="16"/>
      <c r="X74" s="16"/>
      <c r="Y74" s="16"/>
      <c r="Z74" s="16"/>
      <c r="AA74" s="16"/>
    </row>
    <row r="75" spans="1:30" ht="15.75" customHeight="1">
      <c r="A75" s="327" t="s">
        <v>509</v>
      </c>
      <c r="B75" s="323" t="s">
        <v>271</v>
      </c>
      <c r="C75" s="323" t="s">
        <v>515</v>
      </c>
      <c r="D75" s="323">
        <v>1</v>
      </c>
      <c r="E75" s="328">
        <v>21</v>
      </c>
      <c r="F75" s="326">
        <f>Aloha!$D75*Aloha!$E75</f>
        <v>21</v>
      </c>
      <c r="G75" s="245"/>
      <c r="H75" s="332">
        <f>IF($B75= "","-",IF($B75= "External","Specify location tariff", INDEX(Constants!$3:$3,MATCH($B75,Constants!$2:$2,0))))</f>
        <v>70</v>
      </c>
      <c r="I75" s="333">
        <f t="shared" si="2"/>
        <v>1470</v>
      </c>
      <c r="J75" s="247"/>
      <c r="K75" s="562"/>
      <c r="L75" s="562"/>
      <c r="M75" s="562"/>
      <c r="N75" s="562"/>
      <c r="O75" s="562"/>
      <c r="P75" s="566"/>
      <c r="Q75" s="567"/>
      <c r="R75" s="16"/>
      <c r="S75" s="16"/>
      <c r="V75" s="16"/>
      <c r="W75" s="16"/>
      <c r="X75" s="16"/>
      <c r="Y75" s="16"/>
      <c r="Z75" s="16"/>
      <c r="AA75" s="16"/>
    </row>
    <row r="76" spans="1:30" ht="15.75" customHeight="1">
      <c r="A76" s="323" t="s">
        <v>509</v>
      </c>
      <c r="B76" s="323" t="s">
        <v>271</v>
      </c>
      <c r="C76" s="323" t="s">
        <v>513</v>
      </c>
      <c r="D76" s="323">
        <v>1</v>
      </c>
      <c r="E76" s="328">
        <v>21</v>
      </c>
      <c r="F76" s="326">
        <f>Aloha!$D76*Aloha!$E76</f>
        <v>21</v>
      </c>
      <c r="G76" s="245"/>
      <c r="H76" s="332">
        <f>IF($B76= "","-",IF($B76= "External","Specify location tariff", INDEX(Constants!$3:$3,MATCH($B76,Constants!$2:$2,0))))</f>
        <v>70</v>
      </c>
      <c r="I76" s="333">
        <f t="shared" si="2"/>
        <v>1470</v>
      </c>
      <c r="J76" s="247"/>
      <c r="K76" s="562"/>
      <c r="L76" s="562"/>
      <c r="M76" s="562"/>
      <c r="N76" s="562"/>
      <c r="O76" s="562"/>
      <c r="P76" s="566"/>
      <c r="Q76" s="567"/>
      <c r="R76" s="16"/>
      <c r="S76" s="16"/>
      <c r="V76" s="16"/>
      <c r="W76" s="16"/>
      <c r="X76" s="16"/>
      <c r="Y76" s="16"/>
      <c r="Z76" s="16"/>
      <c r="AA76" s="16"/>
    </row>
    <row r="77" spans="1:30" ht="15.75" customHeight="1">
      <c r="A77" s="231" t="s">
        <v>509</v>
      </c>
      <c r="B77" s="231" t="s">
        <v>271</v>
      </c>
      <c r="C77" s="231" t="s">
        <v>514</v>
      </c>
      <c r="D77" s="323">
        <v>1</v>
      </c>
      <c r="E77" s="328">
        <v>21</v>
      </c>
      <c r="F77" s="326">
        <f>Aloha!$D77*Aloha!$E77</f>
        <v>21</v>
      </c>
      <c r="G77" s="245"/>
      <c r="H77" s="332">
        <f>IF($B77= "","-",IF($B77= "External","Specify location tariff", INDEX(Constants!$3:$3,MATCH($B77,Constants!$2:$2,0))))</f>
        <v>70</v>
      </c>
      <c r="I77" s="333">
        <f t="shared" si="2"/>
        <v>1470</v>
      </c>
      <c r="J77" s="247"/>
      <c r="K77" s="562"/>
      <c r="L77" s="562"/>
      <c r="M77" s="562"/>
      <c r="N77" s="562"/>
      <c r="O77" s="562"/>
      <c r="P77" s="566"/>
      <c r="Q77" s="567"/>
      <c r="R77" s="16"/>
      <c r="S77" s="16"/>
      <c r="V77" s="16"/>
      <c r="W77" s="16"/>
      <c r="X77" s="16"/>
      <c r="Y77" s="16"/>
      <c r="Z77" s="16"/>
      <c r="AA77" s="16"/>
    </row>
    <row r="78" spans="1:30" ht="15.75" customHeight="1">
      <c r="A78" s="323" t="s">
        <v>509</v>
      </c>
      <c r="B78" s="323" t="s">
        <v>249</v>
      </c>
      <c r="C78" s="323" t="s">
        <v>516</v>
      </c>
      <c r="D78" s="323">
        <v>2</v>
      </c>
      <c r="E78" s="328">
        <v>21</v>
      </c>
      <c r="F78" s="326">
        <f>Aloha!$D78*Aloha!$E78</f>
        <v>42</v>
      </c>
      <c r="G78" s="245"/>
      <c r="H78" s="332">
        <f>IF($B78= "","-",IF($B78= "External","Specify location tariff", INDEX(Constants!$3:$3,MATCH($B78,Constants!$2:$2,0))))</f>
        <v>35</v>
      </c>
      <c r="I78" s="333">
        <f t="shared" si="2"/>
        <v>1470</v>
      </c>
      <c r="J78" s="247"/>
      <c r="K78" s="562"/>
      <c r="L78" s="562"/>
      <c r="M78" s="562"/>
      <c r="N78" s="562"/>
      <c r="O78" s="562"/>
      <c r="P78" s="566"/>
      <c r="Q78" s="567"/>
      <c r="R78" s="16"/>
      <c r="S78" s="16"/>
      <c r="V78" s="16"/>
      <c r="W78" s="16"/>
      <c r="X78" s="16"/>
      <c r="Y78" s="16"/>
      <c r="Z78" s="16"/>
      <c r="AA78" s="16"/>
    </row>
    <row r="79" spans="1:30" ht="15.75" customHeight="1">
      <c r="A79" s="319" t="s">
        <v>517</v>
      </c>
      <c r="B79" s="231" t="s">
        <v>272</v>
      </c>
      <c r="C79" s="323" t="s">
        <v>518</v>
      </c>
      <c r="D79" s="327">
        <v>1</v>
      </c>
      <c r="E79" s="328">
        <v>1</v>
      </c>
      <c r="F79" s="326">
        <f>Aloha!$D79*Aloha!$E79</f>
        <v>1</v>
      </c>
      <c r="G79" s="245"/>
      <c r="H79" s="332">
        <v>200</v>
      </c>
      <c r="I79" s="333">
        <f t="shared" si="2"/>
        <v>200</v>
      </c>
      <c r="J79" s="247"/>
      <c r="K79" s="562"/>
      <c r="L79" s="562"/>
      <c r="M79" s="562"/>
      <c r="N79" s="562"/>
      <c r="O79" s="562"/>
      <c r="P79" s="566"/>
      <c r="Q79" s="567"/>
      <c r="R79" s="16"/>
      <c r="S79" s="16"/>
      <c r="V79" s="16"/>
      <c r="W79" s="16"/>
      <c r="X79" s="16"/>
      <c r="Y79" s="16"/>
      <c r="Z79" s="16"/>
      <c r="AA79" s="16"/>
    </row>
    <row r="80" spans="1:30" ht="15.75" customHeight="1">
      <c r="A80" s="231"/>
      <c r="B80" s="231"/>
      <c r="C80" s="232"/>
      <c r="D80" s="261"/>
      <c r="E80" s="245"/>
      <c r="F80" s="326">
        <f>Aloha!$D80*Aloha!$E80</f>
        <v>0</v>
      </c>
      <c r="G80" s="245"/>
      <c r="H80" s="332" t="str">
        <f>IF($B80= "","-",IF($B80= "External","Specify location tariff", INDEX(Constants!$3:$3,MATCH($B80,Constants!$2:$2,0))))</f>
        <v>-</v>
      </c>
      <c r="I80" s="333" t="str">
        <f t="shared" si="2"/>
        <v>-</v>
      </c>
      <c r="J80" s="247"/>
      <c r="K80" s="562"/>
      <c r="L80" s="562"/>
      <c r="M80" s="562"/>
      <c r="N80" s="562"/>
      <c r="O80" s="562"/>
      <c r="P80" s="566"/>
      <c r="Q80" s="567"/>
      <c r="R80" s="16"/>
      <c r="S80" s="16"/>
      <c r="V80" s="16"/>
      <c r="W80" s="16"/>
      <c r="X80" s="16"/>
      <c r="Y80" s="16"/>
      <c r="Z80" s="16"/>
      <c r="AA80" s="16"/>
    </row>
    <row r="81" spans="1:30" ht="15.75" customHeight="1">
      <c r="A81" s="231"/>
      <c r="B81" s="231"/>
      <c r="C81" s="232"/>
      <c r="D81" s="261"/>
      <c r="E81" s="245"/>
      <c r="F81" s="326">
        <f>Aloha!$D81*Aloha!$E81</f>
        <v>0</v>
      </c>
      <c r="G81" s="245"/>
      <c r="H81" s="332" t="str">
        <f>IF($B81= "","-",IF($B81= "External","Specify location tariff", INDEX(Constants!$3:$3,MATCH($B81,Constants!$2:$2,0))))</f>
        <v>-</v>
      </c>
      <c r="I81" s="333" t="str">
        <f t="shared" si="2"/>
        <v>-</v>
      </c>
      <c r="J81" s="247"/>
      <c r="K81" s="562"/>
      <c r="L81" s="562"/>
      <c r="M81" s="562"/>
      <c r="N81" s="562"/>
      <c r="O81" s="562"/>
      <c r="P81" s="566"/>
      <c r="Q81" s="567"/>
      <c r="R81" s="16"/>
      <c r="S81" s="16"/>
      <c r="V81" s="16"/>
      <c r="W81" s="16"/>
      <c r="X81" s="16"/>
      <c r="Y81" s="16"/>
      <c r="Z81" s="16"/>
      <c r="AA81" s="16"/>
    </row>
    <row r="82" spans="1:30" ht="15.75" customHeight="1">
      <c r="A82" s="231"/>
      <c r="B82" s="231"/>
      <c r="C82" s="232"/>
      <c r="D82" s="261"/>
      <c r="E82" s="245"/>
      <c r="F82" s="326">
        <f>Aloha!$D82*Aloha!$E82</f>
        <v>0</v>
      </c>
      <c r="G82" s="245"/>
      <c r="H82" s="332" t="str">
        <f>IF($B82= "","-",IF($B82= "External","Specify location tariff", INDEX(Constants!$3:$3,MATCH($B82,Constants!$2:$2,0))))</f>
        <v>-</v>
      </c>
      <c r="I82" s="333" t="str">
        <f t="shared" si="2"/>
        <v>-</v>
      </c>
      <c r="J82" s="247"/>
      <c r="K82" s="562"/>
      <c r="L82" s="562"/>
      <c r="M82" s="562"/>
      <c r="N82" s="562"/>
      <c r="O82" s="562"/>
      <c r="P82" s="566"/>
      <c r="Q82" s="567"/>
      <c r="R82" s="16"/>
      <c r="S82" s="16"/>
      <c r="V82" s="16"/>
      <c r="W82" s="16"/>
      <c r="X82" s="16"/>
      <c r="Y82" s="16"/>
      <c r="Z82" s="16"/>
      <c r="AA82" s="16"/>
    </row>
    <row r="83" spans="1:30" ht="15.75" customHeight="1">
      <c r="A83" s="231"/>
      <c r="B83" s="231"/>
      <c r="C83" s="232"/>
      <c r="D83" s="261"/>
      <c r="E83" s="245"/>
      <c r="F83" s="326">
        <f>Aloha!$D83*Aloha!$E83</f>
        <v>0</v>
      </c>
      <c r="G83" s="245"/>
      <c r="H83" s="332" t="str">
        <f>IF($B83= "","-",IF($B83= "External","Specify location tariff", INDEX(Constants!$3:$3,MATCH($B83,Constants!$2:$2,0))))</f>
        <v>-</v>
      </c>
      <c r="I83" s="333" t="str">
        <f t="shared" si="2"/>
        <v>-</v>
      </c>
      <c r="J83" s="247"/>
      <c r="K83" s="562"/>
      <c r="L83" s="562"/>
      <c r="M83" s="562"/>
      <c r="N83" s="562"/>
      <c r="O83" s="562"/>
      <c r="P83" s="566"/>
      <c r="Q83" s="567"/>
      <c r="R83" s="16"/>
      <c r="S83" s="16"/>
      <c r="V83" s="16"/>
      <c r="W83" s="16"/>
      <c r="X83" s="16"/>
      <c r="Y83" s="16"/>
      <c r="Z83" s="16"/>
      <c r="AA83" s="16"/>
    </row>
    <row r="84" spans="1:30" ht="15.75" customHeight="1">
      <c r="A84" s="231"/>
      <c r="B84" s="231"/>
      <c r="C84" s="232"/>
      <c r="D84" s="261"/>
      <c r="E84" s="245"/>
      <c r="F84" s="326">
        <f>Aloha!$D84*Aloha!$E84</f>
        <v>0</v>
      </c>
      <c r="G84" s="245"/>
      <c r="H84" s="332" t="str">
        <f>IF($B84= "","-",IF($B84= "External","Specify location tariff", INDEX(Constants!$3:$3,MATCH($B84,Constants!$2:$2,0))))</f>
        <v>-</v>
      </c>
      <c r="I84" s="333" t="str">
        <f t="shared" si="2"/>
        <v>-</v>
      </c>
      <c r="J84" s="247"/>
      <c r="K84" s="562"/>
      <c r="L84" s="562"/>
      <c r="M84" s="562"/>
      <c r="N84" s="562"/>
      <c r="O84" s="562"/>
      <c r="P84" s="566"/>
      <c r="Q84" s="567"/>
      <c r="R84" s="16"/>
      <c r="S84" s="16"/>
      <c r="V84" s="16"/>
      <c r="W84" s="16"/>
      <c r="X84" s="16"/>
      <c r="Y84" s="16"/>
      <c r="Z84" s="16"/>
      <c r="AA84" s="16"/>
    </row>
    <row r="85" spans="1:30" ht="15.75" customHeight="1">
      <c r="A85" s="231"/>
      <c r="B85" s="231"/>
      <c r="C85" s="232"/>
      <c r="D85" s="261"/>
      <c r="E85" s="245"/>
      <c r="F85" s="326">
        <f>Aloha!$D85*Aloha!$E85</f>
        <v>0</v>
      </c>
      <c r="G85" s="245"/>
      <c r="H85" s="332" t="str">
        <f>IF($B85= "","-",IF($B85= "External","Specify location tariff", INDEX(Constants!$3:$3,MATCH($B85,Constants!$2:$2,0))))</f>
        <v>-</v>
      </c>
      <c r="I85" s="333" t="str">
        <f t="shared" si="2"/>
        <v>-</v>
      </c>
      <c r="J85" s="247"/>
      <c r="K85" s="562"/>
      <c r="L85" s="562"/>
      <c r="M85" s="562"/>
      <c r="N85" s="562"/>
      <c r="O85" s="562"/>
      <c r="P85" s="566"/>
      <c r="Q85" s="567"/>
      <c r="R85" s="16"/>
      <c r="S85" s="16"/>
      <c r="V85" s="16"/>
      <c r="W85" s="16"/>
      <c r="X85" s="16"/>
      <c r="Y85" s="16"/>
      <c r="Z85" s="16"/>
      <c r="AA85" s="16"/>
    </row>
    <row r="86" spans="1:30" ht="15.75" customHeight="1">
      <c r="A86" s="231"/>
      <c r="B86" s="231"/>
      <c r="C86" s="232"/>
      <c r="D86" s="261"/>
      <c r="E86" s="245"/>
      <c r="F86" s="326">
        <f>Aloha!$D86*Aloha!$E86</f>
        <v>0</v>
      </c>
      <c r="G86" s="245"/>
      <c r="H86" s="332" t="str">
        <f>IF($B86= "","-",IF($B86= "External","Specify location tariff", INDEX(Constants!$3:$3,MATCH($B86,Constants!$2:$2,0))))</f>
        <v>-</v>
      </c>
      <c r="I86" s="333" t="str">
        <f t="shared" si="2"/>
        <v>-</v>
      </c>
      <c r="J86" s="247"/>
      <c r="K86" s="562"/>
      <c r="L86" s="562"/>
      <c r="M86" s="562"/>
      <c r="N86" s="562"/>
      <c r="O86" s="562"/>
      <c r="P86" s="566"/>
      <c r="Q86" s="567"/>
      <c r="R86" s="16"/>
      <c r="S86" s="16"/>
      <c r="V86" s="16"/>
      <c r="W86" s="16"/>
      <c r="X86" s="16"/>
      <c r="Y86" s="16"/>
      <c r="Z86" s="16"/>
      <c r="AA86" s="16"/>
    </row>
    <row r="87" spans="1:30" ht="15.75" customHeight="1" thickBot="1">
      <c r="A87" s="231"/>
      <c r="B87" s="231"/>
      <c r="C87" s="232"/>
      <c r="D87" s="261"/>
      <c r="E87" s="245"/>
      <c r="F87" s="326">
        <f>Aloha!$D87*Aloha!$E87</f>
        <v>0</v>
      </c>
      <c r="G87" s="245"/>
      <c r="H87" s="332" t="str">
        <f>IF($B87= "","-",IF($B87= "External","Specify location tariff", INDEX(Constants!$3:$3,MATCH($B87,Constants!$2:$2,0))))</f>
        <v>-</v>
      </c>
      <c r="I87" s="333" t="str">
        <f t="shared" si="2"/>
        <v>-</v>
      </c>
      <c r="J87" s="247"/>
      <c r="K87" s="563"/>
      <c r="L87" s="563"/>
      <c r="M87" s="563"/>
      <c r="N87" s="563"/>
      <c r="O87" s="563"/>
      <c r="P87" s="568"/>
      <c r="Q87" s="569"/>
      <c r="R87" s="16"/>
      <c r="S87" s="16"/>
      <c r="V87" s="16"/>
      <c r="W87" s="16"/>
      <c r="X87" s="16"/>
      <c r="Y87" s="16"/>
      <c r="Z87" s="16"/>
      <c r="AA87" s="16"/>
    </row>
    <row r="88" spans="1:30" ht="15.75" customHeight="1" thickTop="1">
      <c r="A88" s="15"/>
      <c r="B88" s="16"/>
      <c r="C88" s="16"/>
      <c r="D88" s="16"/>
      <c r="E88" s="16"/>
      <c r="F88" s="16"/>
      <c r="G88" s="16"/>
      <c r="H88" s="16"/>
      <c r="I88" s="16"/>
      <c r="J88" s="16"/>
      <c r="K88" s="16"/>
      <c r="L88" s="16"/>
      <c r="M88" s="16"/>
      <c r="N88" s="16"/>
      <c r="O88" s="16"/>
      <c r="P88" s="16"/>
      <c r="Q88" s="16"/>
      <c r="R88" s="16"/>
      <c r="S88" s="16"/>
      <c r="T88" s="16"/>
      <c r="U88" s="16"/>
      <c r="V88" s="16"/>
      <c r="W88" s="16"/>
      <c r="X88" s="16"/>
      <c r="Y88" s="16"/>
      <c r="Z88" s="16"/>
      <c r="AA88" s="16"/>
      <c r="AB88" s="16"/>
      <c r="AC88" s="16"/>
      <c r="AD88" s="16"/>
    </row>
    <row r="89" spans="1:30" ht="15.75" customHeight="1">
      <c r="A89" s="15"/>
      <c r="B89" s="16"/>
      <c r="C89" s="16"/>
      <c r="D89" s="16"/>
      <c r="E89" s="16"/>
      <c r="F89" s="16"/>
      <c r="G89" s="16"/>
      <c r="H89" s="16"/>
      <c r="I89" s="16"/>
      <c r="J89" s="16"/>
      <c r="K89" s="16"/>
      <c r="L89" s="16"/>
      <c r="M89" s="16"/>
      <c r="N89" s="16"/>
      <c r="O89" s="16"/>
      <c r="P89" s="16"/>
      <c r="Q89" s="16"/>
      <c r="R89" s="16"/>
      <c r="S89" s="16"/>
      <c r="T89" s="16"/>
      <c r="U89" s="16"/>
      <c r="V89" s="16"/>
      <c r="W89" s="16"/>
      <c r="X89" s="16"/>
      <c r="Y89" s="16"/>
      <c r="Z89" s="16"/>
      <c r="AA89" s="16"/>
      <c r="AB89" s="16"/>
      <c r="AC89" s="16"/>
      <c r="AD89" s="16"/>
    </row>
    <row r="90" spans="1:30" ht="15.75" customHeight="1" thickBot="1">
      <c r="A90" s="186" t="s">
        <v>519</v>
      </c>
      <c r="B90" s="16"/>
      <c r="C90" s="128"/>
      <c r="D90" s="51"/>
      <c r="E90" s="51"/>
      <c r="F90" s="51"/>
      <c r="G90" s="51"/>
      <c r="H90" s="51"/>
      <c r="I90" s="51"/>
      <c r="J90" s="51"/>
      <c r="K90" s="51"/>
      <c r="L90" s="232"/>
      <c r="M90" s="231"/>
      <c r="N90" s="16"/>
      <c r="O90" s="16"/>
      <c r="P90" s="16"/>
      <c r="Q90" s="16"/>
      <c r="R90" s="16"/>
      <c r="S90" s="16"/>
      <c r="T90" s="16"/>
      <c r="U90" s="16"/>
      <c r="V90" s="16"/>
      <c r="W90" s="16"/>
      <c r="X90" s="16"/>
      <c r="Y90" s="16"/>
      <c r="Z90" s="16"/>
      <c r="AA90" s="16"/>
      <c r="AB90" s="16"/>
      <c r="AC90" s="16"/>
      <c r="AD90" s="16"/>
    </row>
    <row r="91" spans="1:30" ht="15" customHeight="1" thickTop="1" thickBot="1">
      <c r="A91" s="230" t="s">
        <v>438</v>
      </c>
      <c r="B91" s="230" t="s">
        <v>439</v>
      </c>
      <c r="C91" s="230" t="s">
        <v>520</v>
      </c>
      <c r="D91" s="230" t="s">
        <v>521</v>
      </c>
      <c r="E91" s="230" t="s">
        <v>522</v>
      </c>
      <c r="F91" s="230" t="s">
        <v>523</v>
      </c>
      <c r="G91" s="230" t="s">
        <v>508</v>
      </c>
      <c r="H91" s="721" t="s">
        <v>441</v>
      </c>
      <c r="I91" s="728"/>
      <c r="J91" s="729" t="s">
        <v>434</v>
      </c>
      <c r="K91" s="730"/>
      <c r="L91" s="16"/>
      <c r="M91" s="16"/>
      <c r="N91" s="16"/>
      <c r="O91" s="16"/>
      <c r="P91" s="117"/>
      <c r="Q91" s="15"/>
      <c r="R91" s="16"/>
      <c r="S91" s="130"/>
      <c r="T91" s="16"/>
      <c r="U91" s="16"/>
      <c r="V91" s="16"/>
      <c r="W91" s="241"/>
      <c r="X91" s="16"/>
      <c r="Y91" s="16"/>
      <c r="Z91" s="16"/>
      <c r="AA91" s="16"/>
      <c r="AB91" s="16"/>
    </row>
    <row r="92" spans="1:30" ht="14.25" customHeight="1" thickTop="1">
      <c r="A92" s="244" t="s">
        <v>524</v>
      </c>
      <c r="B92" s="244" t="s">
        <v>525</v>
      </c>
      <c r="C92" s="331"/>
      <c r="D92" s="337"/>
      <c r="E92" s="338">
        <v>10</v>
      </c>
      <c r="F92" s="339">
        <v>500</v>
      </c>
      <c r="G92" s="247"/>
      <c r="H92" s="558"/>
      <c r="I92" s="696"/>
      <c r="J92" s="559" t="s">
        <v>526</v>
      </c>
      <c r="K92" s="730"/>
      <c r="L92" s="16"/>
      <c r="M92" s="16"/>
      <c r="N92" s="16"/>
      <c r="O92" s="16"/>
      <c r="P92" s="16"/>
      <c r="Q92" s="133"/>
      <c r="R92" s="16"/>
      <c r="S92" s="16"/>
      <c r="T92" s="16"/>
      <c r="U92" s="16"/>
      <c r="V92" s="16"/>
      <c r="W92" s="16"/>
      <c r="X92" s="16"/>
      <c r="Y92" s="16"/>
      <c r="Z92" s="16"/>
      <c r="AA92" s="16"/>
      <c r="AB92" s="16"/>
    </row>
    <row r="93" spans="1:30" ht="15.75" customHeight="1">
      <c r="A93" s="244" t="s">
        <v>527</v>
      </c>
      <c r="B93" s="244" t="s">
        <v>528</v>
      </c>
      <c r="C93" s="339">
        <v>100</v>
      </c>
      <c r="D93" s="338">
        <v>2</v>
      </c>
      <c r="E93" s="338">
        <v>1</v>
      </c>
      <c r="F93" s="339">
        <v>50</v>
      </c>
      <c r="G93" s="247"/>
      <c r="H93" s="696"/>
      <c r="I93" s="696"/>
      <c r="J93" s="731"/>
      <c r="K93" s="732"/>
      <c r="L93" s="16"/>
      <c r="M93" s="16"/>
      <c r="N93" s="16"/>
      <c r="O93" s="16"/>
      <c r="P93" s="16"/>
      <c r="Q93" s="16"/>
      <c r="R93" s="16"/>
      <c r="S93" s="16"/>
      <c r="T93" s="16"/>
      <c r="U93" s="16"/>
      <c r="V93" s="16"/>
      <c r="W93" s="16"/>
      <c r="X93" s="16"/>
      <c r="Y93" s="16"/>
      <c r="Z93" s="16"/>
      <c r="AA93" s="16"/>
      <c r="AB93" s="16"/>
    </row>
    <row r="94" spans="1:30" ht="15.75" customHeight="1">
      <c r="A94" s="244" t="s">
        <v>529</v>
      </c>
      <c r="B94" s="244" t="s">
        <v>528</v>
      </c>
      <c r="C94" s="339">
        <v>250</v>
      </c>
      <c r="D94" s="338">
        <v>10</v>
      </c>
      <c r="E94" s="338">
        <v>6</v>
      </c>
      <c r="F94" s="339">
        <v>150</v>
      </c>
      <c r="G94" s="247"/>
      <c r="H94" s="696"/>
      <c r="I94" s="696"/>
      <c r="J94" s="731"/>
      <c r="K94" s="732"/>
      <c r="L94" s="16"/>
      <c r="M94" s="16"/>
      <c r="N94" s="16"/>
      <c r="O94" s="16"/>
      <c r="P94" s="16"/>
      <c r="Q94" s="16"/>
      <c r="R94" s="16"/>
      <c r="S94" s="16"/>
      <c r="T94" s="16"/>
      <c r="U94" s="16"/>
      <c r="V94" s="16"/>
      <c r="W94" s="16"/>
      <c r="X94" s="16"/>
      <c r="Y94" s="16"/>
      <c r="Z94" s="16"/>
      <c r="AA94" s="16"/>
      <c r="AB94" s="16"/>
    </row>
    <row r="95" spans="1:30" ht="15.75" customHeight="1">
      <c r="A95" s="244"/>
      <c r="B95" s="244" t="s">
        <v>525</v>
      </c>
      <c r="C95" s="331"/>
      <c r="D95" s="337"/>
      <c r="E95" s="337"/>
      <c r="F95" s="339">
        <v>20</v>
      </c>
      <c r="G95" s="247"/>
      <c r="H95" s="696"/>
      <c r="I95" s="696"/>
      <c r="J95" s="731"/>
      <c r="K95" s="732"/>
      <c r="L95" s="16"/>
      <c r="M95" s="16"/>
      <c r="N95" s="16"/>
      <c r="O95" s="16"/>
      <c r="P95" s="16"/>
      <c r="Q95" s="16"/>
      <c r="R95" s="16"/>
      <c r="S95" s="16"/>
      <c r="T95" s="16"/>
      <c r="U95" s="16"/>
      <c r="V95" s="16"/>
      <c r="W95" s="16"/>
      <c r="X95" s="16"/>
      <c r="Y95" s="16"/>
      <c r="Z95" s="16"/>
      <c r="AA95" s="16"/>
      <c r="AB95" s="16"/>
    </row>
    <row r="96" spans="1:30" ht="15.75" customHeight="1">
      <c r="A96" s="244" t="s">
        <v>530</v>
      </c>
      <c r="B96" s="244" t="s">
        <v>528</v>
      </c>
      <c r="C96" s="339">
        <v>520</v>
      </c>
      <c r="D96" s="338">
        <v>10</v>
      </c>
      <c r="E96" s="337"/>
      <c r="F96" s="339">
        <v>52</v>
      </c>
      <c r="G96" s="247"/>
      <c r="H96" s="696"/>
      <c r="I96" s="696"/>
      <c r="J96" s="731"/>
      <c r="K96" s="732"/>
      <c r="L96" s="16"/>
      <c r="M96" s="16"/>
      <c r="N96" s="16"/>
      <c r="O96" s="16"/>
      <c r="P96" s="16"/>
      <c r="Q96" s="16"/>
      <c r="R96" s="16"/>
      <c r="S96" s="16"/>
      <c r="T96" s="16"/>
      <c r="U96" s="16"/>
      <c r="V96" s="16"/>
      <c r="W96" s="16"/>
      <c r="X96" s="16"/>
      <c r="Y96" s="16"/>
      <c r="Z96" s="16"/>
      <c r="AA96" s="16"/>
      <c r="AB96" s="16"/>
    </row>
    <row r="97" spans="1:30" ht="15.75" customHeight="1">
      <c r="A97" s="231"/>
      <c r="B97" s="248"/>
      <c r="C97" s="246">
        <v>0</v>
      </c>
      <c r="D97" s="247"/>
      <c r="E97" s="245"/>
      <c r="F97" s="246">
        <v>0</v>
      </c>
      <c r="G97" s="247"/>
      <c r="H97" s="696"/>
      <c r="I97" s="696"/>
      <c r="J97" s="731"/>
      <c r="K97" s="732"/>
      <c r="L97" s="16"/>
      <c r="M97" s="16"/>
      <c r="N97" s="16"/>
      <c r="O97" s="16"/>
      <c r="P97" s="16"/>
      <c r="Q97" s="16"/>
      <c r="R97" s="16"/>
      <c r="S97" s="16"/>
      <c r="T97" s="16"/>
      <c r="U97" s="16"/>
      <c r="V97" s="16"/>
      <c r="W97" s="16"/>
      <c r="X97" s="16"/>
      <c r="Y97" s="16"/>
      <c r="Z97" s="16"/>
      <c r="AA97" s="16"/>
      <c r="AB97" s="16"/>
    </row>
    <row r="98" spans="1:30" ht="15.75" customHeight="1">
      <c r="A98" s="231"/>
      <c r="B98" s="244"/>
      <c r="C98" s="246">
        <v>0</v>
      </c>
      <c r="D98" s="247"/>
      <c r="E98" s="245"/>
      <c r="F98" s="246">
        <v>0</v>
      </c>
      <c r="G98" s="247"/>
      <c r="H98" s="696"/>
      <c r="I98" s="696"/>
      <c r="J98" s="731"/>
      <c r="K98" s="732"/>
      <c r="L98" s="16"/>
      <c r="M98" s="16"/>
      <c r="N98" s="16"/>
      <c r="O98" s="16"/>
      <c r="P98" s="16"/>
      <c r="Q98" s="16"/>
      <c r="R98" s="16"/>
      <c r="S98" s="16"/>
      <c r="T98" s="16"/>
      <c r="U98" s="16"/>
      <c r="V98" s="16"/>
      <c r="W98" s="16"/>
      <c r="X98" s="16"/>
      <c r="Y98" s="16"/>
      <c r="Z98" s="16"/>
      <c r="AA98" s="16"/>
      <c r="AB98" s="16"/>
    </row>
    <row r="99" spans="1:30" ht="15.75" customHeight="1">
      <c r="A99" s="231"/>
      <c r="B99" s="244"/>
      <c r="C99" s="246">
        <v>0</v>
      </c>
      <c r="D99" s="247"/>
      <c r="E99" s="245"/>
      <c r="F99" s="246">
        <v>0</v>
      </c>
      <c r="G99" s="247"/>
      <c r="H99" s="696"/>
      <c r="I99" s="696"/>
      <c r="J99" s="731"/>
      <c r="K99" s="732"/>
      <c r="L99" s="16"/>
      <c r="M99" s="16"/>
      <c r="N99" s="16"/>
      <c r="O99" s="16"/>
      <c r="P99" s="16"/>
      <c r="Q99" s="16"/>
      <c r="R99" s="16"/>
      <c r="S99" s="16"/>
      <c r="T99" s="16"/>
      <c r="U99" s="16"/>
      <c r="V99" s="16"/>
      <c r="W99" s="16"/>
      <c r="X99" s="16"/>
      <c r="Y99" s="16"/>
      <c r="Z99" s="16"/>
      <c r="AA99" s="16"/>
      <c r="AB99" s="16"/>
    </row>
    <row r="100" spans="1:30" ht="15.75" customHeight="1">
      <c r="A100" s="231"/>
      <c r="B100" s="244"/>
      <c r="C100" s="246">
        <v>0</v>
      </c>
      <c r="D100" s="247"/>
      <c r="E100" s="245"/>
      <c r="F100" s="246">
        <v>0</v>
      </c>
      <c r="G100" s="247"/>
      <c r="H100" s="696"/>
      <c r="I100" s="696"/>
      <c r="J100" s="731"/>
      <c r="K100" s="732"/>
      <c r="L100" s="16"/>
      <c r="M100" s="16"/>
      <c r="N100" s="16"/>
      <c r="O100" s="16"/>
      <c r="P100" s="16"/>
      <c r="Q100" s="16"/>
      <c r="R100" s="16"/>
      <c r="S100" s="16"/>
      <c r="T100" s="16"/>
      <c r="U100" s="16"/>
      <c r="V100" s="16"/>
      <c r="W100" s="16"/>
      <c r="X100" s="16"/>
      <c r="Y100" s="16"/>
      <c r="Z100" s="16"/>
      <c r="AA100" s="16"/>
      <c r="AB100" s="16"/>
    </row>
    <row r="101" spans="1:30" ht="15.75" customHeight="1">
      <c r="A101" s="231"/>
      <c r="B101" s="244"/>
      <c r="C101" s="246">
        <v>0</v>
      </c>
      <c r="D101" s="247"/>
      <c r="E101" s="245"/>
      <c r="F101" s="246">
        <v>0</v>
      </c>
      <c r="G101" s="247"/>
      <c r="H101" s="696"/>
      <c r="I101" s="696"/>
      <c r="J101" s="731"/>
      <c r="K101" s="732"/>
      <c r="L101" s="16"/>
      <c r="M101" s="16"/>
      <c r="N101" s="16"/>
      <c r="O101" s="16"/>
      <c r="P101" s="16"/>
      <c r="Q101" s="16"/>
      <c r="R101" s="16"/>
      <c r="S101" s="16"/>
      <c r="T101" s="16"/>
      <c r="U101" s="16"/>
      <c r="V101" s="16"/>
      <c r="W101" s="16"/>
      <c r="X101" s="16"/>
      <c r="Y101" s="16"/>
      <c r="Z101" s="16"/>
      <c r="AA101" s="16"/>
      <c r="AB101" s="16"/>
    </row>
    <row r="102" spans="1:30" ht="15.75" customHeight="1">
      <c r="A102" s="231"/>
      <c r="B102" s="244"/>
      <c r="C102" s="246">
        <v>0</v>
      </c>
      <c r="D102" s="247"/>
      <c r="E102" s="245"/>
      <c r="F102" s="246">
        <v>0</v>
      </c>
      <c r="G102" s="247"/>
      <c r="H102" s="696"/>
      <c r="I102" s="696"/>
      <c r="J102" s="731"/>
      <c r="K102" s="732"/>
      <c r="L102" s="16"/>
      <c r="M102" s="16"/>
      <c r="N102" s="16"/>
      <c r="O102" s="16"/>
      <c r="P102" s="16"/>
      <c r="Q102" s="16"/>
      <c r="R102" s="16"/>
      <c r="S102" s="16"/>
      <c r="T102" s="16"/>
      <c r="U102" s="16"/>
      <c r="V102" s="16"/>
      <c r="W102" s="16"/>
      <c r="X102" s="16"/>
      <c r="Y102" s="16"/>
      <c r="Z102" s="16"/>
      <c r="AA102" s="16"/>
      <c r="AB102" s="16"/>
    </row>
    <row r="103" spans="1:30" ht="15.75" customHeight="1">
      <c r="A103" s="231"/>
      <c r="B103" s="244"/>
      <c r="C103" s="246">
        <v>0</v>
      </c>
      <c r="D103" s="247"/>
      <c r="E103" s="245"/>
      <c r="F103" s="246">
        <v>0</v>
      </c>
      <c r="G103" s="247"/>
      <c r="H103" s="696"/>
      <c r="I103" s="696"/>
      <c r="J103" s="731"/>
      <c r="K103" s="732"/>
      <c r="L103" s="16"/>
      <c r="M103" s="16"/>
      <c r="N103" s="16"/>
      <c r="O103" s="16"/>
      <c r="P103" s="16"/>
      <c r="Q103" s="16"/>
      <c r="R103" s="16"/>
      <c r="S103" s="16"/>
      <c r="T103" s="16"/>
      <c r="U103" s="16"/>
      <c r="V103" s="16"/>
      <c r="W103" s="16"/>
      <c r="X103" s="16"/>
      <c r="Y103" s="16"/>
      <c r="Z103" s="16"/>
      <c r="AA103" s="16"/>
      <c r="AB103" s="16"/>
    </row>
    <row r="104" spans="1:30" ht="15.75" customHeight="1">
      <c r="A104" s="231"/>
      <c r="B104" s="244"/>
      <c r="C104" s="246">
        <v>0</v>
      </c>
      <c r="D104" s="247"/>
      <c r="E104" s="245"/>
      <c r="F104" s="246">
        <v>0</v>
      </c>
      <c r="G104" s="247"/>
      <c r="H104" s="696"/>
      <c r="I104" s="696"/>
      <c r="J104" s="731"/>
      <c r="K104" s="732"/>
      <c r="L104" s="16"/>
      <c r="M104" s="16"/>
      <c r="N104" s="16"/>
      <c r="O104" s="16"/>
      <c r="P104" s="16"/>
      <c r="Q104" s="16"/>
      <c r="R104" s="16"/>
      <c r="S104" s="16"/>
      <c r="T104" s="16"/>
      <c r="U104" s="16"/>
      <c r="V104" s="16"/>
      <c r="W104" s="16"/>
      <c r="X104" s="16"/>
      <c r="Y104" s="16"/>
      <c r="Z104" s="16"/>
      <c r="AA104" s="16"/>
      <c r="AB104" s="16"/>
    </row>
    <row r="105" spans="1:30" ht="15.75" customHeight="1" thickBot="1">
      <c r="A105" s="231"/>
      <c r="B105" s="244"/>
      <c r="C105" s="246">
        <v>0</v>
      </c>
      <c r="D105" s="247"/>
      <c r="E105" s="245"/>
      <c r="F105" s="246">
        <v>0</v>
      </c>
      <c r="G105" s="247"/>
      <c r="H105" s="724"/>
      <c r="I105" s="724"/>
      <c r="J105" s="733"/>
      <c r="K105" s="734"/>
      <c r="L105" s="16"/>
      <c r="M105" s="16"/>
      <c r="N105" s="16"/>
      <c r="O105" s="16"/>
      <c r="P105" s="16"/>
      <c r="Q105" s="16"/>
      <c r="R105" s="16"/>
      <c r="S105" s="16"/>
      <c r="T105" s="16"/>
      <c r="U105" s="16"/>
      <c r="V105" s="16"/>
      <c r="W105" s="16"/>
      <c r="X105" s="16"/>
      <c r="Y105" s="16"/>
      <c r="Z105" s="16"/>
      <c r="AA105" s="16"/>
      <c r="AB105" s="16"/>
    </row>
    <row r="106" spans="1:30" ht="15.75" customHeight="1" thickTop="1">
      <c r="A106" s="15"/>
      <c r="B106" s="131"/>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c r="AD106" s="16"/>
    </row>
    <row r="107" spans="1:30" ht="15.75" customHeight="1">
      <c r="A107" s="15"/>
      <c r="B107" s="131"/>
      <c r="C107" s="16"/>
      <c r="D107" s="16"/>
      <c r="E107" s="16"/>
      <c r="F107" s="16"/>
      <c r="G107" s="16"/>
      <c r="I107" s="16"/>
      <c r="J107" s="16"/>
      <c r="K107" s="16"/>
      <c r="L107" s="16"/>
      <c r="M107" s="16"/>
      <c r="N107" s="16"/>
      <c r="O107" s="16"/>
      <c r="P107" s="16"/>
      <c r="Q107" s="16"/>
      <c r="R107" s="16"/>
      <c r="S107" s="16"/>
      <c r="T107" s="16"/>
      <c r="U107" s="16"/>
      <c r="V107" s="16"/>
      <c r="W107" s="16"/>
      <c r="X107" s="16"/>
      <c r="Y107" s="16"/>
      <c r="Z107" s="16"/>
      <c r="AA107" s="16"/>
      <c r="AB107" s="16"/>
      <c r="AC107" s="16"/>
      <c r="AD107" s="16"/>
    </row>
    <row r="108" spans="1:30" ht="15.75" customHeight="1">
      <c r="H108" s="51"/>
      <c r="I108" s="51"/>
      <c r="J108" s="51"/>
      <c r="K108" s="51"/>
      <c r="L108" s="16"/>
      <c r="M108" s="16"/>
      <c r="N108" s="16"/>
      <c r="O108" s="16"/>
      <c r="P108" s="16"/>
      <c r="Q108" s="16"/>
      <c r="R108" s="16"/>
      <c r="S108" s="16"/>
      <c r="T108" s="16"/>
      <c r="U108" s="16"/>
      <c r="V108" s="16"/>
      <c r="W108" s="16"/>
      <c r="X108" s="16"/>
      <c r="Y108" s="16"/>
      <c r="Z108" s="16"/>
      <c r="AA108" s="16"/>
      <c r="AB108" s="16"/>
      <c r="AC108" s="16"/>
      <c r="AD108" s="16"/>
    </row>
    <row r="109" spans="1:30" ht="15.75" customHeight="1">
      <c r="L109" s="16"/>
      <c r="M109" s="16"/>
      <c r="N109" s="16"/>
      <c r="O109" s="16"/>
      <c r="P109" s="16"/>
      <c r="Q109" s="16"/>
      <c r="R109" s="16"/>
      <c r="S109" s="16"/>
      <c r="T109" s="16"/>
      <c r="U109" s="16"/>
      <c r="V109" s="16"/>
      <c r="W109" s="16"/>
      <c r="X109" s="16"/>
      <c r="Y109" s="16"/>
      <c r="Z109" s="16"/>
      <c r="AA109" s="16"/>
      <c r="AB109" s="16"/>
      <c r="AC109" s="16"/>
      <c r="AD109" s="16"/>
    </row>
    <row r="110" spans="1:30" ht="15.75" customHeight="1">
      <c r="L110" s="16"/>
      <c r="M110" s="16"/>
      <c r="N110" s="16"/>
      <c r="O110" s="16"/>
      <c r="P110" s="16"/>
      <c r="Q110" s="16"/>
      <c r="R110" s="16"/>
      <c r="S110" s="16"/>
      <c r="T110" s="16"/>
      <c r="U110" s="16"/>
      <c r="V110" s="16"/>
      <c r="W110" s="16"/>
      <c r="X110" s="16"/>
      <c r="Y110" s="16"/>
      <c r="Z110" s="16"/>
      <c r="AA110" s="16"/>
      <c r="AB110" s="16"/>
      <c r="AC110" s="16"/>
      <c r="AD110" s="16"/>
    </row>
    <row r="111" spans="1:30" ht="15.75" customHeight="1">
      <c r="L111" s="16"/>
      <c r="M111" s="16"/>
      <c r="N111" s="16"/>
      <c r="O111" s="16"/>
      <c r="P111" s="16"/>
      <c r="Q111" s="16"/>
      <c r="R111" s="16"/>
      <c r="S111" s="16"/>
      <c r="T111" s="16"/>
      <c r="U111" s="16"/>
      <c r="V111" s="16"/>
      <c r="W111" s="16"/>
      <c r="X111" s="16"/>
      <c r="Y111" s="16"/>
      <c r="Z111" s="16"/>
      <c r="AA111" s="16"/>
      <c r="AB111" s="16"/>
      <c r="AC111" s="16"/>
      <c r="AD111" s="16"/>
    </row>
    <row r="112" spans="1:30" ht="15.75" customHeight="1">
      <c r="L112" s="16"/>
      <c r="M112" s="16"/>
      <c r="N112" s="16"/>
      <c r="O112" s="16"/>
      <c r="P112" s="16"/>
      <c r="Q112" s="16"/>
      <c r="R112" s="16"/>
      <c r="S112" s="16"/>
      <c r="T112" s="16"/>
      <c r="U112" s="16"/>
      <c r="V112" s="16"/>
      <c r="W112" s="16"/>
      <c r="X112" s="16"/>
      <c r="Y112" s="16"/>
      <c r="Z112" s="16"/>
      <c r="AA112" s="16"/>
      <c r="AB112" s="16"/>
      <c r="AC112" s="16"/>
      <c r="AD112" s="16"/>
    </row>
    <row r="113" spans="1:30" ht="15.75" customHeight="1">
      <c r="L113" s="16"/>
      <c r="M113" s="16"/>
      <c r="N113" s="16"/>
      <c r="O113" s="16"/>
      <c r="P113" s="16"/>
      <c r="Q113" s="16"/>
      <c r="R113" s="16"/>
      <c r="S113" s="16"/>
      <c r="T113" s="16"/>
      <c r="U113" s="16"/>
      <c r="V113" s="16"/>
      <c r="W113" s="16"/>
      <c r="X113" s="16"/>
      <c r="Y113" s="16"/>
      <c r="Z113" s="16"/>
      <c r="AA113" s="16"/>
      <c r="AB113" s="16"/>
      <c r="AC113" s="16"/>
      <c r="AD113" s="16"/>
    </row>
    <row r="114" spans="1:30" ht="15.75" customHeight="1">
      <c r="L114" s="16"/>
      <c r="M114" s="16"/>
      <c r="N114" s="16"/>
      <c r="O114" s="16"/>
      <c r="P114" s="16"/>
      <c r="Q114" s="16"/>
      <c r="R114" s="16"/>
      <c r="S114" s="16"/>
      <c r="T114" s="16"/>
      <c r="U114" s="16"/>
      <c r="V114" s="16"/>
      <c r="W114" s="16"/>
      <c r="X114" s="16"/>
      <c r="Y114" s="16"/>
      <c r="Z114" s="16"/>
      <c r="AA114" s="16"/>
      <c r="AB114" s="16"/>
      <c r="AC114" s="16"/>
      <c r="AD114" s="16"/>
    </row>
    <row r="115" spans="1:30" ht="15.75" customHeight="1">
      <c r="L115" s="16"/>
      <c r="M115" s="16"/>
      <c r="N115" s="16"/>
      <c r="O115" s="16"/>
      <c r="P115" s="735"/>
      <c r="Q115" s="696"/>
      <c r="R115" s="696"/>
      <c r="S115" s="16"/>
      <c r="T115" s="16"/>
      <c r="U115" s="16"/>
      <c r="V115" s="16"/>
      <c r="W115" s="16"/>
      <c r="X115" s="16"/>
      <c r="Y115" s="16"/>
      <c r="Z115" s="16"/>
      <c r="AA115" s="16"/>
      <c r="AB115" s="16"/>
      <c r="AC115" s="16"/>
      <c r="AD115" s="16"/>
    </row>
    <row r="116" spans="1:30" ht="15.75" customHeight="1">
      <c r="L116" s="16"/>
      <c r="M116" s="16"/>
      <c r="N116" s="16"/>
      <c r="O116" s="16"/>
      <c r="P116" s="735"/>
      <c r="Q116" s="696"/>
      <c r="R116" s="696"/>
      <c r="S116" s="16"/>
      <c r="T116" s="16"/>
      <c r="U116" s="16"/>
      <c r="V116" s="16"/>
      <c r="W116" s="16"/>
      <c r="X116" s="16"/>
      <c r="Y116" s="16"/>
      <c r="Z116" s="16"/>
      <c r="AA116" s="16"/>
      <c r="AB116" s="16"/>
      <c r="AC116" s="16"/>
      <c r="AD116" s="16"/>
    </row>
    <row r="117" spans="1:30" ht="15.75" customHeight="1">
      <c r="L117" s="16"/>
      <c r="M117" s="16"/>
      <c r="N117" s="16"/>
      <c r="O117" s="16"/>
      <c r="P117" s="735"/>
      <c r="Q117" s="696"/>
      <c r="R117" s="696"/>
      <c r="S117" s="16"/>
      <c r="T117" s="16"/>
      <c r="U117" s="16"/>
      <c r="V117" s="16"/>
      <c r="W117" s="16"/>
      <c r="X117" s="16"/>
      <c r="Y117" s="16"/>
      <c r="Z117" s="16"/>
      <c r="AA117" s="16"/>
      <c r="AB117" s="16"/>
      <c r="AC117" s="16"/>
      <c r="AD117" s="16"/>
    </row>
    <row r="118" spans="1:30" ht="15.75" customHeight="1">
      <c r="L118" s="16"/>
      <c r="M118" s="16"/>
      <c r="N118" s="16"/>
      <c r="O118" s="16"/>
      <c r="P118" s="735"/>
      <c r="Q118" s="696"/>
      <c r="R118" s="696"/>
      <c r="S118" s="16"/>
      <c r="T118" s="16"/>
      <c r="U118" s="16"/>
      <c r="V118" s="16"/>
      <c r="W118" s="16"/>
      <c r="X118" s="16"/>
      <c r="Y118" s="16"/>
      <c r="Z118" s="16"/>
      <c r="AA118" s="16"/>
      <c r="AB118" s="16"/>
      <c r="AC118" s="16"/>
      <c r="AD118" s="16"/>
    </row>
    <row r="119" spans="1:30" ht="15.75" customHeight="1">
      <c r="L119" s="16"/>
      <c r="M119" s="16"/>
      <c r="N119" s="16"/>
      <c r="O119" s="16"/>
      <c r="P119" s="735"/>
      <c r="Q119" s="696"/>
      <c r="R119" s="696"/>
      <c r="S119" s="16"/>
      <c r="T119" s="16"/>
      <c r="U119" s="16"/>
      <c r="V119" s="16"/>
      <c r="W119" s="16"/>
      <c r="X119" s="16"/>
      <c r="Y119" s="16"/>
      <c r="Z119" s="16"/>
      <c r="AA119" s="16"/>
      <c r="AB119" s="16"/>
      <c r="AC119" s="16"/>
      <c r="AD119" s="16"/>
    </row>
    <row r="120" spans="1:30" ht="15.75" customHeight="1">
      <c r="L120" s="16"/>
      <c r="M120" s="16"/>
      <c r="N120" s="16"/>
      <c r="O120" s="16"/>
      <c r="P120" s="735"/>
      <c r="Q120" s="696"/>
      <c r="R120" s="696"/>
      <c r="S120" s="16"/>
      <c r="T120" s="16"/>
      <c r="U120" s="16"/>
      <c r="V120" s="16"/>
      <c r="W120" s="16"/>
      <c r="X120" s="16"/>
      <c r="Y120" s="16"/>
      <c r="Z120" s="16"/>
      <c r="AA120" s="16"/>
      <c r="AB120" s="16"/>
      <c r="AC120" s="16"/>
      <c r="AD120" s="16"/>
    </row>
    <row r="121" spans="1:30" ht="15.75" customHeight="1">
      <c r="H121" s="248"/>
      <c r="I121" s="248"/>
      <c r="J121" s="228"/>
      <c r="K121" s="228"/>
      <c r="L121" s="16"/>
      <c r="M121" s="16"/>
      <c r="N121" s="16"/>
      <c r="O121" s="16"/>
      <c r="P121" s="735"/>
      <c r="Q121" s="696"/>
      <c r="R121" s="696"/>
      <c r="S121" s="16"/>
      <c r="T121" s="16"/>
      <c r="U121" s="16"/>
      <c r="V121" s="16"/>
      <c r="W121" s="16"/>
      <c r="X121" s="16"/>
      <c r="Y121" s="16"/>
      <c r="Z121" s="16"/>
      <c r="AA121" s="16"/>
      <c r="AB121" s="16"/>
      <c r="AC121" s="16"/>
      <c r="AD121" s="16"/>
    </row>
    <row r="122" spans="1:30" ht="15.75" customHeight="1">
      <c r="A122" s="231"/>
      <c r="B122" s="231"/>
      <c r="C122" s="246"/>
      <c r="D122" s="247"/>
      <c r="E122" s="245"/>
      <c r="F122" s="246"/>
      <c r="G122" s="247"/>
      <c r="H122" s="248"/>
      <c r="I122" s="248"/>
      <c r="J122" s="228"/>
      <c r="K122" s="228"/>
      <c r="L122" s="16"/>
      <c r="M122" s="16"/>
      <c r="N122" s="16"/>
      <c r="O122" s="16"/>
      <c r="P122" s="16"/>
      <c r="Q122" s="16"/>
      <c r="R122" s="16"/>
      <c r="S122" s="16"/>
      <c r="T122" s="16"/>
      <c r="U122" s="16"/>
      <c r="V122" s="16"/>
      <c r="W122" s="16"/>
      <c r="X122" s="16"/>
      <c r="Y122" s="16"/>
      <c r="Z122" s="16"/>
      <c r="AA122" s="16"/>
      <c r="AB122" s="16"/>
      <c r="AC122" s="16"/>
      <c r="AD122" s="16"/>
    </row>
    <row r="123" spans="1:30" ht="15.75" customHeight="1">
      <c r="A123" s="231"/>
      <c r="B123" s="16"/>
      <c r="C123" s="246"/>
      <c r="D123" s="247"/>
      <c r="E123" s="245"/>
      <c r="F123" s="246"/>
      <c r="G123" s="247"/>
      <c r="H123" s="228"/>
      <c r="I123" s="228"/>
      <c r="J123" s="228"/>
      <c r="K123" s="228"/>
      <c r="L123" s="16"/>
      <c r="M123" s="735"/>
      <c r="N123" s="696"/>
      <c r="O123" s="696"/>
      <c r="P123" s="735"/>
      <c r="Q123" s="696"/>
      <c r="R123" s="696"/>
      <c r="S123" s="696"/>
      <c r="T123" s="696"/>
      <c r="U123" s="16"/>
      <c r="V123" s="16"/>
      <c r="W123" s="16"/>
      <c r="X123" s="16"/>
      <c r="Y123" s="16"/>
      <c r="Z123" s="16"/>
      <c r="AA123" s="16"/>
      <c r="AB123" s="16"/>
      <c r="AC123" s="16"/>
      <c r="AD123" s="16"/>
    </row>
    <row r="124" spans="1:30" ht="15.75" customHeight="1">
      <c r="A124" s="16"/>
      <c r="B124" s="16"/>
      <c r="C124" s="16"/>
      <c r="D124" s="16"/>
      <c r="E124" s="16"/>
      <c r="F124" s="16"/>
      <c r="G124" s="16"/>
      <c r="H124" s="16"/>
      <c r="I124" s="16"/>
      <c r="J124" s="16"/>
      <c r="K124" s="16"/>
      <c r="L124" s="16"/>
      <c r="M124" s="735"/>
      <c r="N124" s="696"/>
      <c r="O124" s="696"/>
      <c r="P124" s="735"/>
      <c r="Q124" s="696"/>
      <c r="R124" s="696"/>
      <c r="S124" s="696"/>
      <c r="T124" s="696"/>
      <c r="U124" s="16"/>
      <c r="V124" s="16"/>
      <c r="W124" s="16"/>
      <c r="X124" s="16"/>
      <c r="Y124" s="16"/>
      <c r="Z124" s="16"/>
      <c r="AA124" s="16"/>
      <c r="AB124" s="16"/>
      <c r="AC124" s="16"/>
      <c r="AD124" s="16"/>
    </row>
    <row r="125" spans="1:30" ht="15.75" customHeight="1">
      <c r="A125" s="16"/>
      <c r="B125" s="16"/>
      <c r="C125" s="16"/>
      <c r="D125" s="16"/>
      <c r="E125" s="16"/>
      <c r="F125" s="16"/>
      <c r="G125" s="16"/>
      <c r="H125" s="16"/>
      <c r="I125" s="16"/>
      <c r="J125" s="16"/>
      <c r="K125" s="16"/>
      <c r="L125" s="16"/>
      <c r="M125" s="735"/>
      <c r="N125" s="696"/>
      <c r="O125" s="696"/>
      <c r="P125" s="696"/>
      <c r="Q125" s="696"/>
      <c r="R125" s="696"/>
      <c r="S125" s="696"/>
      <c r="T125" s="696"/>
      <c r="U125" s="16"/>
      <c r="V125" s="16"/>
      <c r="W125" s="16"/>
      <c r="X125" s="16"/>
      <c r="Y125" s="16"/>
      <c r="Z125" s="16"/>
      <c r="AA125" s="16"/>
      <c r="AB125" s="16"/>
      <c r="AC125" s="16"/>
      <c r="AD125" s="16"/>
    </row>
    <row r="126" spans="1:30" ht="15.75" customHeight="1">
      <c r="A126" s="16"/>
      <c r="B126" s="16"/>
      <c r="C126" s="16"/>
      <c r="D126" s="16"/>
      <c r="E126" s="16"/>
      <c r="F126" s="16"/>
      <c r="G126" s="16"/>
      <c r="H126" s="16"/>
      <c r="I126" s="16"/>
      <c r="J126" s="16"/>
      <c r="K126" s="16"/>
      <c r="L126" s="16"/>
      <c r="M126" s="735"/>
      <c r="N126" s="696"/>
      <c r="O126" s="696"/>
      <c r="P126" s="696"/>
      <c r="Q126" s="696"/>
      <c r="R126" s="696"/>
      <c r="S126" s="696"/>
      <c r="T126" s="696"/>
      <c r="U126" s="16"/>
      <c r="V126" s="16"/>
      <c r="W126" s="16"/>
      <c r="X126" s="16"/>
      <c r="Y126" s="16"/>
      <c r="Z126" s="16"/>
      <c r="AA126" s="16"/>
      <c r="AB126" s="16"/>
      <c r="AC126" s="16"/>
      <c r="AD126" s="16"/>
    </row>
    <row r="127" spans="1:30" ht="15.75" customHeight="1">
      <c r="A127" s="16"/>
      <c r="B127" s="16"/>
      <c r="C127" s="16"/>
      <c r="D127" s="16"/>
      <c r="E127" s="16"/>
      <c r="F127" s="16"/>
      <c r="G127" s="16"/>
      <c r="H127" s="16"/>
      <c r="I127" s="16"/>
      <c r="J127" s="16"/>
      <c r="K127" s="16"/>
      <c r="L127" s="16"/>
      <c r="M127" s="735"/>
      <c r="N127" s="696"/>
      <c r="O127" s="696"/>
      <c r="P127" s="696"/>
      <c r="Q127" s="696"/>
      <c r="R127" s="696"/>
      <c r="S127" s="696"/>
      <c r="T127" s="696"/>
      <c r="U127" s="16"/>
      <c r="V127" s="16"/>
      <c r="W127" s="16"/>
      <c r="X127" s="16"/>
      <c r="Y127" s="16"/>
      <c r="Z127" s="16"/>
      <c r="AA127" s="16"/>
      <c r="AB127" s="16"/>
      <c r="AC127" s="16"/>
      <c r="AD127" s="16"/>
    </row>
    <row r="128" spans="1:30" ht="15.75" customHeight="1">
      <c r="A128" s="16"/>
      <c r="B128" s="16"/>
      <c r="C128" s="16"/>
      <c r="D128" s="16"/>
      <c r="E128" s="16"/>
      <c r="F128" s="16"/>
      <c r="G128" s="16"/>
      <c r="H128" s="16"/>
      <c r="I128" s="16"/>
      <c r="J128" s="16"/>
      <c r="K128" s="16"/>
      <c r="L128" s="16"/>
      <c r="M128" s="735"/>
      <c r="N128" s="696"/>
      <c r="O128" s="696"/>
      <c r="P128" s="696"/>
      <c r="Q128" s="696"/>
      <c r="R128" s="696"/>
      <c r="S128" s="696"/>
      <c r="T128" s="696"/>
      <c r="U128" s="16"/>
      <c r="V128" s="16"/>
      <c r="W128" s="16"/>
      <c r="X128" s="16"/>
      <c r="Y128" s="16"/>
      <c r="Z128" s="16"/>
      <c r="AA128" s="16"/>
      <c r="AB128" s="16"/>
      <c r="AC128" s="16"/>
      <c r="AD128" s="16"/>
    </row>
    <row r="129" spans="1:30" ht="15.75" customHeight="1">
      <c r="A129" s="16"/>
      <c r="B129" s="16"/>
      <c r="C129" s="16"/>
      <c r="D129" s="16"/>
      <c r="E129" s="16"/>
      <c r="F129" s="16"/>
      <c r="G129" s="16"/>
      <c r="H129" s="16"/>
      <c r="I129" s="16"/>
      <c r="J129" s="16"/>
      <c r="K129" s="16"/>
      <c r="L129" s="16"/>
      <c r="M129" s="735"/>
      <c r="N129" s="696"/>
      <c r="O129" s="696"/>
      <c r="P129" s="696"/>
      <c r="Q129" s="696"/>
      <c r="R129" s="696"/>
      <c r="S129" s="696"/>
      <c r="T129" s="696"/>
      <c r="U129" s="16"/>
      <c r="V129" s="16"/>
      <c r="W129" s="16"/>
      <c r="X129" s="16"/>
      <c r="Y129" s="16"/>
      <c r="Z129" s="16"/>
      <c r="AA129" s="16"/>
      <c r="AB129" s="16"/>
      <c r="AC129" s="16"/>
      <c r="AD129" s="16"/>
    </row>
    <row r="130" spans="1:30" ht="15.75" customHeight="1">
      <c r="A130" s="16"/>
      <c r="B130" s="16"/>
      <c r="C130" s="16"/>
      <c r="D130" s="16"/>
      <c r="E130" s="16"/>
      <c r="F130" s="16"/>
      <c r="G130" s="16"/>
      <c r="H130" s="16"/>
      <c r="I130" s="16"/>
      <c r="J130" s="16"/>
      <c r="K130" s="16"/>
      <c r="L130" s="16"/>
      <c r="M130" s="735"/>
      <c r="N130" s="696"/>
      <c r="O130" s="696"/>
      <c r="P130" s="696"/>
      <c r="Q130" s="696"/>
      <c r="R130" s="696"/>
      <c r="S130" s="696"/>
      <c r="T130" s="696"/>
      <c r="U130" s="16"/>
      <c r="V130" s="16"/>
      <c r="W130" s="16"/>
      <c r="X130" s="16"/>
      <c r="Y130" s="16"/>
      <c r="Z130" s="16"/>
      <c r="AA130" s="16"/>
      <c r="AB130" s="16"/>
      <c r="AC130" s="16"/>
      <c r="AD130" s="16"/>
    </row>
    <row r="131" spans="1:30" ht="15.75" customHeight="1">
      <c r="A131" s="16"/>
      <c r="B131" s="16"/>
      <c r="C131" s="16"/>
      <c r="D131" s="16"/>
      <c r="E131" s="16"/>
      <c r="F131" s="16"/>
      <c r="G131" s="16"/>
      <c r="H131" s="16"/>
      <c r="I131" s="16"/>
      <c r="J131" s="16"/>
      <c r="K131" s="16"/>
      <c r="L131" s="16"/>
      <c r="M131" s="735"/>
      <c r="N131" s="696"/>
      <c r="O131" s="696"/>
      <c r="P131" s="696"/>
      <c r="Q131" s="696"/>
      <c r="R131" s="696"/>
      <c r="S131" s="696"/>
      <c r="T131" s="696"/>
      <c r="U131" s="16"/>
      <c r="V131" s="16"/>
      <c r="W131" s="16"/>
      <c r="X131" s="16"/>
      <c r="Y131" s="16"/>
      <c r="Z131" s="16"/>
      <c r="AA131" s="16"/>
      <c r="AB131" s="16"/>
      <c r="AC131" s="16"/>
      <c r="AD131" s="16"/>
    </row>
    <row r="132" spans="1:30" ht="15.75" customHeight="1">
      <c r="A132" s="16"/>
      <c r="B132" s="16"/>
      <c r="C132" s="16"/>
      <c r="D132" s="16"/>
      <c r="E132" s="16"/>
      <c r="F132" s="16"/>
      <c r="G132" s="16"/>
      <c r="H132" s="16"/>
      <c r="I132" s="16"/>
      <c r="J132" s="16"/>
      <c r="K132" s="16"/>
      <c r="L132" s="16"/>
      <c r="M132" s="735"/>
      <c r="N132" s="696"/>
      <c r="O132" s="696"/>
      <c r="P132" s="696"/>
      <c r="Q132" s="696"/>
      <c r="R132" s="696"/>
      <c r="S132" s="696"/>
      <c r="T132" s="696"/>
      <c r="U132" s="16"/>
      <c r="V132" s="16"/>
      <c r="W132" s="16"/>
      <c r="X132" s="16"/>
      <c r="Y132" s="16"/>
      <c r="Z132" s="16"/>
      <c r="AA132" s="16"/>
      <c r="AB132" s="16"/>
      <c r="AC132" s="16"/>
      <c r="AD132" s="16"/>
    </row>
    <row r="133" spans="1:30" ht="15.75" customHeight="1">
      <c r="A133" s="16"/>
      <c r="B133" s="16"/>
      <c r="C133" s="16"/>
      <c r="D133" s="16"/>
      <c r="E133" s="16"/>
      <c r="F133" s="16"/>
      <c r="G133" s="16"/>
      <c r="H133" s="16"/>
      <c r="I133" s="16"/>
      <c r="J133" s="16"/>
      <c r="K133" s="16"/>
      <c r="L133" s="16"/>
      <c r="M133" s="735"/>
      <c r="N133" s="696"/>
      <c r="O133" s="696"/>
      <c r="P133" s="696"/>
      <c r="Q133" s="696"/>
      <c r="R133" s="696"/>
      <c r="S133" s="696"/>
      <c r="T133" s="696"/>
      <c r="U133" s="16"/>
      <c r="V133" s="16"/>
      <c r="W133" s="16"/>
      <c r="X133" s="16"/>
      <c r="Y133" s="16"/>
      <c r="Z133" s="16"/>
      <c r="AA133" s="16"/>
      <c r="AB133" s="16"/>
      <c r="AC133" s="16"/>
      <c r="AD133" s="16"/>
    </row>
    <row r="134" spans="1:30" ht="15.75" customHeight="1">
      <c r="A134" s="16"/>
      <c r="B134" s="16"/>
      <c r="C134" s="16"/>
      <c r="D134" s="16"/>
      <c r="E134" s="16"/>
      <c r="F134" s="16"/>
      <c r="G134" s="16"/>
      <c r="H134" s="16"/>
      <c r="I134" s="16"/>
      <c r="J134" s="16"/>
      <c r="K134" s="16"/>
      <c r="L134" s="16"/>
      <c r="M134" s="735"/>
      <c r="N134" s="696"/>
      <c r="O134" s="696"/>
      <c r="P134" s="696"/>
      <c r="Q134" s="696"/>
      <c r="R134" s="696"/>
      <c r="S134" s="696"/>
      <c r="T134" s="696"/>
      <c r="U134" s="16"/>
      <c r="V134" s="16"/>
      <c r="W134" s="16"/>
      <c r="X134" s="16"/>
      <c r="Y134" s="16"/>
      <c r="Z134" s="16"/>
      <c r="AA134" s="16"/>
      <c r="AB134" s="16"/>
      <c r="AC134" s="16"/>
      <c r="AD134" s="16"/>
    </row>
    <row r="135" spans="1:30" ht="15.75" customHeight="1">
      <c r="A135" s="16"/>
      <c r="B135" s="16"/>
      <c r="C135" s="16"/>
      <c r="D135" s="16"/>
      <c r="E135" s="16"/>
      <c r="F135" s="16"/>
      <c r="G135" s="16"/>
      <c r="H135" s="16"/>
      <c r="I135" s="16"/>
      <c r="J135" s="16"/>
      <c r="K135" s="16"/>
      <c r="L135" s="16"/>
      <c r="M135" s="735"/>
      <c r="N135" s="696"/>
      <c r="O135" s="696"/>
      <c r="P135" s="696"/>
      <c r="Q135" s="696"/>
      <c r="R135" s="696"/>
      <c r="S135" s="696"/>
      <c r="T135" s="696"/>
      <c r="U135" s="16"/>
      <c r="V135" s="16"/>
      <c r="W135" s="16"/>
      <c r="X135" s="16"/>
      <c r="Y135" s="16"/>
      <c r="Z135" s="16"/>
      <c r="AA135" s="16"/>
      <c r="AB135" s="16"/>
      <c r="AC135" s="16"/>
      <c r="AD135" s="16"/>
    </row>
    <row r="136" spans="1:30" ht="15.75" customHeight="1">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c r="AA136" s="16"/>
      <c r="AB136" s="16"/>
      <c r="AC136" s="16"/>
      <c r="AD136" s="16"/>
    </row>
    <row r="137" spans="1:30" ht="15.75" customHeight="1">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c r="AA137" s="16"/>
      <c r="AB137" s="16"/>
      <c r="AC137" s="16"/>
      <c r="AD137" s="16"/>
    </row>
    <row r="138" spans="1:30" ht="15.75" customHeight="1">
      <c r="A138" s="16"/>
      <c r="B138" s="16"/>
      <c r="C138" s="16"/>
      <c r="D138" s="16"/>
      <c r="E138" s="16"/>
      <c r="F138" s="16"/>
      <c r="G138" s="16"/>
      <c r="H138" s="16"/>
      <c r="I138" s="16"/>
      <c r="J138" s="16"/>
      <c r="K138" s="16"/>
      <c r="L138" s="16"/>
      <c r="M138" s="735"/>
      <c r="N138" s="696"/>
      <c r="O138" s="696"/>
      <c r="P138" s="735"/>
      <c r="Q138" s="696"/>
      <c r="R138" s="696"/>
      <c r="S138" s="696"/>
      <c r="T138" s="696"/>
      <c r="U138" s="16"/>
      <c r="V138" s="16"/>
      <c r="W138" s="16"/>
      <c r="X138" s="16"/>
      <c r="Y138" s="16"/>
      <c r="Z138" s="16"/>
      <c r="AA138" s="16"/>
      <c r="AB138" s="16"/>
      <c r="AC138" s="16"/>
      <c r="AD138" s="16"/>
    </row>
    <row r="139" spans="1:30" ht="15.75" customHeight="1">
      <c r="A139" s="16"/>
      <c r="B139" s="16"/>
      <c r="C139" s="16"/>
      <c r="D139" s="16"/>
      <c r="E139" s="16"/>
      <c r="F139" s="16"/>
      <c r="G139" s="16"/>
      <c r="H139" s="16"/>
      <c r="I139" s="16"/>
      <c r="J139" s="16"/>
      <c r="K139" s="16"/>
      <c r="L139" s="16"/>
      <c r="M139" s="735"/>
      <c r="N139" s="696"/>
      <c r="O139" s="696"/>
      <c r="P139" s="735"/>
      <c r="Q139" s="696"/>
      <c r="R139" s="696"/>
      <c r="S139" s="696"/>
      <c r="T139" s="696"/>
      <c r="U139" s="16"/>
      <c r="V139" s="16"/>
      <c r="W139" s="16"/>
      <c r="X139" s="16"/>
      <c r="Y139" s="16"/>
      <c r="Z139" s="16"/>
      <c r="AA139" s="16"/>
      <c r="AB139" s="16"/>
      <c r="AC139" s="16"/>
      <c r="AD139" s="16"/>
    </row>
    <row r="140" spans="1:30" ht="15.75" customHeight="1">
      <c r="A140" s="16"/>
      <c r="B140" s="16"/>
      <c r="C140" s="16"/>
      <c r="D140" s="16"/>
      <c r="E140" s="16"/>
      <c r="F140" s="16"/>
      <c r="G140" s="16"/>
      <c r="H140" s="16"/>
      <c r="I140" s="16"/>
      <c r="J140" s="16"/>
      <c r="K140" s="16"/>
      <c r="L140" s="16"/>
      <c r="M140" s="735"/>
      <c r="N140" s="696"/>
      <c r="O140" s="696"/>
      <c r="P140" s="696"/>
      <c r="Q140" s="696"/>
      <c r="R140" s="696"/>
      <c r="S140" s="696"/>
      <c r="T140" s="696"/>
      <c r="U140" s="16"/>
      <c r="V140" s="16"/>
      <c r="W140" s="16"/>
      <c r="X140" s="16"/>
      <c r="Y140" s="16"/>
      <c r="Z140" s="16"/>
      <c r="AA140" s="16"/>
      <c r="AB140" s="16"/>
      <c r="AC140" s="16"/>
      <c r="AD140" s="16"/>
    </row>
    <row r="141" spans="1:30" ht="15.75" customHeight="1">
      <c r="A141" s="16"/>
      <c r="B141" s="16"/>
      <c r="C141" s="16"/>
      <c r="D141" s="16"/>
      <c r="E141" s="16"/>
      <c r="F141" s="16"/>
      <c r="G141" s="16"/>
      <c r="H141" s="16"/>
      <c r="I141" s="16"/>
      <c r="J141" s="16"/>
      <c r="K141" s="16"/>
      <c r="L141" s="16"/>
      <c r="M141" s="735"/>
      <c r="N141" s="696"/>
      <c r="O141" s="696"/>
      <c r="P141" s="696"/>
      <c r="Q141" s="696"/>
      <c r="R141" s="696"/>
      <c r="S141" s="696"/>
      <c r="T141" s="696"/>
      <c r="U141" s="16"/>
      <c r="V141" s="16"/>
      <c r="W141" s="16"/>
      <c r="X141" s="16"/>
      <c r="Y141" s="16"/>
      <c r="Z141" s="16"/>
      <c r="AA141" s="16"/>
      <c r="AB141" s="16"/>
      <c r="AC141" s="16"/>
      <c r="AD141" s="16"/>
    </row>
    <row r="142" spans="1:30" ht="15.75" customHeight="1">
      <c r="A142" s="16"/>
      <c r="B142" s="16"/>
      <c r="C142" s="16"/>
      <c r="D142" s="16"/>
      <c r="E142" s="16"/>
      <c r="F142" s="16"/>
      <c r="G142" s="16"/>
      <c r="H142" s="16"/>
      <c r="I142" s="16"/>
      <c r="J142" s="16"/>
      <c r="K142" s="16"/>
      <c r="L142" s="16"/>
      <c r="M142" s="735"/>
      <c r="N142" s="696"/>
      <c r="O142" s="696"/>
      <c r="P142" s="696"/>
      <c r="Q142" s="696"/>
      <c r="R142" s="696"/>
      <c r="S142" s="696"/>
      <c r="T142" s="696"/>
      <c r="U142" s="16"/>
      <c r="V142" s="16"/>
      <c r="W142" s="16"/>
      <c r="X142" s="16"/>
      <c r="Y142" s="16"/>
      <c r="Z142" s="16"/>
      <c r="AA142" s="16"/>
      <c r="AB142" s="16"/>
      <c r="AC142" s="16"/>
      <c r="AD142" s="16"/>
    </row>
    <row r="143" spans="1:30" ht="15.75" customHeight="1">
      <c r="A143" s="16"/>
      <c r="B143" s="16"/>
      <c r="C143" s="16"/>
      <c r="D143" s="16"/>
      <c r="E143" s="16"/>
      <c r="F143" s="16"/>
      <c r="G143" s="16"/>
      <c r="H143" s="16"/>
      <c r="I143" s="16"/>
      <c r="J143" s="16"/>
      <c r="K143" s="16"/>
      <c r="L143" s="16"/>
      <c r="M143" s="735"/>
      <c r="N143" s="696"/>
      <c r="O143" s="696"/>
      <c r="P143" s="696"/>
      <c r="Q143" s="696"/>
      <c r="R143" s="696"/>
      <c r="S143" s="696"/>
      <c r="T143" s="696"/>
      <c r="U143" s="16"/>
      <c r="V143" s="16"/>
      <c r="W143" s="16"/>
      <c r="X143" s="16"/>
      <c r="Y143" s="16"/>
      <c r="Z143" s="16"/>
      <c r="AA143" s="16"/>
      <c r="AB143" s="16"/>
      <c r="AC143" s="16"/>
      <c r="AD143" s="16"/>
    </row>
    <row r="144" spans="1:30" ht="15.75" customHeight="1">
      <c r="A144" s="16"/>
      <c r="B144" s="16"/>
      <c r="C144" s="16"/>
      <c r="D144" s="16"/>
      <c r="E144" s="16"/>
      <c r="F144" s="16"/>
      <c r="G144" s="16"/>
      <c r="H144" s="16"/>
      <c r="I144" s="16"/>
      <c r="J144" s="16"/>
      <c r="K144" s="16"/>
      <c r="L144" s="16"/>
      <c r="M144" s="735"/>
      <c r="N144" s="696"/>
      <c r="O144" s="696"/>
      <c r="P144" s="696"/>
      <c r="Q144" s="696"/>
      <c r="R144" s="696"/>
      <c r="S144" s="696"/>
      <c r="T144" s="696"/>
      <c r="U144" s="16"/>
      <c r="V144" s="16"/>
      <c r="W144" s="16"/>
      <c r="X144" s="16"/>
      <c r="Y144" s="16"/>
      <c r="Z144" s="16"/>
      <c r="AA144" s="16"/>
      <c r="AB144" s="16"/>
      <c r="AC144" s="16"/>
      <c r="AD144" s="16"/>
    </row>
    <row r="145" spans="1:30" ht="15.75" customHeight="1">
      <c r="A145" s="16"/>
      <c r="B145" s="16"/>
      <c r="C145" s="16"/>
      <c r="D145" s="16"/>
      <c r="E145" s="16"/>
      <c r="F145" s="16"/>
      <c r="G145" s="16"/>
      <c r="H145" s="16"/>
      <c r="I145" s="16"/>
      <c r="J145" s="16"/>
      <c r="K145" s="16"/>
      <c r="L145" s="16"/>
      <c r="M145" s="735"/>
      <c r="N145" s="696"/>
      <c r="O145" s="696"/>
      <c r="P145" s="696"/>
      <c r="Q145" s="696"/>
      <c r="R145" s="696"/>
      <c r="S145" s="696"/>
      <c r="T145" s="696"/>
      <c r="U145" s="16"/>
      <c r="V145" s="16"/>
      <c r="W145" s="16"/>
      <c r="X145" s="16"/>
      <c r="Y145" s="16"/>
      <c r="Z145" s="16"/>
      <c r="AA145" s="16"/>
      <c r="AB145" s="16"/>
      <c r="AC145" s="16"/>
      <c r="AD145" s="16"/>
    </row>
    <row r="146" spans="1:30" ht="15.75" customHeight="1">
      <c r="A146" s="16"/>
      <c r="B146" s="16"/>
      <c r="C146" s="16"/>
      <c r="D146" s="16"/>
      <c r="E146" s="16"/>
      <c r="F146" s="16"/>
      <c r="G146" s="16"/>
      <c r="H146" s="16"/>
      <c r="I146" s="16"/>
      <c r="J146" s="16"/>
      <c r="K146" s="16"/>
      <c r="L146" s="16"/>
      <c r="M146" s="735"/>
      <c r="N146" s="696"/>
      <c r="O146" s="696"/>
      <c r="P146" s="696"/>
      <c r="Q146" s="696"/>
      <c r="R146" s="696"/>
      <c r="S146" s="696"/>
      <c r="T146" s="696"/>
      <c r="U146" s="16"/>
      <c r="V146" s="16"/>
      <c r="W146" s="16"/>
      <c r="X146" s="16"/>
      <c r="Y146" s="16"/>
      <c r="Z146" s="16"/>
      <c r="AA146" s="16"/>
      <c r="AB146" s="16"/>
      <c r="AC146" s="16"/>
      <c r="AD146" s="16"/>
    </row>
    <row r="147" spans="1:30" ht="15.75" customHeight="1">
      <c r="A147" s="16"/>
      <c r="B147" s="16"/>
      <c r="C147" s="16"/>
      <c r="D147" s="16"/>
      <c r="E147" s="16"/>
      <c r="F147" s="16"/>
      <c r="G147" s="16"/>
      <c r="H147" s="16"/>
      <c r="I147" s="16"/>
      <c r="J147" s="16"/>
      <c r="K147" s="16"/>
      <c r="L147" s="16"/>
      <c r="M147" s="735"/>
      <c r="N147" s="696"/>
      <c r="O147" s="696"/>
      <c r="P147" s="696"/>
      <c r="Q147" s="696"/>
      <c r="R147" s="696"/>
      <c r="S147" s="696"/>
      <c r="T147" s="696"/>
      <c r="U147" s="16"/>
      <c r="V147" s="16"/>
      <c r="W147" s="16"/>
      <c r="X147" s="16"/>
      <c r="Y147" s="16"/>
      <c r="Z147" s="16"/>
      <c r="AA147" s="16"/>
      <c r="AB147" s="16"/>
      <c r="AC147" s="16"/>
      <c r="AD147" s="16"/>
    </row>
    <row r="148" spans="1:30" ht="15.75" customHeight="1">
      <c r="A148" s="16"/>
      <c r="B148" s="16"/>
      <c r="C148" s="16"/>
      <c r="D148" s="16"/>
      <c r="E148" s="16"/>
      <c r="F148" s="16"/>
      <c r="G148" s="16"/>
      <c r="H148" s="16"/>
      <c r="I148" s="16"/>
      <c r="J148" s="16"/>
      <c r="K148" s="16"/>
      <c r="L148" s="16"/>
      <c r="M148" s="735"/>
      <c r="N148" s="696"/>
      <c r="O148" s="696"/>
      <c r="P148" s="696"/>
      <c r="Q148" s="696"/>
      <c r="R148" s="696"/>
      <c r="S148" s="696"/>
      <c r="T148" s="696"/>
      <c r="U148" s="16"/>
      <c r="V148" s="16"/>
      <c r="W148" s="16"/>
      <c r="X148" s="16"/>
      <c r="Y148" s="16"/>
      <c r="Z148" s="16"/>
      <c r="AA148" s="16"/>
      <c r="AB148" s="16"/>
      <c r="AC148" s="16"/>
      <c r="AD148" s="16"/>
    </row>
    <row r="149" spans="1:30" ht="15.75" customHeight="1">
      <c r="A149" s="16"/>
      <c r="B149" s="16"/>
      <c r="C149" s="16"/>
      <c r="D149" s="16"/>
      <c r="E149" s="16"/>
      <c r="F149" s="16"/>
      <c r="G149" s="16"/>
      <c r="H149" s="16"/>
      <c r="I149" s="16"/>
      <c r="J149" s="16"/>
      <c r="K149" s="16"/>
      <c r="L149" s="16"/>
      <c r="M149" s="735"/>
      <c r="N149" s="696"/>
      <c r="O149" s="696"/>
      <c r="P149" s="696"/>
      <c r="Q149" s="696"/>
      <c r="R149" s="696"/>
      <c r="S149" s="696"/>
      <c r="T149" s="696"/>
      <c r="U149" s="16"/>
      <c r="V149" s="16"/>
      <c r="W149" s="16"/>
      <c r="X149" s="16"/>
      <c r="Y149" s="16"/>
      <c r="Z149" s="16"/>
      <c r="AA149" s="16"/>
      <c r="AB149" s="16"/>
      <c r="AC149" s="16"/>
      <c r="AD149" s="16"/>
    </row>
    <row r="150" spans="1:30" ht="15.75" customHeight="1">
      <c r="A150" s="16"/>
      <c r="B150" s="16"/>
      <c r="C150" s="16"/>
      <c r="D150" s="16"/>
      <c r="E150" s="16"/>
      <c r="F150" s="16"/>
      <c r="G150" s="16"/>
      <c r="H150" s="16"/>
      <c r="I150" s="16"/>
      <c r="J150" s="16"/>
      <c r="K150" s="16"/>
      <c r="L150" s="16"/>
      <c r="M150" s="735"/>
      <c r="N150" s="696"/>
      <c r="O150" s="696"/>
      <c r="P150" s="696"/>
      <c r="Q150" s="696"/>
      <c r="R150" s="696"/>
      <c r="S150" s="696"/>
      <c r="T150" s="696"/>
      <c r="U150" s="16"/>
      <c r="V150" s="16"/>
      <c r="W150" s="16"/>
      <c r="X150" s="16"/>
      <c r="Y150" s="16"/>
      <c r="Z150" s="16"/>
      <c r="AA150" s="16"/>
      <c r="AB150" s="16"/>
      <c r="AC150" s="16"/>
      <c r="AD150" s="16"/>
    </row>
    <row r="151" spans="1:30" ht="15.75" customHeight="1">
      <c r="A151" s="16"/>
      <c r="B151" s="16"/>
      <c r="C151" s="16"/>
      <c r="D151" s="16"/>
      <c r="E151" s="16"/>
      <c r="F151" s="16"/>
      <c r="G151" s="16"/>
      <c r="H151" s="16"/>
      <c r="I151" s="16"/>
      <c r="J151" s="16"/>
      <c r="K151" s="16"/>
      <c r="L151" s="16"/>
      <c r="M151" s="735"/>
      <c r="N151" s="696"/>
      <c r="O151" s="696"/>
      <c r="P151" s="696"/>
      <c r="Q151" s="696"/>
      <c r="R151" s="696"/>
      <c r="S151" s="696"/>
      <c r="T151" s="696"/>
      <c r="U151" s="16"/>
      <c r="V151" s="16"/>
      <c r="W151" s="16"/>
      <c r="X151" s="16"/>
      <c r="Y151" s="16"/>
      <c r="Z151" s="16"/>
      <c r="AA151" s="16"/>
      <c r="AB151" s="16"/>
      <c r="AC151" s="16"/>
      <c r="AD151" s="16"/>
    </row>
    <row r="152" spans="1:30" ht="15.75" customHeight="1">
      <c r="A152" s="16"/>
      <c r="B152" s="16"/>
      <c r="C152" s="16"/>
      <c r="D152" s="16"/>
      <c r="E152" s="16"/>
      <c r="F152" s="16"/>
      <c r="G152" s="16"/>
      <c r="H152" s="16"/>
      <c r="I152" s="16"/>
      <c r="J152" s="16"/>
      <c r="K152" s="16"/>
      <c r="L152" s="16"/>
      <c r="M152" s="735"/>
      <c r="N152" s="696"/>
      <c r="O152" s="696"/>
      <c r="P152" s="696"/>
      <c r="Q152" s="696"/>
      <c r="R152" s="696"/>
      <c r="S152" s="696"/>
      <c r="T152" s="696"/>
      <c r="U152" s="16"/>
      <c r="V152" s="16"/>
      <c r="W152" s="16"/>
      <c r="X152" s="16"/>
      <c r="Y152" s="16"/>
      <c r="Z152" s="16"/>
      <c r="AA152" s="16"/>
      <c r="AB152" s="16"/>
      <c r="AC152" s="16"/>
      <c r="AD152" s="16"/>
    </row>
    <row r="153" spans="1:30" ht="15.75" customHeight="1">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c r="AA153" s="16"/>
      <c r="AB153" s="16"/>
      <c r="AC153" s="16"/>
      <c r="AD153" s="16"/>
    </row>
    <row r="154" spans="1:30" ht="15.75" customHeight="1">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c r="AA154" s="16"/>
      <c r="AB154" s="16"/>
      <c r="AC154" s="16"/>
      <c r="AD154" s="16"/>
    </row>
    <row r="155" spans="1:30" ht="15.75" customHeight="1">
      <c r="A155" s="16"/>
      <c r="B155" s="735"/>
      <c r="C155" s="696"/>
      <c r="D155" s="16"/>
      <c r="E155" s="16"/>
      <c r="F155" s="16"/>
      <c r="G155" s="16"/>
      <c r="H155" s="16"/>
      <c r="I155" s="16"/>
      <c r="J155" s="16"/>
      <c r="K155" s="16"/>
      <c r="L155" s="16"/>
      <c r="M155" s="735"/>
      <c r="N155" s="696"/>
      <c r="O155" s="696"/>
      <c r="P155" s="735"/>
      <c r="Q155" s="696"/>
      <c r="R155" s="696"/>
      <c r="S155" s="696"/>
      <c r="T155" s="696"/>
      <c r="U155" s="16"/>
      <c r="V155" s="16"/>
      <c r="W155" s="16"/>
      <c r="X155" s="16"/>
      <c r="Y155" s="16"/>
      <c r="Z155" s="16"/>
      <c r="AA155" s="16"/>
      <c r="AB155" s="16"/>
      <c r="AC155" s="16"/>
      <c r="AD155" s="16"/>
    </row>
    <row r="156" spans="1:30" ht="15.75" customHeight="1">
      <c r="A156" s="16"/>
      <c r="B156" s="735"/>
      <c r="C156" s="696"/>
      <c r="D156" s="16"/>
      <c r="E156" s="16"/>
      <c r="F156" s="16"/>
      <c r="G156" s="16"/>
      <c r="H156" s="16"/>
      <c r="I156" s="16"/>
      <c r="J156" s="16"/>
      <c r="K156" s="16"/>
      <c r="L156" s="16"/>
      <c r="M156" s="735"/>
      <c r="N156" s="696"/>
      <c r="O156" s="696"/>
      <c r="P156" s="735"/>
      <c r="Q156" s="696"/>
      <c r="R156" s="696"/>
      <c r="S156" s="696"/>
      <c r="T156" s="696"/>
      <c r="U156" s="16"/>
      <c r="V156" s="16"/>
      <c r="W156" s="16"/>
      <c r="X156" s="16"/>
      <c r="Y156" s="16"/>
      <c r="Z156" s="16"/>
      <c r="AA156" s="16"/>
      <c r="AB156" s="16"/>
      <c r="AC156" s="16"/>
      <c r="AD156" s="16"/>
    </row>
    <row r="157" spans="1:30" ht="15.75" customHeight="1">
      <c r="A157" s="16"/>
      <c r="B157" s="735"/>
      <c r="C157" s="696"/>
      <c r="D157" s="16"/>
      <c r="E157" s="16"/>
      <c r="F157" s="16"/>
      <c r="G157" s="16"/>
      <c r="H157" s="16"/>
      <c r="I157" s="16"/>
      <c r="J157" s="16"/>
      <c r="K157" s="16"/>
      <c r="L157" s="16"/>
      <c r="M157" s="735"/>
      <c r="N157" s="696"/>
      <c r="O157" s="696"/>
      <c r="P157" s="696"/>
      <c r="Q157" s="696"/>
      <c r="R157" s="696"/>
      <c r="S157" s="696"/>
      <c r="T157" s="696"/>
      <c r="U157" s="16"/>
      <c r="V157" s="16"/>
      <c r="W157" s="16"/>
      <c r="X157" s="16"/>
      <c r="Y157" s="16"/>
      <c r="Z157" s="16"/>
      <c r="AA157" s="16"/>
      <c r="AB157" s="16"/>
      <c r="AC157" s="16"/>
      <c r="AD157" s="16"/>
    </row>
    <row r="158" spans="1:30" ht="15.75" customHeight="1">
      <c r="A158" s="16"/>
      <c r="B158" s="735"/>
      <c r="C158" s="696"/>
      <c r="D158" s="16"/>
      <c r="E158" s="16"/>
      <c r="F158" s="16"/>
      <c r="G158" s="16"/>
      <c r="H158" s="16"/>
      <c r="I158" s="16"/>
      <c r="J158" s="16"/>
      <c r="K158" s="16"/>
      <c r="L158" s="16"/>
      <c r="M158" s="735"/>
      <c r="N158" s="696"/>
      <c r="O158" s="696"/>
      <c r="P158" s="696"/>
      <c r="Q158" s="696"/>
      <c r="R158" s="696"/>
      <c r="S158" s="696"/>
      <c r="T158" s="696"/>
      <c r="U158" s="16"/>
      <c r="V158" s="16"/>
      <c r="W158" s="16"/>
      <c r="X158" s="16"/>
      <c r="Y158" s="16"/>
      <c r="Z158" s="16"/>
      <c r="AA158" s="16"/>
      <c r="AB158" s="16"/>
      <c r="AC158" s="16"/>
      <c r="AD158" s="16"/>
    </row>
    <row r="159" spans="1:30" ht="15.75" customHeight="1">
      <c r="A159" s="16"/>
      <c r="B159" s="735"/>
      <c r="C159" s="696"/>
      <c r="D159" s="16"/>
      <c r="E159" s="16"/>
      <c r="F159" s="16"/>
      <c r="G159" s="16"/>
      <c r="H159" s="16"/>
      <c r="I159" s="16"/>
      <c r="J159" s="16"/>
      <c r="K159" s="16"/>
      <c r="L159" s="16"/>
      <c r="M159" s="735"/>
      <c r="N159" s="696"/>
      <c r="O159" s="696"/>
      <c r="P159" s="696"/>
      <c r="Q159" s="696"/>
      <c r="R159" s="696"/>
      <c r="S159" s="696"/>
      <c r="T159" s="696"/>
      <c r="U159" s="16"/>
      <c r="V159" s="16"/>
      <c r="W159" s="16"/>
      <c r="X159" s="16"/>
      <c r="Y159" s="16"/>
      <c r="Z159" s="16"/>
      <c r="AA159" s="16"/>
      <c r="AB159" s="16"/>
      <c r="AC159" s="16"/>
      <c r="AD159" s="16"/>
    </row>
    <row r="160" spans="1:30" ht="15.75" customHeight="1">
      <c r="A160" s="16"/>
      <c r="B160" s="735"/>
      <c r="C160" s="696"/>
      <c r="D160" s="16"/>
      <c r="E160" s="16"/>
      <c r="F160" s="16"/>
      <c r="G160" s="16"/>
      <c r="H160" s="16"/>
      <c r="I160" s="16"/>
      <c r="J160" s="16"/>
      <c r="K160" s="16"/>
      <c r="L160" s="16"/>
      <c r="M160" s="735"/>
      <c r="N160" s="696"/>
      <c r="O160" s="696"/>
      <c r="P160" s="696"/>
      <c r="Q160" s="696"/>
      <c r="R160" s="696"/>
      <c r="S160" s="696"/>
      <c r="T160" s="696"/>
      <c r="U160" s="16"/>
      <c r="V160" s="16"/>
      <c r="W160" s="16"/>
      <c r="X160" s="16"/>
      <c r="Y160" s="16"/>
      <c r="Z160" s="16"/>
      <c r="AA160" s="16"/>
      <c r="AB160" s="16"/>
      <c r="AC160" s="16"/>
      <c r="AD160" s="16"/>
    </row>
    <row r="161" spans="1:30" ht="15.75" customHeight="1">
      <c r="A161" s="16"/>
      <c r="B161" s="735"/>
      <c r="C161" s="696"/>
      <c r="D161" s="16"/>
      <c r="E161" s="16"/>
      <c r="F161" s="16"/>
      <c r="G161" s="16"/>
      <c r="H161" s="16"/>
      <c r="I161" s="16"/>
      <c r="J161" s="16"/>
      <c r="K161" s="16"/>
      <c r="L161" s="16"/>
      <c r="M161" s="735"/>
      <c r="N161" s="696"/>
      <c r="O161" s="696"/>
      <c r="P161" s="696"/>
      <c r="Q161" s="696"/>
      <c r="R161" s="696"/>
      <c r="S161" s="696"/>
      <c r="T161" s="696"/>
      <c r="U161" s="16"/>
      <c r="V161" s="16"/>
      <c r="W161" s="16"/>
      <c r="X161" s="16"/>
      <c r="Y161" s="16"/>
      <c r="Z161" s="16"/>
      <c r="AA161" s="16"/>
      <c r="AB161" s="16"/>
      <c r="AC161" s="16"/>
      <c r="AD161" s="16"/>
    </row>
    <row r="162" spans="1:30" ht="15.75" customHeight="1">
      <c r="A162" s="16"/>
      <c r="B162" s="735"/>
      <c r="C162" s="696"/>
      <c r="D162" s="16"/>
      <c r="E162" s="16"/>
      <c r="F162" s="16"/>
      <c r="G162" s="16"/>
      <c r="H162" s="16"/>
      <c r="I162" s="16"/>
      <c r="J162" s="16"/>
      <c r="K162" s="16"/>
      <c r="L162" s="16"/>
      <c r="M162" s="735"/>
      <c r="N162" s="696"/>
      <c r="O162" s="696"/>
      <c r="P162" s="696"/>
      <c r="Q162" s="696"/>
      <c r="R162" s="696"/>
      <c r="S162" s="696"/>
      <c r="T162" s="696"/>
      <c r="U162" s="16"/>
      <c r="V162" s="16"/>
      <c r="W162" s="16"/>
      <c r="X162" s="16"/>
      <c r="Y162" s="16"/>
      <c r="Z162" s="16"/>
      <c r="AA162" s="16"/>
      <c r="AB162" s="16"/>
      <c r="AC162" s="16"/>
      <c r="AD162" s="16"/>
    </row>
    <row r="163" spans="1:30" ht="15.75" customHeight="1">
      <c r="A163" s="16"/>
      <c r="B163" s="735"/>
      <c r="C163" s="696"/>
      <c r="D163" s="16"/>
      <c r="E163" s="16"/>
      <c r="F163" s="16"/>
      <c r="G163" s="16"/>
      <c r="H163" s="16"/>
      <c r="I163" s="16"/>
      <c r="J163" s="16"/>
      <c r="K163" s="16"/>
      <c r="L163" s="16"/>
      <c r="M163" s="735"/>
      <c r="N163" s="696"/>
      <c r="O163" s="696"/>
      <c r="P163" s="696"/>
      <c r="Q163" s="696"/>
      <c r="R163" s="696"/>
      <c r="S163" s="696"/>
      <c r="T163" s="696"/>
      <c r="U163" s="16"/>
      <c r="V163" s="16"/>
      <c r="W163" s="16"/>
      <c r="X163" s="16"/>
      <c r="Y163" s="16"/>
      <c r="Z163" s="16"/>
      <c r="AA163" s="16"/>
      <c r="AB163" s="16"/>
      <c r="AC163" s="16"/>
      <c r="AD163" s="16"/>
    </row>
    <row r="164" spans="1:30" ht="15.75" customHeight="1">
      <c r="A164" s="16"/>
      <c r="B164" s="735"/>
      <c r="C164" s="696"/>
      <c r="D164" s="16"/>
      <c r="E164" s="16"/>
      <c r="F164" s="16"/>
      <c r="G164" s="16"/>
      <c r="H164" s="16"/>
      <c r="I164" s="16"/>
      <c r="J164" s="16"/>
      <c r="K164" s="16"/>
      <c r="L164" s="16"/>
      <c r="M164" s="735"/>
      <c r="N164" s="696"/>
      <c r="O164" s="696"/>
      <c r="P164" s="696"/>
      <c r="Q164" s="696"/>
      <c r="R164" s="696"/>
      <c r="S164" s="696"/>
      <c r="T164" s="696"/>
      <c r="U164" s="16"/>
      <c r="V164" s="16"/>
      <c r="W164" s="16"/>
      <c r="X164" s="16"/>
      <c r="Y164" s="16"/>
      <c r="Z164" s="16"/>
      <c r="AA164" s="16"/>
      <c r="AB164" s="16"/>
      <c r="AC164" s="16"/>
      <c r="AD164" s="16"/>
    </row>
    <row r="165" spans="1:30" ht="15.75" customHeight="1">
      <c r="A165" s="16"/>
      <c r="B165" s="735"/>
      <c r="C165" s="696"/>
      <c r="D165" s="16"/>
      <c r="E165" s="16"/>
      <c r="F165" s="16"/>
      <c r="G165" s="16"/>
      <c r="H165" s="16"/>
      <c r="I165" s="16"/>
      <c r="J165" s="16"/>
      <c r="K165" s="16"/>
      <c r="L165" s="16"/>
      <c r="M165" s="735"/>
      <c r="N165" s="696"/>
      <c r="O165" s="696"/>
      <c r="P165" s="696"/>
      <c r="Q165" s="696"/>
      <c r="R165" s="696"/>
      <c r="S165" s="696"/>
      <c r="T165" s="696"/>
      <c r="U165" s="16"/>
      <c r="V165" s="16"/>
      <c r="W165" s="16"/>
      <c r="X165" s="16"/>
      <c r="Y165" s="16"/>
      <c r="Z165" s="16"/>
      <c r="AA165" s="16"/>
      <c r="AB165" s="16"/>
      <c r="AC165" s="16"/>
      <c r="AD165" s="16"/>
    </row>
    <row r="166" spans="1:30" ht="15.75" customHeight="1">
      <c r="A166" s="16"/>
      <c r="B166" s="735"/>
      <c r="C166" s="696"/>
      <c r="D166" s="16"/>
      <c r="E166" s="16"/>
      <c r="F166" s="16"/>
      <c r="G166" s="16"/>
      <c r="H166" s="16"/>
      <c r="I166" s="16"/>
      <c r="J166" s="16"/>
      <c r="K166" s="16"/>
      <c r="L166" s="16"/>
      <c r="M166" s="735"/>
      <c r="N166" s="696"/>
      <c r="O166" s="696"/>
      <c r="P166" s="696"/>
      <c r="Q166" s="696"/>
      <c r="R166" s="696"/>
      <c r="S166" s="696"/>
      <c r="T166" s="696"/>
      <c r="U166" s="16"/>
      <c r="V166" s="16"/>
      <c r="W166" s="16"/>
      <c r="X166" s="16"/>
      <c r="Y166" s="16"/>
      <c r="Z166" s="16"/>
      <c r="AA166" s="16"/>
      <c r="AB166" s="16"/>
      <c r="AC166" s="16"/>
      <c r="AD166" s="16"/>
    </row>
    <row r="167" spans="1:30" ht="15.75" customHeight="1">
      <c r="A167" s="16"/>
      <c r="B167" s="735"/>
      <c r="C167" s="696"/>
      <c r="D167" s="16"/>
      <c r="E167" s="16"/>
      <c r="F167" s="16"/>
      <c r="G167" s="16"/>
      <c r="H167" s="16"/>
      <c r="I167" s="16"/>
      <c r="J167" s="16"/>
      <c r="K167" s="16"/>
      <c r="L167" s="16"/>
      <c r="M167" s="735"/>
      <c r="N167" s="696"/>
      <c r="O167" s="696"/>
      <c r="P167" s="696"/>
      <c r="Q167" s="696"/>
      <c r="R167" s="696"/>
      <c r="S167" s="696"/>
      <c r="T167" s="696"/>
      <c r="U167" s="16"/>
      <c r="V167" s="16"/>
      <c r="W167" s="16"/>
      <c r="X167" s="16"/>
      <c r="Y167" s="16"/>
      <c r="Z167" s="16"/>
      <c r="AA167" s="16"/>
      <c r="AB167" s="16"/>
      <c r="AC167" s="16"/>
      <c r="AD167" s="16"/>
    </row>
    <row r="168" spans="1:30" ht="15.75" customHeight="1">
      <c r="A168" s="16"/>
      <c r="B168" s="735"/>
      <c r="C168" s="696"/>
      <c r="D168" s="16"/>
      <c r="E168" s="16"/>
      <c r="F168" s="16"/>
      <c r="G168" s="16"/>
      <c r="H168" s="16"/>
      <c r="I168" s="16"/>
      <c r="J168" s="16"/>
      <c r="K168" s="16"/>
      <c r="L168" s="16"/>
      <c r="M168" s="735"/>
      <c r="N168" s="696"/>
      <c r="O168" s="696"/>
      <c r="P168" s="696"/>
      <c r="Q168" s="696"/>
      <c r="R168" s="696"/>
      <c r="S168" s="696"/>
      <c r="T168" s="696"/>
      <c r="U168" s="16"/>
      <c r="V168" s="16"/>
      <c r="W168" s="16"/>
      <c r="X168" s="16"/>
      <c r="Y168" s="16"/>
      <c r="Z168" s="16"/>
      <c r="AA168" s="16"/>
      <c r="AB168" s="16"/>
      <c r="AC168" s="16"/>
      <c r="AD168" s="16"/>
    </row>
    <row r="169" spans="1:30" ht="15.75" customHeight="1">
      <c r="A169" s="16"/>
      <c r="B169" s="735"/>
      <c r="C169" s="696"/>
      <c r="D169" s="16"/>
      <c r="E169" s="16"/>
      <c r="F169" s="16"/>
      <c r="G169" s="16"/>
      <c r="H169" s="16"/>
      <c r="I169" s="16"/>
      <c r="J169" s="16"/>
      <c r="K169" s="16"/>
      <c r="L169" s="16"/>
      <c r="M169" s="735"/>
      <c r="N169" s="696"/>
      <c r="O169" s="696"/>
      <c r="P169" s="696"/>
      <c r="Q169" s="696"/>
      <c r="R169" s="696"/>
      <c r="S169" s="696"/>
      <c r="T169" s="696"/>
      <c r="U169" s="16"/>
      <c r="V169" s="16"/>
      <c r="W169" s="16"/>
      <c r="X169" s="16"/>
      <c r="Y169" s="16"/>
      <c r="Z169" s="16"/>
      <c r="AA169" s="16"/>
      <c r="AB169" s="16"/>
      <c r="AC169" s="16"/>
      <c r="AD169" s="16"/>
    </row>
    <row r="170" spans="1:30" ht="15.75" customHeight="1">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c r="AA170" s="16"/>
      <c r="AB170" s="16"/>
      <c r="AC170" s="16"/>
      <c r="AD170" s="16"/>
    </row>
    <row r="171" spans="1:30" ht="15.75" customHeight="1">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c r="AA171" s="16"/>
      <c r="AB171" s="16"/>
      <c r="AC171" s="16"/>
      <c r="AD171" s="16"/>
    </row>
    <row r="172" spans="1:30" ht="15.75" customHeight="1">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row>
    <row r="173" spans="1:30" ht="15.75" customHeight="1">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c r="AC173" s="16"/>
      <c r="AD173" s="16"/>
    </row>
    <row r="174" spans="1:30" ht="15.75" customHeight="1">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c r="AC174" s="16"/>
      <c r="AD174" s="16"/>
    </row>
    <row r="175" spans="1:30" ht="15.75" customHeight="1">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c r="AA175" s="16"/>
      <c r="AB175" s="16"/>
      <c r="AC175" s="16"/>
      <c r="AD175" s="16"/>
    </row>
    <row r="176" spans="1:30" ht="15.75" customHeight="1">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c r="AD176" s="16"/>
    </row>
    <row r="177" spans="1:30" ht="15.75" customHeight="1">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c r="AD177" s="16"/>
    </row>
    <row r="178" spans="1:30" ht="15.75" customHeight="1">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c r="AA178" s="16"/>
      <c r="AB178" s="16"/>
      <c r="AC178" s="16"/>
      <c r="AD178" s="16"/>
    </row>
    <row r="179" spans="1:30" ht="15.75" customHeight="1">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c r="AD179" s="16"/>
    </row>
    <row r="180" spans="1:30" ht="15.75" customHeight="1">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c r="AD180" s="16"/>
    </row>
    <row r="181" spans="1:30" ht="15.75" customHeight="1">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c r="AD181" s="16"/>
    </row>
    <row r="182" spans="1:30" ht="15.75" customHeight="1">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c r="AD182" s="16"/>
    </row>
    <row r="183" spans="1:30" ht="15.75" customHeight="1">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c r="AD183" s="16"/>
    </row>
    <row r="184" spans="1:30" ht="15.75" customHeight="1">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c r="AD184" s="16"/>
    </row>
    <row r="185" spans="1:30" ht="15.75" customHeight="1">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c r="AD185" s="16"/>
    </row>
    <row r="186" spans="1:30" ht="15.75" customHeight="1">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c r="AD186" s="16"/>
    </row>
    <row r="187" spans="1:30" ht="15.75" customHeight="1">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16"/>
      <c r="AB187" s="16"/>
      <c r="AC187" s="16"/>
      <c r="AD187" s="16"/>
    </row>
    <row r="188" spans="1:30" ht="15.75" customHeight="1">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c r="AD188" s="16"/>
    </row>
    <row r="189" spans="1:30" ht="15.75" customHeight="1">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c r="AD189" s="16"/>
    </row>
    <row r="190" spans="1:30" ht="15.75" customHeight="1">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c r="AD190" s="16"/>
    </row>
    <row r="191" spans="1:30" ht="15.75" customHeight="1">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c r="AD191" s="16"/>
    </row>
    <row r="192" spans="1:30" ht="15.75" customHeight="1">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c r="AD192" s="16"/>
    </row>
    <row r="193" spans="1:30" ht="15.75" customHeight="1">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c r="AA193" s="16"/>
      <c r="AB193" s="16"/>
      <c r="AC193" s="16"/>
      <c r="AD193" s="16"/>
    </row>
    <row r="194" spans="1:30" ht="15.75" customHeight="1">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c r="AA194" s="16"/>
      <c r="AB194" s="16"/>
      <c r="AC194" s="16"/>
      <c r="AD194" s="16"/>
    </row>
    <row r="195" spans="1:30" ht="15.75" customHeight="1">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c r="AA195" s="16"/>
      <c r="AB195" s="16"/>
      <c r="AC195" s="16"/>
      <c r="AD195" s="16"/>
    </row>
    <row r="196" spans="1:30" ht="15.75" customHeight="1">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c r="AA196" s="16"/>
      <c r="AB196" s="16"/>
      <c r="AC196" s="16"/>
      <c r="AD196" s="16"/>
    </row>
    <row r="197" spans="1:30" ht="15.75" customHeight="1">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c r="AD197" s="16"/>
    </row>
    <row r="198" spans="1:30" ht="15.75" customHeight="1">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c r="AD198" s="16"/>
    </row>
    <row r="199" spans="1:30" ht="15.75" customHeight="1">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c r="AA199" s="16"/>
      <c r="AB199" s="16"/>
      <c r="AC199" s="16"/>
      <c r="AD199" s="16"/>
    </row>
    <row r="200" spans="1:30" ht="15.75" customHeight="1">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c r="AA200" s="16"/>
      <c r="AB200" s="16"/>
      <c r="AC200" s="16"/>
      <c r="AD200" s="16"/>
    </row>
    <row r="201" spans="1:30" ht="15.75" customHeight="1">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c r="AD201" s="16"/>
    </row>
    <row r="202" spans="1:30" ht="15.75" customHeight="1">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c r="AD202" s="16"/>
    </row>
    <row r="203" spans="1:30" ht="15.75" customHeight="1">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c r="AA203" s="16"/>
      <c r="AB203" s="16"/>
      <c r="AC203" s="16"/>
      <c r="AD203" s="16"/>
    </row>
    <row r="204" spans="1:30" ht="15.75" customHeight="1">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c r="AA204" s="16"/>
      <c r="AB204" s="16"/>
      <c r="AC204" s="16"/>
      <c r="AD204" s="16"/>
    </row>
    <row r="205" spans="1:30" ht="15.75" customHeight="1">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c r="AD205" s="16"/>
    </row>
    <row r="206" spans="1:30" ht="15.75" customHeight="1">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row>
    <row r="207" spans="1:30" ht="15.75" customHeight="1">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c r="AD207" s="16"/>
    </row>
    <row r="208" spans="1:30" ht="15.75" customHeight="1">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c r="AD208" s="16"/>
    </row>
    <row r="209" spans="1:30" ht="15.75" customHeight="1">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c r="AD209" s="16"/>
    </row>
    <row r="210" spans="1:30" ht="15.75" customHeight="1">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c r="AD210" s="16"/>
    </row>
    <row r="211" spans="1:30" ht="15.75" customHeight="1">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row>
    <row r="212" spans="1:30" ht="15.75" customHeight="1">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c r="AD212" s="16"/>
    </row>
    <row r="213" spans="1:30" ht="15.75" customHeight="1">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c r="AD213" s="16"/>
    </row>
    <row r="214" spans="1:30" ht="15.75" customHeight="1">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row>
    <row r="215" spans="1:30" ht="15.75" customHeight="1">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c r="AD215" s="16"/>
    </row>
    <row r="216" spans="1:30" ht="15.75" customHeight="1">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c r="AD216" s="16"/>
    </row>
    <row r="217" spans="1:30" ht="15.75" customHeight="1">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c r="AD217" s="16"/>
    </row>
    <row r="218" spans="1:30" ht="15.75" customHeight="1">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c r="AD218" s="16"/>
    </row>
    <row r="219" spans="1:30" ht="15.75" customHeight="1">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c r="AD219" s="16"/>
    </row>
    <row r="220" spans="1:30" ht="15.75" customHeight="1">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c r="AD220" s="16"/>
    </row>
    <row r="221" spans="1:30" ht="15.75" customHeight="1">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row>
    <row r="222" spans="1:30" ht="15.75" customHeight="1">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row>
    <row r="223" spans="1:30" ht="15.75" customHeight="1">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c r="AD223" s="16"/>
    </row>
    <row r="224" spans="1:30" ht="15.75" customHeight="1">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c r="AD224" s="16"/>
    </row>
    <row r="225" spans="1:30" ht="15.75" customHeight="1">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16"/>
    </row>
    <row r="226" spans="1:30" ht="15.75" customHeight="1">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row>
    <row r="227" spans="1:30" ht="15.75" customHeight="1">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16"/>
    </row>
    <row r="228" spans="1:30" ht="15.75" customHeight="1">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c r="AD228" s="16"/>
    </row>
    <row r="229" spans="1:30" ht="15.75" customHeight="1">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c r="AD229" s="16"/>
    </row>
    <row r="230" spans="1:30" ht="15.75" customHeight="1">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row>
    <row r="231" spans="1:30" ht="15.75" customHeight="1">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c r="AD231" s="16"/>
    </row>
    <row r="232" spans="1:30" ht="15.75" customHeight="1">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c r="AD232" s="16"/>
    </row>
    <row r="233" spans="1:30" ht="15.75" customHeight="1">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c r="AD233" s="16"/>
    </row>
    <row r="234" spans="1:30" ht="15.75" customHeight="1">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c r="AD234" s="16"/>
    </row>
    <row r="235" spans="1:30" ht="15.75" customHeight="1">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row>
    <row r="236" spans="1:30" ht="15.75" customHeight="1">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c r="AD236" s="16"/>
    </row>
    <row r="237" spans="1:30" ht="15.75" customHeight="1">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c r="AD237" s="16"/>
    </row>
    <row r="238" spans="1:30" ht="15.75" customHeight="1">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c r="AD238" s="16"/>
    </row>
    <row r="239" spans="1:30" ht="15.75" customHeight="1">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c r="AD239" s="16"/>
    </row>
    <row r="240" spans="1:30" ht="15.75" customHeight="1">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c r="AD240" s="16"/>
    </row>
    <row r="241" spans="1:30" ht="15.75" customHeight="1">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c r="AD241" s="16"/>
    </row>
    <row r="242" spans="1:30" ht="15.75" customHeight="1">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c r="AD242" s="16"/>
    </row>
    <row r="243" spans="1:30" ht="15.75" customHeight="1">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c r="AD243" s="16"/>
    </row>
    <row r="244" spans="1:30" ht="15.75" customHeight="1">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16"/>
    </row>
    <row r="245" spans="1:30" ht="15.75" customHeight="1">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c r="AD245" s="16"/>
    </row>
    <row r="246" spans="1:30" ht="15.75" customHeight="1">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row>
    <row r="247" spans="1:30" ht="15.75" customHeight="1">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c r="AD247" s="16"/>
    </row>
    <row r="248" spans="1:30" ht="15.75" customHeight="1">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row>
    <row r="249" spans="1:30" ht="15.75" customHeight="1">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row>
    <row r="250" spans="1:30" ht="15.75" customHeight="1">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c r="AD250" s="16"/>
    </row>
    <row r="251" spans="1:30" ht="15.75" customHeight="1">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row>
    <row r="252" spans="1:30" ht="15.75" customHeight="1">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16"/>
    </row>
    <row r="253" spans="1:30" ht="15.75" customHeight="1">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c r="AD253" s="16"/>
    </row>
    <row r="254" spans="1:30" ht="15.75" customHeight="1">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row>
    <row r="255" spans="1:30" ht="15.75" customHeight="1">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c r="AD255" s="16"/>
    </row>
    <row r="256" spans="1:30" ht="15.75" customHeight="1">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row>
    <row r="257" spans="1:30" ht="15.75" customHeight="1">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c r="AD257" s="16"/>
    </row>
    <row r="258" spans="1:30" ht="15.75" customHeight="1">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c r="AD258" s="16"/>
    </row>
    <row r="259" spans="1:30" ht="15.75" customHeight="1">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row>
    <row r="260" spans="1:30" ht="15.75" customHeight="1">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row>
    <row r="261" spans="1:30" ht="15.75" customHeight="1">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c r="AD261" s="16"/>
    </row>
    <row r="262" spans="1:30" ht="15.75" customHeight="1">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row>
    <row r="263" spans="1:30" ht="15.75" customHeight="1">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row>
    <row r="264" spans="1:30" ht="15.75" customHeight="1">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c r="AD264" s="16"/>
    </row>
    <row r="265" spans="1:30" ht="15.75" customHeight="1">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row>
    <row r="266" spans="1:30" ht="15.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row>
    <row r="267" spans="1:30" ht="15.75" customHeight="1">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row>
    <row r="268" spans="1:30" ht="15.75" customHeight="1">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c r="AD268" s="16"/>
    </row>
    <row r="269" spans="1:30" ht="15.75" customHeight="1">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row>
    <row r="270" spans="1:30" ht="15.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row>
    <row r="271" spans="1:30" ht="15.75" customHeight="1">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c r="AD271" s="16"/>
    </row>
    <row r="272" spans="1:30" ht="15.75" customHeight="1">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c r="AD272" s="16"/>
    </row>
    <row r="273" spans="1:30" ht="15.75" customHeight="1">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c r="AD273" s="16"/>
    </row>
    <row r="274" spans="1:30" ht="15.75" customHeight="1">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c r="AD274" s="16"/>
    </row>
    <row r="275" spans="1:30" ht="15.75" customHeight="1">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c r="AD275" s="16"/>
    </row>
    <row r="276" spans="1:30" ht="15.75" customHeight="1">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row>
    <row r="277" spans="1:30" ht="15.75" customHeight="1">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16"/>
    </row>
    <row r="278" spans="1:30" ht="15.75" customHeight="1">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row>
    <row r="279" spans="1:30" ht="15.75" customHeight="1">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16"/>
    </row>
    <row r="280" spans="1:30" ht="15.75" customHeight="1">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c r="AD280" s="16"/>
    </row>
    <row r="281" spans="1:30" ht="15.75" customHeight="1">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c r="AD281" s="16"/>
    </row>
    <row r="282" spans="1:30" ht="15.75" customHeight="1">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c r="AD282" s="16"/>
    </row>
    <row r="283" spans="1:30" ht="15.75" customHeight="1">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c r="AD283" s="16"/>
    </row>
    <row r="284" spans="1:30" ht="15.75" customHeight="1">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c r="AD284" s="16"/>
    </row>
    <row r="285" spans="1:30" ht="15.75" customHeight="1">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c r="AD285" s="16"/>
    </row>
    <row r="286" spans="1:30" ht="15.75" customHeight="1">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row>
    <row r="287" spans="1:30" ht="15.75" customHeight="1">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row>
    <row r="288" spans="1:30" ht="15.75" customHeight="1">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row>
    <row r="289" spans="1:30" ht="15.75" customHeight="1">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row>
    <row r="290" spans="1:30" ht="15.75" customHeight="1">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row>
    <row r="291" spans="1:30" ht="15.75" customHeight="1">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c r="AD291" s="16"/>
    </row>
    <row r="292" spans="1:30" ht="15.75" customHeight="1">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row>
    <row r="293" spans="1:30" ht="15.75" customHeight="1">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row>
    <row r="294" spans="1:30" ht="15.75" customHeight="1">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row>
    <row r="295" spans="1:30" ht="15.75" customHeight="1">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row>
    <row r="296" spans="1:30" ht="15.75" customHeight="1">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row>
    <row r="297" spans="1:30" ht="15.75" customHeight="1">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row>
    <row r="298" spans="1:30" ht="15.75" customHeight="1">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row>
    <row r="299" spans="1:30" ht="15.75" customHeight="1">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row>
    <row r="300" spans="1:30" ht="15.75" customHeight="1">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row>
    <row r="301" spans="1:30" ht="15.75" customHeight="1">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c r="AD301" s="16"/>
    </row>
    <row r="302" spans="1:30" ht="15.75" customHeight="1">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c r="AD302" s="16"/>
    </row>
    <row r="303" spans="1:30" ht="15.75" customHeight="1">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row>
    <row r="304" spans="1:30" ht="15.75" customHeight="1">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c r="AD304" s="16"/>
    </row>
    <row r="305" spans="1:30" ht="15.75" customHeight="1">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c r="AD305" s="16"/>
    </row>
    <row r="306" spans="1:30" ht="15.75" customHeight="1"/>
    <row r="307" spans="1:30" ht="15.75" customHeight="1"/>
    <row r="308" spans="1:30" ht="15.75" customHeight="1"/>
    <row r="309" spans="1:30" ht="15.75" customHeight="1"/>
    <row r="310" spans="1:30" ht="15.75" customHeight="1"/>
    <row r="311" spans="1:30" ht="15.75" customHeight="1"/>
    <row r="312" spans="1:30" ht="15.75" customHeight="1"/>
    <row r="313" spans="1:30" ht="15.75" customHeight="1"/>
    <row r="314" spans="1:30" ht="15.75" customHeight="1"/>
    <row r="315" spans="1:30" ht="15.75" customHeight="1"/>
    <row r="316" spans="1:30" ht="15.75" customHeight="1"/>
    <row r="317" spans="1:30" ht="15.75" customHeight="1"/>
    <row r="318" spans="1:30" ht="15.75" customHeight="1"/>
    <row r="319" spans="1:30" ht="15.75" customHeight="1"/>
    <row r="320" spans="1:3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99">
    <mergeCell ref="K55:M67"/>
    <mergeCell ref="A30:F30"/>
    <mergeCell ref="A31:F31"/>
    <mergeCell ref="A32:F32"/>
    <mergeCell ref="A34:F34"/>
    <mergeCell ref="A29:F29"/>
    <mergeCell ref="A1:C1"/>
    <mergeCell ref="E1:H1"/>
    <mergeCell ref="D7:I7"/>
    <mergeCell ref="D8:I8"/>
    <mergeCell ref="A28:F28"/>
    <mergeCell ref="H92:I105"/>
    <mergeCell ref="J92:K105"/>
    <mergeCell ref="AG29:AH29"/>
    <mergeCell ref="AI29:AJ29"/>
    <mergeCell ref="AG30:AH40"/>
    <mergeCell ref="AI30:AJ40"/>
    <mergeCell ref="H37:J37"/>
    <mergeCell ref="K71:O87"/>
    <mergeCell ref="P71:Q87"/>
    <mergeCell ref="H91:I91"/>
    <mergeCell ref="J91:K91"/>
    <mergeCell ref="K70:O70"/>
    <mergeCell ref="H38:J42"/>
    <mergeCell ref="I45:K45"/>
    <mergeCell ref="I46:K50"/>
    <mergeCell ref="K54:M54"/>
    <mergeCell ref="P115:R115"/>
    <mergeCell ref="P70:Q70"/>
    <mergeCell ref="P116:R116"/>
    <mergeCell ref="P117:R117"/>
    <mergeCell ref="P118:R118"/>
    <mergeCell ref="P119:R119"/>
    <mergeCell ref="P120:R120"/>
    <mergeCell ref="M135:O135"/>
    <mergeCell ref="P121:R121"/>
    <mergeCell ref="M123:O123"/>
    <mergeCell ref="P123:T123"/>
    <mergeCell ref="M124:O124"/>
    <mergeCell ref="P124:T135"/>
    <mergeCell ref="M125:O125"/>
    <mergeCell ref="M126:O126"/>
    <mergeCell ref="M127:O127"/>
    <mergeCell ref="M128:O128"/>
    <mergeCell ref="M129:O129"/>
    <mergeCell ref="M130:O130"/>
    <mergeCell ref="M131:O131"/>
    <mergeCell ref="M132:O132"/>
    <mergeCell ref="M133:O133"/>
    <mergeCell ref="M134:O134"/>
    <mergeCell ref="M151:O151"/>
    <mergeCell ref="M138:O138"/>
    <mergeCell ref="P138:T138"/>
    <mergeCell ref="M139:O139"/>
    <mergeCell ref="P139:T152"/>
    <mergeCell ref="M140:O140"/>
    <mergeCell ref="M141:O141"/>
    <mergeCell ref="M142:O142"/>
    <mergeCell ref="M143:O143"/>
    <mergeCell ref="M144:O144"/>
    <mergeCell ref="M145:O145"/>
    <mergeCell ref="M146:O146"/>
    <mergeCell ref="M147:O147"/>
    <mergeCell ref="M148:O148"/>
    <mergeCell ref="M149:O149"/>
    <mergeCell ref="M150:O150"/>
    <mergeCell ref="P155:T155"/>
    <mergeCell ref="B156:C156"/>
    <mergeCell ref="M156:O156"/>
    <mergeCell ref="P156:T169"/>
    <mergeCell ref="B157:C157"/>
    <mergeCell ref="M157:O157"/>
    <mergeCell ref="B158:C158"/>
    <mergeCell ref="B161:C161"/>
    <mergeCell ref="M161:O161"/>
    <mergeCell ref="B160:C160"/>
    <mergeCell ref="M160:O160"/>
    <mergeCell ref="B162:C162"/>
    <mergeCell ref="M162:O162"/>
    <mergeCell ref="B163:C163"/>
    <mergeCell ref="M163:O163"/>
    <mergeCell ref="B164:C164"/>
    <mergeCell ref="M152:O152"/>
    <mergeCell ref="B155:C155"/>
    <mergeCell ref="M155:O155"/>
    <mergeCell ref="M158:O158"/>
    <mergeCell ref="B159:C159"/>
    <mergeCell ref="M159:O159"/>
    <mergeCell ref="M164:O164"/>
    <mergeCell ref="B168:C168"/>
    <mergeCell ref="M168:O168"/>
    <mergeCell ref="B169:C169"/>
    <mergeCell ref="M169:O169"/>
    <mergeCell ref="B165:C165"/>
    <mergeCell ref="M165:O165"/>
    <mergeCell ref="B166:C166"/>
    <mergeCell ref="M166:O166"/>
    <mergeCell ref="B167:C167"/>
    <mergeCell ref="M167:O167"/>
  </mergeCells>
  <conditionalFormatting sqref="I55:I66">
    <cfRule type="containsText" dxfId="848" priority="1" operator="containsText" text="5">
      <formula>NOT(ISERROR(SEARCH(("5"),(I55))))</formula>
    </cfRule>
    <cfRule type="containsText" dxfId="847" priority="2" operator="containsText" text="42">
      <formula>NOT(ISERROR(SEARCH(("42"),(I55))))</formula>
    </cfRule>
    <cfRule type="containsText" dxfId="846" priority="3" operator="containsText" text="Please fill in">
      <formula>NOT(ISERROR(SEARCH(("Please fill in"),(I55))))</formula>
    </cfRule>
  </conditionalFormatting>
  <dataValidations count="4">
    <dataValidation type="list" allowBlank="1" showErrorMessage="1" sqref="H62:H67 D48:D50" xr:uid="{693C5A57-2A2C-944D-9DDE-A5935E24DA65}">
      <formula1>Aloha!TypesOfTrainers</formula1>
    </dataValidation>
    <dataValidation type="list" allowBlank="1" showErrorMessage="1" sqref="B9" xr:uid="{3CA60779-83A9-E64E-8420-A46377A81D4C}">
      <formula1>"yes,no,partial"</formula1>
    </dataValidation>
    <dataValidation type="list" allowBlank="1" sqref="G46:G50" xr:uid="{52E96703-AF35-7147-88D4-627342E50E80}">
      <formula1>"yes,no"</formula1>
    </dataValidation>
    <dataValidation type="list" allowBlank="1" showErrorMessage="1" sqref="H55:H61 D46:D47" xr:uid="{0B97D73A-B157-3B46-AEFE-11AB0B1D72EA}">
      <formula1>'https://universiteittwente.sharepoint.com/sites/SportsCoordinatorsSUT/Gedeelde documenten/General/(WIP) FAM Sheets - Regulations 2025-28 - Version April 2025.xlsx'!TypesOfTrainers</formula1>
    </dataValidation>
  </dataValidations>
  <pageMargins left="0.7" right="0.7" top="0.75" bottom="0.75" header="0" footer="0"/>
  <pageSetup paperSize="9" orientation="portrait"/>
  <drawing r:id="rId1"/>
  <legacyDrawing r:id="rId2"/>
  <tableParts count="6">
    <tablePart r:id="rId3"/>
    <tablePart r:id="rId4"/>
    <tablePart r:id="rId5"/>
    <tablePart r:id="rId6"/>
    <tablePart r:id="rId7"/>
    <tablePart r:id="rId8"/>
  </tableParts>
  <extLst>
    <ext xmlns:x14="http://schemas.microsoft.com/office/spreadsheetml/2009/9/main" uri="{CCE6A557-97BC-4b89-ADB6-D9C93CAAB3DF}">
      <x14:dataValidations xmlns:xm="http://schemas.microsoft.com/office/excel/2006/main" count="4">
        <x14:dataValidation type="list" allowBlank="1" showInputMessage="1" showErrorMessage="1" xr:uid="{BE8484F8-C976-6643-9381-E951FA71E357}">
          <x14:formula1>
            <xm:f>Constants!$M$6:$M$7</xm:f>
          </x14:formula1>
          <xm:sqref>B97:B107</xm:sqref>
        </x14:dataValidation>
        <x14:dataValidation type="list" allowBlank="1" showInputMessage="1" showErrorMessage="1" xr:uid="{AAB9F047-379A-A54E-955F-78FC7B76CC89}">
          <x14:formula1>
            <xm:f>Constants!$C$55:$C$56</xm:f>
          </x14:formula1>
          <xm:sqref>B12</xm:sqref>
        </x14:dataValidation>
        <x14:dataValidation type="list" allowBlank="1" showErrorMessage="1" xr:uid="{F4EA034E-306E-E14D-AB68-A57F11CB97E5}">
          <x14:formula1>
            <xm:f>Constants!$H$6:$H$13</xm:f>
          </x14:formula1>
          <xm:sqref>B55:B67</xm:sqref>
        </x14:dataValidation>
        <x14:dataValidation type="list" allowBlank="1" showInputMessage="1" showErrorMessage="1" xr:uid="{17C80790-0A66-5740-85CD-11379FEB879F}">
          <x14:formula1>
            <xm:f>Constants!$B$2:$AD$2</xm:f>
          </x14:formula1>
          <xm:sqref>B71:B87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AEC93-8735-4986-B6BA-63561AF1A975}">
  <dimension ref="A1:BG1004"/>
  <sheetViews>
    <sheetView topLeftCell="E5" workbookViewId="0">
      <selection activeCell="AF30" sqref="AF30"/>
    </sheetView>
  </sheetViews>
  <sheetFormatPr defaultColWidth="12.625" defaultRowHeight="15" customHeight="1"/>
  <cols>
    <col min="1" max="1" width="36.625" customWidth="1"/>
    <col min="2" max="2" width="28.125" customWidth="1"/>
    <col min="3" max="3" width="21" customWidth="1"/>
    <col min="4" max="4" width="17.5" customWidth="1"/>
    <col min="5" max="5" width="16.125" customWidth="1"/>
    <col min="6" max="6" width="21.5" customWidth="1"/>
    <col min="7" max="7" width="22.625" customWidth="1"/>
    <col min="8" max="8" width="18.625" customWidth="1"/>
    <col min="9" max="9" width="19.625" customWidth="1"/>
    <col min="10" max="10" width="18.875" customWidth="1"/>
    <col min="11" max="11" width="21.625" customWidth="1"/>
    <col min="12" max="12" width="17.375" customWidth="1"/>
    <col min="13" max="13" width="15.125" customWidth="1"/>
    <col min="14" max="14" width="15.625" customWidth="1"/>
    <col min="15" max="15" width="28.5" customWidth="1"/>
    <col min="16" max="16" width="13.125" customWidth="1"/>
    <col min="17" max="17" width="21.875" customWidth="1"/>
    <col min="18" max="18" width="27" customWidth="1"/>
    <col min="19" max="19" width="20.5" customWidth="1"/>
    <col min="20" max="22" width="7.625" customWidth="1"/>
    <col min="23" max="23" width="31.875" customWidth="1"/>
    <col min="24" max="24" width="7.625" customWidth="1"/>
    <col min="25" max="25" width="8.375" customWidth="1"/>
    <col min="26" max="26" width="21.625" customWidth="1"/>
    <col min="27" max="27" width="12" customWidth="1"/>
    <col min="28" max="28" width="16.5" customWidth="1"/>
    <col min="29" max="29" width="6" customWidth="1"/>
    <col min="30" max="30" width="13.625" customWidth="1"/>
  </cols>
  <sheetData>
    <row r="1" spans="1:59" ht="171" customHeight="1">
      <c r="A1" s="703"/>
      <c r="B1" s="704"/>
      <c r="C1" s="705"/>
      <c r="D1" s="16"/>
      <c r="E1" s="572" t="s">
        <v>531</v>
      </c>
      <c r="F1" s="704"/>
      <c r="G1" s="704"/>
      <c r="H1" s="705"/>
      <c r="I1" s="16"/>
      <c r="J1" s="16"/>
      <c r="K1" s="16"/>
      <c r="L1" s="16"/>
      <c r="M1" s="16"/>
      <c r="N1" s="16"/>
      <c r="O1" s="16"/>
      <c r="P1" s="16"/>
      <c r="Q1" s="16"/>
      <c r="R1" s="16"/>
      <c r="S1" s="16"/>
      <c r="T1" s="16"/>
      <c r="U1" s="16"/>
      <c r="V1" s="16"/>
      <c r="W1" s="16"/>
      <c r="X1" s="16"/>
      <c r="Y1" s="16"/>
      <c r="Z1" s="16"/>
      <c r="AA1" s="16"/>
      <c r="AB1" s="16"/>
      <c r="AC1" s="16"/>
      <c r="AD1" s="16"/>
    </row>
    <row r="2" spans="1:59">
      <c r="A2" s="58" t="s">
        <v>404</v>
      </c>
      <c r="B2" s="152" t="s">
        <v>532</v>
      </c>
      <c r="C2" s="59"/>
      <c r="D2" s="16"/>
      <c r="E2" s="60" t="s">
        <v>406</v>
      </c>
      <c r="F2" s="153"/>
      <c r="G2" s="154"/>
      <c r="H2" s="61"/>
      <c r="I2" s="16"/>
      <c r="J2" s="16"/>
      <c r="K2" s="16"/>
      <c r="L2" s="16"/>
      <c r="M2" s="16"/>
      <c r="N2" s="16"/>
      <c r="O2" s="16"/>
      <c r="P2" s="16"/>
      <c r="Q2" s="16"/>
      <c r="R2" s="16"/>
      <c r="S2" s="16"/>
      <c r="T2" s="16"/>
      <c r="U2" s="16"/>
      <c r="V2" s="16"/>
      <c r="W2" s="16"/>
      <c r="X2" s="16"/>
      <c r="Y2" s="16"/>
      <c r="Z2" s="15"/>
      <c r="AA2" s="15"/>
      <c r="AB2" s="15"/>
      <c r="AC2" s="15"/>
      <c r="AD2" s="16"/>
      <c r="AE2" s="16"/>
      <c r="AF2" s="16"/>
      <c r="AG2" s="16"/>
      <c r="AH2" s="16"/>
      <c r="AI2" s="17"/>
      <c r="AJ2" s="17"/>
      <c r="AK2" s="17"/>
      <c r="AL2" s="17"/>
      <c r="AM2" s="17"/>
      <c r="AN2" s="17"/>
      <c r="AO2" s="17"/>
      <c r="AP2" s="17"/>
      <c r="AQ2" s="17"/>
      <c r="AR2" s="18"/>
      <c r="AS2" s="17"/>
      <c r="AT2" s="17"/>
      <c r="AU2" s="16"/>
      <c r="AV2" s="16"/>
      <c r="AW2" s="16"/>
      <c r="AX2" s="16"/>
      <c r="AY2" s="16"/>
      <c r="AZ2" s="16"/>
      <c r="BA2" s="16"/>
    </row>
    <row r="3" spans="1:59">
      <c r="A3" s="62" t="s">
        <v>408</v>
      </c>
      <c r="B3" s="155">
        <v>3</v>
      </c>
      <c r="C3" s="156"/>
      <c r="D3" s="16"/>
      <c r="E3" s="63" t="s">
        <v>409</v>
      </c>
      <c r="F3" s="157"/>
      <c r="G3" s="158"/>
      <c r="H3" s="159"/>
      <c r="I3" s="16"/>
      <c r="J3" s="16"/>
      <c r="K3" s="16"/>
      <c r="L3" s="16"/>
      <c r="M3" s="16"/>
      <c r="N3" s="16"/>
      <c r="O3" s="16"/>
      <c r="P3" s="16"/>
      <c r="Q3" s="16"/>
      <c r="R3" s="16"/>
      <c r="S3" s="16"/>
      <c r="T3" s="16"/>
      <c r="U3" s="16"/>
      <c r="V3" s="16"/>
      <c r="W3" s="16"/>
      <c r="X3" s="16"/>
      <c r="Y3" s="16"/>
      <c r="Z3" s="16"/>
      <c r="AA3" s="16"/>
      <c r="AB3" s="16"/>
      <c r="AC3" s="16"/>
      <c r="AD3" s="16"/>
    </row>
    <row r="4" spans="1:59">
      <c r="A4" s="160" t="s">
        <v>410</v>
      </c>
      <c r="B4" s="161">
        <v>45812</v>
      </c>
      <c r="C4" s="162"/>
      <c r="D4" s="16"/>
      <c r="E4" s="163"/>
      <c r="F4" s="164"/>
      <c r="G4" s="165"/>
      <c r="H4" s="166"/>
      <c r="I4" s="16"/>
      <c r="J4" s="16"/>
      <c r="K4" s="16"/>
      <c r="L4" s="16"/>
      <c r="M4" s="16"/>
      <c r="N4" s="16"/>
      <c r="O4" s="16"/>
      <c r="P4" s="16"/>
      <c r="Q4" s="16"/>
      <c r="R4" s="16"/>
      <c r="S4" s="16"/>
      <c r="T4" s="16"/>
      <c r="U4" s="16"/>
      <c r="V4" s="16"/>
      <c r="W4" s="16"/>
      <c r="X4" s="16"/>
      <c r="Y4" s="16"/>
      <c r="Z4" s="16"/>
      <c r="AA4" s="16"/>
      <c r="AB4" s="16"/>
      <c r="AC4" s="16"/>
      <c r="AD4" s="16"/>
    </row>
    <row r="5" spans="1:59">
      <c r="A5" s="167" t="s">
        <v>411</v>
      </c>
      <c r="B5" s="168"/>
      <c r="C5" s="167"/>
      <c r="D5" s="16"/>
      <c r="E5" s="169" t="s">
        <v>412</v>
      </c>
      <c r="F5" s="169"/>
      <c r="G5" s="158"/>
      <c r="H5" s="169"/>
      <c r="I5" s="16"/>
      <c r="J5" s="16"/>
      <c r="K5" s="16"/>
      <c r="L5" s="16"/>
      <c r="M5" s="16"/>
      <c r="N5" s="16"/>
      <c r="O5" s="16"/>
      <c r="P5" s="16"/>
      <c r="Q5" s="16"/>
      <c r="R5" s="16"/>
      <c r="S5" s="16"/>
      <c r="T5" s="16"/>
      <c r="U5" s="16"/>
      <c r="V5" s="16"/>
      <c r="W5" s="16"/>
      <c r="X5" s="16"/>
      <c r="Y5" s="16"/>
      <c r="Z5" s="16"/>
      <c r="AA5" s="16"/>
      <c r="AB5" s="16"/>
      <c r="AC5" s="16"/>
      <c r="AD5" s="16"/>
    </row>
    <row r="6" spans="1:59">
      <c r="A6" s="15"/>
      <c r="B6" s="64"/>
      <c r="C6" s="16"/>
      <c r="D6" s="16"/>
      <c r="E6" s="16"/>
      <c r="F6" s="16"/>
      <c r="G6" s="16"/>
      <c r="H6" s="16"/>
      <c r="I6" s="16"/>
      <c r="J6" s="64"/>
      <c r="K6" s="16"/>
      <c r="L6" s="16"/>
      <c r="M6" s="16"/>
      <c r="N6" s="16"/>
      <c r="O6" s="16"/>
      <c r="P6" s="16"/>
      <c r="Q6" s="16"/>
      <c r="R6" s="16"/>
      <c r="S6" s="16"/>
      <c r="T6" s="16"/>
      <c r="U6" s="16"/>
      <c r="V6" s="16"/>
      <c r="W6" s="16"/>
      <c r="X6" s="16"/>
      <c r="Y6" s="16"/>
      <c r="Z6" s="16"/>
      <c r="AA6" s="16"/>
      <c r="AB6" s="16"/>
      <c r="AC6" s="16"/>
      <c r="AD6" s="16"/>
    </row>
    <row r="7" spans="1:59">
      <c r="A7" s="170" t="s">
        <v>413</v>
      </c>
      <c r="B7" s="59">
        <v>113</v>
      </c>
      <c r="C7" s="16"/>
      <c r="D7" s="573" t="s">
        <v>414</v>
      </c>
      <c r="E7" s="701"/>
      <c r="F7" s="701"/>
      <c r="G7" s="701"/>
      <c r="H7" s="701"/>
      <c r="I7" s="701"/>
      <c r="J7" s="16"/>
      <c r="K7" s="16"/>
      <c r="L7" s="16"/>
      <c r="M7" s="16"/>
      <c r="N7" s="16"/>
      <c r="O7" s="16"/>
      <c r="P7" s="16"/>
      <c r="Q7" s="16"/>
      <c r="R7" s="16"/>
      <c r="S7" s="16"/>
      <c r="T7" s="16"/>
      <c r="U7" s="16"/>
      <c r="V7" s="16"/>
      <c r="W7" s="16"/>
      <c r="X7" s="16"/>
      <c r="Y7" s="16"/>
      <c r="Z7" s="16"/>
      <c r="AA7" s="16"/>
      <c r="AB7" s="16"/>
      <c r="AC7" s="16"/>
      <c r="AD7" s="16"/>
    </row>
    <row r="8" spans="1:59" ht="14.25" customHeight="1">
      <c r="A8" s="171" t="s">
        <v>415</v>
      </c>
      <c r="B8" s="172">
        <f ca="1">M21-M17</f>
        <v>12875.963681324945</v>
      </c>
      <c r="C8" s="16" t="s">
        <v>416</v>
      </c>
      <c r="D8" s="574" t="s">
        <v>417</v>
      </c>
      <c r="E8" s="704"/>
      <c r="F8" s="704"/>
      <c r="G8" s="704"/>
      <c r="H8" s="704"/>
      <c r="I8" s="704"/>
      <c r="J8" s="16"/>
      <c r="K8" s="16"/>
      <c r="L8" s="16"/>
      <c r="M8" s="16"/>
      <c r="N8" s="16"/>
      <c r="O8" s="16"/>
      <c r="P8" s="16"/>
      <c r="Q8" s="16"/>
      <c r="R8" s="16"/>
      <c r="S8" s="16"/>
      <c r="T8" s="16"/>
      <c r="U8" s="16"/>
      <c r="V8" s="16"/>
      <c r="W8" s="16"/>
      <c r="X8" s="16"/>
      <c r="Y8" s="16"/>
      <c r="Z8" s="16"/>
      <c r="AA8" s="16"/>
      <c r="AB8" s="16"/>
      <c r="AC8" s="16"/>
    </row>
    <row r="9" spans="1:59">
      <c r="A9" s="65" t="s">
        <v>418</v>
      </c>
      <c r="B9" s="173" t="s">
        <v>419</v>
      </c>
      <c r="C9" s="16"/>
      <c r="D9" s="16"/>
      <c r="E9" s="17"/>
      <c r="F9" s="17"/>
      <c r="G9" s="17"/>
      <c r="H9" s="17"/>
      <c r="I9" s="17"/>
      <c r="J9" s="17"/>
      <c r="K9" s="17"/>
      <c r="L9" s="17"/>
      <c r="M9" s="17"/>
      <c r="N9" s="17"/>
      <c r="O9" s="17"/>
      <c r="P9" s="17"/>
      <c r="Q9" s="16"/>
      <c r="R9" s="17"/>
      <c r="S9" s="17"/>
      <c r="T9" s="17"/>
      <c r="U9" s="17"/>
      <c r="V9" s="17"/>
      <c r="W9" s="17"/>
      <c r="X9" s="17"/>
      <c r="Y9" s="17"/>
      <c r="Z9" s="17"/>
      <c r="AA9" s="17"/>
      <c r="AB9" s="17"/>
      <c r="AC9" s="17"/>
      <c r="AD9" s="18" t="s">
        <v>242</v>
      </c>
    </row>
    <row r="10" spans="1:59">
      <c r="A10" s="174" t="s">
        <v>420</v>
      </c>
      <c r="B10" s="66">
        <f>COUNTA(A38:A43)</f>
        <v>6</v>
      </c>
      <c r="C10" s="16"/>
      <c r="D10" s="16"/>
      <c r="E10" s="17"/>
      <c r="F10" s="17"/>
      <c r="G10" s="17"/>
      <c r="H10" s="17"/>
      <c r="I10" s="17"/>
      <c r="J10" s="17"/>
      <c r="K10" s="17"/>
      <c r="L10" s="17"/>
      <c r="M10" s="17"/>
      <c r="N10" s="17"/>
      <c r="O10" s="17"/>
      <c r="P10" s="17"/>
      <c r="Q10" s="16"/>
      <c r="R10" s="17"/>
      <c r="S10" s="17"/>
      <c r="T10" s="17"/>
      <c r="U10" s="17"/>
      <c r="V10" s="17"/>
      <c r="W10" s="17"/>
      <c r="X10" s="17"/>
      <c r="Y10" s="17"/>
      <c r="Z10" s="17"/>
      <c r="AA10" s="17"/>
      <c r="AB10" s="17"/>
      <c r="AC10" s="17"/>
      <c r="AD10" s="18"/>
    </row>
    <row r="11" spans="1:59">
      <c r="A11" s="171" t="s">
        <v>421</v>
      </c>
      <c r="B11" s="238">
        <f>SUM(B38:B43)</f>
        <v>165</v>
      </c>
      <c r="C11" s="16"/>
      <c r="D11" s="16"/>
      <c r="E11" s="17"/>
      <c r="F11" s="17"/>
      <c r="G11" s="17"/>
      <c r="H11" s="17"/>
      <c r="I11" s="17"/>
      <c r="J11" s="17"/>
      <c r="K11" s="17"/>
      <c r="L11" s="17"/>
      <c r="M11" s="17"/>
      <c r="N11" s="17"/>
      <c r="O11" s="17"/>
      <c r="P11" s="17"/>
      <c r="Q11" s="16"/>
      <c r="R11" s="17"/>
      <c r="S11" s="17"/>
      <c r="T11" s="17"/>
      <c r="U11" s="17"/>
      <c r="V11" s="17"/>
      <c r="W11" s="17"/>
      <c r="X11" s="17"/>
      <c r="Y11" s="17"/>
      <c r="Z11" s="17"/>
      <c r="AA11" s="17"/>
      <c r="AB11" s="17"/>
      <c r="AC11" s="17"/>
      <c r="AD11" s="18"/>
    </row>
    <row r="12" spans="1:59">
      <c r="A12" s="239" t="s">
        <v>422</v>
      </c>
      <c r="B12" s="240" t="s">
        <v>317</v>
      </c>
      <c r="C12" s="16"/>
      <c r="D12" s="16"/>
      <c r="E12" s="17"/>
      <c r="F12" s="17"/>
      <c r="G12" s="17"/>
      <c r="H12" s="17"/>
      <c r="I12" s="17"/>
      <c r="J12" s="17"/>
      <c r="K12" s="17"/>
      <c r="L12" s="17"/>
      <c r="M12" s="17"/>
      <c r="N12" s="17"/>
      <c r="O12" s="17"/>
      <c r="P12" s="17"/>
      <c r="Q12" s="16"/>
      <c r="R12" s="17"/>
      <c r="S12" s="17"/>
      <c r="T12" s="17"/>
      <c r="U12" s="17"/>
      <c r="V12" s="17"/>
      <c r="W12" s="17"/>
      <c r="X12" s="17"/>
      <c r="Y12" s="17"/>
      <c r="Z12" s="17"/>
      <c r="AA12" s="17"/>
      <c r="AB12" s="17"/>
      <c r="AC12" s="17"/>
      <c r="AD12" s="18"/>
    </row>
    <row r="13" spans="1:59">
      <c r="A13" s="16"/>
      <c r="B13" s="16"/>
      <c r="C13" s="16"/>
      <c r="D13" s="16"/>
      <c r="E13" s="17"/>
      <c r="F13" s="17"/>
      <c r="G13" s="17"/>
      <c r="H13" s="17"/>
      <c r="I13" s="17"/>
      <c r="J13" s="17"/>
      <c r="K13" s="17"/>
      <c r="L13" s="17"/>
      <c r="M13" s="17"/>
      <c r="N13" s="17"/>
      <c r="O13" s="17"/>
      <c r="P13" s="17"/>
      <c r="Q13" s="16"/>
      <c r="R13" s="17"/>
      <c r="S13" s="17"/>
      <c r="T13" s="17"/>
      <c r="U13" s="17"/>
      <c r="V13" s="17"/>
      <c r="W13" s="17"/>
      <c r="X13" s="17"/>
      <c r="Y13" s="17"/>
      <c r="Z13" s="17"/>
      <c r="AA13" s="17"/>
      <c r="AB13" s="17"/>
      <c r="AC13" s="17"/>
      <c r="AD13" s="17" t="str" cm="1">
        <f t="array" ref="AD13:BF14">Constants!A2:AC3</f>
        <v>SC1</v>
      </c>
      <c r="AE13" s="17" t="str">
        <v>SC1 - Half</v>
      </c>
      <c r="AF13" s="17" t="str">
        <v>SC2</v>
      </c>
      <c r="AG13" s="17" t="str">
        <v>SC2 - Half</v>
      </c>
      <c r="AH13" s="17" t="str">
        <v>SC3</v>
      </c>
      <c r="AI13" s="17" t="str">
        <v>SC4</v>
      </c>
      <c r="AJ13" s="17" t="str">
        <v>SC5</v>
      </c>
      <c r="AK13" s="17" t="str">
        <v>SC6</v>
      </c>
      <c r="AL13" s="17" t="str">
        <v>Dojo</v>
      </c>
      <c r="AM13" s="17" t="str">
        <v>Boulder Wall</v>
      </c>
      <c r="AN13" s="17" t="str">
        <v>Climbing Wall</v>
      </c>
      <c r="AO13" s="17" t="str">
        <v>Artificial Hockey field</v>
      </c>
      <c r="AP13" s="17" t="str">
        <v>Artificial Hockey field - Half</v>
      </c>
      <c r="AQ13" s="17" t="str">
        <v>Artificial Soccer field</v>
      </c>
      <c r="AR13" s="17" t="str">
        <v>Artificial Soccer field - Half</v>
      </c>
      <c r="AS13" s="17" t="str">
        <v>Basketball</v>
      </c>
      <c r="AT13" s="17" t="str">
        <v>Bastille field</v>
      </c>
      <c r="AU13" s="17" t="str">
        <v>Beach fields</v>
      </c>
      <c r="AV13" s="17" t="str">
        <v>Shooting range</v>
      </c>
      <c r="AW13" s="17" t="str">
        <v>Multi/Lacrosse field</v>
      </c>
      <c r="AX13" s="17" t="str">
        <v>Multi/Lacrosse field - Half</v>
      </c>
      <c r="AY13" s="17" t="str">
        <v>Bootcamp field</v>
      </c>
      <c r="AZ13" s="17" t="str">
        <v>Multi/Baseball field</v>
      </c>
      <c r="BA13" s="17" t="str">
        <v>Tennis court</v>
      </c>
      <c r="BB13" s="17" t="str">
        <v>Utrack</v>
      </c>
      <c r="BC13" s="22" t="str">
        <v>Verreveld</v>
      </c>
      <c r="BD13" s="22" t="str">
        <v>Wsc</v>
      </c>
      <c r="BE13" s="22" t="str">
        <v>Indoor pool</v>
      </c>
      <c r="BF13" s="22" t="str">
        <v>Outdoor pool</v>
      </c>
      <c r="BG13" s="22"/>
    </row>
    <row r="14" spans="1:59" ht="15.95" thickBot="1">
      <c r="A14" s="175" t="s">
        <v>423</v>
      </c>
      <c r="B14" s="16"/>
      <c r="C14" s="16"/>
      <c r="D14" s="16"/>
      <c r="E14" s="16"/>
      <c r="F14" s="16"/>
      <c r="G14" s="175" t="s">
        <v>424</v>
      </c>
      <c r="I14" s="17"/>
      <c r="J14" s="17"/>
      <c r="K14" s="176" t="s">
        <v>425</v>
      </c>
      <c r="L14" s="17"/>
      <c r="M14" s="176" t="s">
        <v>426</v>
      </c>
      <c r="N14" s="17"/>
      <c r="O14" s="17"/>
      <c r="P14" s="17"/>
      <c r="Q14" s="17"/>
      <c r="R14" s="17"/>
      <c r="S14" s="16"/>
      <c r="T14" s="17"/>
      <c r="U14" s="17"/>
      <c r="V14" s="17"/>
      <c r="W14" s="17"/>
      <c r="X14" s="17"/>
      <c r="Y14" s="17"/>
      <c r="Z14" s="17"/>
      <c r="AA14" s="17"/>
      <c r="AB14" s="17"/>
      <c r="AC14" s="17"/>
      <c r="AD14" s="19">
        <v>67.5</v>
      </c>
      <c r="AE14" s="19">
        <v>35</v>
      </c>
      <c r="AF14" s="19">
        <v>67.5</v>
      </c>
      <c r="AG14" s="19">
        <v>35</v>
      </c>
      <c r="AH14" s="19">
        <v>40</v>
      </c>
      <c r="AI14" s="19">
        <v>40</v>
      </c>
      <c r="AJ14" s="19">
        <v>35</v>
      </c>
      <c r="AK14" s="19">
        <v>35</v>
      </c>
      <c r="AL14" s="19">
        <v>40</v>
      </c>
      <c r="AM14" s="19">
        <v>27.5</v>
      </c>
      <c r="AN14" s="19">
        <v>45</v>
      </c>
      <c r="AO14" s="19">
        <v>75</v>
      </c>
      <c r="AP14" s="19">
        <v>40</v>
      </c>
      <c r="AQ14" s="19">
        <v>75</v>
      </c>
      <c r="AR14" s="19">
        <v>40</v>
      </c>
      <c r="AS14" s="19">
        <v>30</v>
      </c>
      <c r="AT14" s="19">
        <v>50</v>
      </c>
      <c r="AU14" s="19">
        <v>75</v>
      </c>
      <c r="AV14" s="19">
        <v>40</v>
      </c>
      <c r="AW14" s="19">
        <v>75</v>
      </c>
      <c r="AX14" s="19">
        <v>40</v>
      </c>
      <c r="AY14" s="19">
        <v>50</v>
      </c>
      <c r="AZ14" s="19">
        <v>65</v>
      </c>
      <c r="BA14" s="19">
        <v>35</v>
      </c>
      <c r="BB14" s="19">
        <v>45</v>
      </c>
      <c r="BC14" s="19">
        <v>50</v>
      </c>
      <c r="BD14" s="19">
        <v>0</v>
      </c>
      <c r="BE14" s="19">
        <v>65</v>
      </c>
      <c r="BF14" s="20">
        <v>70</v>
      </c>
      <c r="BG14" s="20"/>
    </row>
    <row r="15" spans="1:59" ht="15.95" thickTop="1">
      <c r="A15" s="67"/>
      <c r="B15" s="68" t="str">
        <f>Constants!H6</f>
        <v>Performance training</v>
      </c>
      <c r="C15" s="68" t="str">
        <f>Constants!H7</f>
        <v>Performance coaching</v>
      </c>
      <c r="D15" s="68" t="str">
        <f>Constants!H8</f>
        <v>Dangerous</v>
      </c>
      <c r="E15" s="69" t="str">
        <f>Constants!H9</f>
        <v>Recreational</v>
      </c>
      <c r="F15" s="69" t="s">
        <v>290</v>
      </c>
      <c r="G15" s="70"/>
      <c r="H15" s="71" t="s">
        <v>427</v>
      </c>
      <c r="I15" s="72" t="s">
        <v>272</v>
      </c>
      <c r="J15" s="70" t="s">
        <v>5</v>
      </c>
      <c r="K15" s="72" t="s">
        <v>428</v>
      </c>
      <c r="L15" s="70" t="s">
        <v>429</v>
      </c>
      <c r="M15" s="73" cm="1">
        <f t="array" ref="M15">(SUM(IF($D$47:$D$51="PT",($F$47:$F$51)/1.5+IF($G$47:$G$51="yes",1)))+SUM(IF($D$47:$D$51="Extern",($F$47:$F$51)/1.5+IF($G$47:$G$51="yes",1)))+SUM(IF($D$47:$D$51="PT-ZZP",($F$47:$F$51)/1.5+IF($G$47:$G$51="yes",1))))*Constants!B10</f>
        <v>5000</v>
      </c>
      <c r="N15" s="17"/>
      <c r="O15" s="17"/>
      <c r="P15" s="17"/>
      <c r="Q15" s="17"/>
      <c r="R15" s="16"/>
      <c r="S15" s="17"/>
      <c r="T15" s="17"/>
      <c r="U15" s="17"/>
      <c r="V15" s="17"/>
      <c r="W15" s="17"/>
      <c r="X15" s="17"/>
      <c r="Y15" s="17"/>
      <c r="Z15" s="17"/>
      <c r="AA15" s="17"/>
      <c r="AB15" s="17"/>
      <c r="AC15" s="17"/>
      <c r="AD15" s="16">
        <f t="shared" ref="AD15:BF15" si="0">SUMIF($B$72:$B$89,AD13,$F$72:$F$89)</f>
        <v>0</v>
      </c>
      <c r="AE15" s="16">
        <f t="shared" si="0"/>
        <v>0</v>
      </c>
      <c r="AF15" s="16">
        <f t="shared" si="0"/>
        <v>0</v>
      </c>
      <c r="AG15" s="16">
        <f t="shared" si="0"/>
        <v>0</v>
      </c>
      <c r="AH15" s="16">
        <f t="shared" si="0"/>
        <v>0</v>
      </c>
      <c r="AI15" s="16">
        <f t="shared" si="0"/>
        <v>0</v>
      </c>
      <c r="AJ15" s="16">
        <f t="shared" si="0"/>
        <v>82</v>
      </c>
      <c r="AK15" s="16">
        <f t="shared" si="0"/>
        <v>61.5</v>
      </c>
      <c r="AL15" s="16">
        <f t="shared" si="0"/>
        <v>594.5</v>
      </c>
      <c r="AM15" s="16">
        <f t="shared" si="0"/>
        <v>0</v>
      </c>
      <c r="AN15" s="16">
        <f t="shared" si="0"/>
        <v>0</v>
      </c>
      <c r="AO15" s="16">
        <f t="shared" si="0"/>
        <v>0</v>
      </c>
      <c r="AP15" s="16">
        <f t="shared" si="0"/>
        <v>0</v>
      </c>
      <c r="AQ15" s="16">
        <f t="shared" si="0"/>
        <v>0</v>
      </c>
      <c r="AR15" s="16">
        <f t="shared" si="0"/>
        <v>0</v>
      </c>
      <c r="AS15" s="16">
        <f t="shared" si="0"/>
        <v>0</v>
      </c>
      <c r="AT15" s="16">
        <f t="shared" si="0"/>
        <v>0</v>
      </c>
      <c r="AU15" s="16">
        <f t="shared" si="0"/>
        <v>0</v>
      </c>
      <c r="AV15" s="16">
        <f t="shared" si="0"/>
        <v>0</v>
      </c>
      <c r="AW15" s="16">
        <f t="shared" si="0"/>
        <v>0</v>
      </c>
      <c r="AX15" s="16">
        <f t="shared" si="0"/>
        <v>0</v>
      </c>
      <c r="AY15" s="16">
        <f t="shared" si="0"/>
        <v>0</v>
      </c>
      <c r="AZ15" s="16">
        <f t="shared" si="0"/>
        <v>0</v>
      </c>
      <c r="BA15" s="16">
        <f t="shared" si="0"/>
        <v>0</v>
      </c>
      <c r="BB15" s="16">
        <f t="shared" si="0"/>
        <v>0</v>
      </c>
      <c r="BC15" s="16">
        <f t="shared" si="0"/>
        <v>0</v>
      </c>
      <c r="BD15" s="16">
        <f t="shared" si="0"/>
        <v>0</v>
      </c>
      <c r="BE15" s="16">
        <f t="shared" si="0"/>
        <v>0</v>
      </c>
      <c r="BF15" s="16">
        <f t="shared" si="0"/>
        <v>0</v>
      </c>
    </row>
    <row r="16" spans="1:59">
      <c r="A16" s="74" t="str">
        <f>Constants!E6</f>
        <v>PT</v>
      </c>
      <c r="B16" s="16">
        <f>SUMIFS(Arashi!$F$56:$F$68,Arashi!$B$56:$B$68, B$15,Arashi!$H$56:$H$68,$A16)*(1+Constants!$B$7)</f>
        <v>0</v>
      </c>
      <c r="C16" s="16">
        <f>SUMIFS(Arashi!$F$56:$F$68,Arashi!$B$56:$B$68, C$15,Arashi!$H$56:$H$68,$A16)</f>
        <v>0</v>
      </c>
      <c r="D16" s="16">
        <f>SUMIFS(Arashi!$F$56:$F$68,Arashi!$B$56:$B$68, D$15,Arashi!$H$56:$H$68,$A16)*(1+Constants!$B$7)</f>
        <v>738</v>
      </c>
      <c r="E16" s="16">
        <f>SUMIFS(Arashi!$F$56:$F$68,Arashi!$B$56:$B$68, E$15,Arashi!$H$56:$H$68,$A16)*(1+Constants!$B$7)</f>
        <v>0</v>
      </c>
      <c r="F16" s="16">
        <f>SUMIFS(Arashi!$F$56:$F$68,Arashi!$B$56:$B$68, F$15,Arashi!$H$56:$H$68,$A16)*(1+Constants!$B$7)</f>
        <v>0</v>
      </c>
      <c r="G16" s="74" t="s">
        <v>430</v>
      </c>
      <c r="H16" s="16">
        <f>SUMIF(Arashi!$B$72:$B$90,"&lt;&gt;External",Arashi!$F$72:$F$90)</f>
        <v>738</v>
      </c>
      <c r="I16" s="75">
        <f>SUMIF(Arashi!$B$74:$B$90,"External",Arashi!$F$74:$F$90)</f>
        <v>0</v>
      </c>
      <c r="J16" s="234">
        <f>SUM($F$93:$F$106)</f>
        <v>883.5</v>
      </c>
      <c r="K16" s="76">
        <f>IF(OR(ISBLANK(B7),ISBLANK(B9)), "ERROR",MAX(MIN(J16,B7*Constants!B15)-Constants!B14*B7,0)*IF(B9="yes",Constants!B16,IF(B9="no",Constants!B17,0)))</f>
        <v>0</v>
      </c>
      <c r="L16" s="77" t="s">
        <v>360</v>
      </c>
      <c r="M16" s="76">
        <f>E16*Constants!B6+E17*Constants!B8+E22+E21</f>
        <v>0</v>
      </c>
      <c r="N16" s="17"/>
      <c r="O16" s="17"/>
      <c r="P16" s="17"/>
      <c r="Q16" s="17"/>
      <c r="R16" s="16"/>
      <c r="S16" s="17"/>
      <c r="T16" s="17"/>
      <c r="U16" s="17"/>
      <c r="V16" s="17"/>
      <c r="W16" s="17"/>
      <c r="X16" s="17"/>
      <c r="Y16" s="17"/>
      <c r="Z16" s="17"/>
      <c r="AA16" s="17"/>
      <c r="AB16" s="17"/>
      <c r="AC16" s="17"/>
      <c r="AD16" s="19">
        <f t="shared" ref="AD16:BF16" si="1">AD14*AD15</f>
        <v>0</v>
      </c>
      <c r="AE16" s="19">
        <f t="shared" si="1"/>
        <v>0</v>
      </c>
      <c r="AF16" s="19">
        <f t="shared" si="1"/>
        <v>0</v>
      </c>
      <c r="AG16" s="19">
        <f t="shared" si="1"/>
        <v>0</v>
      </c>
      <c r="AH16" s="19">
        <f t="shared" si="1"/>
        <v>0</v>
      </c>
      <c r="AI16" s="19">
        <f t="shared" si="1"/>
        <v>0</v>
      </c>
      <c r="AJ16" s="19">
        <f t="shared" si="1"/>
        <v>2870</v>
      </c>
      <c r="AK16" s="19">
        <f t="shared" si="1"/>
        <v>2152.5</v>
      </c>
      <c r="AL16" s="19">
        <f t="shared" si="1"/>
        <v>23780</v>
      </c>
      <c r="AM16" s="19">
        <f t="shared" si="1"/>
        <v>0</v>
      </c>
      <c r="AN16" s="19">
        <f t="shared" si="1"/>
        <v>0</v>
      </c>
      <c r="AO16" s="19">
        <f t="shared" si="1"/>
        <v>0</v>
      </c>
      <c r="AP16" s="19">
        <f t="shared" si="1"/>
        <v>0</v>
      </c>
      <c r="AQ16" s="19">
        <f t="shared" si="1"/>
        <v>0</v>
      </c>
      <c r="AR16" s="19">
        <f t="shared" si="1"/>
        <v>0</v>
      </c>
      <c r="AS16" s="19">
        <f t="shared" si="1"/>
        <v>0</v>
      </c>
      <c r="AT16" s="19">
        <f t="shared" si="1"/>
        <v>0</v>
      </c>
      <c r="AU16" s="19">
        <f t="shared" si="1"/>
        <v>0</v>
      </c>
      <c r="AV16" s="19">
        <f t="shared" si="1"/>
        <v>0</v>
      </c>
      <c r="AW16" s="19">
        <f t="shared" si="1"/>
        <v>0</v>
      </c>
      <c r="AX16" s="19">
        <f t="shared" si="1"/>
        <v>0</v>
      </c>
      <c r="AY16" s="19">
        <f t="shared" si="1"/>
        <v>0</v>
      </c>
      <c r="AZ16" s="19">
        <f t="shared" si="1"/>
        <v>0</v>
      </c>
      <c r="BA16" s="19">
        <f t="shared" si="1"/>
        <v>0</v>
      </c>
      <c r="BB16" s="19">
        <f t="shared" si="1"/>
        <v>0</v>
      </c>
      <c r="BC16" s="19">
        <f t="shared" si="1"/>
        <v>0</v>
      </c>
      <c r="BD16" s="19">
        <f t="shared" si="1"/>
        <v>0</v>
      </c>
      <c r="BE16" s="19">
        <f t="shared" si="1"/>
        <v>0</v>
      </c>
      <c r="BF16" s="19">
        <f t="shared" si="1"/>
        <v>0</v>
      </c>
    </row>
    <row r="17" spans="1:36">
      <c r="A17" s="74" t="str">
        <f>Constants!E7</f>
        <v>PT-V</v>
      </c>
      <c r="B17" s="16">
        <f>SUMIFS(Arashi!$F$56:$F$68,Arashi!$B$56:$B$68, B$15,Arashi!$H$56:$H$68,$A17)*(1+Constants!$B$9)</f>
        <v>0</v>
      </c>
      <c r="C17" s="16">
        <f>SUMIFS(Arashi!$F$56:$F$68,Arashi!$B$56:$B$68, C$15,Arashi!$H$56:$H$68,$A17)</f>
        <v>0</v>
      </c>
      <c r="D17" s="16">
        <v>0</v>
      </c>
      <c r="E17" s="16">
        <f>SUMIFS(Arashi!$F$56:$F$68,Arashi!$B$56:$B$68, E$15,Arashi!$H$56:$H$68,$A17)*(1+Constants!$B$9)</f>
        <v>0</v>
      </c>
      <c r="F17" s="16">
        <f>SUMIFS(Arashi!$F$56:$F$68,Arashi!$B$56:$B$68, F$15,Arashi!$H$56:$H$68,$A17)</f>
        <v>0</v>
      </c>
      <c r="G17" s="74" t="s">
        <v>38</v>
      </c>
      <c r="H17" s="78">
        <f>SUM(AD16:BZ16)</f>
        <v>28802.5</v>
      </c>
      <c r="I17" s="76" cm="1">
        <f t="array" ref="I17">SUM(IF($B$72:$B$88="External",$F$72:$F$88*$H$72:$H$88,0))</f>
        <v>0</v>
      </c>
      <c r="J17" s="79"/>
      <c r="K17" s="80"/>
      <c r="L17" s="77" t="s">
        <v>63</v>
      </c>
      <c r="M17" s="76">
        <f>J16-K16</f>
        <v>883.5</v>
      </c>
      <c r="N17" s="17"/>
      <c r="O17" s="17"/>
      <c r="P17" s="17"/>
      <c r="Q17" s="17"/>
      <c r="R17" s="16"/>
      <c r="S17" s="17"/>
      <c r="T17" s="17"/>
      <c r="U17" s="17"/>
      <c r="V17" s="17"/>
      <c r="W17" s="17"/>
      <c r="X17" s="17"/>
      <c r="Y17" s="17"/>
      <c r="Z17" s="17"/>
      <c r="AA17" s="17"/>
      <c r="AB17" s="17"/>
      <c r="AC17" s="17"/>
      <c r="AD17" s="17"/>
      <c r="AE17" s="17"/>
    </row>
    <row r="18" spans="1:36">
      <c r="A18" s="74" t="str">
        <f>Constants!E8</f>
        <v>PT-ZZP</v>
      </c>
      <c r="B18" s="16">
        <f>SUMIFS(Arashi!$F$56:$F$68,Arashi!$B$56:$B$68, B$15,Arashi!$H$56:$H$68,$A18)*(1+Constants!$B$7)</f>
        <v>0</v>
      </c>
      <c r="C18" s="16">
        <f>SUMIFS(Arashi!$F$56:$F$68,Arashi!$B$56:$B$68, C$15,Arashi!$H$56:$H$68,$A18)</f>
        <v>0</v>
      </c>
      <c r="D18" s="16">
        <f>SUMIFS(Arashi!$F$56:$F$68,Arashi!$B$56:$B$68, D$15,Arashi!$H$56:$H$68,$A18)*(1+Constants!$B$7)</f>
        <v>0</v>
      </c>
      <c r="E18" s="16">
        <f>SUMIFS(Arashi!$F$56:$F$68,Arashi!$B$56:$B$68, E$15,Arashi!$H$56:$H$68,$A18)*(1+Constants!$B$7)</f>
        <v>0</v>
      </c>
      <c r="F18" s="16">
        <f>SUMIFS(Arashi!$F$56:$F$68,Arashi!$B$56:$B$68, F$15,Arashi!$H$56:$H$68,$A18)*(1+Constants!$B$7)</f>
        <v>0</v>
      </c>
      <c r="G18" s="74"/>
      <c r="H18" s="78"/>
      <c r="I18" s="76"/>
      <c r="J18" s="79"/>
      <c r="K18" s="80"/>
      <c r="L18" s="77" t="s">
        <v>60</v>
      </c>
      <c r="M18" s="76" t="str">
        <f>IF(I17-Constants!I17*$B$7&gt;0,$I$17-Constants!I17*$B$7,"-")</f>
        <v>-</v>
      </c>
      <c r="N18" s="17"/>
      <c r="O18" s="17"/>
      <c r="P18" s="17"/>
      <c r="Q18" s="17"/>
      <c r="R18" s="16"/>
      <c r="S18" s="17"/>
      <c r="T18" s="17"/>
      <c r="U18" s="17"/>
      <c r="V18" s="17"/>
      <c r="W18" s="17"/>
      <c r="X18" s="17"/>
      <c r="Y18" s="17"/>
      <c r="Z18" s="17"/>
      <c r="AA18" s="17"/>
      <c r="AB18" s="17"/>
      <c r="AC18" s="17"/>
      <c r="AD18" s="17"/>
      <c r="AE18" s="17"/>
    </row>
    <row r="19" spans="1:36">
      <c r="A19" s="74" t="str">
        <f>Constants!E9</f>
        <v>RT</v>
      </c>
      <c r="B19" s="16">
        <f>SUMIFS(Arashi!$F$56:$F$68,Arashi!$B$56:$B$68, B$15,Arashi!$H$56:$H$68,$A19)</f>
        <v>0</v>
      </c>
      <c r="C19" s="16">
        <f>SUMIFS(Arashi!$F$56:$F$68,Arashi!$B$56:$B$68, C$15,Arashi!$H$56:$H$68,$A19)</f>
        <v>0</v>
      </c>
      <c r="D19" s="16">
        <f>SUMIFS(Arashi!$F$56:$F$68,Arashi!$B$56:$B$68, D$15,Arashi!$H$56:$H$68,$A19)</f>
        <v>0</v>
      </c>
      <c r="E19" s="16">
        <f>SUMIFS(Arashi!$F$56:$F$68,Arashi!$B$56:$B$68, E$15,Arashi!$H$56:$H$68,$A19)</f>
        <v>0</v>
      </c>
      <c r="F19" s="16">
        <f>SUMIFS(Arashi!$F$56:$F$68,Arashi!$B$56:$B$68, F$15,Arashi!$H$56:$H$68,$A19)</f>
        <v>0</v>
      </c>
      <c r="G19" s="74" t="s">
        <v>396</v>
      </c>
      <c r="H19" s="78"/>
      <c r="I19" s="76">
        <f>IF(B7*Constants!I17&lt;I17,B7*Constants!I17,I17)</f>
        <v>0</v>
      </c>
      <c r="J19" s="79"/>
      <c r="K19" s="80"/>
      <c r="L19" s="77" t="s">
        <v>431</v>
      </c>
      <c r="M19" s="255">
        <f ca="1">Constants!C31*B7+Data!L4</f>
        <v>7875.9636813249454</v>
      </c>
      <c r="N19" s="17"/>
      <c r="O19" s="17"/>
      <c r="P19" s="17"/>
      <c r="Q19" s="17"/>
      <c r="R19" s="16"/>
      <c r="S19" s="17"/>
      <c r="T19" s="17"/>
      <c r="U19" s="17"/>
      <c r="V19" s="17"/>
      <c r="W19" s="17"/>
      <c r="X19" s="17"/>
      <c r="Y19" s="17"/>
      <c r="Z19" s="17"/>
      <c r="AA19" s="17"/>
      <c r="AB19" s="17"/>
      <c r="AC19" s="17"/>
      <c r="AD19" s="17"/>
      <c r="AE19" s="17"/>
    </row>
    <row r="20" spans="1:36">
      <c r="A20" s="74" t="str">
        <f>Constants!E10</f>
        <v>Extern</v>
      </c>
      <c r="B20" s="16">
        <f>SUMIFS(Arashi!$F$56:$F$68,Arashi!$B$56:$B$68, B$15,Arashi!$H$56:$H$68,$A20)</f>
        <v>0</v>
      </c>
      <c r="C20" s="16">
        <f>SUMIFS(Arashi!$F$56:$F$68,Arashi!$B$56:$B$68, C$15,Arashi!$H$56:$H$68,$A20)</f>
        <v>0</v>
      </c>
      <c r="D20" s="16">
        <f>SUMIFS(Arashi!$F$56:$F$68,Arashi!$B$56:$B$68, D$15,Arashi!$H$56:$H$68,$A20)</f>
        <v>0</v>
      </c>
      <c r="E20" s="16">
        <f>SUMIFS(Arashi!$F$56:$F$68,Arashi!$B$56:$B$68, E$15,Arashi!$H$56:$H$68,$A20)</f>
        <v>0</v>
      </c>
      <c r="F20" s="16">
        <f>SUMIFS(Arashi!$F$56:$F$68,Arashi!$B$56:$B$68, F$15,Arashi!$H$56:$H$68,$A20)</f>
        <v>0</v>
      </c>
      <c r="G20" s="81"/>
      <c r="H20" s="16"/>
      <c r="I20" s="75"/>
      <c r="J20" s="79"/>
      <c r="K20" s="82"/>
      <c r="L20" s="83"/>
      <c r="M20" s="84"/>
      <c r="N20" s="17"/>
      <c r="O20" s="17"/>
      <c r="P20" s="17"/>
      <c r="Q20" s="17"/>
      <c r="R20" s="16"/>
      <c r="S20" s="17"/>
      <c r="T20" s="17"/>
      <c r="U20" s="17"/>
      <c r="V20" s="17"/>
      <c r="W20" s="17"/>
      <c r="X20" s="17"/>
      <c r="Y20" s="17"/>
      <c r="Z20" s="17"/>
      <c r="AA20" s="17"/>
      <c r="AB20" s="17"/>
      <c r="AC20" s="17"/>
      <c r="AD20" s="17"/>
      <c r="AE20" s="17"/>
    </row>
    <row r="21" spans="1:36">
      <c r="A21" s="74" t="str">
        <f>CONCATENATE(A18," Costs")</f>
        <v>PT-ZZP Costs</v>
      </c>
      <c r="B21" s="78">
        <f t="array" ref="B21">SUM(IF(Arashi!$B$56:$B$68=B$15,IF(Arashi!$H$56:$H$68="PT-ZZP",Arashi!$F$56:$F$68*Arashi!$I$56:$I$68*(1+Constants!$B$7),0),0))</f>
        <v>0</v>
      </c>
      <c r="C21" s="78">
        <f t="array" ref="C21">SUM(IF(Arashi!$B$56:$B$68=C$15,IF(Arashi!$H$56:$H$68="PT-ZZP",Arashi!$F$56:$F$68*Arashi!$I$56:$I$68,0),0))</f>
        <v>0</v>
      </c>
      <c r="D21" s="78">
        <f t="array" ref="D21">SUM(IF(Arashi!$B$56:$B$68=D$15,IF(Arashi!$H$56:$H$68="PT-ZZP",Arashi!$F$56:$F$68*Arashi!$I$56:$I$68*(1+Constants!$B$7),0),0))</f>
        <v>0</v>
      </c>
      <c r="E21" s="78">
        <f t="array" ref="E21">SUM(IF(Arashi!$B$56:$B$68=E$15,IF(Arashi!$H$56:$H$68="PT-ZZP",Arashi!$F$56:$F$68*Arashi!$I$56:$I$68*(1+Constants!$B$7),0),0))</f>
        <v>0</v>
      </c>
      <c r="F21" s="78">
        <f t="array" ref="F21">SUM(IF(Arashi!$B$56:$B$68=F$15,IF(Arashi!$H$56:$H$68="PT-ZZP",Arashi!$F$56:$F$68*Arashi!$I$56:$I$68*(1+Constants!$B$7),0),0))</f>
        <v>0</v>
      </c>
      <c r="G21" s="81"/>
      <c r="H21" s="16"/>
      <c r="I21" s="75"/>
      <c r="J21" s="79"/>
      <c r="K21" s="82"/>
      <c r="L21" s="77" t="s">
        <v>5</v>
      </c>
      <c r="M21" s="76">
        <f ca="1">SUM(M15:M20)</f>
        <v>13759.463681324945</v>
      </c>
      <c r="N21" s="17"/>
      <c r="O21" s="17"/>
      <c r="P21" s="17"/>
      <c r="Q21" s="17"/>
      <c r="R21" s="16"/>
      <c r="S21" s="17"/>
      <c r="T21" s="17"/>
      <c r="U21" s="17"/>
      <c r="V21" s="17"/>
      <c r="W21" s="17"/>
      <c r="X21" s="17"/>
      <c r="Y21" s="17"/>
      <c r="Z21" s="17"/>
      <c r="AA21" s="17"/>
      <c r="AB21" s="17"/>
      <c r="AC21" s="17"/>
      <c r="AD21" s="17"/>
      <c r="AE21" s="17"/>
    </row>
    <row r="22" spans="1:36" ht="15.75" customHeight="1" thickBot="1">
      <c r="A22" s="74" t="str">
        <f>CONCATENATE(A20," Costs")</f>
        <v>Extern Costs</v>
      </c>
      <c r="B22" s="78">
        <f t="array" ref="B22">SUM(IF(Arashi!$B$56:$B$68=B$15,IF(Arashi!$H$56:$H$68="Extern",Arashi!$F$56:$F$68*Arashi!$I$56:$I$68,0),0))</f>
        <v>0</v>
      </c>
      <c r="C22" s="78">
        <f t="array" ref="C22">SUM(IF(Arashi!$B$56:$B$68=C$15,IF(Arashi!$H$56:$H$68="Extern",Arashi!$F$56:$F$68*Arashi!$I$56:$I$68,0),0))</f>
        <v>0</v>
      </c>
      <c r="D22" s="78">
        <f t="array" ref="D22">SUM(IF(Arashi!$B$56:$B$68=D$15,IF(Arashi!$H$56:$H$68="Extern",Arashi!$F$56:$F$68*Arashi!$I$56:$I$68,0),0))</f>
        <v>0</v>
      </c>
      <c r="E22" s="78">
        <f t="array" ref="E22">SUM(IF(Arashi!$B$56:$B$68=E$15,IF(Arashi!$H$56:$H$68="Extern",Arashi!$F$56:$F$68*Arashi!$I$56:$I$68,0),0))</f>
        <v>0</v>
      </c>
      <c r="F22" s="76">
        <f t="array" ref="F22">SUM(IF(Arashi!$B$56:$B$68=F$15,IF(Arashi!$H$56:$H$68="Extern",Arashi!$F$56:$F$68*Arashi!$I$56:$I$68,0),0))</f>
        <v>0</v>
      </c>
      <c r="G22" s="85"/>
      <c r="H22" s="177"/>
      <c r="I22" s="86"/>
      <c r="J22" s="87"/>
      <c r="K22" s="88"/>
      <c r="L22" s="87"/>
      <c r="M22" s="88"/>
      <c r="N22" s="17"/>
      <c r="O22" s="17"/>
      <c r="P22" s="17"/>
      <c r="Q22" s="17"/>
      <c r="R22" s="16"/>
      <c r="S22" s="17"/>
      <c r="T22" s="17"/>
      <c r="U22" s="17"/>
      <c r="V22" s="17"/>
      <c r="W22" s="17"/>
      <c r="X22" s="17"/>
      <c r="Y22" s="17"/>
      <c r="Z22" s="17"/>
      <c r="AA22" s="17"/>
      <c r="AB22" s="17"/>
      <c r="AC22" s="17"/>
      <c r="AD22" s="17"/>
      <c r="AE22" s="17"/>
    </row>
    <row r="23" spans="1:36" ht="15" customHeight="1" thickTop="1">
      <c r="A23" s="74" t="s">
        <v>432</v>
      </c>
      <c r="B23" s="78"/>
      <c r="C23" s="78"/>
      <c r="D23" s="78"/>
      <c r="E23" s="78"/>
      <c r="F23" s="76">
        <f t="array" ref="F23">SUMIFS(Arashi!$F$56:$F$68,Arashi!$B$56:$B$68,"Mentorship",Arashi!$H$56:$H$68,"PT-V")*Constants!B8+SUMIFS(Arashi!$F$56:$F$68,Arashi!$B$56:$B$68,"Mentorship",Arashi!$H$56:$H$68,"PT")*Constants!B6+SUMPRODUCT(IF(Arashi!$B$56:$B$68="Mentorship",IF(Arashi!$H$56:$H$68="PT-ZZP",Arashi!$F$56:$F$68*Arashi!$I$56:$I$68,0)))</f>
        <v>0</v>
      </c>
    </row>
    <row r="24" spans="1:36" ht="15" customHeight="1" thickBot="1">
      <c r="A24" s="89" t="s">
        <v>433</v>
      </c>
      <c r="B24" s="178"/>
      <c r="C24" s="178"/>
      <c r="D24" s="178"/>
      <c r="E24" s="178">
        <f>SUMIF(Arashi!$B$56:$B$68,"External Trainer Course",Arashi!$I$56:$I$68)</f>
        <v>0</v>
      </c>
      <c r="F24" s="90"/>
    </row>
    <row r="25" spans="1:36" ht="15.75" customHeight="1" thickTop="1">
      <c r="A25" s="16"/>
      <c r="B25" s="16"/>
      <c r="C25" s="16"/>
      <c r="D25" s="16"/>
      <c r="E25" s="17"/>
      <c r="F25" s="17"/>
      <c r="G25" s="17"/>
      <c r="H25" s="17"/>
      <c r="I25" s="17"/>
      <c r="J25" s="17"/>
      <c r="K25" s="17"/>
      <c r="L25" s="17"/>
      <c r="M25" s="17"/>
      <c r="N25" s="17"/>
      <c r="O25" s="17"/>
      <c r="P25" s="17"/>
      <c r="Q25" s="16"/>
      <c r="R25" s="17"/>
      <c r="S25" s="17"/>
      <c r="T25" s="17"/>
      <c r="U25" s="17"/>
      <c r="V25" s="17"/>
      <c r="W25" s="17"/>
      <c r="X25" s="17"/>
      <c r="Y25" s="17"/>
      <c r="Z25" s="17"/>
      <c r="AA25" s="17"/>
      <c r="AB25" s="17"/>
      <c r="AC25" s="17"/>
      <c r="AD25" s="17"/>
    </row>
    <row r="26" spans="1:36" ht="15.75" customHeight="1">
      <c r="A26" s="16"/>
      <c r="B26" s="16"/>
      <c r="C26" s="16"/>
      <c r="D26" s="16"/>
      <c r="E26" s="17"/>
      <c r="F26" s="17"/>
      <c r="G26" s="17"/>
      <c r="H26" s="17"/>
      <c r="I26" s="17"/>
      <c r="J26" s="17"/>
      <c r="K26" s="17"/>
      <c r="L26" s="17"/>
      <c r="M26" s="17"/>
      <c r="N26" s="17"/>
      <c r="O26" s="17"/>
      <c r="P26" s="17"/>
      <c r="Q26" s="16"/>
      <c r="R26" s="17"/>
      <c r="S26" s="17"/>
      <c r="T26" s="17"/>
      <c r="U26" s="17"/>
      <c r="V26" s="17"/>
      <c r="W26" s="17"/>
      <c r="X26" s="17"/>
      <c r="Y26" s="17"/>
      <c r="Z26" s="17"/>
      <c r="AA26" s="17"/>
      <c r="AB26" s="17"/>
      <c r="AC26" s="17"/>
      <c r="AD26" s="17"/>
    </row>
    <row r="27" spans="1:36" ht="15.75" customHeight="1" thickBot="1">
      <c r="A27" s="91" t="s">
        <v>434</v>
      </c>
      <c r="B27" s="17"/>
      <c r="C27" s="17"/>
      <c r="D27" s="17"/>
      <c r="E27" s="17"/>
      <c r="F27" s="17"/>
      <c r="G27" s="92"/>
      <c r="H27" s="19"/>
      <c r="I27" s="17"/>
      <c r="J27" s="17"/>
      <c r="K27" s="17"/>
      <c r="L27" s="17"/>
      <c r="M27" s="17"/>
      <c r="N27" s="17"/>
      <c r="O27" s="17"/>
      <c r="P27" s="17"/>
      <c r="Q27" s="16"/>
      <c r="R27" s="17"/>
      <c r="S27" s="17"/>
      <c r="T27" s="17"/>
      <c r="U27" s="17"/>
      <c r="V27" s="17"/>
      <c r="W27" s="17"/>
      <c r="X27" s="17"/>
      <c r="Y27" s="17"/>
      <c r="Z27" s="17"/>
      <c r="AA27" s="17"/>
      <c r="AB27" s="17"/>
      <c r="AC27" s="17"/>
      <c r="AD27" s="17"/>
    </row>
    <row r="28" spans="1:36" ht="15.75" customHeight="1" thickTop="1" thickBot="1">
      <c r="A28" s="706" t="s">
        <v>435</v>
      </c>
      <c r="B28" s="707"/>
      <c r="C28" s="707"/>
      <c r="D28" s="707"/>
      <c r="E28" s="707"/>
      <c r="F28" s="708"/>
      <c r="G28" s="15"/>
      <c r="H28" s="17"/>
      <c r="I28" s="17"/>
      <c r="J28" s="17"/>
      <c r="K28" s="17"/>
      <c r="L28" s="17"/>
      <c r="M28" s="17"/>
      <c r="N28" s="17"/>
      <c r="O28" s="17"/>
      <c r="P28" s="17"/>
      <c r="Q28" s="16"/>
      <c r="R28" s="17"/>
      <c r="S28" s="17"/>
      <c r="T28" s="17"/>
      <c r="U28" s="17"/>
      <c r="V28" s="17"/>
      <c r="W28" s="17"/>
      <c r="X28" s="17"/>
      <c r="Y28" s="17"/>
      <c r="Z28" s="17"/>
      <c r="AA28" s="17"/>
      <c r="AB28" s="17"/>
      <c r="AC28" s="17"/>
      <c r="AD28" s="242" t="s">
        <v>436</v>
      </c>
      <c r="AE28" s="16"/>
      <c r="AF28" s="128"/>
      <c r="AG28" s="51"/>
      <c r="AH28" s="51"/>
      <c r="AI28" s="51"/>
      <c r="AJ28" s="51"/>
    </row>
    <row r="29" spans="1:36" ht="15.75" customHeight="1" thickBot="1">
      <c r="A29" s="709" t="s">
        <v>437</v>
      </c>
      <c r="B29" s="696"/>
      <c r="C29" s="696"/>
      <c r="D29" s="696"/>
      <c r="E29" s="696"/>
      <c r="F29" s="710"/>
      <c r="G29" s="17"/>
      <c r="H29" s="17"/>
      <c r="I29" s="17"/>
      <c r="J29" s="17"/>
      <c r="K29" s="17"/>
      <c r="L29" s="17"/>
      <c r="M29" s="17"/>
      <c r="N29" s="17"/>
      <c r="O29" s="17"/>
      <c r="P29" s="17"/>
      <c r="Q29" s="16"/>
      <c r="R29" s="17"/>
      <c r="S29" s="17"/>
      <c r="T29" s="17"/>
      <c r="U29" s="17"/>
      <c r="V29" s="17"/>
      <c r="W29" s="17"/>
      <c r="X29" s="17"/>
      <c r="Y29" s="17"/>
      <c r="Z29" s="17"/>
      <c r="AA29" s="17"/>
      <c r="AB29" s="17"/>
      <c r="AC29" s="17"/>
      <c r="AD29" s="243" t="s">
        <v>438</v>
      </c>
      <c r="AE29" s="243" t="s">
        <v>439</v>
      </c>
      <c r="AF29" s="243" t="s">
        <v>440</v>
      </c>
      <c r="AG29" s="711" t="s">
        <v>441</v>
      </c>
      <c r="AH29" s="712"/>
      <c r="AI29" s="711" t="s">
        <v>434</v>
      </c>
      <c r="AJ29" s="712"/>
    </row>
    <row r="30" spans="1:36" ht="15.75" customHeight="1" thickBot="1">
      <c r="A30" s="709" t="s">
        <v>442</v>
      </c>
      <c r="B30" s="696"/>
      <c r="C30" s="696"/>
      <c r="D30" s="696"/>
      <c r="E30" s="696"/>
      <c r="F30" s="710"/>
      <c r="G30" s="17"/>
      <c r="H30" s="17"/>
      <c r="I30" s="17"/>
      <c r="J30" s="17"/>
      <c r="K30" s="17"/>
      <c r="L30" s="17"/>
      <c r="M30" s="17"/>
      <c r="N30" s="17"/>
      <c r="O30" s="17"/>
      <c r="P30" s="17"/>
      <c r="Q30" s="16"/>
      <c r="R30" s="17"/>
      <c r="S30" s="17"/>
      <c r="T30" s="17"/>
      <c r="U30" s="17"/>
      <c r="V30" s="17"/>
      <c r="W30" s="17"/>
      <c r="X30" s="17"/>
      <c r="Y30" s="17"/>
      <c r="Z30" s="17"/>
      <c r="AA30" s="17"/>
      <c r="AB30" s="17"/>
      <c r="AC30" s="17"/>
      <c r="AD30" s="244" t="str">
        <f>IF($B$12="individual",Constants!F55,Constants!L55)</f>
        <v>member count</v>
      </c>
      <c r="AE30" s="244">
        <f>B7</f>
        <v>113</v>
      </c>
      <c r="AF30" s="269">
        <f>IF(AE30&gt;=301,5,IF(AE30&gt;=176,4,IF(AE30&gt;=101,3,IF(AE30&gt;=51,2,1))))</f>
        <v>3</v>
      </c>
      <c r="AG30" s="560"/>
      <c r="AH30" s="560"/>
      <c r="AI30" s="560" t="s">
        <v>443</v>
      </c>
      <c r="AJ30" s="560"/>
    </row>
    <row r="31" spans="1:36" ht="15" customHeight="1" thickBot="1">
      <c r="A31" s="709" t="s">
        <v>444</v>
      </c>
      <c r="B31" s="696"/>
      <c r="C31" s="696"/>
      <c r="D31" s="696"/>
      <c r="E31" s="696"/>
      <c r="F31" s="710"/>
      <c r="G31" s="17"/>
      <c r="H31" s="17"/>
      <c r="I31" s="17"/>
      <c r="J31" s="17"/>
      <c r="K31" s="17"/>
      <c r="L31" s="17"/>
      <c r="M31" s="17"/>
      <c r="N31" s="17"/>
      <c r="O31" s="17"/>
      <c r="P31" s="17"/>
      <c r="Q31" s="16"/>
      <c r="R31" s="17"/>
      <c r="S31" s="17"/>
      <c r="T31" s="17"/>
      <c r="U31" s="17"/>
      <c r="V31" s="17"/>
      <c r="W31" s="17"/>
      <c r="X31" s="17"/>
      <c r="Y31" s="17"/>
      <c r="Z31" s="17"/>
      <c r="AA31" s="17"/>
      <c r="AB31" s="17"/>
      <c r="AC31" s="17"/>
      <c r="AD31" s="244" t="str">
        <f>IF($B$12="individual",Constants!F56,Constants!L56)</f>
        <v>number of trainings per week</v>
      </c>
      <c r="AE31" s="244" cm="1">
        <f t="array" ref="AE31">SUMPRODUCT(C56:C68*D56:D68)/42</f>
        <v>10.738095238095237</v>
      </c>
      <c r="AF31" s="270">
        <f>IF(AE31&gt;=4,3,IF(AE31&gt;=3,2,IF(AE31&gt;=2,1,0)))</f>
        <v>3</v>
      </c>
      <c r="AG31" s="560"/>
      <c r="AH31" s="560"/>
      <c r="AI31" s="560"/>
      <c r="AJ31" s="560"/>
    </row>
    <row r="32" spans="1:36" ht="15.75" customHeight="1" thickBot="1">
      <c r="A32" s="709" t="s">
        <v>445</v>
      </c>
      <c r="B32" s="696"/>
      <c r="C32" s="696"/>
      <c r="D32" s="696"/>
      <c r="E32" s="696"/>
      <c r="F32" s="710"/>
      <c r="G32" s="17"/>
      <c r="H32" s="16"/>
      <c r="I32" s="16"/>
      <c r="J32" s="16"/>
      <c r="K32" s="17"/>
      <c r="L32" s="17"/>
      <c r="M32" s="17"/>
      <c r="N32" s="17"/>
      <c r="O32" s="17"/>
      <c r="P32" s="17"/>
      <c r="Q32" s="16"/>
      <c r="R32" s="17"/>
      <c r="S32" s="17"/>
      <c r="T32" s="17"/>
      <c r="U32" s="17"/>
      <c r="V32" s="17"/>
      <c r="W32" s="17"/>
      <c r="X32" s="17"/>
      <c r="Y32" s="17"/>
      <c r="Z32" s="17"/>
      <c r="AA32" s="17"/>
      <c r="AB32" s="17"/>
      <c r="AC32" s="17"/>
      <c r="AD32" s="244" t="str">
        <f>IF($B$12="individual",Constants!F57,Constants!L57)</f>
        <v>number of trainings weeks per year</v>
      </c>
      <c r="AE32" s="252">
        <f>MAX(C56:C68)</f>
        <v>41</v>
      </c>
      <c r="AF32" s="250">
        <f>IF(AE32&gt;=40,3,IF(AE32&gt;=35,2,1))</f>
        <v>3</v>
      </c>
      <c r="AG32" s="560"/>
      <c r="AH32" s="560"/>
      <c r="AI32" s="560"/>
      <c r="AJ32" s="560"/>
    </row>
    <row r="33" spans="1:58" ht="15.75" customHeight="1" thickBot="1">
      <c r="A33" s="93" t="s">
        <v>446</v>
      </c>
      <c r="F33" s="94"/>
      <c r="G33" s="17"/>
      <c r="H33" s="16"/>
      <c r="I33" s="16"/>
      <c r="J33" s="16"/>
      <c r="K33" s="17"/>
      <c r="L33" s="17"/>
      <c r="M33" s="17"/>
      <c r="N33" s="17"/>
      <c r="O33" s="17"/>
      <c r="P33" s="17"/>
      <c r="Q33" s="16"/>
      <c r="R33" s="17"/>
      <c r="S33" s="17"/>
      <c r="T33" s="17"/>
      <c r="U33" s="17"/>
      <c r="V33" s="17"/>
      <c r="W33" s="17"/>
      <c r="X33" s="17"/>
      <c r="Y33" s="17"/>
      <c r="Z33" s="17"/>
      <c r="AA33" s="17"/>
      <c r="AB33" s="17"/>
      <c r="AC33" s="17"/>
      <c r="AD33" s="244" t="str">
        <f>IF($B$12="individual",Constants!F58,Constants!L58)</f>
        <v>number of training hours by RT / PT-V</v>
      </c>
      <c r="AE33" s="251">
        <f>(SUMIF(H56:H68,"RT",F56:F68)+SUMIF(H56:H68,"PT-V",F56:F68))/SUM(F56:F68)</f>
        <v>0.16666666666666666</v>
      </c>
      <c r="AF33" s="270">
        <f>IF(AE33&gt;0.9,3,IF(AE33&gt;0.6,2,IF(AE33&gt;0.3,1,0)))</f>
        <v>0</v>
      </c>
      <c r="AG33" s="560"/>
      <c r="AH33" s="560"/>
      <c r="AI33" s="560"/>
      <c r="AJ33" s="560"/>
    </row>
    <row r="34" spans="1:58" ht="15.75" customHeight="1" thickBot="1">
      <c r="A34" s="713" t="s">
        <v>447</v>
      </c>
      <c r="B34" s="714"/>
      <c r="C34" s="714"/>
      <c r="D34" s="714"/>
      <c r="E34" s="714"/>
      <c r="F34" s="715"/>
      <c r="G34" s="17"/>
      <c r="H34" s="16"/>
      <c r="I34" s="16"/>
      <c r="J34" s="16"/>
      <c r="K34" s="17"/>
      <c r="L34" s="17"/>
      <c r="M34" s="17"/>
      <c r="N34" s="17"/>
      <c r="O34" s="17"/>
      <c r="P34" s="17"/>
      <c r="Q34" s="16"/>
      <c r="R34" s="17"/>
      <c r="S34" s="17"/>
      <c r="T34" s="17"/>
      <c r="U34" s="17"/>
      <c r="V34" s="17"/>
      <c r="W34" s="17"/>
      <c r="X34" s="17"/>
      <c r="Y34" s="17"/>
      <c r="Z34" s="17"/>
      <c r="AA34" s="17"/>
      <c r="AB34" s="17"/>
      <c r="AC34" s="17"/>
      <c r="AD34" s="244" t="str">
        <f>IF($B$12="individual",Constants!F59,Constants!L59)</f>
        <v>number of training groups / teams</v>
      </c>
      <c r="AE34" s="244">
        <f>B10</f>
        <v>6</v>
      </c>
      <c r="AF34" s="271">
        <f>IF(AE34&gt;9,3,IF(AE34&gt;4,2,IF(AE34&gt;2,1,0)))</f>
        <v>2</v>
      </c>
      <c r="AG34" s="560"/>
      <c r="AH34" s="560"/>
      <c r="AI34" s="560"/>
      <c r="AJ34" s="560"/>
    </row>
    <row r="35" spans="1:58" ht="15.75" customHeight="1" thickTop="1" thickBot="1">
      <c r="A35" s="16"/>
      <c r="G35" s="17"/>
      <c r="H35" s="16"/>
      <c r="I35" s="16"/>
      <c r="J35" s="16"/>
      <c r="K35" s="17"/>
      <c r="L35" s="17"/>
      <c r="M35" s="17"/>
      <c r="N35" s="17"/>
      <c r="O35" s="17"/>
      <c r="P35" s="17"/>
      <c r="Q35" s="16"/>
      <c r="R35" s="17"/>
      <c r="S35" s="17"/>
      <c r="T35" s="17"/>
      <c r="U35" s="17"/>
      <c r="V35" s="17"/>
      <c r="W35" s="17"/>
      <c r="X35" s="17"/>
      <c r="Y35" s="17"/>
      <c r="Z35" s="17"/>
      <c r="AA35" s="17"/>
      <c r="AB35" s="17"/>
      <c r="AC35" s="17"/>
      <c r="AD35" s="244" t="str">
        <f>IF($B$12="individual",Constants!F60,Constants!L60)</f>
        <v>number of competitions organised</v>
      </c>
      <c r="AE35" s="249">
        <v>1</v>
      </c>
      <c r="AF35" s="271">
        <f>IF(AE35&gt;=4,5,IF(AE35&gt;=2,3,IF(AE35&gt;=1,1,0)))</f>
        <v>1</v>
      </c>
      <c r="AG35" s="560"/>
      <c r="AH35" s="560"/>
      <c r="AI35" s="560"/>
      <c r="AJ35" s="560"/>
    </row>
    <row r="36" spans="1:58" ht="15.75" customHeight="1" thickBot="1">
      <c r="A36" s="179" t="s">
        <v>448</v>
      </c>
      <c r="B36" s="16"/>
      <c r="C36" s="16"/>
      <c r="D36" s="16"/>
      <c r="E36" s="16"/>
      <c r="F36" s="16"/>
      <c r="G36" s="16"/>
      <c r="H36" s="16"/>
      <c r="I36" s="16"/>
      <c r="J36" s="16"/>
      <c r="K36" s="16"/>
      <c r="L36" s="16"/>
      <c r="M36" s="16"/>
      <c r="N36" s="16"/>
      <c r="O36" s="16"/>
      <c r="P36" s="16"/>
      <c r="Q36" s="16"/>
      <c r="R36" s="16"/>
      <c r="S36" s="16"/>
      <c r="T36" s="16"/>
      <c r="U36" s="16"/>
      <c r="V36" s="16"/>
      <c r="W36" s="16"/>
      <c r="X36" s="16"/>
      <c r="Y36" s="16"/>
      <c r="Z36" s="16"/>
      <c r="AA36" s="16"/>
      <c r="AB36" s="18"/>
      <c r="AC36" s="16"/>
      <c r="AD36" s="244" t="str">
        <f>IF($B$12="individual",Constants!F61,Constants!L61)</f>
        <v>number of social activities</v>
      </c>
      <c r="AE36" s="249">
        <v>18</v>
      </c>
      <c r="AF36" s="271">
        <f>IF(AE36&gt;=20,2,IF(AE36&gt;=10,1,0))</f>
        <v>1</v>
      </c>
      <c r="AG36" s="560"/>
      <c r="AH36" s="560"/>
      <c r="AI36" s="560"/>
      <c r="AJ36" s="560"/>
    </row>
    <row r="37" spans="1:58" ht="15" customHeight="1" thickTop="1" thickBot="1">
      <c r="A37" s="258" t="s">
        <v>449</v>
      </c>
      <c r="B37" s="259" t="s">
        <v>450</v>
      </c>
      <c r="C37" s="258" t="s">
        <v>451</v>
      </c>
      <c r="D37" s="258" t="s">
        <v>452</v>
      </c>
      <c r="E37" s="258" t="s">
        <v>453</v>
      </c>
      <c r="F37" s="258" t="s">
        <v>454</v>
      </c>
      <c r="G37" s="259" t="s">
        <v>455</v>
      </c>
      <c r="H37" s="561" t="s">
        <v>456</v>
      </c>
      <c r="I37" s="716"/>
      <c r="J37" s="717"/>
      <c r="K37" s="98"/>
      <c r="L37" s="98"/>
      <c r="M37" s="98"/>
      <c r="N37" s="98"/>
      <c r="O37" s="98"/>
      <c r="P37" s="98"/>
      <c r="Q37" s="98"/>
      <c r="R37" s="98"/>
      <c r="S37" s="98"/>
      <c r="T37" s="98"/>
      <c r="U37" s="96"/>
      <c r="V37" s="96"/>
      <c r="W37" s="96"/>
      <c r="X37" s="96"/>
      <c r="Y37" s="99"/>
      <c r="Z37" s="96"/>
      <c r="AA37" s="96"/>
      <c r="AB37" s="100"/>
      <c r="AC37" s="100"/>
      <c r="AD37" s="244" t="str">
        <f>IF($B$12="individual",Constants!F62,Constants!L62)</f>
        <v>number of bar days</v>
      </c>
      <c r="AE37" s="249">
        <v>11</v>
      </c>
      <c r="AF37" s="271">
        <f>IF(AE37&gt;=15,2,IF(AE37&gt;=8,1,0))</f>
        <v>1</v>
      </c>
      <c r="AG37" s="560"/>
      <c r="AH37" s="560"/>
      <c r="AI37" s="560"/>
      <c r="AJ37" s="560"/>
      <c r="AK37" s="100"/>
      <c r="AL37" s="100"/>
      <c r="AM37" s="100"/>
      <c r="AN37" s="100"/>
      <c r="AO37" s="100"/>
      <c r="AP37" s="100"/>
      <c r="AQ37" s="100"/>
      <c r="AR37" s="100"/>
      <c r="AS37" s="100"/>
      <c r="AT37" s="100"/>
      <c r="AU37" s="100"/>
      <c r="AV37" s="100"/>
      <c r="AW37" s="100"/>
      <c r="AX37" s="100"/>
      <c r="AY37" s="100"/>
      <c r="AZ37" s="100"/>
      <c r="BA37" s="100"/>
      <c r="BB37" s="100"/>
      <c r="BC37" s="100"/>
      <c r="BD37" s="100"/>
      <c r="BE37" s="100"/>
      <c r="BF37" s="100"/>
    </row>
    <row r="38" spans="1:58" ht="14.25" customHeight="1" thickBot="1">
      <c r="A38" s="340" t="s">
        <v>533</v>
      </c>
      <c r="B38" s="341">
        <v>20</v>
      </c>
      <c r="C38" s="341">
        <v>2</v>
      </c>
      <c r="D38" s="341">
        <v>41</v>
      </c>
      <c r="E38" s="196" t="s">
        <v>57</v>
      </c>
      <c r="F38" s="324"/>
      <c r="G38" s="323" t="s">
        <v>534</v>
      </c>
      <c r="H38" s="571"/>
      <c r="I38" s="696"/>
      <c r="J38" s="718"/>
      <c r="K38" s="16"/>
      <c r="L38" s="16"/>
      <c r="M38" s="16"/>
      <c r="N38" s="16"/>
      <c r="O38" s="16"/>
      <c r="P38" s="16"/>
      <c r="Q38" s="16"/>
      <c r="R38" s="16"/>
      <c r="S38" s="16"/>
      <c r="T38" s="16"/>
      <c r="U38" s="16"/>
      <c r="V38" s="16"/>
      <c r="W38" s="16"/>
      <c r="X38" s="16"/>
      <c r="Y38" s="17"/>
      <c r="Z38" s="16"/>
      <c r="AA38" s="16"/>
      <c r="AD38" s="244" t="str">
        <f>IF($B$12="individual",Constants!F63,Constants!L63)</f>
        <v>own bar / extra location</v>
      </c>
      <c r="AE38" s="249">
        <v>0</v>
      </c>
      <c r="AF38" s="271">
        <f>IF(AE38&gt;=15,2,IF(AE38&gt;=8,1,0))</f>
        <v>0</v>
      </c>
      <c r="AG38" s="560"/>
      <c r="AH38" s="560"/>
      <c r="AI38" s="560"/>
      <c r="AJ38" s="560"/>
    </row>
    <row r="39" spans="1:58" ht="14.25" customHeight="1" thickBot="1">
      <c r="A39" s="199" t="s">
        <v>535</v>
      </c>
      <c r="B39" s="342">
        <v>38</v>
      </c>
      <c r="C39" s="342">
        <v>2</v>
      </c>
      <c r="D39" s="342">
        <v>41</v>
      </c>
      <c r="E39" s="343" t="s">
        <v>57</v>
      </c>
      <c r="F39" s="261"/>
      <c r="G39" s="323" t="s">
        <v>534</v>
      </c>
      <c r="H39" s="696"/>
      <c r="I39" s="696"/>
      <c r="J39" s="718"/>
      <c r="K39" s="16"/>
      <c r="L39" s="16"/>
      <c r="M39" s="16"/>
      <c r="N39" s="16"/>
      <c r="O39" s="16"/>
      <c r="P39" s="16"/>
      <c r="Q39" s="16"/>
      <c r="R39" s="16"/>
      <c r="S39" s="16"/>
      <c r="T39" s="16"/>
      <c r="U39" s="16"/>
      <c r="V39" s="16"/>
      <c r="W39" s="16"/>
      <c r="X39" s="16"/>
      <c r="Y39" s="17"/>
      <c r="Z39" s="16"/>
      <c r="AA39" s="16"/>
      <c r="AD39" s="244" t="str">
        <f>IF($B$12="individual",Constants!F65,Constants!L64)</f>
        <v>number of competitions attended</v>
      </c>
      <c r="AE39" s="249">
        <v>7</v>
      </c>
      <c r="AF39" s="273">
        <f>IF(B12="individual", IF(AE39&gt;10, 5, IF(AE39&gt;6, 3, IF(AE39&gt;2, 1, 0))), IF(AE39&gt;3, 3, IF(AE39&gt;1, 2, 1)))</f>
        <v>3</v>
      </c>
      <c r="AG39" s="560"/>
      <c r="AH39" s="560"/>
      <c r="AI39" s="560"/>
      <c r="AJ39" s="560"/>
    </row>
    <row r="40" spans="1:58" ht="15.75" customHeight="1" thickBot="1">
      <c r="A40" s="340" t="s">
        <v>536</v>
      </c>
      <c r="B40" s="344">
        <v>47</v>
      </c>
      <c r="C40" s="344">
        <v>3</v>
      </c>
      <c r="D40" s="344">
        <v>41</v>
      </c>
      <c r="E40" s="345" t="s">
        <v>57</v>
      </c>
      <c r="F40" s="261"/>
      <c r="G40" s="323" t="s">
        <v>534</v>
      </c>
      <c r="H40" s="696"/>
      <c r="I40" s="696"/>
      <c r="J40" s="718"/>
      <c r="K40" s="16"/>
      <c r="L40" s="16"/>
      <c r="M40" s="16"/>
      <c r="N40" s="16"/>
      <c r="O40" s="16"/>
      <c r="P40" s="16"/>
      <c r="Q40" s="16"/>
      <c r="R40" s="16"/>
      <c r="S40" s="16"/>
      <c r="T40" s="16"/>
      <c r="U40" s="16"/>
      <c r="V40" s="16"/>
      <c r="W40" s="16"/>
      <c r="X40" s="16"/>
      <c r="Y40" s="16"/>
      <c r="Z40" s="16"/>
      <c r="AA40" s="16"/>
      <c r="AD40" s="231" t="str">
        <f>IF($B$12="individual",Constants!F64,Constants!L65)</f>
        <v>n/a</v>
      </c>
      <c r="AE40" s="231" t="str">
        <f>IF(AD40="n/a","",COUNTA(A47:A51)/COUNTA(A38:A43))</f>
        <v/>
      </c>
      <c r="AF40" s="272" t="str">
        <f>IF(B12="group", IF(AE40&gt;0.15, 5, IF(AE40&gt;0.1, 3, IF(AE40&gt;0.05, 1, 0))), " ")</f>
        <v xml:space="preserve"> </v>
      </c>
      <c r="AG40" s="560"/>
      <c r="AH40" s="560"/>
      <c r="AI40" s="560"/>
      <c r="AJ40" s="560"/>
    </row>
    <row r="41" spans="1:58" ht="15.75" customHeight="1" thickBot="1">
      <c r="A41" s="199" t="s">
        <v>537</v>
      </c>
      <c r="B41" s="342">
        <v>20</v>
      </c>
      <c r="C41" s="346">
        <v>2</v>
      </c>
      <c r="D41" s="342">
        <v>41</v>
      </c>
      <c r="E41" s="347" t="s">
        <v>281</v>
      </c>
      <c r="F41" s="261"/>
      <c r="G41" s="323" t="s">
        <v>534</v>
      </c>
      <c r="H41" s="696"/>
      <c r="I41" s="696"/>
      <c r="J41" s="718"/>
      <c r="K41" s="16"/>
      <c r="L41" s="16"/>
      <c r="M41" s="16"/>
      <c r="N41" s="16"/>
      <c r="O41" s="16"/>
      <c r="P41" s="16"/>
      <c r="Q41" s="16"/>
      <c r="R41" s="16"/>
      <c r="S41" s="16"/>
      <c r="T41" s="16"/>
      <c r="U41" s="16"/>
      <c r="V41" s="16"/>
      <c r="W41" s="16"/>
      <c r="X41" s="16"/>
      <c r="Y41" s="16"/>
      <c r="Z41" s="16"/>
      <c r="AA41" s="16"/>
      <c r="AD41" s="16"/>
      <c r="AE41" s="275" t="s">
        <v>461</v>
      </c>
      <c r="AF41" s="277">
        <f>SUM(AF30:AF40)</f>
        <v>17</v>
      </c>
      <c r="AG41" s="247"/>
      <c r="AH41" s="245"/>
      <c r="AI41" s="246"/>
      <c r="AJ41" s="247"/>
    </row>
    <row r="42" spans="1:58" ht="15.75" customHeight="1">
      <c r="A42" s="340" t="s">
        <v>538</v>
      </c>
      <c r="B42" s="344">
        <v>20</v>
      </c>
      <c r="C42" s="352">
        <v>2</v>
      </c>
      <c r="D42" s="344">
        <v>41</v>
      </c>
      <c r="E42" s="353" t="s">
        <v>57</v>
      </c>
      <c r="F42" s="261"/>
      <c r="G42" s="323" t="s">
        <v>534</v>
      </c>
      <c r="H42" s="696"/>
      <c r="I42" s="696"/>
      <c r="J42" s="718"/>
      <c r="K42" s="16"/>
      <c r="L42" s="16"/>
      <c r="M42" s="16"/>
      <c r="N42" s="16"/>
      <c r="O42" s="16"/>
      <c r="P42" s="16"/>
      <c r="Q42" s="16"/>
      <c r="R42" s="16"/>
      <c r="S42" s="16"/>
      <c r="T42" s="16"/>
      <c r="U42" s="16"/>
      <c r="V42" s="16"/>
      <c r="W42" s="16"/>
      <c r="X42" s="16"/>
      <c r="Y42" s="16"/>
      <c r="Z42" s="16"/>
      <c r="AA42" s="16"/>
    </row>
    <row r="43" spans="1:58" ht="15.75" customHeight="1" thickBot="1">
      <c r="A43" s="348" t="s">
        <v>539</v>
      </c>
      <c r="B43" s="349">
        <v>20</v>
      </c>
      <c r="C43" s="350">
        <v>0</v>
      </c>
      <c r="D43" s="349">
        <v>41</v>
      </c>
      <c r="E43" s="351" t="s">
        <v>57</v>
      </c>
      <c r="F43" s="261"/>
      <c r="G43" s="323" t="s">
        <v>534</v>
      </c>
      <c r="H43" s="719"/>
      <c r="I43" s="719"/>
      <c r="J43" s="720"/>
      <c r="K43" s="16"/>
      <c r="L43" s="16"/>
      <c r="M43" s="16"/>
      <c r="N43" s="16"/>
      <c r="O43" s="16"/>
      <c r="P43" s="16"/>
      <c r="Q43" s="16"/>
      <c r="R43" s="16"/>
      <c r="S43" s="16"/>
      <c r="T43" s="16"/>
      <c r="U43" s="16"/>
      <c r="V43" s="16"/>
      <c r="W43" s="16"/>
      <c r="X43" s="16"/>
      <c r="Y43" s="16"/>
      <c r="Z43" s="16"/>
      <c r="AA43" s="16"/>
    </row>
    <row r="44" spans="1:58" ht="15.75" customHeight="1" thickTop="1">
      <c r="A44" s="18"/>
      <c r="B44" s="18"/>
      <c r="C44" s="18"/>
      <c r="D44" s="18"/>
      <c r="E44" s="18"/>
      <c r="F44" s="18"/>
      <c r="G44" s="17"/>
      <c r="H44" s="17"/>
      <c r="I44" s="17"/>
      <c r="J44" s="17"/>
      <c r="K44" s="17"/>
      <c r="L44" s="17"/>
      <c r="M44" s="17"/>
      <c r="N44" s="17"/>
      <c r="O44" s="17"/>
      <c r="P44" s="17"/>
      <c r="Q44" s="16"/>
      <c r="R44" s="17"/>
      <c r="S44" s="17"/>
      <c r="T44" s="17"/>
      <c r="U44" s="17"/>
      <c r="V44" s="17"/>
      <c r="W44" s="17"/>
      <c r="X44" s="17"/>
      <c r="Y44" s="17"/>
      <c r="Z44" s="17"/>
      <c r="AA44" s="17"/>
      <c r="AB44" s="17"/>
      <c r="AC44" s="17"/>
      <c r="AD44" s="17"/>
    </row>
    <row r="45" spans="1:58" ht="15.75" customHeight="1" thickBot="1">
      <c r="A45" s="179" t="s">
        <v>462</v>
      </c>
      <c r="B45" s="169"/>
      <c r="C45" s="16"/>
      <c r="D45" s="16"/>
      <c r="E45" s="16"/>
      <c r="F45" s="16"/>
      <c r="G45" s="16"/>
      <c r="H45" s="16"/>
      <c r="I45" s="16"/>
      <c r="J45" s="16"/>
      <c r="K45" s="16"/>
      <c r="L45" s="16"/>
      <c r="M45" s="16"/>
      <c r="N45" s="16"/>
      <c r="O45" s="16"/>
      <c r="P45" s="16"/>
      <c r="Q45" s="16"/>
      <c r="R45" s="16"/>
      <c r="S45" s="16"/>
      <c r="T45" s="16"/>
      <c r="U45" s="16"/>
      <c r="V45" s="16"/>
      <c r="W45" s="16"/>
      <c r="X45" s="16"/>
      <c r="Y45" s="16"/>
      <c r="Z45" s="16"/>
      <c r="AA45" s="16"/>
      <c r="AB45" s="18"/>
      <c r="AC45" s="16"/>
      <c r="AD45" s="16"/>
    </row>
    <row r="46" spans="1:58" ht="15" customHeight="1" thickTop="1">
      <c r="A46" s="258" t="s">
        <v>449</v>
      </c>
      <c r="B46" s="259" t="s">
        <v>450</v>
      </c>
      <c r="C46" s="258" t="s">
        <v>463</v>
      </c>
      <c r="D46" s="258" t="s">
        <v>464</v>
      </c>
      <c r="E46" s="258" t="s">
        <v>465</v>
      </c>
      <c r="F46" s="258" t="s">
        <v>466</v>
      </c>
      <c r="G46" s="258" t="s">
        <v>467</v>
      </c>
      <c r="H46" s="259" t="s">
        <v>455</v>
      </c>
      <c r="I46" s="561" t="s">
        <v>456</v>
      </c>
      <c r="J46" s="716"/>
      <c r="K46" s="717"/>
      <c r="L46" s="98"/>
      <c r="M46" s="98"/>
      <c r="N46" s="98"/>
      <c r="O46" s="98"/>
      <c r="P46" s="98"/>
      <c r="Q46" s="98"/>
      <c r="R46" s="98"/>
      <c r="S46" s="98"/>
      <c r="T46" s="98"/>
      <c r="U46" s="98"/>
      <c r="V46" s="96"/>
      <c r="W46" s="96"/>
      <c r="X46" s="96"/>
      <c r="Y46" s="96"/>
      <c r="Z46" s="99"/>
      <c r="AA46" s="96"/>
      <c r="AB46" s="96"/>
      <c r="AC46" s="100"/>
      <c r="AD46" s="100"/>
      <c r="AE46" s="100"/>
      <c r="AF46" s="100"/>
      <c r="AG46" s="100"/>
      <c r="AH46" s="100"/>
      <c r="AI46" s="100"/>
      <c r="AJ46" s="100"/>
      <c r="AK46" s="100"/>
      <c r="AL46" s="100"/>
      <c r="AM46" s="100"/>
      <c r="AN46" s="100"/>
      <c r="AO46" s="100"/>
      <c r="AP46" s="100"/>
      <c r="AQ46" s="100"/>
      <c r="AR46" s="100"/>
      <c r="AS46" s="100"/>
      <c r="AT46" s="100"/>
      <c r="AU46" s="100"/>
      <c r="AV46" s="100"/>
      <c r="AW46" s="100"/>
      <c r="AX46" s="100"/>
      <c r="AY46" s="100"/>
      <c r="AZ46" s="100"/>
      <c r="BA46" s="100"/>
      <c r="BB46" s="100"/>
      <c r="BC46" s="100"/>
      <c r="BD46" s="100"/>
      <c r="BE46" s="100"/>
      <c r="BF46" s="100"/>
    </row>
    <row r="47" spans="1:58" ht="14.25" customHeight="1">
      <c r="A47" s="340" t="s">
        <v>533</v>
      </c>
      <c r="B47" s="341">
        <v>20</v>
      </c>
      <c r="C47" s="354"/>
      <c r="D47" s="354" t="s">
        <v>57</v>
      </c>
      <c r="E47" s="341">
        <v>2</v>
      </c>
      <c r="F47" s="279">
        <v>3</v>
      </c>
      <c r="G47" s="355" t="s">
        <v>471</v>
      </c>
      <c r="H47" s="323" t="s">
        <v>534</v>
      </c>
      <c r="I47" s="571"/>
      <c r="J47" s="696"/>
      <c r="K47" s="718"/>
      <c r="L47" s="16"/>
      <c r="M47" s="16"/>
      <c r="N47" s="16"/>
      <c r="O47" s="16"/>
      <c r="P47" s="16"/>
      <c r="Q47" s="16"/>
      <c r="R47" s="16"/>
      <c r="S47" s="16"/>
      <c r="T47" s="16"/>
      <c r="U47" s="16"/>
      <c r="V47" s="16"/>
      <c r="W47" s="16"/>
      <c r="X47" s="16"/>
      <c r="Y47" s="16"/>
      <c r="Z47" s="17"/>
      <c r="AA47" s="16"/>
      <c r="AB47" s="16"/>
    </row>
    <row r="48" spans="1:58" ht="14.25" customHeight="1">
      <c r="A48" s="199" t="s">
        <v>535</v>
      </c>
      <c r="B48" s="342">
        <v>38</v>
      </c>
      <c r="C48" s="199"/>
      <c r="D48" s="356" t="s">
        <v>57</v>
      </c>
      <c r="E48" s="342">
        <v>2</v>
      </c>
      <c r="F48" s="357">
        <v>3</v>
      </c>
      <c r="G48" s="358" t="s">
        <v>471</v>
      </c>
      <c r="H48" s="323" t="s">
        <v>534</v>
      </c>
      <c r="I48" s="696"/>
      <c r="J48" s="696"/>
      <c r="K48" s="718"/>
      <c r="L48" s="16"/>
      <c r="M48" s="16"/>
      <c r="N48" s="16"/>
      <c r="O48" s="16"/>
      <c r="P48" s="16"/>
      <c r="Q48" s="16"/>
      <c r="R48" s="16"/>
      <c r="S48" s="16"/>
      <c r="T48" s="16"/>
      <c r="U48" s="16"/>
      <c r="V48" s="16"/>
      <c r="W48" s="16"/>
      <c r="X48" s="16"/>
      <c r="Y48" s="16"/>
      <c r="Z48" s="17"/>
      <c r="AA48" s="16"/>
      <c r="AB48" s="16"/>
    </row>
    <row r="49" spans="1:30" ht="15.75" customHeight="1">
      <c r="A49" s="340" t="s">
        <v>536</v>
      </c>
      <c r="B49" s="344">
        <v>47</v>
      </c>
      <c r="C49" s="196"/>
      <c r="D49" s="354" t="s">
        <v>57</v>
      </c>
      <c r="E49" s="344">
        <v>3</v>
      </c>
      <c r="F49" s="279">
        <v>4.5</v>
      </c>
      <c r="G49" s="355" t="s">
        <v>471</v>
      </c>
      <c r="H49" s="323" t="s">
        <v>534</v>
      </c>
      <c r="I49" s="696"/>
      <c r="J49" s="696"/>
      <c r="K49" s="718"/>
      <c r="L49" s="16"/>
      <c r="M49" s="16"/>
      <c r="N49" s="16"/>
      <c r="O49" s="16"/>
      <c r="P49" s="16"/>
      <c r="Q49" s="16"/>
      <c r="R49" s="16"/>
      <c r="S49" s="16"/>
      <c r="T49" s="16"/>
      <c r="U49" s="16"/>
      <c r="V49" s="16"/>
      <c r="W49" s="16"/>
      <c r="X49" s="16"/>
      <c r="Y49" s="16"/>
      <c r="Z49" s="16"/>
      <c r="AA49" s="16"/>
      <c r="AB49" s="16"/>
    </row>
    <row r="50" spans="1:30" ht="15.75" customHeight="1">
      <c r="A50" s="199" t="s">
        <v>537</v>
      </c>
      <c r="B50" s="342">
        <v>20</v>
      </c>
      <c r="C50" s="188"/>
      <c r="D50" s="356" t="s">
        <v>281</v>
      </c>
      <c r="E50" s="346">
        <v>2</v>
      </c>
      <c r="F50" s="357">
        <v>3</v>
      </c>
      <c r="G50" s="359" t="s">
        <v>471</v>
      </c>
      <c r="H50" s="323" t="s">
        <v>534</v>
      </c>
      <c r="I50" s="696"/>
      <c r="J50" s="696"/>
      <c r="K50" s="718"/>
      <c r="L50" s="16"/>
      <c r="M50" s="16"/>
      <c r="N50" s="16"/>
      <c r="O50" s="16"/>
      <c r="P50" s="16"/>
      <c r="Q50" s="16"/>
      <c r="R50" s="16"/>
      <c r="S50" s="16"/>
      <c r="T50" s="16"/>
      <c r="U50" s="16"/>
      <c r="V50" s="16"/>
      <c r="W50" s="16"/>
      <c r="X50" s="16"/>
      <c r="Y50" s="16"/>
      <c r="Z50" s="16"/>
      <c r="AA50" s="16"/>
      <c r="AB50" s="16"/>
    </row>
    <row r="51" spans="1:30" ht="15.75" customHeight="1" thickBot="1">
      <c r="A51" s="340" t="s">
        <v>540</v>
      </c>
      <c r="B51" s="344">
        <v>20</v>
      </c>
      <c r="C51" s="196"/>
      <c r="D51" s="354" t="s">
        <v>57</v>
      </c>
      <c r="E51" s="352">
        <v>2</v>
      </c>
      <c r="F51" s="279">
        <v>4.5</v>
      </c>
      <c r="G51" s="355" t="s">
        <v>471</v>
      </c>
      <c r="H51" s="323" t="s">
        <v>534</v>
      </c>
      <c r="I51" s="719"/>
      <c r="J51" s="719"/>
      <c r="K51" s="720"/>
      <c r="L51" s="16"/>
      <c r="M51" s="16"/>
      <c r="N51" s="16"/>
      <c r="O51" s="16"/>
      <c r="P51" s="16"/>
      <c r="Q51" s="16"/>
      <c r="R51" s="16"/>
      <c r="S51" s="16"/>
      <c r="T51" s="16"/>
      <c r="U51" s="16"/>
      <c r="V51" s="16"/>
      <c r="W51" s="16"/>
      <c r="X51" s="16"/>
      <c r="Y51" s="16"/>
      <c r="Z51" s="16"/>
      <c r="AA51" s="16"/>
      <c r="AB51" s="16"/>
    </row>
    <row r="52" spans="1:30" ht="15.75" customHeight="1" thickTop="1">
      <c r="A52" s="15"/>
      <c r="B52" s="16"/>
      <c r="C52" s="16"/>
      <c r="D52" s="16"/>
      <c r="E52" s="16"/>
      <c r="F52" s="16"/>
      <c r="G52" s="16"/>
      <c r="H52" s="16"/>
      <c r="I52" s="16"/>
      <c r="J52" s="16"/>
      <c r="K52" s="16"/>
      <c r="L52" s="16"/>
      <c r="M52" s="16"/>
      <c r="N52" s="16"/>
      <c r="O52" s="16"/>
      <c r="P52" s="16"/>
      <c r="Q52" s="16"/>
      <c r="R52" s="16"/>
      <c r="S52" s="16"/>
      <c r="T52" s="16"/>
      <c r="U52" s="16"/>
      <c r="V52" s="16"/>
      <c r="W52" s="16"/>
      <c r="X52" s="16"/>
      <c r="Y52" s="16"/>
      <c r="Z52" s="16"/>
      <c r="AA52" s="16"/>
      <c r="AB52" s="16"/>
      <c r="AC52" s="16"/>
      <c r="AD52" s="16"/>
    </row>
    <row r="53" spans="1:30" ht="15.75" customHeight="1">
      <c r="A53" s="15"/>
      <c r="B53" s="16"/>
      <c r="C53" s="16"/>
      <c r="D53" s="16"/>
      <c r="E53" s="16"/>
      <c r="F53" s="16"/>
      <c r="G53" s="16"/>
      <c r="H53" s="16"/>
      <c r="I53" s="16"/>
      <c r="J53" s="16"/>
      <c r="K53" s="16"/>
      <c r="L53" s="16"/>
      <c r="M53" s="16"/>
      <c r="N53" s="16"/>
      <c r="O53" s="16"/>
      <c r="P53" s="16"/>
      <c r="Q53" s="16"/>
      <c r="W53" s="16"/>
      <c r="X53" s="16"/>
      <c r="Y53" s="16"/>
      <c r="Z53" s="16"/>
      <c r="AA53" s="16"/>
      <c r="AB53" s="16"/>
      <c r="AC53" s="16"/>
      <c r="AD53" s="16"/>
    </row>
    <row r="54" spans="1:30" ht="15.75" customHeight="1" thickBot="1">
      <c r="A54" s="186" t="s">
        <v>475</v>
      </c>
      <c r="B54" s="231"/>
      <c r="C54" s="231"/>
      <c r="D54" s="231"/>
      <c r="E54" s="231"/>
      <c r="F54" s="231"/>
      <c r="G54" s="231"/>
      <c r="H54" s="231"/>
      <c r="I54" s="231"/>
      <c r="J54" s="231"/>
      <c r="K54" s="16"/>
      <c r="L54" s="16"/>
      <c r="M54" s="16"/>
      <c r="N54" s="16"/>
      <c r="O54" s="16"/>
      <c r="P54" s="16"/>
      <c r="Q54" s="16"/>
      <c r="W54" s="16"/>
      <c r="X54" s="16"/>
      <c r="Y54" s="16"/>
      <c r="Z54" s="16"/>
      <c r="AA54" s="16"/>
      <c r="AB54" s="16"/>
      <c r="AC54" s="16"/>
      <c r="AD54" s="16"/>
    </row>
    <row r="55" spans="1:30" ht="15.75" customHeight="1" thickTop="1">
      <c r="A55" s="230" t="s">
        <v>476</v>
      </c>
      <c r="B55" s="230" t="s">
        <v>477</v>
      </c>
      <c r="C55" s="230" t="s">
        <v>478</v>
      </c>
      <c r="D55" s="230" t="s">
        <v>479</v>
      </c>
      <c r="E55" s="230" t="s">
        <v>480</v>
      </c>
      <c r="F55" s="230" t="s">
        <v>481</v>
      </c>
      <c r="G55" s="230" t="s">
        <v>482</v>
      </c>
      <c r="H55" s="230" t="s">
        <v>453</v>
      </c>
      <c r="I55" s="230" t="s">
        <v>483</v>
      </c>
      <c r="J55" s="230" t="s">
        <v>484</v>
      </c>
      <c r="K55" s="721" t="s">
        <v>485</v>
      </c>
      <c r="L55" s="716"/>
      <c r="M55" s="722"/>
      <c r="N55" s="15"/>
      <c r="O55" s="16"/>
      <c r="P55" s="16"/>
      <c r="Q55" s="16"/>
      <c r="W55" s="16"/>
      <c r="X55" s="16"/>
      <c r="Y55" s="16"/>
      <c r="Z55" s="16"/>
      <c r="AA55" s="16"/>
      <c r="AB55" s="16"/>
    </row>
    <row r="56" spans="1:30" ht="15" customHeight="1">
      <c r="A56" s="354" t="s">
        <v>533</v>
      </c>
      <c r="B56" s="354" t="s">
        <v>285</v>
      </c>
      <c r="C56" s="341">
        <v>41</v>
      </c>
      <c r="D56" s="341">
        <v>2</v>
      </c>
      <c r="E56" s="279">
        <v>3</v>
      </c>
      <c r="F56" s="319">
        <f t="shared" ref="F56:F68" si="2">C56*E56</f>
        <v>123</v>
      </c>
      <c r="G56" s="354" t="s">
        <v>541</v>
      </c>
      <c r="H56" s="354" t="s">
        <v>57</v>
      </c>
      <c r="I56" s="360" t="s">
        <v>328</v>
      </c>
      <c r="J56" s="361"/>
      <c r="K56" s="575"/>
      <c r="L56" s="696"/>
      <c r="M56" s="723"/>
      <c r="N56" s="16"/>
      <c r="O56" s="16"/>
      <c r="P56" s="16"/>
      <c r="Q56" s="16"/>
      <c r="W56" s="16"/>
      <c r="X56" s="16"/>
      <c r="Y56" s="16"/>
      <c r="Z56" s="16"/>
      <c r="AA56" s="16"/>
      <c r="AB56" s="16"/>
    </row>
    <row r="57" spans="1:30" ht="15.75" customHeight="1">
      <c r="A57" s="347" t="s">
        <v>535</v>
      </c>
      <c r="B57" s="347" t="s">
        <v>285</v>
      </c>
      <c r="C57" s="342">
        <v>41</v>
      </c>
      <c r="D57" s="342">
        <v>2</v>
      </c>
      <c r="E57" s="357">
        <v>3</v>
      </c>
      <c r="F57" s="319">
        <f t="shared" si="2"/>
        <v>123</v>
      </c>
      <c r="G57" s="347" t="s">
        <v>542</v>
      </c>
      <c r="H57" s="347" t="s">
        <v>57</v>
      </c>
      <c r="I57" s="362" t="s">
        <v>328</v>
      </c>
      <c r="J57" s="363"/>
      <c r="K57" s="702"/>
      <c r="L57" s="696"/>
      <c r="M57" s="723"/>
      <c r="N57" s="16"/>
      <c r="O57" s="16"/>
      <c r="P57" s="16"/>
      <c r="Q57" s="16"/>
      <c r="W57" s="16"/>
      <c r="X57" s="16"/>
      <c r="Y57" s="16"/>
      <c r="Z57" s="16"/>
      <c r="AA57" s="16"/>
      <c r="AB57" s="16"/>
    </row>
    <row r="58" spans="1:30" ht="14.25" customHeight="1">
      <c r="A58" s="354" t="s">
        <v>536</v>
      </c>
      <c r="B58" s="354" t="s">
        <v>285</v>
      </c>
      <c r="C58" s="341">
        <v>41</v>
      </c>
      <c r="D58" s="341">
        <v>3</v>
      </c>
      <c r="E58" s="279">
        <v>4.5</v>
      </c>
      <c r="F58" s="319">
        <f t="shared" si="2"/>
        <v>184.5</v>
      </c>
      <c r="G58" s="354" t="s">
        <v>543</v>
      </c>
      <c r="H58" s="354" t="s">
        <v>57</v>
      </c>
      <c r="I58" s="360" t="s">
        <v>328</v>
      </c>
      <c r="J58" s="361"/>
      <c r="K58" s="702"/>
      <c r="L58" s="696"/>
      <c r="M58" s="723"/>
      <c r="N58" s="16"/>
      <c r="O58" s="16"/>
      <c r="P58" s="16"/>
      <c r="Q58" s="16"/>
      <c r="W58" s="16"/>
      <c r="X58" s="16"/>
      <c r="Y58" s="16"/>
      <c r="Z58" s="16"/>
      <c r="AA58" s="16"/>
      <c r="AB58" s="16"/>
    </row>
    <row r="59" spans="1:30" ht="15.75" customHeight="1">
      <c r="A59" s="199" t="s">
        <v>537</v>
      </c>
      <c r="B59" s="199" t="s">
        <v>285</v>
      </c>
      <c r="C59" s="342">
        <v>41</v>
      </c>
      <c r="D59" s="342">
        <v>2</v>
      </c>
      <c r="E59" s="357">
        <v>3</v>
      </c>
      <c r="F59" s="319">
        <f t="shared" si="2"/>
        <v>123</v>
      </c>
      <c r="G59" s="199" t="s">
        <v>544</v>
      </c>
      <c r="H59" s="199" t="s">
        <v>281</v>
      </c>
      <c r="I59" s="362" t="s">
        <v>328</v>
      </c>
      <c r="J59" s="363" t="s">
        <v>545</v>
      </c>
      <c r="K59" s="702"/>
      <c r="L59" s="696"/>
      <c r="M59" s="723"/>
      <c r="N59" s="16"/>
      <c r="O59" s="16"/>
      <c r="P59" s="16"/>
      <c r="Q59" s="16"/>
      <c r="W59" s="16"/>
      <c r="X59" s="16"/>
      <c r="Y59" s="16"/>
      <c r="Z59" s="16"/>
      <c r="AA59" s="16"/>
      <c r="AB59" s="16"/>
    </row>
    <row r="60" spans="1:30" ht="15.75" customHeight="1">
      <c r="A60" s="354" t="s">
        <v>540</v>
      </c>
      <c r="B60" s="354" t="s">
        <v>285</v>
      </c>
      <c r="C60" s="364">
        <v>41</v>
      </c>
      <c r="D60" s="364">
        <v>2</v>
      </c>
      <c r="E60" s="279">
        <v>4.5</v>
      </c>
      <c r="F60" s="319">
        <f t="shared" si="2"/>
        <v>184.5</v>
      </c>
      <c r="G60" s="354" t="s">
        <v>546</v>
      </c>
      <c r="H60" s="354" t="s">
        <v>57</v>
      </c>
      <c r="I60" s="360" t="s">
        <v>328</v>
      </c>
      <c r="J60" s="196"/>
      <c r="K60" s="702"/>
      <c r="L60" s="696"/>
      <c r="M60" s="723"/>
      <c r="N60" s="16"/>
      <c r="O60" s="16"/>
      <c r="P60" s="16"/>
      <c r="Q60" s="16"/>
      <c r="W60" s="16"/>
      <c r="X60" s="16"/>
      <c r="Y60" s="16"/>
      <c r="Z60" s="16"/>
      <c r="AA60" s="16"/>
      <c r="AB60" s="16"/>
    </row>
    <row r="61" spans="1:30" ht="15.75" customHeight="1">
      <c r="A61" s="319"/>
      <c r="B61" s="319"/>
      <c r="C61" s="231"/>
      <c r="D61" s="231"/>
      <c r="E61" s="231"/>
      <c r="F61" s="319">
        <f t="shared" si="2"/>
        <v>0</v>
      </c>
      <c r="G61" s="319"/>
      <c r="H61" s="319"/>
      <c r="I61" s="331"/>
      <c r="J61" s="231"/>
      <c r="K61" s="702"/>
      <c r="L61" s="696"/>
      <c r="M61" s="723"/>
      <c r="N61" s="16"/>
      <c r="O61" s="16"/>
      <c r="P61" s="16"/>
      <c r="Q61" s="16"/>
      <c r="W61" s="16"/>
      <c r="X61" s="16"/>
      <c r="Y61" s="16"/>
      <c r="Z61" s="16"/>
      <c r="AA61" s="16"/>
      <c r="AB61" s="16"/>
    </row>
    <row r="62" spans="1:30" ht="15.75" customHeight="1">
      <c r="A62" s="319"/>
      <c r="B62" s="319"/>
      <c r="C62" s="231"/>
      <c r="D62" s="231"/>
      <c r="E62" s="231"/>
      <c r="F62" s="319">
        <f t="shared" si="2"/>
        <v>0</v>
      </c>
      <c r="G62" s="319"/>
      <c r="H62" s="319"/>
      <c r="I62" s="331"/>
      <c r="J62" s="231"/>
      <c r="K62" s="702"/>
      <c r="L62" s="696"/>
      <c r="M62" s="723"/>
      <c r="N62" s="16"/>
      <c r="O62" s="16"/>
      <c r="P62" s="16"/>
      <c r="Q62" s="16"/>
      <c r="W62" s="16"/>
      <c r="X62" s="16"/>
      <c r="Y62" s="16"/>
      <c r="Z62" s="16"/>
      <c r="AA62" s="16"/>
      <c r="AB62" s="16"/>
    </row>
    <row r="63" spans="1:30" ht="15.75" customHeight="1">
      <c r="A63" s="319"/>
      <c r="B63" s="319"/>
      <c r="C63" s="261"/>
      <c r="D63" s="261"/>
      <c r="E63" s="261"/>
      <c r="F63" s="262">
        <f t="shared" si="2"/>
        <v>0</v>
      </c>
      <c r="G63" s="319"/>
      <c r="H63" s="319"/>
      <c r="I63" s="331"/>
      <c r="J63" s="231"/>
      <c r="K63" s="702"/>
      <c r="L63" s="696"/>
      <c r="M63" s="723"/>
      <c r="N63" s="16"/>
      <c r="O63" s="16"/>
      <c r="P63" s="16"/>
      <c r="Q63" s="16"/>
      <c r="W63" s="16"/>
      <c r="X63" s="16"/>
      <c r="Y63" s="16"/>
      <c r="Z63" s="16"/>
      <c r="AA63" s="16"/>
      <c r="AB63" s="16"/>
    </row>
    <row r="64" spans="1:30" ht="15.75" customHeight="1">
      <c r="A64" s="319"/>
      <c r="B64" s="319"/>
      <c r="C64" s="261"/>
      <c r="D64" s="261"/>
      <c r="E64" s="261"/>
      <c r="F64" s="262">
        <f t="shared" si="2"/>
        <v>0</v>
      </c>
      <c r="G64" s="319"/>
      <c r="H64" s="319"/>
      <c r="I64" s="331"/>
      <c r="J64" s="231"/>
      <c r="K64" s="702"/>
      <c r="L64" s="696"/>
      <c r="M64" s="723"/>
      <c r="N64" s="16"/>
      <c r="O64" s="16"/>
      <c r="P64" s="16"/>
      <c r="Q64" s="16"/>
      <c r="W64" s="16"/>
      <c r="X64" s="16"/>
      <c r="Y64" s="16"/>
      <c r="Z64" s="16"/>
      <c r="AA64" s="16"/>
      <c r="AB64" s="16"/>
    </row>
    <row r="65" spans="1:30" ht="15.75" customHeight="1">
      <c r="A65" s="231"/>
      <c r="B65" s="319"/>
      <c r="C65" s="232"/>
      <c r="D65" s="232"/>
      <c r="E65" s="261"/>
      <c r="F65" s="262">
        <f t="shared" si="2"/>
        <v>0</v>
      </c>
      <c r="G65" s="231"/>
      <c r="H65" s="319"/>
      <c r="I65" s="331"/>
      <c r="J65" s="231"/>
      <c r="K65" s="702"/>
      <c r="L65" s="696"/>
      <c r="M65" s="723"/>
      <c r="N65" s="16"/>
      <c r="O65" s="16"/>
      <c r="P65" s="16"/>
      <c r="Q65" s="16"/>
      <c r="W65" s="16"/>
      <c r="X65" s="16"/>
      <c r="Y65" s="16"/>
      <c r="Z65" s="16"/>
      <c r="AA65" s="16"/>
      <c r="AB65" s="16"/>
    </row>
    <row r="66" spans="1:30" ht="15.75" customHeight="1">
      <c r="A66" s="231"/>
      <c r="B66" s="319"/>
      <c r="C66" s="232"/>
      <c r="D66" s="232"/>
      <c r="E66" s="261"/>
      <c r="F66" s="262">
        <f t="shared" si="2"/>
        <v>0</v>
      </c>
      <c r="G66" s="231"/>
      <c r="H66" s="319"/>
      <c r="I66" s="331"/>
      <c r="J66" s="231"/>
      <c r="K66" s="702"/>
      <c r="L66" s="696"/>
      <c r="M66" s="723"/>
      <c r="N66" s="16"/>
      <c r="O66" s="16"/>
      <c r="P66" s="16"/>
      <c r="Q66" s="16"/>
      <c r="W66" s="16"/>
      <c r="X66" s="16"/>
      <c r="Y66" s="16"/>
      <c r="Z66" s="16"/>
      <c r="AA66" s="16"/>
      <c r="AB66" s="16"/>
    </row>
    <row r="67" spans="1:30" ht="15.75" customHeight="1">
      <c r="A67" s="231"/>
      <c r="B67" s="319"/>
      <c r="C67" s="232"/>
      <c r="D67" s="232"/>
      <c r="E67" s="261"/>
      <c r="F67" s="262">
        <f t="shared" si="2"/>
        <v>0</v>
      </c>
      <c r="G67" s="231"/>
      <c r="H67" s="319"/>
      <c r="I67" s="331"/>
      <c r="J67" s="231"/>
      <c r="K67" s="702"/>
      <c r="L67" s="696"/>
      <c r="M67" s="723"/>
      <c r="N67" s="16"/>
      <c r="O67" s="16"/>
      <c r="P67" s="16"/>
      <c r="Q67" s="16"/>
      <c r="W67" s="16"/>
      <c r="X67" s="16"/>
      <c r="Y67" s="16"/>
      <c r="Z67" s="16"/>
      <c r="AA67" s="16"/>
      <c r="AB67" s="16"/>
    </row>
    <row r="68" spans="1:30" ht="15.75" customHeight="1" thickBot="1">
      <c r="A68" s="231"/>
      <c r="B68" s="319"/>
      <c r="C68" s="245"/>
      <c r="D68" s="232"/>
      <c r="E68" s="261"/>
      <c r="F68" s="262">
        <f t="shared" si="2"/>
        <v>0</v>
      </c>
      <c r="G68" s="263"/>
      <c r="H68" s="263"/>
      <c r="I68" s="264"/>
      <c r="J68" s="231"/>
      <c r="K68" s="724"/>
      <c r="L68" s="724"/>
      <c r="M68" s="725"/>
      <c r="N68" s="16"/>
      <c r="O68" s="16"/>
      <c r="P68" s="16"/>
      <c r="Q68" s="16"/>
      <c r="W68" s="16"/>
      <c r="X68" s="16"/>
      <c r="Y68" s="16"/>
      <c r="Z68" s="16"/>
      <c r="AA68" s="16"/>
      <c r="AB68" s="16"/>
    </row>
    <row r="69" spans="1:30" ht="15.75" customHeight="1" thickTop="1">
      <c r="A69" s="16"/>
      <c r="B69" s="16"/>
      <c r="C69" s="16"/>
      <c r="D69" s="16"/>
      <c r="E69" s="16"/>
      <c r="F69" s="16"/>
      <c r="G69" s="16"/>
      <c r="H69" s="16"/>
      <c r="I69" s="16"/>
      <c r="J69" s="16"/>
      <c r="K69" s="16"/>
      <c r="L69" s="16"/>
      <c r="M69" s="16"/>
      <c r="N69" s="16"/>
      <c r="O69" s="16"/>
      <c r="P69" s="16"/>
      <c r="Q69" s="16"/>
      <c r="W69" s="16"/>
      <c r="X69" s="16"/>
      <c r="Y69" s="16"/>
      <c r="Z69" s="16"/>
      <c r="AA69" s="16"/>
      <c r="AB69" s="16"/>
      <c r="AC69" s="16"/>
      <c r="AD69" s="16"/>
    </row>
    <row r="70" spans="1:30" ht="15.75" customHeight="1" thickBot="1">
      <c r="A70" s="186" t="s">
        <v>499</v>
      </c>
      <c r="B70" s="231"/>
      <c r="C70" s="231"/>
      <c r="D70" s="231"/>
      <c r="E70" s="231"/>
      <c r="F70" s="231"/>
      <c r="G70" s="231"/>
      <c r="H70" s="231"/>
      <c r="I70" s="231"/>
      <c r="J70" s="231"/>
      <c r="K70" s="123"/>
      <c r="L70" s="123"/>
      <c r="M70" s="16"/>
      <c r="N70" s="16"/>
      <c r="O70" s="16"/>
      <c r="P70" s="16"/>
      <c r="Q70" s="16"/>
      <c r="W70" s="16"/>
      <c r="X70" s="16"/>
      <c r="Y70" s="16"/>
      <c r="Z70" s="16"/>
      <c r="AA70" s="16"/>
      <c r="AB70" s="16"/>
      <c r="AC70" s="16"/>
      <c r="AD70" s="16"/>
    </row>
    <row r="71" spans="1:30" ht="15.75" customHeight="1" thickTop="1" thickBot="1">
      <c r="A71" s="230" t="s">
        <v>476</v>
      </c>
      <c r="B71" s="230" t="s">
        <v>500</v>
      </c>
      <c r="C71" s="230" t="s">
        <v>501</v>
      </c>
      <c r="D71" s="230" t="s">
        <v>502</v>
      </c>
      <c r="E71" s="230" t="s">
        <v>503</v>
      </c>
      <c r="F71" s="230" t="s">
        <v>504</v>
      </c>
      <c r="G71" s="230" t="s">
        <v>505</v>
      </c>
      <c r="H71" s="230" t="s">
        <v>506</v>
      </c>
      <c r="I71" s="230" t="s">
        <v>507</v>
      </c>
      <c r="J71" s="230" t="s">
        <v>508</v>
      </c>
      <c r="K71" s="561" t="s">
        <v>441</v>
      </c>
      <c r="L71" s="561"/>
      <c r="M71" s="561"/>
      <c r="N71" s="561"/>
      <c r="O71" s="570"/>
      <c r="P71" s="726" t="s">
        <v>434</v>
      </c>
      <c r="Q71" s="727"/>
      <c r="R71" s="16"/>
      <c r="S71" s="16"/>
      <c r="V71" s="16"/>
      <c r="W71" s="16"/>
      <c r="X71" s="16"/>
      <c r="Y71" s="16"/>
      <c r="Z71" s="16"/>
      <c r="AA71" s="16"/>
    </row>
    <row r="72" spans="1:30" ht="15.75" customHeight="1" thickTop="1">
      <c r="A72" s="354" t="s">
        <v>540</v>
      </c>
      <c r="B72" s="231" t="s">
        <v>249</v>
      </c>
      <c r="C72" s="196" t="s">
        <v>515</v>
      </c>
      <c r="D72" s="341">
        <v>2</v>
      </c>
      <c r="E72" s="364">
        <v>41</v>
      </c>
      <c r="F72" s="326">
        <f>Arashi!$D72*Arashi!$E72</f>
        <v>82</v>
      </c>
      <c r="G72" s="366">
        <v>1</v>
      </c>
      <c r="H72" s="332">
        <f>IF($B72= "","-",IF($B72= "External","Specify location tariff", INDEX(Constants!$3:$3,MATCH($B72,Constants!$2:$2,0))))</f>
        <v>35</v>
      </c>
      <c r="I72" s="333">
        <f t="shared" ref="I72:I88" si="3">IF($H72="-","-",IF($H72="Specify location tariff","-",$H72*$F72))</f>
        <v>2870</v>
      </c>
      <c r="J72" s="247"/>
      <c r="K72" s="562"/>
      <c r="L72" s="562"/>
      <c r="M72" s="562"/>
      <c r="N72" s="562"/>
      <c r="O72" s="562"/>
      <c r="P72" s="564" t="s">
        <v>511</v>
      </c>
      <c r="Q72" s="565"/>
      <c r="R72" s="16"/>
      <c r="S72" s="16"/>
      <c r="V72" s="16"/>
      <c r="W72" s="16"/>
      <c r="X72" s="16"/>
      <c r="Y72" s="16"/>
      <c r="Z72" s="16"/>
      <c r="AA72" s="16"/>
    </row>
    <row r="73" spans="1:30" ht="15.75" customHeight="1">
      <c r="A73" s="199" t="s">
        <v>536</v>
      </c>
      <c r="B73" s="231" t="s">
        <v>251</v>
      </c>
      <c r="C73" s="199" t="s">
        <v>515</v>
      </c>
      <c r="D73" s="342">
        <v>1.5</v>
      </c>
      <c r="E73" s="346">
        <v>41</v>
      </c>
      <c r="F73" s="326">
        <f>Arashi!$D73*Arashi!$E73</f>
        <v>61.5</v>
      </c>
      <c r="G73" s="343">
        <v>1</v>
      </c>
      <c r="H73" s="332">
        <f>IF($B73= "","-",IF($B73= "External","Specify location tariff", INDEX(Constants!$3:$3,MATCH($B73,Constants!$2:$2,0))))</f>
        <v>40</v>
      </c>
      <c r="I73" s="333">
        <f t="shared" si="3"/>
        <v>2460</v>
      </c>
      <c r="J73" s="247"/>
      <c r="K73" s="562"/>
      <c r="L73" s="562"/>
      <c r="M73" s="562"/>
      <c r="N73" s="562"/>
      <c r="O73" s="562"/>
      <c r="P73" s="566"/>
      <c r="Q73" s="567"/>
      <c r="R73" s="16"/>
      <c r="S73" s="16"/>
      <c r="V73" s="16"/>
      <c r="W73" s="16"/>
      <c r="X73" s="16"/>
      <c r="Y73" s="16"/>
      <c r="Z73" s="16"/>
      <c r="AA73" s="16"/>
    </row>
    <row r="74" spans="1:30" ht="15.75" customHeight="1">
      <c r="A74" s="196" t="s">
        <v>537</v>
      </c>
      <c r="B74" s="231" t="s">
        <v>251</v>
      </c>
      <c r="C74" s="196" t="s">
        <v>515</v>
      </c>
      <c r="D74" s="341">
        <v>1.5</v>
      </c>
      <c r="E74" s="364">
        <v>41</v>
      </c>
      <c r="F74" s="326">
        <f>Arashi!$D74*Arashi!$E74</f>
        <v>61.5</v>
      </c>
      <c r="G74" s="366">
        <v>1</v>
      </c>
      <c r="H74" s="332">
        <f>IF($B74= "","-",IF($B74= "External","Specify location tariff", INDEX(Constants!$3:$3,MATCH($B74,Constants!$2:$2,0))))</f>
        <v>40</v>
      </c>
      <c r="I74" s="333">
        <f t="shared" si="3"/>
        <v>2460</v>
      </c>
      <c r="J74" s="247"/>
      <c r="K74" s="562"/>
      <c r="L74" s="562"/>
      <c r="M74" s="562"/>
      <c r="N74" s="562"/>
      <c r="O74" s="562"/>
      <c r="P74" s="566"/>
      <c r="Q74" s="567"/>
      <c r="R74" s="16"/>
      <c r="S74" s="16"/>
      <c r="V74" s="16"/>
      <c r="W74" s="16"/>
      <c r="X74" s="16"/>
      <c r="Y74" s="16"/>
      <c r="Z74" s="16"/>
      <c r="AA74" s="16"/>
    </row>
    <row r="75" spans="1:30" ht="15.75" customHeight="1">
      <c r="A75" s="347" t="s">
        <v>533</v>
      </c>
      <c r="B75" s="231" t="s">
        <v>251</v>
      </c>
      <c r="C75" s="199" t="s">
        <v>512</v>
      </c>
      <c r="D75" s="342">
        <v>1.5</v>
      </c>
      <c r="E75" s="346">
        <v>41</v>
      </c>
      <c r="F75" s="326">
        <f>Arashi!$D75*Arashi!$E75</f>
        <v>61.5</v>
      </c>
      <c r="G75" s="343">
        <v>1</v>
      </c>
      <c r="H75" s="332">
        <f>IF($B75= "","-",IF($B75= "External","Specify location tariff", INDEX(Constants!$3:$3,MATCH($B75,Constants!$2:$2,0))))</f>
        <v>40</v>
      </c>
      <c r="I75" s="333">
        <f t="shared" si="3"/>
        <v>2460</v>
      </c>
      <c r="J75" s="247"/>
      <c r="K75" s="562"/>
      <c r="L75" s="562"/>
      <c r="M75" s="562"/>
      <c r="N75" s="562"/>
      <c r="O75" s="562"/>
      <c r="P75" s="566"/>
      <c r="Q75" s="567"/>
      <c r="R75" s="16"/>
      <c r="S75" s="16"/>
      <c r="V75" s="16"/>
      <c r="W75" s="16"/>
      <c r="X75" s="16"/>
      <c r="Y75" s="16"/>
      <c r="Z75" s="16"/>
      <c r="AA75" s="16"/>
    </row>
    <row r="76" spans="1:30" ht="15.75" customHeight="1">
      <c r="A76" s="340" t="s">
        <v>535</v>
      </c>
      <c r="B76" s="231" t="s">
        <v>251</v>
      </c>
      <c r="C76" s="196" t="s">
        <v>512</v>
      </c>
      <c r="D76" s="341">
        <v>1.5</v>
      </c>
      <c r="E76" s="364">
        <v>41</v>
      </c>
      <c r="F76" s="326">
        <f>Arashi!$D76*Arashi!$E76</f>
        <v>61.5</v>
      </c>
      <c r="G76" s="366">
        <v>3</v>
      </c>
      <c r="H76" s="332">
        <f>IF($B76= "","-",IF($B76= "External","Specify location tariff", INDEX(Constants!$3:$3,MATCH($B76,Constants!$2:$2,0))))</f>
        <v>40</v>
      </c>
      <c r="I76" s="333">
        <f t="shared" si="3"/>
        <v>2460</v>
      </c>
      <c r="J76" s="247"/>
      <c r="K76" s="562"/>
      <c r="L76" s="562"/>
      <c r="M76" s="562"/>
      <c r="N76" s="562"/>
      <c r="O76" s="562"/>
      <c r="P76" s="566"/>
      <c r="Q76" s="567"/>
      <c r="R76" s="16"/>
      <c r="S76" s="16"/>
      <c r="V76" s="16"/>
      <c r="W76" s="16"/>
      <c r="X76" s="16"/>
      <c r="Y76" s="16"/>
      <c r="Z76" s="16"/>
      <c r="AA76" s="16"/>
    </row>
    <row r="77" spans="1:30" ht="15.75" customHeight="1">
      <c r="A77" s="347" t="s">
        <v>540</v>
      </c>
      <c r="B77" s="231" t="s">
        <v>251</v>
      </c>
      <c r="C77" s="199" t="s">
        <v>513</v>
      </c>
      <c r="D77" s="342">
        <v>2.5</v>
      </c>
      <c r="E77" s="346">
        <v>41</v>
      </c>
      <c r="F77" s="326">
        <f>Arashi!$D77*Arashi!$E77</f>
        <v>102.5</v>
      </c>
      <c r="G77" s="343">
        <v>2</v>
      </c>
      <c r="H77" s="332">
        <f>IF($B77= "","-",IF($B77= "External","Specify location tariff", INDEX(Constants!$3:$3,MATCH($B77,Constants!$2:$2,0))))</f>
        <v>40</v>
      </c>
      <c r="I77" s="333">
        <f t="shared" si="3"/>
        <v>4100</v>
      </c>
      <c r="J77" s="247"/>
      <c r="K77" s="562"/>
      <c r="L77" s="562"/>
      <c r="M77" s="562"/>
      <c r="N77" s="562"/>
      <c r="O77" s="562"/>
      <c r="P77" s="566"/>
      <c r="Q77" s="567"/>
      <c r="R77" s="16"/>
      <c r="S77" s="16"/>
      <c r="V77" s="16"/>
      <c r="W77" s="16"/>
      <c r="X77" s="16"/>
      <c r="Y77" s="16"/>
      <c r="Z77" s="16"/>
      <c r="AA77" s="16"/>
    </row>
    <row r="78" spans="1:30" ht="15.75" customHeight="1">
      <c r="A78" s="196" t="s">
        <v>537</v>
      </c>
      <c r="B78" s="231" t="s">
        <v>250</v>
      </c>
      <c r="C78" s="196" t="s">
        <v>513</v>
      </c>
      <c r="D78" s="341">
        <v>1.5</v>
      </c>
      <c r="E78" s="364">
        <v>41</v>
      </c>
      <c r="F78" s="326">
        <f>Arashi!$D78*Arashi!$E78</f>
        <v>61.5</v>
      </c>
      <c r="G78" s="366">
        <v>2</v>
      </c>
      <c r="H78" s="332">
        <f>IF($B78= "","-",IF($B78= "External","Specify location tariff", INDEX(Constants!$3:$3,MATCH($B78,Constants!$2:$2,0))))</f>
        <v>35</v>
      </c>
      <c r="I78" s="333">
        <f t="shared" si="3"/>
        <v>2152.5</v>
      </c>
      <c r="J78" s="247"/>
      <c r="K78" s="562"/>
      <c r="L78" s="562"/>
      <c r="M78" s="562"/>
      <c r="N78" s="562"/>
      <c r="O78" s="562"/>
      <c r="P78" s="566"/>
      <c r="Q78" s="567"/>
      <c r="R78" s="16"/>
      <c r="S78" s="16"/>
      <c r="V78" s="16"/>
      <c r="W78" s="16"/>
      <c r="X78" s="16"/>
      <c r="Y78" s="16"/>
      <c r="Z78" s="16"/>
      <c r="AA78" s="16"/>
    </row>
    <row r="79" spans="1:30" ht="15.75" customHeight="1">
      <c r="A79" s="347" t="s">
        <v>536</v>
      </c>
      <c r="B79" s="231" t="s">
        <v>251</v>
      </c>
      <c r="C79" s="199" t="s">
        <v>513</v>
      </c>
      <c r="D79" s="357">
        <v>1.5</v>
      </c>
      <c r="E79" s="346">
        <v>41</v>
      </c>
      <c r="F79" s="326">
        <f>Arashi!$D79*Arashi!$E79</f>
        <v>61.5</v>
      </c>
      <c r="G79" s="343">
        <v>2</v>
      </c>
      <c r="H79" s="332">
        <f>IF($B79= "","-",IF($B79= "External","Specify location tariff", INDEX(Constants!$3:$3,MATCH($B79,Constants!$2:$2,0))))</f>
        <v>40</v>
      </c>
      <c r="I79" s="333">
        <f t="shared" si="3"/>
        <v>2460</v>
      </c>
      <c r="J79" s="247"/>
      <c r="K79" s="562"/>
      <c r="L79" s="562"/>
      <c r="M79" s="562"/>
      <c r="N79" s="562"/>
      <c r="O79" s="562"/>
      <c r="P79" s="566"/>
      <c r="Q79" s="567"/>
      <c r="R79" s="16"/>
      <c r="S79" s="16"/>
      <c r="V79" s="16"/>
      <c r="W79" s="16"/>
      <c r="X79" s="16"/>
      <c r="Y79" s="16"/>
      <c r="Z79" s="16"/>
      <c r="AA79" s="16"/>
    </row>
    <row r="80" spans="1:30" ht="15.75" customHeight="1">
      <c r="A80" s="196" t="s">
        <v>535</v>
      </c>
      <c r="B80" s="231" t="s">
        <v>251</v>
      </c>
      <c r="C80" s="196" t="s">
        <v>516</v>
      </c>
      <c r="D80" s="341">
        <v>1.5</v>
      </c>
      <c r="E80" s="364">
        <v>41</v>
      </c>
      <c r="F80" s="326">
        <f>Arashi!$D80*Arashi!$E80</f>
        <v>61.5</v>
      </c>
      <c r="G80" s="366">
        <v>4</v>
      </c>
      <c r="H80" s="332">
        <f>IF($B80= "","-",IF($B80= "External","Specify location tariff", INDEX(Constants!$3:$3,MATCH($B80,Constants!$2:$2,0))))</f>
        <v>40</v>
      </c>
      <c r="I80" s="333">
        <f t="shared" si="3"/>
        <v>2460</v>
      </c>
      <c r="J80" s="247"/>
      <c r="K80" s="562"/>
      <c r="L80" s="562"/>
      <c r="M80" s="562"/>
      <c r="N80" s="562"/>
      <c r="O80" s="562"/>
      <c r="P80" s="566"/>
      <c r="Q80" s="567"/>
      <c r="R80" s="16"/>
      <c r="S80" s="16"/>
      <c r="V80" s="16"/>
      <c r="W80" s="16"/>
      <c r="X80" s="16"/>
      <c r="Y80" s="16"/>
      <c r="Z80" s="16"/>
      <c r="AA80" s="16"/>
    </row>
    <row r="81" spans="1:30" ht="15.75" customHeight="1">
      <c r="A81" s="199" t="s">
        <v>533</v>
      </c>
      <c r="B81" s="231" t="s">
        <v>251</v>
      </c>
      <c r="C81" s="199" t="s">
        <v>516</v>
      </c>
      <c r="D81" s="342">
        <v>1.5</v>
      </c>
      <c r="E81" s="346">
        <v>41</v>
      </c>
      <c r="F81" s="326">
        <f>Arashi!$D81*Arashi!$E81</f>
        <v>61.5</v>
      </c>
      <c r="G81" s="343">
        <v>2</v>
      </c>
      <c r="H81" s="332">
        <f>IF($B81= "","-",IF($B81= "External","Specify location tariff", INDEX(Constants!$3:$3,MATCH($B81,Constants!$2:$2,0))))</f>
        <v>40</v>
      </c>
      <c r="I81" s="333">
        <f t="shared" si="3"/>
        <v>2460</v>
      </c>
      <c r="J81" s="247"/>
      <c r="K81" s="562"/>
      <c r="L81" s="562"/>
      <c r="M81" s="562"/>
      <c r="N81" s="562"/>
      <c r="O81" s="562"/>
      <c r="P81" s="566"/>
      <c r="Q81" s="567"/>
      <c r="R81" s="16"/>
      <c r="S81" s="16"/>
      <c r="V81" s="16"/>
      <c r="W81" s="16"/>
      <c r="X81" s="16"/>
      <c r="Y81" s="16"/>
      <c r="Z81" s="16"/>
      <c r="AA81" s="16"/>
    </row>
    <row r="82" spans="1:30" ht="15.75" customHeight="1">
      <c r="A82" s="196" t="s">
        <v>536</v>
      </c>
      <c r="B82" s="231" t="s">
        <v>251</v>
      </c>
      <c r="C82" s="196" t="s">
        <v>514</v>
      </c>
      <c r="D82" s="341">
        <v>1.5</v>
      </c>
      <c r="E82" s="364">
        <v>41</v>
      </c>
      <c r="F82" s="326">
        <f>Arashi!$D82*Arashi!$E82</f>
        <v>61.5</v>
      </c>
      <c r="G82" s="366">
        <v>5</v>
      </c>
      <c r="H82" s="332">
        <f>IF($B82= "","-",IF($B82= "External","Specify location tariff", INDEX(Constants!$3:$3,MATCH($B82,Constants!$2:$2,0))))</f>
        <v>40</v>
      </c>
      <c r="I82" s="333">
        <f t="shared" si="3"/>
        <v>2460</v>
      </c>
      <c r="J82" s="247"/>
      <c r="K82" s="562"/>
      <c r="L82" s="562"/>
      <c r="M82" s="562"/>
      <c r="N82" s="562"/>
      <c r="O82" s="562"/>
      <c r="P82" s="566"/>
      <c r="Q82" s="567"/>
      <c r="R82" s="16"/>
      <c r="S82" s="16"/>
      <c r="V82" s="16"/>
      <c r="W82" s="16"/>
      <c r="X82" s="16"/>
      <c r="Y82" s="16"/>
      <c r="Z82" s="16"/>
      <c r="AA82" s="16"/>
    </row>
    <row r="83" spans="1:30" ht="15.75" customHeight="1">
      <c r="A83" s="231"/>
      <c r="B83" s="231"/>
      <c r="C83" s="232"/>
      <c r="D83" s="261"/>
      <c r="E83" s="245"/>
      <c r="F83" s="326">
        <f>Arashi!$D83*Arashi!$E83</f>
        <v>0</v>
      </c>
      <c r="G83" s="245"/>
      <c r="H83" s="332" t="str">
        <f>IF($B83= "","-",IF($B83= "External","Specify location tariff", INDEX(Constants!$3:$3,MATCH($B83,Constants!$2:$2,0))))</f>
        <v>-</v>
      </c>
      <c r="I83" s="333" t="str">
        <f t="shared" si="3"/>
        <v>-</v>
      </c>
      <c r="J83" s="247"/>
      <c r="K83" s="562"/>
      <c r="L83" s="562"/>
      <c r="M83" s="562"/>
      <c r="N83" s="562"/>
      <c r="O83" s="562"/>
      <c r="P83" s="566"/>
      <c r="Q83" s="567"/>
      <c r="R83" s="16"/>
      <c r="S83" s="16"/>
      <c r="V83" s="16"/>
      <c r="W83" s="16"/>
      <c r="X83" s="16"/>
      <c r="Y83" s="16"/>
      <c r="Z83" s="16"/>
      <c r="AA83" s="16"/>
    </row>
    <row r="84" spans="1:30" ht="15.75" customHeight="1">
      <c r="A84" s="231"/>
      <c r="B84" s="231"/>
      <c r="C84" s="232"/>
      <c r="D84" s="261"/>
      <c r="E84" s="245"/>
      <c r="F84" s="326">
        <f>Arashi!$D84*Arashi!$E84</f>
        <v>0</v>
      </c>
      <c r="G84" s="245"/>
      <c r="H84" s="332" t="str">
        <f>IF($B84= "","-",IF($B84= "External","Specify location tariff", INDEX(Constants!$3:$3,MATCH($B84,Constants!$2:$2,0))))</f>
        <v>-</v>
      </c>
      <c r="I84" s="333" t="str">
        <f t="shared" si="3"/>
        <v>-</v>
      </c>
      <c r="J84" s="247"/>
      <c r="K84" s="562"/>
      <c r="L84" s="562"/>
      <c r="M84" s="562"/>
      <c r="N84" s="562"/>
      <c r="O84" s="562"/>
      <c r="P84" s="566"/>
      <c r="Q84" s="567"/>
      <c r="R84" s="16"/>
      <c r="S84" s="16"/>
      <c r="V84" s="16"/>
      <c r="W84" s="16"/>
      <c r="X84" s="16"/>
      <c r="Y84" s="16"/>
      <c r="Z84" s="16"/>
      <c r="AA84" s="16"/>
    </row>
    <row r="85" spans="1:30" ht="15.75" customHeight="1">
      <c r="A85" s="231"/>
      <c r="B85" s="231"/>
      <c r="C85" s="232"/>
      <c r="D85" s="261"/>
      <c r="E85" s="245"/>
      <c r="F85" s="326">
        <f>Arashi!$D85*Arashi!$E85</f>
        <v>0</v>
      </c>
      <c r="G85" s="245"/>
      <c r="H85" s="332" t="str">
        <f>IF($B85= "","-",IF($B85= "External","Specify location tariff", INDEX(Constants!$3:$3,MATCH($B85,Constants!$2:$2,0))))</f>
        <v>-</v>
      </c>
      <c r="I85" s="333" t="str">
        <f t="shared" si="3"/>
        <v>-</v>
      </c>
      <c r="J85" s="247"/>
      <c r="K85" s="562"/>
      <c r="L85" s="562"/>
      <c r="M85" s="562"/>
      <c r="N85" s="562"/>
      <c r="O85" s="562"/>
      <c r="P85" s="566"/>
      <c r="Q85" s="567"/>
      <c r="R85" s="16"/>
      <c r="S85" s="16"/>
      <c r="V85" s="16"/>
      <c r="W85" s="16"/>
      <c r="X85" s="16"/>
      <c r="Y85" s="16"/>
      <c r="Z85" s="16"/>
      <c r="AA85" s="16"/>
    </row>
    <row r="86" spans="1:30" ht="15.75" customHeight="1">
      <c r="A86" s="231"/>
      <c r="B86" s="231"/>
      <c r="C86" s="232"/>
      <c r="D86" s="261"/>
      <c r="E86" s="245"/>
      <c r="F86" s="326">
        <f>Arashi!$D86*Arashi!$E86</f>
        <v>0</v>
      </c>
      <c r="G86" s="245"/>
      <c r="H86" s="332" t="str">
        <f>IF($B86= "","-",IF($B86= "External","Specify location tariff", INDEX(Constants!$3:$3,MATCH($B86,Constants!$2:$2,0))))</f>
        <v>-</v>
      </c>
      <c r="I86" s="333" t="str">
        <f t="shared" si="3"/>
        <v>-</v>
      </c>
      <c r="J86" s="247"/>
      <c r="K86" s="562"/>
      <c r="L86" s="562"/>
      <c r="M86" s="562"/>
      <c r="N86" s="562"/>
      <c r="O86" s="562"/>
      <c r="P86" s="566"/>
      <c r="Q86" s="567"/>
      <c r="R86" s="16"/>
      <c r="S86" s="16"/>
      <c r="V86" s="16"/>
      <c r="W86" s="16"/>
      <c r="X86" s="16"/>
      <c r="Y86" s="16"/>
      <c r="Z86" s="16"/>
      <c r="AA86" s="16"/>
    </row>
    <row r="87" spans="1:30" ht="15.75" customHeight="1">
      <c r="A87" s="231"/>
      <c r="B87" s="231"/>
      <c r="C87" s="232"/>
      <c r="D87" s="261"/>
      <c r="E87" s="245"/>
      <c r="F87" s="326">
        <f>Arashi!$D87*Arashi!$E87</f>
        <v>0</v>
      </c>
      <c r="G87" s="245"/>
      <c r="H87" s="332" t="str">
        <f>IF($B87= "","-",IF($B87= "External","Specify location tariff", INDEX(Constants!$3:$3,MATCH($B87,Constants!$2:$2,0))))</f>
        <v>-</v>
      </c>
      <c r="I87" s="333" t="str">
        <f t="shared" si="3"/>
        <v>-</v>
      </c>
      <c r="J87" s="247"/>
      <c r="K87" s="562"/>
      <c r="L87" s="562"/>
      <c r="M87" s="562"/>
      <c r="N87" s="562"/>
      <c r="O87" s="562"/>
      <c r="P87" s="566"/>
      <c r="Q87" s="567"/>
      <c r="R87" s="16"/>
      <c r="S87" s="16"/>
      <c r="V87" s="16"/>
      <c r="W87" s="16"/>
      <c r="X87" s="16"/>
      <c r="Y87" s="16"/>
      <c r="Z87" s="16"/>
      <c r="AA87" s="16"/>
    </row>
    <row r="88" spans="1:30" ht="15.75" customHeight="1" thickBot="1">
      <c r="A88" s="231"/>
      <c r="B88" s="231"/>
      <c r="C88" s="232"/>
      <c r="D88" s="261"/>
      <c r="E88" s="245"/>
      <c r="F88" s="326">
        <f>Arashi!$D88*Arashi!$E88</f>
        <v>0</v>
      </c>
      <c r="G88" s="245"/>
      <c r="H88" s="332" t="str">
        <f>IF($B88= "","-",IF($B88= "External","Specify location tariff", INDEX(Constants!$3:$3,MATCH($B88,Constants!$2:$2,0))))</f>
        <v>-</v>
      </c>
      <c r="I88" s="333" t="str">
        <f t="shared" si="3"/>
        <v>-</v>
      </c>
      <c r="J88" s="247"/>
      <c r="K88" s="563"/>
      <c r="L88" s="563"/>
      <c r="M88" s="563"/>
      <c r="N88" s="563"/>
      <c r="O88" s="563"/>
      <c r="P88" s="568"/>
      <c r="Q88" s="569"/>
      <c r="R88" s="16"/>
      <c r="S88" s="16"/>
      <c r="V88" s="16"/>
      <c r="W88" s="16"/>
      <c r="X88" s="16"/>
      <c r="Y88" s="16"/>
      <c r="Z88" s="16"/>
      <c r="AA88" s="16"/>
    </row>
    <row r="89" spans="1:30" ht="15.75" customHeight="1" thickTop="1">
      <c r="A89" s="15"/>
      <c r="B89" s="16"/>
      <c r="C89" s="16"/>
      <c r="D89" s="16"/>
      <c r="E89" s="16"/>
      <c r="F89" s="16"/>
      <c r="G89" s="16"/>
      <c r="H89" s="16"/>
      <c r="I89" s="16"/>
      <c r="J89" s="16"/>
      <c r="K89" s="16"/>
      <c r="L89" s="16"/>
      <c r="M89" s="16"/>
      <c r="N89" s="16"/>
      <c r="O89" s="16"/>
      <c r="P89" s="16"/>
      <c r="Q89" s="16"/>
      <c r="R89" s="16"/>
      <c r="S89" s="16"/>
      <c r="T89" s="16"/>
      <c r="U89" s="16"/>
      <c r="V89" s="16"/>
      <c r="W89" s="16"/>
      <c r="X89" s="16"/>
      <c r="Y89" s="16"/>
      <c r="Z89" s="16"/>
      <c r="AA89" s="16"/>
      <c r="AB89" s="16"/>
      <c r="AC89" s="16"/>
      <c r="AD89" s="16"/>
    </row>
    <row r="90" spans="1:30" ht="15.75" customHeight="1">
      <c r="A90" s="15"/>
      <c r="B90" s="16"/>
      <c r="C90" s="16"/>
      <c r="D90" s="16"/>
      <c r="E90" s="16"/>
      <c r="F90" s="16"/>
      <c r="G90" s="16"/>
      <c r="H90" s="16"/>
      <c r="I90" s="16"/>
      <c r="J90" s="16"/>
      <c r="K90" s="16"/>
      <c r="L90" s="16"/>
      <c r="M90" s="16"/>
      <c r="N90" s="16"/>
      <c r="O90" s="16"/>
      <c r="P90" s="16"/>
      <c r="Q90" s="16"/>
      <c r="R90" s="16"/>
      <c r="S90" s="16"/>
      <c r="T90" s="16"/>
      <c r="U90" s="16"/>
      <c r="V90" s="16"/>
      <c r="W90" s="16"/>
      <c r="X90" s="16"/>
      <c r="Y90" s="16"/>
      <c r="Z90" s="16"/>
      <c r="AA90" s="16"/>
      <c r="AB90" s="16"/>
      <c r="AC90" s="16"/>
      <c r="AD90" s="16"/>
    </row>
    <row r="91" spans="1:30" ht="15.75" customHeight="1" thickBot="1">
      <c r="A91" s="186" t="s">
        <v>519</v>
      </c>
      <c r="B91" s="16"/>
      <c r="C91" s="128"/>
      <c r="D91" s="51"/>
      <c r="E91" s="51"/>
      <c r="F91" s="51"/>
      <c r="G91" s="51"/>
      <c r="H91" s="51"/>
      <c r="I91" s="51"/>
      <c r="J91" s="51"/>
      <c r="K91" s="51"/>
      <c r="L91" s="232"/>
      <c r="M91" s="231"/>
      <c r="N91" s="16"/>
      <c r="O91" s="16"/>
      <c r="P91" s="16"/>
      <c r="Q91" s="16"/>
      <c r="R91" s="16"/>
      <c r="S91" s="16"/>
      <c r="T91" s="16"/>
      <c r="U91" s="16"/>
      <c r="V91" s="16"/>
      <c r="W91" s="16"/>
      <c r="X91" s="16"/>
      <c r="Y91" s="16"/>
      <c r="Z91" s="16"/>
      <c r="AA91" s="16"/>
      <c r="AB91" s="16"/>
      <c r="AC91" s="16"/>
      <c r="AD91" s="16"/>
    </row>
    <row r="92" spans="1:30" ht="15" customHeight="1" thickTop="1" thickBot="1">
      <c r="A92" s="230" t="s">
        <v>438</v>
      </c>
      <c r="B92" s="230" t="s">
        <v>439</v>
      </c>
      <c r="C92" s="230" t="s">
        <v>520</v>
      </c>
      <c r="D92" s="230" t="s">
        <v>521</v>
      </c>
      <c r="E92" s="230" t="s">
        <v>522</v>
      </c>
      <c r="F92" s="230" t="s">
        <v>523</v>
      </c>
      <c r="G92" s="230" t="s">
        <v>508</v>
      </c>
      <c r="H92" s="721" t="s">
        <v>441</v>
      </c>
      <c r="I92" s="728"/>
      <c r="J92" s="729" t="s">
        <v>434</v>
      </c>
      <c r="K92" s="730"/>
      <c r="L92" s="16"/>
      <c r="M92" s="16"/>
      <c r="N92" s="16"/>
      <c r="O92" s="16"/>
      <c r="P92" s="117"/>
      <c r="Q92" s="15"/>
      <c r="R92" s="16"/>
      <c r="S92" s="130"/>
      <c r="T92" s="16"/>
      <c r="U92" s="16"/>
      <c r="V92" s="16"/>
      <c r="W92" s="241"/>
      <c r="X92" s="16"/>
      <c r="Y92" s="16"/>
      <c r="Z92" s="16"/>
      <c r="AA92" s="16"/>
      <c r="AB92" s="16"/>
    </row>
    <row r="93" spans="1:30" ht="14.25" customHeight="1" thickTop="1">
      <c r="A93" s="244" t="s">
        <v>547</v>
      </c>
      <c r="B93" s="248" t="s">
        <v>279</v>
      </c>
      <c r="C93" s="339">
        <v>60</v>
      </c>
      <c r="D93" s="368">
        <v>3</v>
      </c>
      <c r="E93" s="338">
        <v>10</v>
      </c>
      <c r="F93" s="246">
        <f>IF(Table_617084[[#This Row],[Item]]="",0,Table_617084[[#This Row],[Amount]]*Table_617084[[#This Row],[Purchase / Running costs]]/Table_617084[[#This Row],[Depreciation period]])</f>
        <v>200</v>
      </c>
      <c r="G93" s="247"/>
      <c r="H93" s="558"/>
      <c r="I93" s="696"/>
      <c r="J93" s="559" t="s">
        <v>526</v>
      </c>
      <c r="K93" s="730"/>
      <c r="L93" s="16"/>
      <c r="M93" s="16"/>
      <c r="N93" s="16"/>
      <c r="O93" s="16"/>
      <c r="P93" s="16"/>
      <c r="Q93" s="133"/>
      <c r="R93" s="16"/>
      <c r="S93" s="16"/>
      <c r="T93" s="16"/>
      <c r="U93" s="16"/>
      <c r="V93" s="16"/>
      <c r="W93" s="16"/>
      <c r="X93" s="16"/>
      <c r="Y93" s="16"/>
      <c r="Z93" s="16"/>
      <c r="AA93" s="16"/>
      <c r="AB93" s="16"/>
    </row>
    <row r="94" spans="1:30" ht="15.75" customHeight="1">
      <c r="A94" s="244" t="s">
        <v>548</v>
      </c>
      <c r="B94" s="248" t="s">
        <v>279</v>
      </c>
      <c r="C94" s="339">
        <v>25</v>
      </c>
      <c r="D94" s="368">
        <v>2</v>
      </c>
      <c r="E94" s="338">
        <v>5</v>
      </c>
      <c r="F94" s="246">
        <f>IF(Table_617084[[#This Row],[Item]]="",0,Table_617084[[#This Row],[Amount]]*Table_617084[[#This Row],[Purchase / Running costs]]/Table_617084[[#This Row],[Depreciation period]])</f>
        <v>62.5</v>
      </c>
      <c r="G94" s="247"/>
      <c r="H94" s="696"/>
      <c r="I94" s="696"/>
      <c r="J94" s="731"/>
      <c r="K94" s="732"/>
      <c r="L94" s="16"/>
      <c r="M94" s="16"/>
      <c r="N94" s="16"/>
      <c r="O94" s="16"/>
      <c r="P94" s="16"/>
      <c r="Q94" s="16"/>
      <c r="R94" s="16"/>
      <c r="S94" s="16"/>
      <c r="T94" s="16"/>
      <c r="U94" s="16"/>
      <c r="V94" s="16"/>
      <c r="W94" s="16"/>
      <c r="X94" s="16"/>
      <c r="Y94" s="16"/>
      <c r="Z94" s="16"/>
      <c r="AA94" s="16"/>
      <c r="AB94" s="16"/>
    </row>
    <row r="95" spans="1:30" ht="15.75" customHeight="1">
      <c r="A95" s="244" t="s">
        <v>549</v>
      </c>
      <c r="B95" s="248" t="s">
        <v>279</v>
      </c>
      <c r="C95" s="339">
        <v>90</v>
      </c>
      <c r="D95" s="368">
        <v>5</v>
      </c>
      <c r="E95" s="338">
        <v>10</v>
      </c>
      <c r="F95" s="246">
        <f>IF(Table_617084[[#This Row],[Item]]="",0,Table_617084[[#This Row],[Amount]]*Table_617084[[#This Row],[Purchase / Running costs]]/Table_617084[[#This Row],[Depreciation period]])</f>
        <v>180</v>
      </c>
      <c r="G95" s="247"/>
      <c r="H95" s="696"/>
      <c r="I95" s="696"/>
      <c r="J95" s="731"/>
      <c r="K95" s="732"/>
      <c r="L95" s="16"/>
      <c r="M95" s="16"/>
      <c r="N95" s="16"/>
      <c r="O95" s="16"/>
      <c r="P95" s="16"/>
      <c r="Q95" s="16"/>
      <c r="R95" s="16"/>
      <c r="S95" s="16"/>
      <c r="T95" s="16"/>
      <c r="U95" s="16"/>
      <c r="V95" s="16"/>
      <c r="W95" s="16"/>
      <c r="X95" s="16"/>
      <c r="Y95" s="16"/>
      <c r="Z95" s="16"/>
      <c r="AA95" s="16"/>
      <c r="AB95" s="16"/>
    </row>
    <row r="96" spans="1:30" ht="15.75" customHeight="1">
      <c r="A96" s="244" t="s">
        <v>550</v>
      </c>
      <c r="B96" s="248" t="s">
        <v>279</v>
      </c>
      <c r="C96" s="339">
        <v>60</v>
      </c>
      <c r="D96" s="368">
        <v>5</v>
      </c>
      <c r="E96" s="338">
        <v>8</v>
      </c>
      <c r="F96" s="246">
        <f>IF(Table_617084[[#This Row],[Item]]="",0,Table_617084[[#This Row],[Amount]]*Table_617084[[#This Row],[Purchase / Running costs]]/Table_617084[[#This Row],[Depreciation period]])</f>
        <v>96</v>
      </c>
      <c r="G96" s="247"/>
      <c r="H96" s="696"/>
      <c r="I96" s="696"/>
      <c r="J96" s="731"/>
      <c r="K96" s="732"/>
      <c r="L96" s="16"/>
      <c r="M96" s="16"/>
      <c r="N96" s="16"/>
      <c r="O96" s="16"/>
      <c r="P96" s="16"/>
      <c r="Q96" s="16"/>
      <c r="R96" s="16"/>
      <c r="S96" s="16"/>
      <c r="T96" s="16"/>
      <c r="U96" s="16"/>
      <c r="V96" s="16"/>
      <c r="W96" s="16"/>
      <c r="X96" s="16"/>
      <c r="Y96" s="16"/>
      <c r="Z96" s="16"/>
      <c r="AA96" s="16"/>
      <c r="AB96" s="16"/>
    </row>
    <row r="97" spans="1:30" ht="15.75" customHeight="1">
      <c r="A97" s="244" t="s">
        <v>551</v>
      </c>
      <c r="B97" s="248" t="s">
        <v>279</v>
      </c>
      <c r="C97" s="339">
        <v>35</v>
      </c>
      <c r="D97" s="368">
        <v>5</v>
      </c>
      <c r="E97" s="338">
        <v>10</v>
      </c>
      <c r="F97" s="246">
        <f>IF(Table_617084[[#This Row],[Item]]="",0,Table_617084[[#This Row],[Amount]]*Table_617084[[#This Row],[Purchase / Running costs]]/Table_617084[[#This Row],[Depreciation period]])</f>
        <v>70</v>
      </c>
      <c r="G97" s="247"/>
      <c r="H97" s="696"/>
      <c r="I97" s="696"/>
      <c r="J97" s="731"/>
      <c r="K97" s="732"/>
      <c r="L97" s="16"/>
      <c r="M97" s="16"/>
      <c r="N97" s="16"/>
      <c r="O97" s="16"/>
      <c r="P97" s="16"/>
      <c r="Q97" s="16"/>
      <c r="R97" s="16"/>
      <c r="S97" s="16"/>
      <c r="T97" s="16"/>
      <c r="U97" s="16"/>
      <c r="V97" s="16"/>
      <c r="W97" s="16"/>
      <c r="X97" s="16"/>
      <c r="Y97" s="16"/>
      <c r="Z97" s="16"/>
      <c r="AA97" s="16"/>
      <c r="AB97" s="16"/>
    </row>
    <row r="98" spans="1:30" ht="15.75" customHeight="1">
      <c r="A98" s="244" t="s">
        <v>552</v>
      </c>
      <c r="B98" s="248" t="s">
        <v>279</v>
      </c>
      <c r="C98" s="339">
        <v>15</v>
      </c>
      <c r="D98" s="368">
        <v>1</v>
      </c>
      <c r="E98" s="338">
        <v>10</v>
      </c>
      <c r="F98" s="246">
        <f>IF(Table_617084[[#This Row],[Item]]="",0,Table_617084[[#This Row],[Amount]]*Table_617084[[#This Row],[Purchase / Running costs]]/Table_617084[[#This Row],[Depreciation period]])</f>
        <v>150</v>
      </c>
      <c r="G98" s="247"/>
      <c r="H98" s="696"/>
      <c r="I98" s="696"/>
      <c r="J98" s="731"/>
      <c r="K98" s="732"/>
      <c r="L98" s="16"/>
      <c r="M98" s="16"/>
      <c r="N98" s="16"/>
      <c r="O98" s="16"/>
      <c r="P98" s="16"/>
      <c r="Q98" s="16"/>
      <c r="R98" s="16"/>
      <c r="S98" s="16"/>
      <c r="T98" s="16"/>
      <c r="U98" s="16"/>
      <c r="V98" s="16"/>
      <c r="W98" s="16"/>
      <c r="X98" s="16"/>
      <c r="Y98" s="16"/>
      <c r="Z98" s="16"/>
      <c r="AA98" s="16"/>
      <c r="AB98" s="16"/>
    </row>
    <row r="99" spans="1:30" ht="15.75" customHeight="1">
      <c r="A99" s="244" t="s">
        <v>553</v>
      </c>
      <c r="B99" s="248" t="s">
        <v>279</v>
      </c>
      <c r="C99" s="339">
        <v>12</v>
      </c>
      <c r="D99" s="368">
        <v>1</v>
      </c>
      <c r="E99" s="338">
        <v>10</v>
      </c>
      <c r="F99" s="246">
        <f>IF(Table_617084[[#This Row],[Item]]="",0,Table_617084[[#This Row],[Amount]]*Table_617084[[#This Row],[Purchase / Running costs]]/Table_617084[[#This Row],[Depreciation period]])</f>
        <v>120</v>
      </c>
      <c r="G99" s="247"/>
      <c r="H99" s="696"/>
      <c r="I99" s="696"/>
      <c r="J99" s="731"/>
      <c r="K99" s="732"/>
      <c r="L99" s="16"/>
      <c r="M99" s="16"/>
      <c r="N99" s="16"/>
      <c r="O99" s="16"/>
      <c r="P99" s="16"/>
      <c r="Q99" s="16"/>
      <c r="R99" s="16"/>
      <c r="S99" s="16"/>
      <c r="T99" s="16"/>
      <c r="U99" s="16"/>
      <c r="V99" s="16"/>
      <c r="W99" s="16"/>
      <c r="X99" s="16"/>
      <c r="Y99" s="16"/>
      <c r="Z99" s="16"/>
      <c r="AA99" s="16"/>
      <c r="AB99" s="16"/>
    </row>
    <row r="100" spans="1:30" ht="15.75" customHeight="1">
      <c r="A100" s="244" t="s">
        <v>554</v>
      </c>
      <c r="B100" s="248" t="s">
        <v>279</v>
      </c>
      <c r="C100" s="339">
        <v>4</v>
      </c>
      <c r="D100" s="368">
        <v>4</v>
      </c>
      <c r="E100" s="338">
        <v>5</v>
      </c>
      <c r="F100" s="246">
        <f>IF(Table_617084[[#This Row],[Item]]="",0,Table_617084[[#This Row],[Amount]]*Table_617084[[#This Row],[Purchase / Running costs]]/Table_617084[[#This Row],[Depreciation period]])</f>
        <v>5</v>
      </c>
      <c r="G100" s="247"/>
      <c r="H100" s="696"/>
      <c r="I100" s="696"/>
      <c r="J100" s="731"/>
      <c r="K100" s="732"/>
      <c r="L100" s="16"/>
      <c r="M100" s="16"/>
      <c r="N100" s="16"/>
      <c r="O100" s="16"/>
      <c r="P100" s="16"/>
      <c r="Q100" s="16"/>
      <c r="R100" s="16"/>
      <c r="S100" s="16"/>
      <c r="T100" s="16"/>
      <c r="U100" s="16"/>
      <c r="V100" s="16"/>
      <c r="W100" s="16"/>
      <c r="X100" s="16"/>
      <c r="Y100" s="16"/>
      <c r="Z100" s="16"/>
      <c r="AA100" s="16"/>
      <c r="AB100" s="16"/>
    </row>
    <row r="101" spans="1:30" ht="15.75" customHeight="1">
      <c r="A101" s="231"/>
      <c r="B101" s="244"/>
      <c r="C101" s="246">
        <v>0</v>
      </c>
      <c r="D101" s="247"/>
      <c r="E101" s="245"/>
      <c r="F101" s="246">
        <f>IF(Table_617084[[#This Row],[Item]]="",0,Table_617084[[#This Row],[Amount]]*Table_617084[[#This Row],[Purchase / Running costs]]/Table_617084[[#This Row],[Depreciation period]])</f>
        <v>0</v>
      </c>
      <c r="G101" s="247"/>
      <c r="H101" s="696"/>
      <c r="I101" s="696"/>
      <c r="J101" s="731"/>
      <c r="K101" s="732"/>
      <c r="L101" s="16"/>
      <c r="M101" s="16"/>
      <c r="N101" s="16"/>
      <c r="O101" s="16"/>
      <c r="P101" s="16"/>
      <c r="Q101" s="16"/>
      <c r="R101" s="16"/>
      <c r="S101" s="16"/>
      <c r="T101" s="16"/>
      <c r="U101" s="16"/>
      <c r="V101" s="16"/>
      <c r="W101" s="16"/>
      <c r="X101" s="16"/>
      <c r="Y101" s="16"/>
      <c r="Z101" s="16"/>
      <c r="AA101" s="16"/>
      <c r="AB101" s="16"/>
    </row>
    <row r="102" spans="1:30" ht="15.75" customHeight="1">
      <c r="A102" s="231"/>
      <c r="B102" s="244"/>
      <c r="C102" s="246">
        <v>0</v>
      </c>
      <c r="D102" s="247"/>
      <c r="E102" s="245"/>
      <c r="F102" s="246">
        <f>IF(Table_617084[[#This Row],[Item]]="",0,Table_617084[[#This Row],[Amount]]*Table_617084[[#This Row],[Purchase / Running costs]]/Table_617084[[#This Row],[Depreciation period]])</f>
        <v>0</v>
      </c>
      <c r="G102" s="247"/>
      <c r="H102" s="696"/>
      <c r="I102" s="696"/>
      <c r="J102" s="731"/>
      <c r="K102" s="732"/>
      <c r="L102" s="16"/>
      <c r="M102" s="16"/>
      <c r="N102" s="16"/>
      <c r="O102" s="16"/>
      <c r="P102" s="16"/>
      <c r="Q102" s="16"/>
      <c r="R102" s="16"/>
      <c r="S102" s="16"/>
      <c r="T102" s="16"/>
      <c r="U102" s="16"/>
      <c r="V102" s="16"/>
      <c r="W102" s="16"/>
      <c r="X102" s="16"/>
      <c r="Y102" s="16"/>
      <c r="Z102" s="16"/>
      <c r="AA102" s="16"/>
      <c r="AB102" s="16"/>
    </row>
    <row r="103" spans="1:30" ht="15.75" customHeight="1">
      <c r="A103" s="231"/>
      <c r="B103" s="244"/>
      <c r="C103" s="246">
        <v>0</v>
      </c>
      <c r="D103" s="247"/>
      <c r="E103" s="245"/>
      <c r="F103" s="246">
        <f>IF(Table_617084[[#This Row],[Item]]="",0,Table_617084[[#This Row],[Amount]]*Table_617084[[#This Row],[Purchase / Running costs]]/Table_617084[[#This Row],[Depreciation period]])</f>
        <v>0</v>
      </c>
      <c r="G103" s="247"/>
      <c r="H103" s="696"/>
      <c r="I103" s="696"/>
      <c r="J103" s="731"/>
      <c r="K103" s="732"/>
      <c r="L103" s="16"/>
      <c r="M103" s="16"/>
      <c r="N103" s="16"/>
      <c r="O103" s="16"/>
      <c r="P103" s="16"/>
      <c r="Q103" s="16"/>
      <c r="R103" s="16"/>
      <c r="S103" s="16"/>
      <c r="T103" s="16"/>
      <c r="U103" s="16"/>
      <c r="V103" s="16"/>
      <c r="W103" s="16"/>
      <c r="X103" s="16"/>
      <c r="Y103" s="16"/>
      <c r="Z103" s="16"/>
      <c r="AA103" s="16"/>
      <c r="AB103" s="16"/>
    </row>
    <row r="104" spans="1:30" ht="15.75" customHeight="1">
      <c r="A104" s="231"/>
      <c r="B104" s="244"/>
      <c r="C104" s="246">
        <v>0</v>
      </c>
      <c r="D104" s="247"/>
      <c r="E104" s="245"/>
      <c r="F104" s="246">
        <f>IF(Table_617084[[#This Row],[Item]]="",0,Table_617084[[#This Row],[Amount]]*Table_617084[[#This Row],[Purchase / Running costs]]/Table_617084[[#This Row],[Depreciation period]])</f>
        <v>0</v>
      </c>
      <c r="G104" s="247"/>
      <c r="H104" s="696"/>
      <c r="I104" s="696"/>
      <c r="J104" s="731"/>
      <c r="K104" s="732"/>
      <c r="L104" s="16"/>
      <c r="M104" s="16"/>
      <c r="N104" s="16"/>
      <c r="O104" s="16"/>
      <c r="P104" s="16"/>
      <c r="Q104" s="16"/>
      <c r="R104" s="16"/>
      <c r="S104" s="16"/>
      <c r="T104" s="16"/>
      <c r="U104" s="16"/>
      <c r="V104" s="16"/>
      <c r="W104" s="16"/>
      <c r="X104" s="16"/>
      <c r="Y104" s="16"/>
      <c r="Z104" s="16"/>
      <c r="AA104" s="16"/>
      <c r="AB104" s="16"/>
    </row>
    <row r="105" spans="1:30" ht="15.75" customHeight="1">
      <c r="A105" s="231"/>
      <c r="B105" s="244"/>
      <c r="C105" s="246">
        <v>0</v>
      </c>
      <c r="D105" s="247"/>
      <c r="E105" s="245"/>
      <c r="F105" s="246">
        <f>IF(Table_617084[[#This Row],[Item]]="",0,Table_617084[[#This Row],[Amount]]*Table_617084[[#This Row],[Purchase / Running costs]]/Table_617084[[#This Row],[Depreciation period]])</f>
        <v>0</v>
      </c>
      <c r="G105" s="247"/>
      <c r="H105" s="696"/>
      <c r="I105" s="696"/>
      <c r="J105" s="731"/>
      <c r="K105" s="732"/>
      <c r="L105" s="16"/>
      <c r="M105" s="16"/>
      <c r="N105" s="16"/>
      <c r="O105" s="16"/>
      <c r="P105" s="16"/>
      <c r="Q105" s="16"/>
      <c r="R105" s="16"/>
      <c r="S105" s="16"/>
      <c r="T105" s="16"/>
      <c r="U105" s="16"/>
      <c r="V105" s="16"/>
      <c r="W105" s="16"/>
      <c r="X105" s="16"/>
      <c r="Y105" s="16"/>
      <c r="Z105" s="16"/>
      <c r="AA105" s="16"/>
      <c r="AB105" s="16"/>
    </row>
    <row r="106" spans="1:30" ht="15.75" customHeight="1" thickBot="1">
      <c r="A106" s="231"/>
      <c r="B106" s="244"/>
      <c r="C106" s="246">
        <v>0</v>
      </c>
      <c r="D106" s="247"/>
      <c r="E106" s="245"/>
      <c r="F106" s="246">
        <f>IF(Table_617084[[#This Row],[Item]]="",0,Table_617084[[#This Row],[Amount]]*Table_617084[[#This Row],[Purchase / Running costs]]/Table_617084[[#This Row],[Depreciation period]])</f>
        <v>0</v>
      </c>
      <c r="G106" s="247"/>
      <c r="H106" s="724"/>
      <c r="I106" s="724"/>
      <c r="J106" s="733"/>
      <c r="K106" s="734"/>
      <c r="L106" s="16"/>
      <c r="M106" s="16"/>
      <c r="N106" s="16"/>
      <c r="O106" s="16"/>
      <c r="P106" s="16"/>
      <c r="Q106" s="16"/>
      <c r="R106" s="16"/>
      <c r="S106" s="16"/>
      <c r="T106" s="16"/>
      <c r="U106" s="16"/>
      <c r="V106" s="16"/>
      <c r="W106" s="16"/>
      <c r="X106" s="16"/>
      <c r="Y106" s="16"/>
      <c r="Z106" s="16"/>
      <c r="AA106" s="16"/>
      <c r="AB106" s="16"/>
    </row>
    <row r="107" spans="1:30" ht="15.75" customHeight="1" thickTop="1">
      <c r="A107" s="15"/>
      <c r="B107" s="131"/>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16"/>
      <c r="AB107" s="16"/>
      <c r="AC107" s="16"/>
      <c r="AD107" s="16"/>
    </row>
    <row r="108" spans="1:30" ht="15.75" customHeight="1">
      <c r="A108" s="15"/>
      <c r="B108" s="131"/>
      <c r="C108" s="16"/>
      <c r="D108" s="16"/>
      <c r="E108" s="16"/>
      <c r="F108" s="16"/>
      <c r="G108" s="16"/>
      <c r="I108" s="16"/>
      <c r="J108" s="16"/>
      <c r="K108" s="16"/>
      <c r="L108" s="16"/>
      <c r="M108" s="16"/>
      <c r="N108" s="16"/>
      <c r="O108" s="16"/>
      <c r="P108" s="16"/>
      <c r="Q108" s="16"/>
      <c r="R108" s="16"/>
      <c r="S108" s="16"/>
      <c r="T108" s="16"/>
      <c r="U108" s="16"/>
      <c r="V108" s="16"/>
      <c r="W108" s="16"/>
      <c r="X108" s="16"/>
      <c r="Y108" s="16"/>
      <c r="Z108" s="16"/>
      <c r="AA108" s="16"/>
      <c r="AB108" s="16"/>
      <c r="AC108" s="16"/>
      <c r="AD108" s="16"/>
    </row>
    <row r="109" spans="1:30" ht="15.75" customHeight="1">
      <c r="H109" s="51"/>
      <c r="I109" s="51"/>
      <c r="J109" s="51"/>
      <c r="K109" s="51"/>
      <c r="L109" s="16"/>
      <c r="M109" s="16"/>
      <c r="N109" s="16"/>
      <c r="O109" s="16"/>
      <c r="P109" s="16"/>
      <c r="Q109" s="16"/>
      <c r="R109" s="16"/>
      <c r="S109" s="16"/>
      <c r="T109" s="16"/>
      <c r="U109" s="16"/>
      <c r="V109" s="16"/>
      <c r="W109" s="16"/>
      <c r="X109" s="16"/>
      <c r="Y109" s="16"/>
      <c r="Z109" s="16"/>
      <c r="AA109" s="16"/>
      <c r="AB109" s="16"/>
      <c r="AC109" s="16"/>
      <c r="AD109" s="16"/>
    </row>
    <row r="110" spans="1:30" ht="15.75" customHeight="1">
      <c r="L110" s="16"/>
      <c r="M110" s="16"/>
      <c r="N110" s="16"/>
      <c r="O110" s="16"/>
      <c r="P110" s="16"/>
      <c r="Q110" s="16"/>
      <c r="R110" s="16"/>
      <c r="S110" s="16"/>
      <c r="T110" s="16"/>
      <c r="U110" s="16"/>
      <c r="V110" s="16"/>
      <c r="W110" s="16"/>
      <c r="X110" s="16"/>
      <c r="Y110" s="16"/>
      <c r="Z110" s="16"/>
      <c r="AA110" s="16"/>
      <c r="AB110" s="16"/>
      <c r="AC110" s="16"/>
      <c r="AD110" s="16"/>
    </row>
    <row r="111" spans="1:30" ht="15.75" customHeight="1">
      <c r="L111" s="16"/>
      <c r="M111" s="16"/>
      <c r="N111" s="16"/>
      <c r="O111" s="16"/>
      <c r="P111" s="16"/>
      <c r="Q111" s="16"/>
      <c r="R111" s="16"/>
      <c r="S111" s="16"/>
      <c r="T111" s="16"/>
      <c r="U111" s="16"/>
      <c r="V111" s="16"/>
      <c r="W111" s="16"/>
      <c r="X111" s="16"/>
      <c r="Y111" s="16"/>
      <c r="Z111" s="16"/>
      <c r="AA111" s="16"/>
      <c r="AB111" s="16"/>
      <c r="AC111" s="16"/>
      <c r="AD111" s="16"/>
    </row>
    <row r="112" spans="1:30" ht="15.75" customHeight="1">
      <c r="L112" s="16"/>
      <c r="M112" s="16"/>
      <c r="N112" s="16"/>
      <c r="O112" s="16"/>
      <c r="P112" s="16"/>
      <c r="Q112" s="16"/>
      <c r="R112" s="16"/>
      <c r="S112" s="16"/>
      <c r="T112" s="16"/>
      <c r="U112" s="16"/>
      <c r="V112" s="16"/>
      <c r="W112" s="16"/>
      <c r="X112" s="16"/>
      <c r="Y112" s="16"/>
      <c r="Z112" s="16"/>
      <c r="AA112" s="16"/>
      <c r="AB112" s="16"/>
      <c r="AC112" s="16"/>
      <c r="AD112" s="16"/>
    </row>
    <row r="113" spans="1:30" ht="15.75" customHeight="1">
      <c r="L113" s="16"/>
      <c r="M113" s="16"/>
      <c r="N113" s="16"/>
      <c r="O113" s="16"/>
      <c r="P113" s="16"/>
      <c r="Q113" s="16"/>
      <c r="R113" s="16"/>
      <c r="S113" s="16"/>
      <c r="T113" s="16"/>
      <c r="U113" s="16"/>
      <c r="V113" s="16"/>
      <c r="W113" s="16"/>
      <c r="X113" s="16"/>
      <c r="Y113" s="16"/>
      <c r="Z113" s="16"/>
      <c r="AA113" s="16"/>
      <c r="AB113" s="16"/>
      <c r="AC113" s="16"/>
      <c r="AD113" s="16"/>
    </row>
    <row r="114" spans="1:30" ht="15.75" customHeight="1">
      <c r="L114" s="16"/>
      <c r="M114" s="16"/>
      <c r="N114" s="16"/>
      <c r="O114" s="16"/>
      <c r="P114" s="16"/>
      <c r="Q114" s="16"/>
      <c r="R114" s="16"/>
      <c r="S114" s="16"/>
      <c r="T114" s="16"/>
      <c r="U114" s="16"/>
      <c r="V114" s="16"/>
      <c r="W114" s="16"/>
      <c r="X114" s="16"/>
      <c r="Y114" s="16"/>
      <c r="Z114" s="16"/>
      <c r="AA114" s="16"/>
      <c r="AB114" s="16"/>
      <c r="AC114" s="16"/>
      <c r="AD114" s="16"/>
    </row>
    <row r="115" spans="1:30" ht="15.75" customHeight="1">
      <c r="L115" s="16"/>
      <c r="M115" s="16"/>
      <c r="N115" s="16"/>
      <c r="O115" s="16"/>
      <c r="P115" s="16"/>
      <c r="Q115" s="16"/>
      <c r="R115" s="16"/>
      <c r="S115" s="16"/>
      <c r="T115" s="16"/>
      <c r="U115" s="16"/>
      <c r="V115" s="16"/>
      <c r="W115" s="16"/>
      <c r="X115" s="16"/>
      <c r="Y115" s="16"/>
      <c r="Z115" s="16"/>
      <c r="AA115" s="16"/>
      <c r="AB115" s="16"/>
      <c r="AC115" s="16"/>
      <c r="AD115" s="16"/>
    </row>
    <row r="116" spans="1:30" ht="15.75" customHeight="1">
      <c r="L116" s="16"/>
      <c r="M116" s="16"/>
      <c r="N116" s="16"/>
      <c r="O116" s="16"/>
      <c r="P116" s="735"/>
      <c r="Q116" s="696"/>
      <c r="R116" s="696"/>
      <c r="S116" s="16"/>
      <c r="T116" s="16"/>
      <c r="U116" s="16"/>
      <c r="V116" s="16"/>
      <c r="W116" s="16"/>
      <c r="X116" s="16"/>
      <c r="Y116" s="16"/>
      <c r="Z116" s="16"/>
      <c r="AA116" s="16"/>
      <c r="AB116" s="16"/>
      <c r="AC116" s="16"/>
      <c r="AD116" s="16"/>
    </row>
    <row r="117" spans="1:30" ht="15.75" customHeight="1">
      <c r="L117" s="16"/>
      <c r="M117" s="16"/>
      <c r="N117" s="16"/>
      <c r="O117" s="16"/>
      <c r="P117" s="735"/>
      <c r="Q117" s="696"/>
      <c r="R117" s="696"/>
      <c r="S117" s="16"/>
      <c r="T117" s="16"/>
      <c r="U117" s="16"/>
      <c r="V117" s="16"/>
      <c r="W117" s="16"/>
      <c r="X117" s="16"/>
      <c r="Y117" s="16"/>
      <c r="Z117" s="16"/>
      <c r="AA117" s="16"/>
      <c r="AB117" s="16"/>
      <c r="AC117" s="16"/>
      <c r="AD117" s="16"/>
    </row>
    <row r="118" spans="1:30" ht="15.75" customHeight="1">
      <c r="L118" s="16"/>
      <c r="M118" s="16"/>
      <c r="N118" s="16"/>
      <c r="O118" s="16"/>
      <c r="P118" s="735"/>
      <c r="Q118" s="696"/>
      <c r="R118" s="696"/>
      <c r="S118" s="16"/>
      <c r="T118" s="16"/>
      <c r="U118" s="16"/>
      <c r="V118" s="16"/>
      <c r="W118" s="16"/>
      <c r="X118" s="16"/>
      <c r="Y118" s="16"/>
      <c r="Z118" s="16"/>
      <c r="AA118" s="16"/>
      <c r="AB118" s="16"/>
      <c r="AC118" s="16"/>
      <c r="AD118" s="16"/>
    </row>
    <row r="119" spans="1:30" ht="15.75" customHeight="1">
      <c r="L119" s="16"/>
      <c r="M119" s="16"/>
      <c r="N119" s="16"/>
      <c r="O119" s="16"/>
      <c r="P119" s="735"/>
      <c r="Q119" s="696"/>
      <c r="R119" s="696"/>
      <c r="S119" s="16"/>
      <c r="T119" s="16"/>
      <c r="U119" s="16"/>
      <c r="V119" s="16"/>
      <c r="W119" s="16"/>
      <c r="X119" s="16"/>
      <c r="Y119" s="16"/>
      <c r="Z119" s="16"/>
      <c r="AA119" s="16"/>
      <c r="AB119" s="16"/>
      <c r="AC119" s="16"/>
      <c r="AD119" s="16"/>
    </row>
    <row r="120" spans="1:30" ht="15.75" customHeight="1">
      <c r="L120" s="16"/>
      <c r="M120" s="16"/>
      <c r="N120" s="16"/>
      <c r="O120" s="16"/>
      <c r="P120" s="735"/>
      <c r="Q120" s="696"/>
      <c r="R120" s="696"/>
      <c r="S120" s="16"/>
      <c r="T120" s="16"/>
      <c r="U120" s="16"/>
      <c r="V120" s="16"/>
      <c r="W120" s="16"/>
      <c r="X120" s="16"/>
      <c r="Y120" s="16"/>
      <c r="Z120" s="16"/>
      <c r="AA120" s="16"/>
      <c r="AB120" s="16"/>
      <c r="AC120" s="16"/>
      <c r="AD120" s="16"/>
    </row>
    <row r="121" spans="1:30" ht="15.75" customHeight="1">
      <c r="L121" s="16"/>
      <c r="M121" s="16"/>
      <c r="N121" s="16"/>
      <c r="O121" s="16"/>
      <c r="P121" s="735"/>
      <c r="Q121" s="696"/>
      <c r="R121" s="696"/>
      <c r="S121" s="16"/>
      <c r="T121" s="16"/>
      <c r="U121" s="16"/>
      <c r="V121" s="16"/>
      <c r="W121" s="16"/>
      <c r="X121" s="16"/>
      <c r="Y121" s="16"/>
      <c r="Z121" s="16"/>
      <c r="AA121" s="16"/>
      <c r="AB121" s="16"/>
      <c r="AC121" s="16"/>
      <c r="AD121" s="16"/>
    </row>
    <row r="122" spans="1:30" ht="15.75" customHeight="1">
      <c r="H122" s="248"/>
      <c r="I122" s="248"/>
      <c r="J122" s="228"/>
      <c r="K122" s="228"/>
      <c r="L122" s="16"/>
      <c r="M122" s="16"/>
      <c r="N122" s="16"/>
      <c r="O122" s="16"/>
      <c r="P122" s="735"/>
      <c r="Q122" s="696"/>
      <c r="R122" s="696"/>
      <c r="S122" s="16"/>
      <c r="T122" s="16"/>
      <c r="U122" s="16"/>
      <c r="V122" s="16"/>
      <c r="W122" s="16"/>
      <c r="X122" s="16"/>
      <c r="Y122" s="16"/>
      <c r="Z122" s="16"/>
      <c r="AA122" s="16"/>
      <c r="AB122" s="16"/>
      <c r="AC122" s="16"/>
      <c r="AD122" s="16"/>
    </row>
    <row r="123" spans="1:30" ht="15.75" customHeight="1">
      <c r="A123" s="231"/>
      <c r="B123" s="231"/>
      <c r="C123" s="246"/>
      <c r="D123" s="247"/>
      <c r="E123" s="245"/>
      <c r="F123" s="246"/>
      <c r="G123" s="247"/>
      <c r="H123" s="248"/>
      <c r="I123" s="248"/>
      <c r="J123" s="228"/>
      <c r="K123" s="228"/>
      <c r="L123" s="16"/>
      <c r="M123" s="16"/>
      <c r="N123" s="16"/>
      <c r="O123" s="16"/>
      <c r="P123" s="16"/>
      <c r="Q123" s="16"/>
      <c r="R123" s="16"/>
      <c r="S123" s="16"/>
      <c r="T123" s="16"/>
      <c r="U123" s="16"/>
      <c r="V123" s="16"/>
      <c r="W123" s="16"/>
      <c r="X123" s="16"/>
      <c r="Y123" s="16"/>
      <c r="Z123" s="16"/>
      <c r="AA123" s="16"/>
      <c r="AB123" s="16"/>
      <c r="AC123" s="16"/>
      <c r="AD123" s="16"/>
    </row>
    <row r="124" spans="1:30" ht="15.75" customHeight="1">
      <c r="A124" s="231"/>
      <c r="B124" s="16"/>
      <c r="C124" s="246"/>
      <c r="D124" s="247"/>
      <c r="E124" s="245"/>
      <c r="F124" s="246"/>
      <c r="G124" s="247"/>
      <c r="H124" s="228"/>
      <c r="I124" s="228"/>
      <c r="J124" s="228"/>
      <c r="K124" s="228"/>
      <c r="L124" s="16"/>
      <c r="M124" s="735"/>
      <c r="N124" s="696"/>
      <c r="O124" s="696"/>
      <c r="P124" s="735"/>
      <c r="Q124" s="696"/>
      <c r="R124" s="696"/>
      <c r="S124" s="696"/>
      <c r="T124" s="696"/>
      <c r="U124" s="16"/>
      <c r="V124" s="16"/>
      <c r="W124" s="16"/>
      <c r="X124" s="16"/>
      <c r="Y124" s="16"/>
      <c r="Z124" s="16"/>
      <c r="AA124" s="16"/>
      <c r="AB124" s="16"/>
      <c r="AC124" s="16"/>
      <c r="AD124" s="16"/>
    </row>
    <row r="125" spans="1:30" ht="15.75" customHeight="1">
      <c r="A125" s="16"/>
      <c r="B125" s="16"/>
      <c r="C125" s="16"/>
      <c r="D125" s="16"/>
      <c r="E125" s="16"/>
      <c r="F125" s="16"/>
      <c r="G125" s="16"/>
      <c r="H125" s="16"/>
      <c r="I125" s="16"/>
      <c r="J125" s="16"/>
      <c r="K125" s="16"/>
      <c r="L125" s="16"/>
      <c r="M125" s="735"/>
      <c r="N125" s="696"/>
      <c r="O125" s="696"/>
      <c r="P125" s="735"/>
      <c r="Q125" s="696"/>
      <c r="R125" s="696"/>
      <c r="S125" s="696"/>
      <c r="T125" s="696"/>
      <c r="U125" s="16"/>
      <c r="V125" s="16"/>
      <c r="W125" s="16"/>
      <c r="X125" s="16"/>
      <c r="Y125" s="16"/>
      <c r="Z125" s="16"/>
      <c r="AA125" s="16"/>
      <c r="AB125" s="16"/>
      <c r="AC125" s="16"/>
      <c r="AD125" s="16"/>
    </row>
    <row r="126" spans="1:30" ht="15.75" customHeight="1">
      <c r="A126" s="16"/>
      <c r="B126" s="16"/>
      <c r="C126" s="16"/>
      <c r="D126" s="16"/>
      <c r="E126" s="16"/>
      <c r="F126" s="16"/>
      <c r="G126" s="16"/>
      <c r="H126" s="16"/>
      <c r="I126" s="16"/>
      <c r="J126" s="16"/>
      <c r="K126" s="16"/>
      <c r="L126" s="16"/>
      <c r="M126" s="735"/>
      <c r="N126" s="696"/>
      <c r="O126" s="696"/>
      <c r="P126" s="696"/>
      <c r="Q126" s="696"/>
      <c r="R126" s="696"/>
      <c r="S126" s="696"/>
      <c r="T126" s="696"/>
      <c r="U126" s="16"/>
      <c r="V126" s="16"/>
      <c r="W126" s="16"/>
      <c r="X126" s="16"/>
      <c r="Y126" s="16"/>
      <c r="Z126" s="16"/>
      <c r="AA126" s="16"/>
      <c r="AB126" s="16"/>
      <c r="AC126" s="16"/>
      <c r="AD126" s="16"/>
    </row>
    <row r="127" spans="1:30" ht="15.75" customHeight="1">
      <c r="A127" s="16"/>
      <c r="B127" s="16"/>
      <c r="C127" s="16"/>
      <c r="D127" s="16"/>
      <c r="E127" s="16"/>
      <c r="F127" s="16"/>
      <c r="G127" s="16"/>
      <c r="H127" s="16"/>
      <c r="I127" s="16"/>
      <c r="J127" s="16"/>
      <c r="K127" s="16"/>
      <c r="L127" s="16"/>
      <c r="M127" s="735"/>
      <c r="N127" s="696"/>
      <c r="O127" s="696"/>
      <c r="P127" s="696"/>
      <c r="Q127" s="696"/>
      <c r="R127" s="696"/>
      <c r="S127" s="696"/>
      <c r="T127" s="696"/>
      <c r="U127" s="16"/>
      <c r="V127" s="16"/>
      <c r="W127" s="16"/>
      <c r="X127" s="16"/>
      <c r="Y127" s="16"/>
      <c r="Z127" s="16"/>
      <c r="AA127" s="16"/>
      <c r="AB127" s="16"/>
      <c r="AC127" s="16"/>
      <c r="AD127" s="16"/>
    </row>
    <row r="128" spans="1:30" ht="15.75" customHeight="1">
      <c r="A128" s="16"/>
      <c r="B128" s="16"/>
      <c r="C128" s="16"/>
      <c r="D128" s="16"/>
      <c r="E128" s="16"/>
      <c r="F128" s="16"/>
      <c r="G128" s="16"/>
      <c r="H128" s="16"/>
      <c r="I128" s="16"/>
      <c r="J128" s="16"/>
      <c r="K128" s="16"/>
      <c r="L128" s="16"/>
      <c r="M128" s="735"/>
      <c r="N128" s="696"/>
      <c r="O128" s="696"/>
      <c r="P128" s="696"/>
      <c r="Q128" s="696"/>
      <c r="R128" s="696"/>
      <c r="S128" s="696"/>
      <c r="T128" s="696"/>
      <c r="U128" s="16"/>
      <c r="V128" s="16"/>
      <c r="W128" s="16"/>
      <c r="X128" s="16"/>
      <c r="Y128" s="16"/>
      <c r="Z128" s="16"/>
      <c r="AA128" s="16"/>
      <c r="AB128" s="16"/>
      <c r="AC128" s="16"/>
      <c r="AD128" s="16"/>
    </row>
    <row r="129" spans="1:30" ht="15.75" customHeight="1">
      <c r="A129" s="16"/>
      <c r="B129" s="16"/>
      <c r="C129" s="16"/>
      <c r="D129" s="16"/>
      <c r="E129" s="16"/>
      <c r="F129" s="16"/>
      <c r="G129" s="16"/>
      <c r="H129" s="16"/>
      <c r="I129" s="16"/>
      <c r="J129" s="16"/>
      <c r="K129" s="16"/>
      <c r="L129" s="16"/>
      <c r="M129" s="735"/>
      <c r="N129" s="696"/>
      <c r="O129" s="696"/>
      <c r="P129" s="696"/>
      <c r="Q129" s="696"/>
      <c r="R129" s="696"/>
      <c r="S129" s="696"/>
      <c r="T129" s="696"/>
      <c r="U129" s="16"/>
      <c r="V129" s="16"/>
      <c r="W129" s="16"/>
      <c r="X129" s="16"/>
      <c r="Y129" s="16"/>
      <c r="Z129" s="16"/>
      <c r="AA129" s="16"/>
      <c r="AB129" s="16"/>
      <c r="AC129" s="16"/>
      <c r="AD129" s="16"/>
    </row>
    <row r="130" spans="1:30" ht="15.75" customHeight="1">
      <c r="A130" s="16"/>
      <c r="B130" s="16"/>
      <c r="C130" s="16"/>
      <c r="D130" s="16"/>
      <c r="E130" s="16"/>
      <c r="F130" s="16"/>
      <c r="G130" s="16"/>
      <c r="H130" s="16"/>
      <c r="I130" s="16"/>
      <c r="J130" s="16"/>
      <c r="K130" s="16"/>
      <c r="L130" s="16"/>
      <c r="M130" s="735"/>
      <c r="N130" s="696"/>
      <c r="O130" s="696"/>
      <c r="P130" s="696"/>
      <c r="Q130" s="696"/>
      <c r="R130" s="696"/>
      <c r="S130" s="696"/>
      <c r="T130" s="696"/>
      <c r="U130" s="16"/>
      <c r="V130" s="16"/>
      <c r="W130" s="16"/>
      <c r="X130" s="16"/>
      <c r="Y130" s="16"/>
      <c r="Z130" s="16"/>
      <c r="AA130" s="16"/>
      <c r="AB130" s="16"/>
      <c r="AC130" s="16"/>
      <c r="AD130" s="16"/>
    </row>
    <row r="131" spans="1:30" ht="15.75" customHeight="1">
      <c r="A131" s="16"/>
      <c r="B131" s="16"/>
      <c r="C131" s="16"/>
      <c r="D131" s="16"/>
      <c r="E131" s="16"/>
      <c r="F131" s="16"/>
      <c r="G131" s="16"/>
      <c r="H131" s="16"/>
      <c r="I131" s="16"/>
      <c r="J131" s="16"/>
      <c r="K131" s="16"/>
      <c r="L131" s="16"/>
      <c r="M131" s="735"/>
      <c r="N131" s="696"/>
      <c r="O131" s="696"/>
      <c r="P131" s="696"/>
      <c r="Q131" s="696"/>
      <c r="R131" s="696"/>
      <c r="S131" s="696"/>
      <c r="T131" s="696"/>
      <c r="U131" s="16"/>
      <c r="V131" s="16"/>
      <c r="W131" s="16"/>
      <c r="X131" s="16"/>
      <c r="Y131" s="16"/>
      <c r="Z131" s="16"/>
      <c r="AA131" s="16"/>
      <c r="AB131" s="16"/>
      <c r="AC131" s="16"/>
      <c r="AD131" s="16"/>
    </row>
    <row r="132" spans="1:30" ht="15.75" customHeight="1">
      <c r="A132" s="16"/>
      <c r="B132" s="16"/>
      <c r="C132" s="16"/>
      <c r="D132" s="16"/>
      <c r="E132" s="16"/>
      <c r="F132" s="16"/>
      <c r="G132" s="16"/>
      <c r="H132" s="16"/>
      <c r="I132" s="16"/>
      <c r="J132" s="16"/>
      <c r="K132" s="16"/>
      <c r="L132" s="16"/>
      <c r="M132" s="735"/>
      <c r="N132" s="696"/>
      <c r="O132" s="696"/>
      <c r="P132" s="696"/>
      <c r="Q132" s="696"/>
      <c r="R132" s="696"/>
      <c r="S132" s="696"/>
      <c r="T132" s="696"/>
      <c r="U132" s="16"/>
      <c r="V132" s="16"/>
      <c r="W132" s="16"/>
      <c r="X132" s="16"/>
      <c r="Y132" s="16"/>
      <c r="Z132" s="16"/>
      <c r="AA132" s="16"/>
      <c r="AB132" s="16"/>
      <c r="AC132" s="16"/>
      <c r="AD132" s="16"/>
    </row>
    <row r="133" spans="1:30" ht="15.75" customHeight="1">
      <c r="A133" s="16"/>
      <c r="B133" s="16"/>
      <c r="C133" s="16"/>
      <c r="D133" s="16"/>
      <c r="E133" s="16"/>
      <c r="F133" s="16"/>
      <c r="G133" s="16"/>
      <c r="H133" s="16"/>
      <c r="I133" s="16"/>
      <c r="J133" s="16"/>
      <c r="K133" s="16"/>
      <c r="L133" s="16"/>
      <c r="M133" s="735"/>
      <c r="N133" s="696"/>
      <c r="O133" s="696"/>
      <c r="P133" s="696"/>
      <c r="Q133" s="696"/>
      <c r="R133" s="696"/>
      <c r="S133" s="696"/>
      <c r="T133" s="696"/>
      <c r="U133" s="16"/>
      <c r="V133" s="16"/>
      <c r="W133" s="16"/>
      <c r="X133" s="16"/>
      <c r="Y133" s="16"/>
      <c r="Z133" s="16"/>
      <c r="AA133" s="16"/>
      <c r="AB133" s="16"/>
      <c r="AC133" s="16"/>
      <c r="AD133" s="16"/>
    </row>
    <row r="134" spans="1:30" ht="15.75" customHeight="1">
      <c r="A134" s="16"/>
      <c r="B134" s="16"/>
      <c r="C134" s="16"/>
      <c r="D134" s="16"/>
      <c r="E134" s="16"/>
      <c r="F134" s="16"/>
      <c r="G134" s="16"/>
      <c r="H134" s="16"/>
      <c r="I134" s="16"/>
      <c r="J134" s="16"/>
      <c r="K134" s="16"/>
      <c r="L134" s="16"/>
      <c r="M134" s="735"/>
      <c r="N134" s="696"/>
      <c r="O134" s="696"/>
      <c r="P134" s="696"/>
      <c r="Q134" s="696"/>
      <c r="R134" s="696"/>
      <c r="S134" s="696"/>
      <c r="T134" s="696"/>
      <c r="U134" s="16"/>
      <c r="V134" s="16"/>
      <c r="W134" s="16"/>
      <c r="X134" s="16"/>
      <c r="Y134" s="16"/>
      <c r="Z134" s="16"/>
      <c r="AA134" s="16"/>
      <c r="AB134" s="16"/>
      <c r="AC134" s="16"/>
      <c r="AD134" s="16"/>
    </row>
    <row r="135" spans="1:30" ht="15.75" customHeight="1">
      <c r="A135" s="16"/>
      <c r="B135" s="16"/>
      <c r="C135" s="16"/>
      <c r="D135" s="16"/>
      <c r="E135" s="16"/>
      <c r="F135" s="16"/>
      <c r="G135" s="16"/>
      <c r="H135" s="16"/>
      <c r="I135" s="16"/>
      <c r="J135" s="16"/>
      <c r="K135" s="16"/>
      <c r="L135" s="16"/>
      <c r="M135" s="735"/>
      <c r="N135" s="696"/>
      <c r="O135" s="696"/>
      <c r="P135" s="696"/>
      <c r="Q135" s="696"/>
      <c r="R135" s="696"/>
      <c r="S135" s="696"/>
      <c r="T135" s="696"/>
      <c r="U135" s="16"/>
      <c r="V135" s="16"/>
      <c r="W135" s="16"/>
      <c r="X135" s="16"/>
      <c r="Y135" s="16"/>
      <c r="Z135" s="16"/>
      <c r="AA135" s="16"/>
      <c r="AB135" s="16"/>
      <c r="AC135" s="16"/>
      <c r="AD135" s="16"/>
    </row>
    <row r="136" spans="1:30" ht="15.75" customHeight="1">
      <c r="A136" s="16"/>
      <c r="B136" s="16"/>
      <c r="C136" s="16"/>
      <c r="D136" s="16"/>
      <c r="E136" s="16"/>
      <c r="F136" s="16"/>
      <c r="G136" s="16"/>
      <c r="H136" s="16"/>
      <c r="I136" s="16"/>
      <c r="J136" s="16"/>
      <c r="K136" s="16"/>
      <c r="L136" s="16"/>
      <c r="M136" s="735"/>
      <c r="N136" s="696"/>
      <c r="O136" s="696"/>
      <c r="P136" s="696"/>
      <c r="Q136" s="696"/>
      <c r="R136" s="696"/>
      <c r="S136" s="696"/>
      <c r="T136" s="696"/>
      <c r="U136" s="16"/>
      <c r="V136" s="16"/>
      <c r="W136" s="16"/>
      <c r="X136" s="16"/>
      <c r="Y136" s="16"/>
      <c r="Z136" s="16"/>
      <c r="AA136" s="16"/>
      <c r="AB136" s="16"/>
      <c r="AC136" s="16"/>
      <c r="AD136" s="16"/>
    </row>
    <row r="137" spans="1:30" ht="15.75" customHeight="1">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c r="AA137" s="16"/>
      <c r="AB137" s="16"/>
      <c r="AC137" s="16"/>
      <c r="AD137" s="16"/>
    </row>
    <row r="138" spans="1:30" ht="15.75" customHeight="1">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c r="AA138" s="16"/>
      <c r="AB138" s="16"/>
      <c r="AC138" s="16"/>
      <c r="AD138" s="16"/>
    </row>
    <row r="139" spans="1:30" ht="15.75" customHeight="1">
      <c r="A139" s="16"/>
      <c r="B139" s="16"/>
      <c r="C139" s="16"/>
      <c r="D139" s="16"/>
      <c r="E139" s="16"/>
      <c r="F139" s="16"/>
      <c r="G139" s="16"/>
      <c r="H139" s="16"/>
      <c r="I139" s="16"/>
      <c r="J139" s="16"/>
      <c r="K139" s="16"/>
      <c r="L139" s="16"/>
      <c r="M139" s="735"/>
      <c r="N139" s="696"/>
      <c r="O139" s="696"/>
      <c r="P139" s="735"/>
      <c r="Q139" s="696"/>
      <c r="R139" s="696"/>
      <c r="S139" s="696"/>
      <c r="T139" s="696"/>
      <c r="U139" s="16"/>
      <c r="V139" s="16"/>
      <c r="W139" s="16"/>
      <c r="X139" s="16"/>
      <c r="Y139" s="16"/>
      <c r="Z139" s="16"/>
      <c r="AA139" s="16"/>
      <c r="AB139" s="16"/>
      <c r="AC139" s="16"/>
      <c r="AD139" s="16"/>
    </row>
    <row r="140" spans="1:30" ht="15.75" customHeight="1">
      <c r="A140" s="16"/>
      <c r="B140" s="16"/>
      <c r="C140" s="16"/>
      <c r="D140" s="16"/>
      <c r="E140" s="16"/>
      <c r="F140" s="16"/>
      <c r="G140" s="16"/>
      <c r="H140" s="16"/>
      <c r="I140" s="16"/>
      <c r="J140" s="16"/>
      <c r="K140" s="16"/>
      <c r="L140" s="16"/>
      <c r="M140" s="735"/>
      <c r="N140" s="696"/>
      <c r="O140" s="696"/>
      <c r="P140" s="735"/>
      <c r="Q140" s="696"/>
      <c r="R140" s="696"/>
      <c r="S140" s="696"/>
      <c r="T140" s="696"/>
      <c r="U140" s="16"/>
      <c r="V140" s="16"/>
      <c r="W140" s="16"/>
      <c r="X140" s="16"/>
      <c r="Y140" s="16"/>
      <c r="Z140" s="16"/>
      <c r="AA140" s="16"/>
      <c r="AB140" s="16"/>
      <c r="AC140" s="16"/>
      <c r="AD140" s="16"/>
    </row>
    <row r="141" spans="1:30" ht="15.75" customHeight="1">
      <c r="A141" s="16"/>
      <c r="B141" s="16"/>
      <c r="C141" s="16"/>
      <c r="D141" s="16"/>
      <c r="E141" s="16"/>
      <c r="F141" s="16"/>
      <c r="G141" s="16"/>
      <c r="H141" s="16"/>
      <c r="I141" s="16"/>
      <c r="J141" s="16"/>
      <c r="K141" s="16"/>
      <c r="L141" s="16"/>
      <c r="M141" s="735"/>
      <c r="N141" s="696"/>
      <c r="O141" s="696"/>
      <c r="P141" s="696"/>
      <c r="Q141" s="696"/>
      <c r="R141" s="696"/>
      <c r="S141" s="696"/>
      <c r="T141" s="696"/>
      <c r="U141" s="16"/>
      <c r="V141" s="16"/>
      <c r="W141" s="16"/>
      <c r="X141" s="16"/>
      <c r="Y141" s="16"/>
      <c r="Z141" s="16"/>
      <c r="AA141" s="16"/>
      <c r="AB141" s="16"/>
      <c r="AC141" s="16"/>
      <c r="AD141" s="16"/>
    </row>
    <row r="142" spans="1:30" ht="15.75" customHeight="1">
      <c r="A142" s="16"/>
      <c r="B142" s="16"/>
      <c r="C142" s="16"/>
      <c r="D142" s="16"/>
      <c r="E142" s="16"/>
      <c r="F142" s="16"/>
      <c r="G142" s="16"/>
      <c r="H142" s="16"/>
      <c r="I142" s="16"/>
      <c r="J142" s="16"/>
      <c r="K142" s="16"/>
      <c r="L142" s="16"/>
      <c r="M142" s="735"/>
      <c r="N142" s="696"/>
      <c r="O142" s="696"/>
      <c r="P142" s="696"/>
      <c r="Q142" s="696"/>
      <c r="R142" s="696"/>
      <c r="S142" s="696"/>
      <c r="T142" s="696"/>
      <c r="U142" s="16"/>
      <c r="V142" s="16"/>
      <c r="W142" s="16"/>
      <c r="X142" s="16"/>
      <c r="Y142" s="16"/>
      <c r="Z142" s="16"/>
      <c r="AA142" s="16"/>
      <c r="AB142" s="16"/>
      <c r="AC142" s="16"/>
      <c r="AD142" s="16"/>
    </row>
    <row r="143" spans="1:30" ht="15.75" customHeight="1">
      <c r="A143" s="16"/>
      <c r="B143" s="16"/>
      <c r="C143" s="16"/>
      <c r="D143" s="16"/>
      <c r="E143" s="16"/>
      <c r="F143" s="16"/>
      <c r="G143" s="16"/>
      <c r="H143" s="16"/>
      <c r="I143" s="16"/>
      <c r="J143" s="16"/>
      <c r="K143" s="16"/>
      <c r="L143" s="16"/>
      <c r="M143" s="735"/>
      <c r="N143" s="696"/>
      <c r="O143" s="696"/>
      <c r="P143" s="696"/>
      <c r="Q143" s="696"/>
      <c r="R143" s="696"/>
      <c r="S143" s="696"/>
      <c r="T143" s="696"/>
      <c r="U143" s="16"/>
      <c r="V143" s="16"/>
      <c r="W143" s="16"/>
      <c r="X143" s="16"/>
      <c r="Y143" s="16"/>
      <c r="Z143" s="16"/>
      <c r="AA143" s="16"/>
      <c r="AB143" s="16"/>
      <c r="AC143" s="16"/>
      <c r="AD143" s="16"/>
    </row>
    <row r="144" spans="1:30" ht="15.75" customHeight="1">
      <c r="A144" s="16"/>
      <c r="B144" s="16"/>
      <c r="C144" s="16"/>
      <c r="D144" s="16"/>
      <c r="E144" s="16"/>
      <c r="F144" s="16"/>
      <c r="G144" s="16"/>
      <c r="H144" s="16"/>
      <c r="I144" s="16"/>
      <c r="J144" s="16"/>
      <c r="K144" s="16"/>
      <c r="L144" s="16"/>
      <c r="M144" s="735"/>
      <c r="N144" s="696"/>
      <c r="O144" s="696"/>
      <c r="P144" s="696"/>
      <c r="Q144" s="696"/>
      <c r="R144" s="696"/>
      <c r="S144" s="696"/>
      <c r="T144" s="696"/>
      <c r="U144" s="16"/>
      <c r="V144" s="16"/>
      <c r="W144" s="16"/>
      <c r="X144" s="16"/>
      <c r="Y144" s="16"/>
      <c r="Z144" s="16"/>
      <c r="AA144" s="16"/>
      <c r="AB144" s="16"/>
      <c r="AC144" s="16"/>
      <c r="AD144" s="16"/>
    </row>
    <row r="145" spans="1:30" ht="15.75" customHeight="1">
      <c r="A145" s="16"/>
      <c r="B145" s="16"/>
      <c r="C145" s="16"/>
      <c r="D145" s="16"/>
      <c r="E145" s="16"/>
      <c r="F145" s="16"/>
      <c r="G145" s="16"/>
      <c r="H145" s="16"/>
      <c r="I145" s="16"/>
      <c r="J145" s="16"/>
      <c r="K145" s="16"/>
      <c r="L145" s="16"/>
      <c r="M145" s="735"/>
      <c r="N145" s="696"/>
      <c r="O145" s="696"/>
      <c r="P145" s="696"/>
      <c r="Q145" s="696"/>
      <c r="R145" s="696"/>
      <c r="S145" s="696"/>
      <c r="T145" s="696"/>
      <c r="U145" s="16"/>
      <c r="V145" s="16"/>
      <c r="W145" s="16"/>
      <c r="X145" s="16"/>
      <c r="Y145" s="16"/>
      <c r="Z145" s="16"/>
      <c r="AA145" s="16"/>
      <c r="AB145" s="16"/>
      <c r="AC145" s="16"/>
      <c r="AD145" s="16"/>
    </row>
    <row r="146" spans="1:30" ht="15.75" customHeight="1">
      <c r="A146" s="16"/>
      <c r="B146" s="16"/>
      <c r="C146" s="16"/>
      <c r="D146" s="16"/>
      <c r="E146" s="16"/>
      <c r="F146" s="16"/>
      <c r="G146" s="16"/>
      <c r="H146" s="16"/>
      <c r="I146" s="16"/>
      <c r="J146" s="16"/>
      <c r="K146" s="16"/>
      <c r="L146" s="16"/>
      <c r="M146" s="735"/>
      <c r="N146" s="696"/>
      <c r="O146" s="696"/>
      <c r="P146" s="696"/>
      <c r="Q146" s="696"/>
      <c r="R146" s="696"/>
      <c r="S146" s="696"/>
      <c r="T146" s="696"/>
      <c r="U146" s="16"/>
      <c r="V146" s="16"/>
      <c r="W146" s="16"/>
      <c r="X146" s="16"/>
      <c r="Y146" s="16"/>
      <c r="Z146" s="16"/>
      <c r="AA146" s="16"/>
      <c r="AB146" s="16"/>
      <c r="AC146" s="16"/>
      <c r="AD146" s="16"/>
    </row>
    <row r="147" spans="1:30" ht="15.75" customHeight="1">
      <c r="A147" s="16"/>
      <c r="B147" s="16"/>
      <c r="C147" s="16"/>
      <c r="D147" s="16"/>
      <c r="E147" s="16"/>
      <c r="F147" s="16"/>
      <c r="G147" s="16"/>
      <c r="H147" s="16"/>
      <c r="I147" s="16"/>
      <c r="J147" s="16"/>
      <c r="K147" s="16"/>
      <c r="L147" s="16"/>
      <c r="M147" s="735"/>
      <c r="N147" s="696"/>
      <c r="O147" s="696"/>
      <c r="P147" s="696"/>
      <c r="Q147" s="696"/>
      <c r="R147" s="696"/>
      <c r="S147" s="696"/>
      <c r="T147" s="696"/>
      <c r="U147" s="16"/>
      <c r="V147" s="16"/>
      <c r="W147" s="16"/>
      <c r="X147" s="16"/>
      <c r="Y147" s="16"/>
      <c r="Z147" s="16"/>
      <c r="AA147" s="16"/>
      <c r="AB147" s="16"/>
      <c r="AC147" s="16"/>
      <c r="AD147" s="16"/>
    </row>
    <row r="148" spans="1:30" ht="15.75" customHeight="1">
      <c r="A148" s="16"/>
      <c r="B148" s="16"/>
      <c r="C148" s="16"/>
      <c r="D148" s="16"/>
      <c r="E148" s="16"/>
      <c r="F148" s="16"/>
      <c r="G148" s="16"/>
      <c r="H148" s="16"/>
      <c r="I148" s="16"/>
      <c r="J148" s="16"/>
      <c r="K148" s="16"/>
      <c r="L148" s="16"/>
      <c r="M148" s="735"/>
      <c r="N148" s="696"/>
      <c r="O148" s="696"/>
      <c r="P148" s="696"/>
      <c r="Q148" s="696"/>
      <c r="R148" s="696"/>
      <c r="S148" s="696"/>
      <c r="T148" s="696"/>
      <c r="U148" s="16"/>
      <c r="V148" s="16"/>
      <c r="W148" s="16"/>
      <c r="X148" s="16"/>
      <c r="Y148" s="16"/>
      <c r="Z148" s="16"/>
      <c r="AA148" s="16"/>
      <c r="AB148" s="16"/>
      <c r="AC148" s="16"/>
      <c r="AD148" s="16"/>
    </row>
    <row r="149" spans="1:30" ht="15.75" customHeight="1">
      <c r="A149" s="16"/>
      <c r="B149" s="16"/>
      <c r="C149" s="16"/>
      <c r="D149" s="16"/>
      <c r="E149" s="16"/>
      <c r="F149" s="16"/>
      <c r="G149" s="16"/>
      <c r="H149" s="16"/>
      <c r="I149" s="16"/>
      <c r="J149" s="16"/>
      <c r="K149" s="16"/>
      <c r="L149" s="16"/>
      <c r="M149" s="735"/>
      <c r="N149" s="696"/>
      <c r="O149" s="696"/>
      <c r="P149" s="696"/>
      <c r="Q149" s="696"/>
      <c r="R149" s="696"/>
      <c r="S149" s="696"/>
      <c r="T149" s="696"/>
      <c r="U149" s="16"/>
      <c r="V149" s="16"/>
      <c r="W149" s="16"/>
      <c r="X149" s="16"/>
      <c r="Y149" s="16"/>
      <c r="Z149" s="16"/>
      <c r="AA149" s="16"/>
      <c r="AB149" s="16"/>
      <c r="AC149" s="16"/>
      <c r="AD149" s="16"/>
    </row>
    <row r="150" spans="1:30" ht="15.75" customHeight="1">
      <c r="A150" s="16"/>
      <c r="B150" s="16"/>
      <c r="C150" s="16"/>
      <c r="D150" s="16"/>
      <c r="E150" s="16"/>
      <c r="F150" s="16"/>
      <c r="G150" s="16"/>
      <c r="H150" s="16"/>
      <c r="I150" s="16"/>
      <c r="J150" s="16"/>
      <c r="K150" s="16"/>
      <c r="L150" s="16"/>
      <c r="M150" s="735"/>
      <c r="N150" s="696"/>
      <c r="O150" s="696"/>
      <c r="P150" s="696"/>
      <c r="Q150" s="696"/>
      <c r="R150" s="696"/>
      <c r="S150" s="696"/>
      <c r="T150" s="696"/>
      <c r="U150" s="16"/>
      <c r="V150" s="16"/>
      <c r="W150" s="16"/>
      <c r="X150" s="16"/>
      <c r="Y150" s="16"/>
      <c r="Z150" s="16"/>
      <c r="AA150" s="16"/>
      <c r="AB150" s="16"/>
      <c r="AC150" s="16"/>
      <c r="AD150" s="16"/>
    </row>
    <row r="151" spans="1:30" ht="15.75" customHeight="1">
      <c r="A151" s="16"/>
      <c r="B151" s="16"/>
      <c r="C151" s="16"/>
      <c r="D151" s="16"/>
      <c r="E151" s="16"/>
      <c r="F151" s="16"/>
      <c r="G151" s="16"/>
      <c r="H151" s="16"/>
      <c r="I151" s="16"/>
      <c r="J151" s="16"/>
      <c r="K151" s="16"/>
      <c r="L151" s="16"/>
      <c r="M151" s="735"/>
      <c r="N151" s="696"/>
      <c r="O151" s="696"/>
      <c r="P151" s="696"/>
      <c r="Q151" s="696"/>
      <c r="R151" s="696"/>
      <c r="S151" s="696"/>
      <c r="T151" s="696"/>
      <c r="U151" s="16"/>
      <c r="V151" s="16"/>
      <c r="W151" s="16"/>
      <c r="X151" s="16"/>
      <c r="Y151" s="16"/>
      <c r="Z151" s="16"/>
      <c r="AA151" s="16"/>
      <c r="AB151" s="16"/>
      <c r="AC151" s="16"/>
      <c r="AD151" s="16"/>
    </row>
    <row r="152" spans="1:30" ht="15.75" customHeight="1">
      <c r="A152" s="16"/>
      <c r="B152" s="16"/>
      <c r="C152" s="16"/>
      <c r="D152" s="16"/>
      <c r="E152" s="16"/>
      <c r="F152" s="16"/>
      <c r="G152" s="16"/>
      <c r="H152" s="16"/>
      <c r="I152" s="16"/>
      <c r="J152" s="16"/>
      <c r="K152" s="16"/>
      <c r="L152" s="16"/>
      <c r="M152" s="735"/>
      <c r="N152" s="696"/>
      <c r="O152" s="696"/>
      <c r="P152" s="696"/>
      <c r="Q152" s="696"/>
      <c r="R152" s="696"/>
      <c r="S152" s="696"/>
      <c r="T152" s="696"/>
      <c r="U152" s="16"/>
      <c r="V152" s="16"/>
      <c r="W152" s="16"/>
      <c r="X152" s="16"/>
      <c r="Y152" s="16"/>
      <c r="Z152" s="16"/>
      <c r="AA152" s="16"/>
      <c r="AB152" s="16"/>
      <c r="AC152" s="16"/>
      <c r="AD152" s="16"/>
    </row>
    <row r="153" spans="1:30" ht="15.75" customHeight="1">
      <c r="A153" s="16"/>
      <c r="B153" s="16"/>
      <c r="C153" s="16"/>
      <c r="D153" s="16"/>
      <c r="E153" s="16"/>
      <c r="F153" s="16"/>
      <c r="G153" s="16"/>
      <c r="H153" s="16"/>
      <c r="I153" s="16"/>
      <c r="J153" s="16"/>
      <c r="K153" s="16"/>
      <c r="L153" s="16"/>
      <c r="M153" s="735"/>
      <c r="N153" s="696"/>
      <c r="O153" s="696"/>
      <c r="P153" s="696"/>
      <c r="Q153" s="696"/>
      <c r="R153" s="696"/>
      <c r="S153" s="696"/>
      <c r="T153" s="696"/>
      <c r="U153" s="16"/>
      <c r="V153" s="16"/>
      <c r="W153" s="16"/>
      <c r="X153" s="16"/>
      <c r="Y153" s="16"/>
      <c r="Z153" s="16"/>
      <c r="AA153" s="16"/>
      <c r="AB153" s="16"/>
      <c r="AC153" s="16"/>
      <c r="AD153" s="16"/>
    </row>
    <row r="154" spans="1:30" ht="15.75" customHeight="1">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c r="AA154" s="16"/>
      <c r="AB154" s="16"/>
      <c r="AC154" s="16"/>
      <c r="AD154" s="16"/>
    </row>
    <row r="155" spans="1:30" ht="15.75" customHeight="1">
      <c r="A155" s="1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c r="AA155" s="16"/>
      <c r="AB155" s="16"/>
      <c r="AC155" s="16"/>
      <c r="AD155" s="16"/>
    </row>
    <row r="156" spans="1:30" ht="15.75" customHeight="1">
      <c r="A156" s="16"/>
      <c r="B156" s="735"/>
      <c r="C156" s="696"/>
      <c r="D156" s="16"/>
      <c r="E156" s="16"/>
      <c r="F156" s="16"/>
      <c r="G156" s="16"/>
      <c r="H156" s="16"/>
      <c r="I156" s="16"/>
      <c r="J156" s="16"/>
      <c r="K156" s="16"/>
      <c r="L156" s="16"/>
      <c r="M156" s="735"/>
      <c r="N156" s="696"/>
      <c r="O156" s="696"/>
      <c r="P156" s="735"/>
      <c r="Q156" s="696"/>
      <c r="R156" s="696"/>
      <c r="S156" s="696"/>
      <c r="T156" s="696"/>
      <c r="U156" s="16"/>
      <c r="V156" s="16"/>
      <c r="W156" s="16"/>
      <c r="X156" s="16"/>
      <c r="Y156" s="16"/>
      <c r="Z156" s="16"/>
      <c r="AA156" s="16"/>
      <c r="AB156" s="16"/>
      <c r="AC156" s="16"/>
      <c r="AD156" s="16"/>
    </row>
    <row r="157" spans="1:30" ht="15.75" customHeight="1">
      <c r="A157" s="16"/>
      <c r="B157" s="735"/>
      <c r="C157" s="696"/>
      <c r="D157" s="16"/>
      <c r="E157" s="16"/>
      <c r="F157" s="16"/>
      <c r="G157" s="16"/>
      <c r="H157" s="16"/>
      <c r="I157" s="16"/>
      <c r="J157" s="16"/>
      <c r="K157" s="16"/>
      <c r="L157" s="16"/>
      <c r="M157" s="735"/>
      <c r="N157" s="696"/>
      <c r="O157" s="696"/>
      <c r="P157" s="735"/>
      <c r="Q157" s="696"/>
      <c r="R157" s="696"/>
      <c r="S157" s="696"/>
      <c r="T157" s="696"/>
      <c r="U157" s="16"/>
      <c r="V157" s="16"/>
      <c r="W157" s="16"/>
      <c r="X157" s="16"/>
      <c r="Y157" s="16"/>
      <c r="Z157" s="16"/>
      <c r="AA157" s="16"/>
      <c r="AB157" s="16"/>
      <c r="AC157" s="16"/>
      <c r="AD157" s="16"/>
    </row>
    <row r="158" spans="1:30" ht="15.75" customHeight="1">
      <c r="A158" s="16"/>
      <c r="B158" s="735"/>
      <c r="C158" s="696"/>
      <c r="D158" s="16"/>
      <c r="E158" s="16"/>
      <c r="F158" s="16"/>
      <c r="G158" s="16"/>
      <c r="H158" s="16"/>
      <c r="I158" s="16"/>
      <c r="J158" s="16"/>
      <c r="K158" s="16"/>
      <c r="L158" s="16"/>
      <c r="M158" s="735"/>
      <c r="N158" s="696"/>
      <c r="O158" s="696"/>
      <c r="P158" s="696"/>
      <c r="Q158" s="696"/>
      <c r="R158" s="696"/>
      <c r="S158" s="696"/>
      <c r="T158" s="696"/>
      <c r="U158" s="16"/>
      <c r="V158" s="16"/>
      <c r="W158" s="16"/>
      <c r="X158" s="16"/>
      <c r="Y158" s="16"/>
      <c r="Z158" s="16"/>
      <c r="AA158" s="16"/>
      <c r="AB158" s="16"/>
      <c r="AC158" s="16"/>
      <c r="AD158" s="16"/>
    </row>
    <row r="159" spans="1:30" ht="15.75" customHeight="1">
      <c r="A159" s="16"/>
      <c r="B159" s="735"/>
      <c r="C159" s="696"/>
      <c r="D159" s="16"/>
      <c r="E159" s="16"/>
      <c r="F159" s="16"/>
      <c r="G159" s="16"/>
      <c r="H159" s="16"/>
      <c r="I159" s="16"/>
      <c r="J159" s="16"/>
      <c r="K159" s="16"/>
      <c r="L159" s="16"/>
      <c r="M159" s="735"/>
      <c r="N159" s="696"/>
      <c r="O159" s="696"/>
      <c r="P159" s="696"/>
      <c r="Q159" s="696"/>
      <c r="R159" s="696"/>
      <c r="S159" s="696"/>
      <c r="T159" s="696"/>
      <c r="U159" s="16"/>
      <c r="V159" s="16"/>
      <c r="W159" s="16"/>
      <c r="X159" s="16"/>
      <c r="Y159" s="16"/>
      <c r="Z159" s="16"/>
      <c r="AA159" s="16"/>
      <c r="AB159" s="16"/>
      <c r="AC159" s="16"/>
      <c r="AD159" s="16"/>
    </row>
    <row r="160" spans="1:30" ht="15.75" customHeight="1">
      <c r="A160" s="16"/>
      <c r="B160" s="735"/>
      <c r="C160" s="696"/>
      <c r="D160" s="16"/>
      <c r="E160" s="16"/>
      <c r="F160" s="16"/>
      <c r="G160" s="16"/>
      <c r="H160" s="16"/>
      <c r="I160" s="16"/>
      <c r="J160" s="16"/>
      <c r="K160" s="16"/>
      <c r="L160" s="16"/>
      <c r="M160" s="735"/>
      <c r="N160" s="696"/>
      <c r="O160" s="696"/>
      <c r="P160" s="696"/>
      <c r="Q160" s="696"/>
      <c r="R160" s="696"/>
      <c r="S160" s="696"/>
      <c r="T160" s="696"/>
      <c r="U160" s="16"/>
      <c r="V160" s="16"/>
      <c r="W160" s="16"/>
      <c r="X160" s="16"/>
      <c r="Y160" s="16"/>
      <c r="Z160" s="16"/>
      <c r="AA160" s="16"/>
      <c r="AB160" s="16"/>
      <c r="AC160" s="16"/>
      <c r="AD160" s="16"/>
    </row>
    <row r="161" spans="1:30" ht="15.75" customHeight="1">
      <c r="A161" s="16"/>
      <c r="B161" s="735"/>
      <c r="C161" s="696"/>
      <c r="D161" s="16"/>
      <c r="E161" s="16"/>
      <c r="F161" s="16"/>
      <c r="G161" s="16"/>
      <c r="H161" s="16"/>
      <c r="I161" s="16"/>
      <c r="J161" s="16"/>
      <c r="K161" s="16"/>
      <c r="L161" s="16"/>
      <c r="M161" s="735"/>
      <c r="N161" s="696"/>
      <c r="O161" s="696"/>
      <c r="P161" s="696"/>
      <c r="Q161" s="696"/>
      <c r="R161" s="696"/>
      <c r="S161" s="696"/>
      <c r="T161" s="696"/>
      <c r="U161" s="16"/>
      <c r="V161" s="16"/>
      <c r="W161" s="16"/>
      <c r="X161" s="16"/>
      <c r="Y161" s="16"/>
      <c r="Z161" s="16"/>
      <c r="AA161" s="16"/>
      <c r="AB161" s="16"/>
      <c r="AC161" s="16"/>
      <c r="AD161" s="16"/>
    </row>
    <row r="162" spans="1:30" ht="15.75" customHeight="1">
      <c r="A162" s="16"/>
      <c r="B162" s="735"/>
      <c r="C162" s="696"/>
      <c r="D162" s="16"/>
      <c r="E162" s="16"/>
      <c r="F162" s="16"/>
      <c r="G162" s="16"/>
      <c r="H162" s="16"/>
      <c r="I162" s="16"/>
      <c r="J162" s="16"/>
      <c r="K162" s="16"/>
      <c r="L162" s="16"/>
      <c r="M162" s="735"/>
      <c r="N162" s="696"/>
      <c r="O162" s="696"/>
      <c r="P162" s="696"/>
      <c r="Q162" s="696"/>
      <c r="R162" s="696"/>
      <c r="S162" s="696"/>
      <c r="T162" s="696"/>
      <c r="U162" s="16"/>
      <c r="V162" s="16"/>
      <c r="W162" s="16"/>
      <c r="X162" s="16"/>
      <c r="Y162" s="16"/>
      <c r="Z162" s="16"/>
      <c r="AA162" s="16"/>
      <c r="AB162" s="16"/>
      <c r="AC162" s="16"/>
      <c r="AD162" s="16"/>
    </row>
    <row r="163" spans="1:30" ht="15.75" customHeight="1">
      <c r="A163" s="16"/>
      <c r="B163" s="735"/>
      <c r="C163" s="696"/>
      <c r="D163" s="16"/>
      <c r="E163" s="16"/>
      <c r="F163" s="16"/>
      <c r="G163" s="16"/>
      <c r="H163" s="16"/>
      <c r="I163" s="16"/>
      <c r="J163" s="16"/>
      <c r="K163" s="16"/>
      <c r="L163" s="16"/>
      <c r="M163" s="735"/>
      <c r="N163" s="696"/>
      <c r="O163" s="696"/>
      <c r="P163" s="696"/>
      <c r="Q163" s="696"/>
      <c r="R163" s="696"/>
      <c r="S163" s="696"/>
      <c r="T163" s="696"/>
      <c r="U163" s="16"/>
      <c r="V163" s="16"/>
      <c r="W163" s="16"/>
      <c r="X163" s="16"/>
      <c r="Y163" s="16"/>
      <c r="Z163" s="16"/>
      <c r="AA163" s="16"/>
      <c r="AB163" s="16"/>
      <c r="AC163" s="16"/>
      <c r="AD163" s="16"/>
    </row>
    <row r="164" spans="1:30" ht="15.75" customHeight="1">
      <c r="A164" s="16"/>
      <c r="B164" s="735"/>
      <c r="C164" s="696"/>
      <c r="D164" s="16"/>
      <c r="E164" s="16"/>
      <c r="F164" s="16"/>
      <c r="G164" s="16"/>
      <c r="H164" s="16"/>
      <c r="I164" s="16"/>
      <c r="J164" s="16"/>
      <c r="K164" s="16"/>
      <c r="L164" s="16"/>
      <c r="M164" s="735"/>
      <c r="N164" s="696"/>
      <c r="O164" s="696"/>
      <c r="P164" s="696"/>
      <c r="Q164" s="696"/>
      <c r="R164" s="696"/>
      <c r="S164" s="696"/>
      <c r="T164" s="696"/>
      <c r="U164" s="16"/>
      <c r="V164" s="16"/>
      <c r="W164" s="16"/>
      <c r="X164" s="16"/>
      <c r="Y164" s="16"/>
      <c r="Z164" s="16"/>
      <c r="AA164" s="16"/>
      <c r="AB164" s="16"/>
      <c r="AC164" s="16"/>
      <c r="AD164" s="16"/>
    </row>
    <row r="165" spans="1:30" ht="15.75" customHeight="1">
      <c r="A165" s="16"/>
      <c r="B165" s="735"/>
      <c r="C165" s="696"/>
      <c r="D165" s="16"/>
      <c r="E165" s="16"/>
      <c r="F165" s="16"/>
      <c r="G165" s="16"/>
      <c r="H165" s="16"/>
      <c r="I165" s="16"/>
      <c r="J165" s="16"/>
      <c r="K165" s="16"/>
      <c r="L165" s="16"/>
      <c r="M165" s="735"/>
      <c r="N165" s="696"/>
      <c r="O165" s="696"/>
      <c r="P165" s="696"/>
      <c r="Q165" s="696"/>
      <c r="R165" s="696"/>
      <c r="S165" s="696"/>
      <c r="T165" s="696"/>
      <c r="U165" s="16"/>
      <c r="V165" s="16"/>
      <c r="W165" s="16"/>
      <c r="X165" s="16"/>
      <c r="Y165" s="16"/>
      <c r="Z165" s="16"/>
      <c r="AA165" s="16"/>
      <c r="AB165" s="16"/>
      <c r="AC165" s="16"/>
      <c r="AD165" s="16"/>
    </row>
    <row r="166" spans="1:30" ht="15.75" customHeight="1">
      <c r="A166" s="16"/>
      <c r="B166" s="735"/>
      <c r="C166" s="696"/>
      <c r="D166" s="16"/>
      <c r="E166" s="16"/>
      <c r="F166" s="16"/>
      <c r="G166" s="16"/>
      <c r="H166" s="16"/>
      <c r="I166" s="16"/>
      <c r="J166" s="16"/>
      <c r="K166" s="16"/>
      <c r="L166" s="16"/>
      <c r="M166" s="735"/>
      <c r="N166" s="696"/>
      <c r="O166" s="696"/>
      <c r="P166" s="696"/>
      <c r="Q166" s="696"/>
      <c r="R166" s="696"/>
      <c r="S166" s="696"/>
      <c r="T166" s="696"/>
      <c r="U166" s="16"/>
      <c r="V166" s="16"/>
      <c r="W166" s="16"/>
      <c r="X166" s="16"/>
      <c r="Y166" s="16"/>
      <c r="Z166" s="16"/>
      <c r="AA166" s="16"/>
      <c r="AB166" s="16"/>
      <c r="AC166" s="16"/>
      <c r="AD166" s="16"/>
    </row>
    <row r="167" spans="1:30" ht="15.75" customHeight="1">
      <c r="A167" s="16"/>
      <c r="B167" s="735"/>
      <c r="C167" s="696"/>
      <c r="D167" s="16"/>
      <c r="E167" s="16"/>
      <c r="F167" s="16"/>
      <c r="G167" s="16"/>
      <c r="H167" s="16"/>
      <c r="I167" s="16"/>
      <c r="J167" s="16"/>
      <c r="K167" s="16"/>
      <c r="L167" s="16"/>
      <c r="M167" s="735"/>
      <c r="N167" s="696"/>
      <c r="O167" s="696"/>
      <c r="P167" s="696"/>
      <c r="Q167" s="696"/>
      <c r="R167" s="696"/>
      <c r="S167" s="696"/>
      <c r="T167" s="696"/>
      <c r="U167" s="16"/>
      <c r="V167" s="16"/>
      <c r="W167" s="16"/>
      <c r="X167" s="16"/>
      <c r="Y167" s="16"/>
      <c r="Z167" s="16"/>
      <c r="AA167" s="16"/>
      <c r="AB167" s="16"/>
      <c r="AC167" s="16"/>
      <c r="AD167" s="16"/>
    </row>
    <row r="168" spans="1:30" ht="15.75" customHeight="1">
      <c r="A168" s="16"/>
      <c r="B168" s="735"/>
      <c r="C168" s="696"/>
      <c r="D168" s="16"/>
      <c r="E168" s="16"/>
      <c r="F168" s="16"/>
      <c r="G168" s="16"/>
      <c r="H168" s="16"/>
      <c r="I168" s="16"/>
      <c r="J168" s="16"/>
      <c r="K168" s="16"/>
      <c r="L168" s="16"/>
      <c r="M168" s="735"/>
      <c r="N168" s="696"/>
      <c r="O168" s="696"/>
      <c r="P168" s="696"/>
      <c r="Q168" s="696"/>
      <c r="R168" s="696"/>
      <c r="S168" s="696"/>
      <c r="T168" s="696"/>
      <c r="U168" s="16"/>
      <c r="V168" s="16"/>
      <c r="W168" s="16"/>
      <c r="X168" s="16"/>
      <c r="Y168" s="16"/>
      <c r="Z168" s="16"/>
      <c r="AA168" s="16"/>
      <c r="AB168" s="16"/>
      <c r="AC168" s="16"/>
      <c r="AD168" s="16"/>
    </row>
    <row r="169" spans="1:30" ht="15.75" customHeight="1">
      <c r="A169" s="16"/>
      <c r="B169" s="735"/>
      <c r="C169" s="696"/>
      <c r="D169" s="16"/>
      <c r="E169" s="16"/>
      <c r="F169" s="16"/>
      <c r="G169" s="16"/>
      <c r="H169" s="16"/>
      <c r="I169" s="16"/>
      <c r="J169" s="16"/>
      <c r="K169" s="16"/>
      <c r="L169" s="16"/>
      <c r="M169" s="735"/>
      <c r="N169" s="696"/>
      <c r="O169" s="696"/>
      <c r="P169" s="696"/>
      <c r="Q169" s="696"/>
      <c r="R169" s="696"/>
      <c r="S169" s="696"/>
      <c r="T169" s="696"/>
      <c r="U169" s="16"/>
      <c r="V169" s="16"/>
      <c r="W169" s="16"/>
      <c r="X169" s="16"/>
      <c r="Y169" s="16"/>
      <c r="Z169" s="16"/>
      <c r="AA169" s="16"/>
      <c r="AB169" s="16"/>
      <c r="AC169" s="16"/>
      <c r="AD169" s="16"/>
    </row>
    <row r="170" spans="1:30" ht="15.75" customHeight="1">
      <c r="A170" s="16"/>
      <c r="B170" s="735"/>
      <c r="C170" s="696"/>
      <c r="D170" s="16"/>
      <c r="E170" s="16"/>
      <c r="F170" s="16"/>
      <c r="G170" s="16"/>
      <c r="H170" s="16"/>
      <c r="I170" s="16"/>
      <c r="J170" s="16"/>
      <c r="K170" s="16"/>
      <c r="L170" s="16"/>
      <c r="M170" s="735"/>
      <c r="N170" s="696"/>
      <c r="O170" s="696"/>
      <c r="P170" s="696"/>
      <c r="Q170" s="696"/>
      <c r="R170" s="696"/>
      <c r="S170" s="696"/>
      <c r="T170" s="696"/>
      <c r="U170" s="16"/>
      <c r="V170" s="16"/>
      <c r="W170" s="16"/>
      <c r="X170" s="16"/>
      <c r="Y170" s="16"/>
      <c r="Z170" s="16"/>
      <c r="AA170" s="16"/>
      <c r="AB170" s="16"/>
      <c r="AC170" s="16"/>
      <c r="AD170" s="16"/>
    </row>
    <row r="171" spans="1:30" ht="15.75" customHeight="1">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c r="AA171" s="16"/>
      <c r="AB171" s="16"/>
      <c r="AC171" s="16"/>
      <c r="AD171" s="16"/>
    </row>
    <row r="172" spans="1:30" ht="15.75" customHeight="1">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row>
    <row r="173" spans="1:30" ht="15.75" customHeight="1">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c r="AC173" s="16"/>
      <c r="AD173" s="16"/>
    </row>
    <row r="174" spans="1:30" ht="15.75" customHeight="1">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c r="AC174" s="16"/>
      <c r="AD174" s="16"/>
    </row>
    <row r="175" spans="1:30" ht="15.75" customHeight="1">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c r="AA175" s="16"/>
      <c r="AB175" s="16"/>
      <c r="AC175" s="16"/>
      <c r="AD175" s="16"/>
    </row>
    <row r="176" spans="1:30" ht="15.75" customHeight="1">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c r="AD176" s="16"/>
    </row>
    <row r="177" spans="1:30" ht="15.75" customHeight="1">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c r="AD177" s="16"/>
    </row>
    <row r="178" spans="1:30" ht="15.75" customHeight="1">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c r="AA178" s="16"/>
      <c r="AB178" s="16"/>
      <c r="AC178" s="16"/>
      <c r="AD178" s="16"/>
    </row>
    <row r="179" spans="1:30" ht="15.75" customHeight="1">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c r="AD179" s="16"/>
    </row>
    <row r="180" spans="1:30" ht="15.75" customHeight="1">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c r="AD180" s="16"/>
    </row>
    <row r="181" spans="1:30" ht="15.75" customHeight="1">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c r="AD181" s="16"/>
    </row>
    <row r="182" spans="1:30" ht="15.75" customHeight="1">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c r="AD182" s="16"/>
    </row>
    <row r="183" spans="1:30" ht="15.75" customHeight="1">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c r="AD183" s="16"/>
    </row>
    <row r="184" spans="1:30" ht="15.75" customHeight="1">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c r="AD184" s="16"/>
    </row>
    <row r="185" spans="1:30" ht="15.75" customHeight="1">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c r="AD185" s="16"/>
    </row>
    <row r="186" spans="1:30" ht="15.75" customHeight="1">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c r="AD186" s="16"/>
    </row>
    <row r="187" spans="1:30" ht="15.75" customHeight="1">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16"/>
      <c r="AB187" s="16"/>
      <c r="AC187" s="16"/>
      <c r="AD187" s="16"/>
    </row>
    <row r="188" spans="1:30" ht="15.75" customHeight="1">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c r="AD188" s="16"/>
    </row>
    <row r="189" spans="1:30" ht="15.75" customHeight="1">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c r="AD189" s="16"/>
    </row>
    <row r="190" spans="1:30" ht="15.75" customHeight="1">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c r="AD190" s="16"/>
    </row>
    <row r="191" spans="1:30" ht="15.75" customHeight="1">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c r="AD191" s="16"/>
    </row>
    <row r="192" spans="1:30" ht="15.75" customHeight="1">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c r="AD192" s="16"/>
    </row>
    <row r="193" spans="1:30" ht="15.75" customHeight="1">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c r="AA193" s="16"/>
      <c r="AB193" s="16"/>
      <c r="AC193" s="16"/>
      <c r="AD193" s="16"/>
    </row>
    <row r="194" spans="1:30" ht="15.75" customHeight="1">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c r="AA194" s="16"/>
      <c r="AB194" s="16"/>
      <c r="AC194" s="16"/>
      <c r="AD194" s="16"/>
    </row>
    <row r="195" spans="1:30" ht="15.75" customHeight="1">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c r="AA195" s="16"/>
      <c r="AB195" s="16"/>
      <c r="AC195" s="16"/>
      <c r="AD195" s="16"/>
    </row>
    <row r="196" spans="1:30" ht="15.75" customHeight="1">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c r="AA196" s="16"/>
      <c r="AB196" s="16"/>
      <c r="AC196" s="16"/>
      <c r="AD196" s="16"/>
    </row>
    <row r="197" spans="1:30" ht="15.75" customHeight="1">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c r="AD197" s="16"/>
    </row>
    <row r="198" spans="1:30" ht="15.75" customHeight="1">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c r="AD198" s="16"/>
    </row>
    <row r="199" spans="1:30" ht="15.75" customHeight="1">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c r="AA199" s="16"/>
      <c r="AB199" s="16"/>
      <c r="AC199" s="16"/>
      <c r="AD199" s="16"/>
    </row>
    <row r="200" spans="1:30" ht="15.75" customHeight="1">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c r="AA200" s="16"/>
      <c r="AB200" s="16"/>
      <c r="AC200" s="16"/>
      <c r="AD200" s="16"/>
    </row>
    <row r="201" spans="1:30" ht="15.75" customHeight="1">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c r="AD201" s="16"/>
    </row>
    <row r="202" spans="1:30" ht="15.75" customHeight="1">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c r="AD202" s="16"/>
    </row>
    <row r="203" spans="1:30" ht="15.75" customHeight="1">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c r="AA203" s="16"/>
      <c r="AB203" s="16"/>
      <c r="AC203" s="16"/>
      <c r="AD203" s="16"/>
    </row>
    <row r="204" spans="1:30" ht="15.75" customHeight="1">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c r="AA204" s="16"/>
      <c r="AB204" s="16"/>
      <c r="AC204" s="16"/>
      <c r="AD204" s="16"/>
    </row>
    <row r="205" spans="1:30" ht="15.75" customHeight="1">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c r="AD205" s="16"/>
    </row>
    <row r="206" spans="1:30" ht="15.75" customHeight="1">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row>
    <row r="207" spans="1:30" ht="15.75" customHeight="1">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c r="AD207" s="16"/>
    </row>
    <row r="208" spans="1:30" ht="15.75" customHeight="1">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c r="AD208" s="16"/>
    </row>
    <row r="209" spans="1:30" ht="15.75" customHeight="1">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c r="AD209" s="16"/>
    </row>
    <row r="210" spans="1:30" ht="15.75" customHeight="1">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c r="AD210" s="16"/>
    </row>
    <row r="211" spans="1:30" ht="15.75" customHeight="1">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row>
    <row r="212" spans="1:30" ht="15.75" customHeight="1">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c r="AD212" s="16"/>
    </row>
    <row r="213" spans="1:30" ht="15.75" customHeight="1">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c r="AD213" s="16"/>
    </row>
    <row r="214" spans="1:30" ht="15.75" customHeight="1">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row>
    <row r="215" spans="1:30" ht="15.75" customHeight="1">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c r="AD215" s="16"/>
    </row>
    <row r="216" spans="1:30" ht="15.75" customHeight="1">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c r="AD216" s="16"/>
    </row>
    <row r="217" spans="1:30" ht="15.75" customHeight="1">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c r="AD217" s="16"/>
    </row>
    <row r="218" spans="1:30" ht="15.75" customHeight="1">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c r="AD218" s="16"/>
    </row>
    <row r="219" spans="1:30" ht="15.75" customHeight="1">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c r="AD219" s="16"/>
    </row>
    <row r="220" spans="1:30" ht="15.75" customHeight="1">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c r="AD220" s="16"/>
    </row>
    <row r="221" spans="1:30" ht="15.75" customHeight="1">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row>
    <row r="222" spans="1:30" ht="15.75" customHeight="1">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row>
    <row r="223" spans="1:30" ht="15.75" customHeight="1">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c r="AD223" s="16"/>
    </row>
    <row r="224" spans="1:30" ht="15.75" customHeight="1">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c r="AD224" s="16"/>
    </row>
    <row r="225" spans="1:30" ht="15.75" customHeight="1">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16"/>
    </row>
    <row r="226" spans="1:30" ht="15.75" customHeight="1">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row>
    <row r="227" spans="1:30" ht="15.75" customHeight="1">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16"/>
    </row>
    <row r="228" spans="1:30" ht="15.75" customHeight="1">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c r="AD228" s="16"/>
    </row>
    <row r="229" spans="1:30" ht="15.75" customHeight="1">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c r="AD229" s="16"/>
    </row>
    <row r="230" spans="1:30" ht="15.75" customHeight="1">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row>
    <row r="231" spans="1:30" ht="15.75" customHeight="1">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c r="AD231" s="16"/>
    </row>
    <row r="232" spans="1:30" ht="15.75" customHeight="1">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c r="AD232" s="16"/>
    </row>
    <row r="233" spans="1:30" ht="15.75" customHeight="1">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c r="AD233" s="16"/>
    </row>
    <row r="234" spans="1:30" ht="15.75" customHeight="1">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c r="AD234" s="16"/>
    </row>
    <row r="235" spans="1:30" ht="15.75" customHeight="1">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row>
    <row r="236" spans="1:30" ht="15.75" customHeight="1">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c r="AD236" s="16"/>
    </row>
    <row r="237" spans="1:30" ht="15.75" customHeight="1">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c r="AD237" s="16"/>
    </row>
    <row r="238" spans="1:30" ht="15.75" customHeight="1">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c r="AD238" s="16"/>
    </row>
    <row r="239" spans="1:30" ht="15.75" customHeight="1">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c r="AD239" s="16"/>
    </row>
    <row r="240" spans="1:30" ht="15.75" customHeight="1">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c r="AD240" s="16"/>
    </row>
    <row r="241" spans="1:30" ht="15.75" customHeight="1">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c r="AD241" s="16"/>
    </row>
    <row r="242" spans="1:30" ht="15.75" customHeight="1">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c r="AD242" s="16"/>
    </row>
    <row r="243" spans="1:30" ht="15.75" customHeight="1">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c r="AD243" s="16"/>
    </row>
    <row r="244" spans="1:30" ht="15.75" customHeight="1">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16"/>
    </row>
    <row r="245" spans="1:30" ht="15.75" customHeight="1">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c r="AD245" s="16"/>
    </row>
    <row r="246" spans="1:30" ht="15.75" customHeight="1">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row>
    <row r="247" spans="1:30" ht="15.75" customHeight="1">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c r="AD247" s="16"/>
    </row>
    <row r="248" spans="1:30" ht="15.75" customHeight="1">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row>
    <row r="249" spans="1:30" ht="15.75" customHeight="1">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row>
    <row r="250" spans="1:30" ht="15.75" customHeight="1">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c r="AD250" s="16"/>
    </row>
    <row r="251" spans="1:30" ht="15.75" customHeight="1">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row>
    <row r="252" spans="1:30" ht="15.75" customHeight="1">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16"/>
    </row>
    <row r="253" spans="1:30" ht="15.75" customHeight="1">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c r="AD253" s="16"/>
    </row>
    <row r="254" spans="1:30" ht="15.75" customHeight="1">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row>
    <row r="255" spans="1:30" ht="15.75" customHeight="1">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c r="AD255" s="16"/>
    </row>
    <row r="256" spans="1:30" ht="15.75" customHeight="1">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row>
    <row r="257" spans="1:30" ht="15.75" customHeight="1">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c r="AD257" s="16"/>
    </row>
    <row r="258" spans="1:30" ht="15.75" customHeight="1">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c r="AD258" s="16"/>
    </row>
    <row r="259" spans="1:30" ht="15.75" customHeight="1">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row>
    <row r="260" spans="1:30" ht="15.75" customHeight="1">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row>
    <row r="261" spans="1:30" ht="15.75" customHeight="1">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c r="AD261" s="16"/>
    </row>
    <row r="262" spans="1:30" ht="15.75" customHeight="1">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row>
    <row r="263" spans="1:30" ht="15.75" customHeight="1">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row>
    <row r="264" spans="1:30" ht="15.75" customHeight="1">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c r="AD264" s="16"/>
    </row>
    <row r="265" spans="1:30" ht="15.75" customHeight="1">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row>
    <row r="266" spans="1:30" ht="15.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row>
    <row r="267" spans="1:30" ht="15.75" customHeight="1">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row>
    <row r="268" spans="1:30" ht="15.75" customHeight="1">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c r="AD268" s="16"/>
    </row>
    <row r="269" spans="1:30" ht="15.75" customHeight="1">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row>
    <row r="270" spans="1:30" ht="15.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row>
    <row r="271" spans="1:30" ht="15.75" customHeight="1">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c r="AD271" s="16"/>
    </row>
    <row r="272" spans="1:30" ht="15.75" customHeight="1">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c r="AD272" s="16"/>
    </row>
    <row r="273" spans="1:30" ht="15.75" customHeight="1">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c r="AD273" s="16"/>
    </row>
    <row r="274" spans="1:30" ht="15.75" customHeight="1">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c r="AD274" s="16"/>
    </row>
    <row r="275" spans="1:30" ht="15.75" customHeight="1">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c r="AD275" s="16"/>
    </row>
    <row r="276" spans="1:30" ht="15.75" customHeight="1">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row>
    <row r="277" spans="1:30" ht="15.75" customHeight="1">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16"/>
    </row>
    <row r="278" spans="1:30" ht="15.75" customHeight="1">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row>
    <row r="279" spans="1:30" ht="15.75" customHeight="1">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16"/>
    </row>
    <row r="280" spans="1:30" ht="15.75" customHeight="1">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c r="AD280" s="16"/>
    </row>
    <row r="281" spans="1:30" ht="15.75" customHeight="1">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c r="AD281" s="16"/>
    </row>
    <row r="282" spans="1:30" ht="15.75" customHeight="1">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c r="AD282" s="16"/>
    </row>
    <row r="283" spans="1:30" ht="15.75" customHeight="1">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c r="AD283" s="16"/>
    </row>
    <row r="284" spans="1:30" ht="15.75" customHeight="1">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c r="AD284" s="16"/>
    </row>
    <row r="285" spans="1:30" ht="15.75" customHeight="1">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c r="AD285" s="16"/>
    </row>
    <row r="286" spans="1:30" ht="15.75" customHeight="1">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row>
    <row r="287" spans="1:30" ht="15.75" customHeight="1">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row>
    <row r="288" spans="1:30" ht="15.75" customHeight="1">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row>
    <row r="289" spans="1:30" ht="15.75" customHeight="1">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row>
    <row r="290" spans="1:30" ht="15.75" customHeight="1">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row>
    <row r="291" spans="1:30" ht="15.75" customHeight="1">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c r="AD291" s="16"/>
    </row>
    <row r="292" spans="1:30" ht="15.75" customHeight="1">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row>
    <row r="293" spans="1:30" ht="15.75" customHeight="1">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row>
    <row r="294" spans="1:30" ht="15.75" customHeight="1">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row>
    <row r="295" spans="1:30" ht="15.75" customHeight="1">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row>
    <row r="296" spans="1:30" ht="15.75" customHeight="1">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row>
    <row r="297" spans="1:30" ht="15.75" customHeight="1">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row>
    <row r="298" spans="1:30" ht="15.75" customHeight="1">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row>
    <row r="299" spans="1:30" ht="15.75" customHeight="1">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row>
    <row r="300" spans="1:30" ht="15.75" customHeight="1">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row>
    <row r="301" spans="1:30" ht="15.75" customHeight="1">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c r="AD301" s="16"/>
    </row>
    <row r="302" spans="1:30" ht="15.75" customHeight="1">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c r="AD302" s="16"/>
    </row>
    <row r="303" spans="1:30" ht="15.75" customHeight="1">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row>
    <row r="304" spans="1:30" ht="15.75" customHeight="1">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c r="AD304" s="16"/>
    </row>
    <row r="305" spans="1:30" ht="15.75" customHeight="1">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c r="AD305" s="16"/>
    </row>
    <row r="306" spans="1:30" ht="15.75" customHeight="1">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c r="AA306" s="16"/>
      <c r="AB306" s="16"/>
      <c r="AC306" s="16"/>
      <c r="AD306" s="16"/>
    </row>
    <row r="307" spans="1:30" ht="15.75" customHeight="1"/>
    <row r="308" spans="1:30" ht="15.75" customHeight="1"/>
    <row r="309" spans="1:30" ht="15.75" customHeight="1"/>
    <row r="310" spans="1:30" ht="15.75" customHeight="1"/>
    <row r="311" spans="1:30" ht="15.75" customHeight="1"/>
    <row r="312" spans="1:30" ht="15.75" customHeight="1"/>
    <row r="313" spans="1:30" ht="15.75" customHeight="1"/>
    <row r="314" spans="1:30" ht="15.75" customHeight="1"/>
    <row r="315" spans="1:30" ht="15.75" customHeight="1"/>
    <row r="316" spans="1:30" ht="15.75" customHeight="1"/>
    <row r="317" spans="1:30" ht="15.75" customHeight="1"/>
    <row r="318" spans="1:30" ht="15.75" customHeight="1"/>
    <row r="319" spans="1:30" ht="15.75" customHeight="1"/>
    <row r="320" spans="1:3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sheetData>
  <mergeCells count="99">
    <mergeCell ref="M165:O165"/>
    <mergeCell ref="B169:C169"/>
    <mergeCell ref="M169:O169"/>
    <mergeCell ref="B170:C170"/>
    <mergeCell ref="M170:O170"/>
    <mergeCell ref="B166:C166"/>
    <mergeCell ref="M166:O166"/>
    <mergeCell ref="B167:C167"/>
    <mergeCell ref="M167:O167"/>
    <mergeCell ref="B168:C168"/>
    <mergeCell ref="M168:O168"/>
    <mergeCell ref="M153:O153"/>
    <mergeCell ref="B156:C156"/>
    <mergeCell ref="M156:O156"/>
    <mergeCell ref="M159:O159"/>
    <mergeCell ref="B160:C160"/>
    <mergeCell ref="M160:O160"/>
    <mergeCell ref="P156:T156"/>
    <mergeCell ref="B157:C157"/>
    <mergeCell ref="M157:O157"/>
    <mergeCell ref="P157:T170"/>
    <mergeCell ref="B158:C158"/>
    <mergeCell ref="M158:O158"/>
    <mergeCell ref="B159:C159"/>
    <mergeCell ref="B162:C162"/>
    <mergeCell ref="M162:O162"/>
    <mergeCell ref="B161:C161"/>
    <mergeCell ref="M161:O161"/>
    <mergeCell ref="B163:C163"/>
    <mergeCell ref="M163:O163"/>
    <mergeCell ref="B164:C164"/>
    <mergeCell ref="M164:O164"/>
    <mergeCell ref="B165:C165"/>
    <mergeCell ref="M152:O152"/>
    <mergeCell ref="M139:O139"/>
    <mergeCell ref="P139:T139"/>
    <mergeCell ref="M140:O140"/>
    <mergeCell ref="P140:T153"/>
    <mergeCell ref="M141:O141"/>
    <mergeCell ref="M142:O142"/>
    <mergeCell ref="M143:O143"/>
    <mergeCell ref="M144:O144"/>
    <mergeCell ref="M145:O145"/>
    <mergeCell ref="M146:O146"/>
    <mergeCell ref="M147:O147"/>
    <mergeCell ref="M148:O148"/>
    <mergeCell ref="M149:O149"/>
    <mergeCell ref="M150:O150"/>
    <mergeCell ref="M151:O151"/>
    <mergeCell ref="M136:O136"/>
    <mergeCell ref="P122:R122"/>
    <mergeCell ref="M124:O124"/>
    <mergeCell ref="P124:T124"/>
    <mergeCell ref="M125:O125"/>
    <mergeCell ref="P125:T136"/>
    <mergeCell ref="M126:O126"/>
    <mergeCell ref="M127:O127"/>
    <mergeCell ref="M128:O128"/>
    <mergeCell ref="M129:O129"/>
    <mergeCell ref="M130:O130"/>
    <mergeCell ref="M131:O131"/>
    <mergeCell ref="M132:O132"/>
    <mergeCell ref="M133:O133"/>
    <mergeCell ref="M134:O134"/>
    <mergeCell ref="M135:O135"/>
    <mergeCell ref="P120:R120"/>
    <mergeCell ref="P121:R121"/>
    <mergeCell ref="AG29:AH29"/>
    <mergeCell ref="AI29:AJ29"/>
    <mergeCell ref="AG30:AH40"/>
    <mergeCell ref="AI30:AJ40"/>
    <mergeCell ref="P116:R116"/>
    <mergeCell ref="P71:Q71"/>
    <mergeCell ref="H93:I106"/>
    <mergeCell ref="J93:K106"/>
    <mergeCell ref="P117:R117"/>
    <mergeCell ref="P118:R118"/>
    <mergeCell ref="P119:R119"/>
    <mergeCell ref="H37:J37"/>
    <mergeCell ref="K72:O88"/>
    <mergeCell ref="P72:Q88"/>
    <mergeCell ref="H92:I92"/>
    <mergeCell ref="J92:K92"/>
    <mergeCell ref="K71:O71"/>
    <mergeCell ref="H38:J43"/>
    <mergeCell ref="I46:K46"/>
    <mergeCell ref="I47:K51"/>
    <mergeCell ref="K55:M55"/>
    <mergeCell ref="K56:M68"/>
    <mergeCell ref="A1:C1"/>
    <mergeCell ref="E1:H1"/>
    <mergeCell ref="D7:I7"/>
    <mergeCell ref="D8:I8"/>
    <mergeCell ref="A28:F28"/>
    <mergeCell ref="A30:F30"/>
    <mergeCell ref="A31:F31"/>
    <mergeCell ref="A32:F32"/>
    <mergeCell ref="A34:F34"/>
    <mergeCell ref="A29:F29"/>
  </mergeCells>
  <phoneticPr fontId="40" type="noConversion"/>
  <conditionalFormatting sqref="I56:I67">
    <cfRule type="containsText" dxfId="829" priority="1" operator="containsText" text="5">
      <formula>NOT(ISERROR(SEARCH(("5"),(I56))))</formula>
    </cfRule>
    <cfRule type="containsText" dxfId="828" priority="2" operator="containsText" text="42">
      <formula>NOT(ISERROR(SEARCH(("42"),(I56))))</formula>
    </cfRule>
    <cfRule type="containsText" dxfId="827" priority="3" operator="containsText" text="Please fill in">
      <formula>NOT(ISERROR(SEARCH(("Please fill in"),(I56))))</formula>
    </cfRule>
  </conditionalFormatting>
  <dataValidations count="3">
    <dataValidation type="list" allowBlank="1" showErrorMessage="1" sqref="H61:H68" xr:uid="{3F1F6875-C418-42B4-9030-93056E5DE184}">
      <formula1>Arashi!TypesOfTrainers</formula1>
    </dataValidation>
    <dataValidation type="list" allowBlank="1" showErrorMessage="1" sqref="B9" xr:uid="{3D6254A3-C621-45DF-A567-F0AFFAFBC21A}">
      <formula1>"yes,no,partial"</formula1>
    </dataValidation>
    <dataValidation type="list" allowBlank="1" sqref="G47:G51" xr:uid="{07E92FE1-8297-46C1-8C5F-EF5648CE5C1B}">
      <formula1>"yes,no"</formula1>
    </dataValidation>
  </dataValidations>
  <pageMargins left="0.7" right="0.7" top="0.75" bottom="0.75" header="0" footer="0"/>
  <pageSetup paperSize="9" orientation="portrait"/>
  <drawing r:id="rId1"/>
  <legacyDrawing r:id="rId2"/>
  <tableParts count="6">
    <tablePart r:id="rId3"/>
    <tablePart r:id="rId4"/>
    <tablePart r:id="rId5"/>
    <tablePart r:id="rId6"/>
    <tablePart r:id="rId7"/>
    <tablePart r:id="rId8"/>
  </tableParts>
  <extLst>
    <ext xmlns:x14="http://schemas.microsoft.com/office/spreadsheetml/2009/9/main" uri="{CCE6A557-97BC-4b89-ADB6-D9C93CAAB3DF}">
      <x14:dataValidations xmlns:xm="http://schemas.microsoft.com/office/excel/2006/main" count="4">
        <x14:dataValidation type="list" allowBlank="1" showInputMessage="1" showErrorMessage="1" xr:uid="{E4C5ABA4-3115-4DD5-BAC8-21840E5C90D2}">
          <x14:formula1>
            <xm:f>Constants!$M$6:$M$7</xm:f>
          </x14:formula1>
          <xm:sqref>B93:B108</xm:sqref>
        </x14:dataValidation>
        <x14:dataValidation type="list" allowBlank="1" showInputMessage="1" showErrorMessage="1" xr:uid="{465D3B98-2C1A-4350-BE4C-D35A9D348D43}">
          <x14:formula1>
            <xm:f>Constants!$C$55:$C$56</xm:f>
          </x14:formula1>
          <xm:sqref>B12</xm:sqref>
        </x14:dataValidation>
        <x14:dataValidation type="list" allowBlank="1" showErrorMessage="1" xr:uid="{01E0B447-BDFD-46CB-A509-0A16DFFEF2BD}">
          <x14:formula1>
            <xm:f>Constants!$H$6:$H$13</xm:f>
          </x14:formula1>
          <xm:sqref>B61:B68</xm:sqref>
        </x14:dataValidation>
        <x14:dataValidation type="list" allowBlank="1" showErrorMessage="1" xr:uid="{A82D02B3-7A8C-49D1-9F0F-F4C9715794F1}">
          <x14:formula1>
            <xm:f>Constants!$A$2:$AD$2</xm:f>
          </x14:formula1>
          <xm:sqref>B72:B88</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0179DD-2654-49DD-8B15-D61EE2300B94}">
  <dimension ref="A1:BG1006"/>
  <sheetViews>
    <sheetView topLeftCell="W17" workbookViewId="0">
      <selection activeCell="AF30" sqref="AF30"/>
    </sheetView>
  </sheetViews>
  <sheetFormatPr defaultColWidth="12.625" defaultRowHeight="15" customHeight="1"/>
  <cols>
    <col min="1" max="1" width="36.625" customWidth="1"/>
    <col min="2" max="2" width="28.125" customWidth="1"/>
    <col min="3" max="3" width="21" customWidth="1"/>
    <col min="4" max="4" width="17.5" customWidth="1"/>
    <col min="5" max="5" width="16.125" customWidth="1"/>
    <col min="6" max="6" width="21.5" customWidth="1"/>
    <col min="7" max="7" width="22.625" customWidth="1"/>
    <col min="8" max="8" width="18.625" customWidth="1"/>
    <col min="9" max="9" width="19.625" customWidth="1"/>
    <col min="10" max="10" width="18.875" customWidth="1"/>
    <col min="11" max="11" width="21.625" customWidth="1"/>
    <col min="12" max="12" width="17.375" customWidth="1"/>
    <col min="13" max="13" width="15.125" customWidth="1"/>
    <col min="14" max="14" width="15.625" customWidth="1"/>
    <col min="15" max="15" width="28.5" customWidth="1"/>
    <col min="16" max="16" width="13.125" customWidth="1"/>
    <col min="17" max="17" width="21.875" customWidth="1"/>
    <col min="18" max="18" width="27" customWidth="1"/>
    <col min="19" max="19" width="20.5" customWidth="1"/>
    <col min="20" max="22" width="7.625" customWidth="1"/>
    <col min="23" max="23" width="31.875" customWidth="1"/>
    <col min="24" max="24" width="7.625" customWidth="1"/>
    <col min="25" max="25" width="8.375" customWidth="1"/>
    <col min="26" max="26" width="21.625" customWidth="1"/>
    <col min="27" max="27" width="12" customWidth="1"/>
    <col min="28" max="28" width="16.5" customWidth="1"/>
    <col min="29" max="29" width="6" customWidth="1"/>
    <col min="30" max="30" width="13.625" customWidth="1"/>
  </cols>
  <sheetData>
    <row r="1" spans="1:59" ht="171" customHeight="1">
      <c r="A1" s="703"/>
      <c r="B1" s="704"/>
      <c r="C1" s="705"/>
      <c r="D1" s="16"/>
      <c r="E1" s="572" t="s">
        <v>555</v>
      </c>
      <c r="F1" s="704"/>
      <c r="G1" s="704"/>
      <c r="H1" s="705"/>
      <c r="I1" s="16"/>
      <c r="J1" s="16"/>
      <c r="K1" s="16"/>
      <c r="L1" s="16"/>
      <c r="M1" s="16"/>
      <c r="N1" s="16"/>
      <c r="O1" s="16"/>
      <c r="P1" s="16"/>
      <c r="Q1" s="16"/>
      <c r="R1" s="16"/>
      <c r="S1" s="16"/>
      <c r="T1" s="16"/>
      <c r="U1" s="16"/>
      <c r="V1" s="16"/>
      <c r="W1" s="16"/>
      <c r="X1" s="16"/>
      <c r="Y1" s="16"/>
      <c r="Z1" s="16"/>
      <c r="AA1" s="16"/>
      <c r="AB1" s="16"/>
      <c r="AC1" s="16"/>
      <c r="AD1" s="16"/>
    </row>
    <row r="2" spans="1:59">
      <c r="A2" s="58" t="s">
        <v>404</v>
      </c>
      <c r="B2" s="152" t="s">
        <v>221</v>
      </c>
      <c r="C2" s="59"/>
      <c r="D2" s="16"/>
      <c r="E2" s="60" t="s">
        <v>406</v>
      </c>
      <c r="F2" s="153"/>
      <c r="G2" s="154"/>
      <c r="H2" s="61"/>
      <c r="I2" s="16"/>
      <c r="J2" s="16"/>
      <c r="K2" s="16"/>
      <c r="L2" s="16"/>
      <c r="M2" s="16"/>
      <c r="N2" s="16"/>
      <c r="O2" s="16"/>
      <c r="P2" s="16"/>
      <c r="Q2" s="16"/>
      <c r="R2" s="16"/>
      <c r="S2" s="16"/>
      <c r="T2" s="16"/>
      <c r="U2" s="16"/>
      <c r="V2" s="16"/>
      <c r="W2" s="16"/>
      <c r="X2" s="16"/>
      <c r="Y2" s="16"/>
      <c r="Z2" s="15"/>
      <c r="AA2" s="15"/>
      <c r="AB2" s="15"/>
      <c r="AC2" s="15"/>
      <c r="AD2" s="16"/>
      <c r="AE2" s="16"/>
      <c r="AF2" s="16"/>
      <c r="AG2" s="16"/>
      <c r="AH2" s="16"/>
      <c r="AI2" s="17"/>
      <c r="AJ2" s="17"/>
      <c r="AK2" s="17"/>
      <c r="AL2" s="17"/>
      <c r="AM2" s="17"/>
      <c r="AN2" s="17"/>
      <c r="AO2" s="17"/>
      <c r="AP2" s="17"/>
      <c r="AQ2" s="17"/>
      <c r="AR2" s="18"/>
      <c r="AS2" s="17"/>
      <c r="AT2" s="17"/>
      <c r="AU2" s="16"/>
      <c r="AV2" s="16"/>
      <c r="AW2" s="16"/>
      <c r="AX2" s="16"/>
      <c r="AY2" s="16"/>
      <c r="AZ2" s="16"/>
      <c r="BA2" s="16"/>
    </row>
    <row r="3" spans="1:59">
      <c r="A3" s="62" t="s">
        <v>408</v>
      </c>
      <c r="B3" s="155">
        <v>2</v>
      </c>
      <c r="C3" s="156"/>
      <c r="D3" s="16"/>
      <c r="E3" s="63" t="s">
        <v>409</v>
      </c>
      <c r="F3" s="157"/>
      <c r="G3" s="158"/>
      <c r="H3" s="159"/>
      <c r="I3" s="16"/>
      <c r="J3" s="16"/>
      <c r="K3" s="16"/>
      <c r="L3" s="16"/>
      <c r="M3" s="16"/>
      <c r="N3" s="16"/>
      <c r="O3" s="16"/>
      <c r="P3" s="16"/>
      <c r="Q3" s="16"/>
      <c r="R3" s="16"/>
      <c r="S3" s="16"/>
      <c r="T3" s="16"/>
      <c r="U3" s="16"/>
      <c r="V3" s="16"/>
      <c r="W3" s="16"/>
      <c r="X3" s="16"/>
      <c r="Y3" s="16"/>
      <c r="Z3" s="16"/>
      <c r="AA3" s="16"/>
      <c r="AB3" s="16"/>
      <c r="AC3" s="16"/>
      <c r="AD3" s="16"/>
    </row>
    <row r="4" spans="1:59">
      <c r="A4" s="160" t="s">
        <v>410</v>
      </c>
      <c r="B4" s="161">
        <v>45812</v>
      </c>
      <c r="C4" s="162"/>
      <c r="D4" s="16"/>
      <c r="E4" s="163"/>
      <c r="F4" s="164"/>
      <c r="G4" s="165"/>
      <c r="H4" s="166"/>
      <c r="I4" s="16"/>
      <c r="J4" s="16"/>
      <c r="K4" s="16"/>
      <c r="L4" s="16"/>
      <c r="M4" s="16"/>
      <c r="N4" s="16"/>
      <c r="O4" s="16"/>
      <c r="P4" s="16"/>
      <c r="Q4" s="16"/>
      <c r="R4" s="16"/>
      <c r="S4" s="16"/>
      <c r="T4" s="16"/>
      <c r="U4" s="16"/>
      <c r="V4" s="16"/>
      <c r="W4" s="16"/>
      <c r="X4" s="16"/>
      <c r="Y4" s="16"/>
      <c r="Z4" s="16"/>
      <c r="AA4" s="16"/>
      <c r="AB4" s="16"/>
      <c r="AC4" s="16"/>
      <c r="AD4" s="16"/>
    </row>
    <row r="5" spans="1:59">
      <c r="A5" s="167" t="s">
        <v>411</v>
      </c>
      <c r="B5" s="168"/>
      <c r="C5" s="167"/>
      <c r="D5" s="16"/>
      <c r="E5" s="169" t="s">
        <v>412</v>
      </c>
      <c r="F5" s="169"/>
      <c r="G5" s="158"/>
      <c r="H5" s="169"/>
      <c r="I5" s="16"/>
      <c r="J5" s="16"/>
      <c r="K5" s="16"/>
      <c r="L5" s="16"/>
      <c r="M5" s="16"/>
      <c r="N5" s="16"/>
      <c r="O5" s="16"/>
      <c r="P5" s="16"/>
      <c r="Q5" s="16"/>
      <c r="R5" s="16"/>
      <c r="S5" s="16"/>
      <c r="T5" s="16"/>
      <c r="U5" s="16"/>
      <c r="V5" s="16"/>
      <c r="W5" s="16"/>
      <c r="X5" s="16"/>
      <c r="Y5" s="16"/>
      <c r="Z5" s="16"/>
      <c r="AA5" s="16"/>
      <c r="AB5" s="16"/>
      <c r="AC5" s="16"/>
      <c r="AD5" s="16"/>
    </row>
    <row r="6" spans="1:59">
      <c r="A6" s="15"/>
      <c r="B6" s="64"/>
      <c r="C6" s="16"/>
      <c r="D6" s="16"/>
      <c r="E6" s="16"/>
      <c r="F6" s="16"/>
      <c r="G6" s="16"/>
      <c r="H6" s="16"/>
      <c r="I6" s="16"/>
      <c r="J6" s="64"/>
      <c r="K6" s="16"/>
      <c r="L6" s="16"/>
      <c r="M6" s="16"/>
      <c r="N6" s="16"/>
      <c r="O6" s="16"/>
      <c r="P6" s="16"/>
      <c r="Q6" s="16"/>
      <c r="R6" s="16"/>
      <c r="S6" s="16"/>
      <c r="T6" s="16"/>
      <c r="U6" s="16"/>
      <c r="V6" s="16"/>
      <c r="W6" s="16"/>
      <c r="X6" s="16"/>
      <c r="Y6" s="16"/>
      <c r="Z6" s="16"/>
      <c r="AA6" s="16"/>
      <c r="AB6" s="16"/>
      <c r="AC6" s="16"/>
      <c r="AD6" s="16"/>
    </row>
    <row r="7" spans="1:59">
      <c r="A7" s="170" t="s">
        <v>413</v>
      </c>
      <c r="B7" s="59">
        <v>110</v>
      </c>
      <c r="C7" s="16"/>
      <c r="D7" s="573" t="s">
        <v>414</v>
      </c>
      <c r="E7" s="701"/>
      <c r="F7" s="701"/>
      <c r="G7" s="701"/>
      <c r="H7" s="701"/>
      <c r="I7" s="701"/>
      <c r="J7" s="16"/>
      <c r="K7" s="16"/>
      <c r="L7" s="16"/>
      <c r="M7" s="16"/>
      <c r="N7" s="16"/>
      <c r="O7" s="16"/>
      <c r="P7" s="16"/>
      <c r="Q7" s="16"/>
      <c r="R7" s="16"/>
      <c r="S7" s="16"/>
      <c r="T7" s="16"/>
      <c r="U7" s="16"/>
      <c r="V7" s="16"/>
      <c r="W7" s="16"/>
      <c r="X7" s="16"/>
      <c r="Y7" s="16"/>
      <c r="Z7" s="16"/>
      <c r="AA7" s="16"/>
      <c r="AB7" s="16"/>
      <c r="AC7" s="16"/>
      <c r="AD7" s="16"/>
    </row>
    <row r="8" spans="1:59" ht="14.25" customHeight="1">
      <c r="A8" s="171" t="s">
        <v>415</v>
      </c>
      <c r="B8" s="172">
        <f ca="1">M21-M17</f>
        <v>9126.9483344119926</v>
      </c>
      <c r="C8" s="16" t="s">
        <v>416</v>
      </c>
      <c r="D8" s="574" t="s">
        <v>417</v>
      </c>
      <c r="E8" s="704"/>
      <c r="F8" s="704"/>
      <c r="G8" s="704"/>
      <c r="H8" s="704"/>
      <c r="I8" s="704"/>
      <c r="J8" s="16"/>
      <c r="K8" s="16"/>
      <c r="L8" s="16"/>
      <c r="M8" s="16"/>
      <c r="N8" s="16"/>
      <c r="O8" s="16"/>
      <c r="P8" s="16"/>
      <c r="Q8" s="16"/>
      <c r="R8" s="16"/>
      <c r="S8" s="16"/>
      <c r="T8" s="16"/>
      <c r="U8" s="16"/>
      <c r="V8" s="16"/>
      <c r="W8" s="16"/>
      <c r="X8" s="16"/>
      <c r="Y8" s="16"/>
      <c r="Z8" s="16"/>
      <c r="AA8" s="16"/>
      <c r="AB8" s="16"/>
      <c r="AC8" s="16"/>
    </row>
    <row r="9" spans="1:59">
      <c r="A9" s="65" t="s">
        <v>418</v>
      </c>
      <c r="B9" s="173" t="s">
        <v>419</v>
      </c>
      <c r="C9" s="16"/>
      <c r="D9" s="16"/>
      <c r="E9" s="17"/>
      <c r="F9" s="17"/>
      <c r="G9" s="17"/>
      <c r="H9" s="17"/>
      <c r="I9" s="17"/>
      <c r="J9" s="17"/>
      <c r="K9" s="17"/>
      <c r="L9" s="17"/>
      <c r="M9" s="17"/>
      <c r="N9" s="17"/>
      <c r="O9" s="17"/>
      <c r="P9" s="17"/>
      <c r="Q9" s="16"/>
      <c r="R9" s="17"/>
      <c r="S9" s="17"/>
      <c r="T9" s="17"/>
      <c r="U9" s="17"/>
      <c r="V9" s="17"/>
      <c r="W9" s="17"/>
      <c r="X9" s="17"/>
      <c r="Y9" s="17"/>
      <c r="Z9" s="17"/>
      <c r="AA9" s="17"/>
      <c r="AB9" s="17"/>
      <c r="AC9" s="17"/>
      <c r="AD9" s="18" t="s">
        <v>242</v>
      </c>
    </row>
    <row r="10" spans="1:59">
      <c r="A10" s="174" t="s">
        <v>420</v>
      </c>
      <c r="B10" s="257">
        <f>COUNTA(A38:A45)+COUNTA(A49:A53)</f>
        <v>10</v>
      </c>
      <c r="C10" s="16"/>
      <c r="D10" s="16"/>
      <c r="E10" s="17"/>
      <c r="F10" s="17"/>
      <c r="G10" s="17"/>
      <c r="H10" s="17"/>
      <c r="I10" s="17"/>
      <c r="J10" s="17"/>
      <c r="K10" s="17"/>
      <c r="L10" s="17"/>
      <c r="M10" s="17"/>
      <c r="N10" s="17"/>
      <c r="O10" s="17"/>
      <c r="P10" s="17"/>
      <c r="Q10" s="16"/>
      <c r="R10" s="17"/>
      <c r="S10" s="17"/>
      <c r="T10" s="17"/>
      <c r="U10" s="17"/>
      <c r="V10" s="17"/>
      <c r="W10" s="17"/>
      <c r="X10" s="17"/>
      <c r="Y10" s="17"/>
      <c r="Z10" s="17"/>
      <c r="AA10" s="17"/>
      <c r="AB10" s="17"/>
      <c r="AC10" s="17"/>
      <c r="AD10" s="18"/>
    </row>
    <row r="11" spans="1:59">
      <c r="A11" s="171" t="s">
        <v>421</v>
      </c>
      <c r="B11" s="256">
        <f>SUM(B38:B45)+SUM(B49:B53)</f>
        <v>148</v>
      </c>
      <c r="C11" s="16"/>
      <c r="D11" s="16"/>
      <c r="E11" s="17"/>
      <c r="F11" s="17"/>
      <c r="G11" s="17"/>
      <c r="H11" s="17"/>
      <c r="I11" s="17"/>
      <c r="J11" s="17"/>
      <c r="K11" s="17"/>
      <c r="L11" s="17"/>
      <c r="M11" s="17"/>
      <c r="N11" s="17"/>
      <c r="O11" s="17"/>
      <c r="P11" s="17"/>
      <c r="Q11" s="16"/>
      <c r="R11" s="17"/>
      <c r="S11" s="17"/>
      <c r="T11" s="17"/>
      <c r="U11" s="17"/>
      <c r="V11" s="17"/>
      <c r="W11" s="17"/>
      <c r="X11" s="17"/>
      <c r="Y11" s="17"/>
      <c r="Z11" s="17"/>
      <c r="AA11" s="17"/>
      <c r="AB11" s="17"/>
      <c r="AC11" s="17"/>
      <c r="AD11" s="18"/>
    </row>
    <row r="12" spans="1:59">
      <c r="A12" s="239" t="s">
        <v>422</v>
      </c>
      <c r="B12" s="240" t="s">
        <v>319</v>
      </c>
      <c r="C12" s="16"/>
      <c r="D12" s="16"/>
      <c r="E12" s="17"/>
      <c r="F12" s="17"/>
      <c r="G12" s="17"/>
      <c r="H12" s="17"/>
      <c r="I12" s="17"/>
      <c r="J12" s="17"/>
      <c r="K12" s="17"/>
      <c r="L12" s="17"/>
      <c r="M12" s="17"/>
      <c r="N12" s="17"/>
      <c r="O12" s="17"/>
      <c r="P12" s="17"/>
      <c r="Q12" s="16"/>
      <c r="R12" s="17"/>
      <c r="S12" s="17"/>
      <c r="T12" s="17"/>
      <c r="U12" s="17"/>
      <c r="V12" s="17"/>
      <c r="W12" s="17"/>
      <c r="X12" s="17"/>
      <c r="Y12" s="17"/>
      <c r="Z12" s="17"/>
      <c r="AA12" s="17"/>
      <c r="AB12" s="17"/>
      <c r="AC12" s="17"/>
      <c r="AD12" s="18"/>
    </row>
    <row r="13" spans="1:59">
      <c r="A13" s="16"/>
      <c r="B13" s="16"/>
      <c r="C13" s="16"/>
      <c r="D13" s="16"/>
      <c r="E13" s="17"/>
      <c r="F13" s="17"/>
      <c r="G13" s="17"/>
      <c r="H13" s="17"/>
      <c r="I13" s="17"/>
      <c r="J13" s="17"/>
      <c r="K13" s="17"/>
      <c r="L13" s="17"/>
      <c r="M13" s="17"/>
      <c r="N13" s="17"/>
      <c r="O13" s="17"/>
      <c r="P13" s="17"/>
      <c r="Q13" s="16"/>
      <c r="R13" s="17"/>
      <c r="S13" s="17"/>
      <c r="T13" s="17"/>
      <c r="U13" s="17"/>
      <c r="V13" s="17"/>
      <c r="W13" s="17"/>
      <c r="X13" s="17"/>
      <c r="Y13" s="17"/>
      <c r="Z13" s="17"/>
      <c r="AA13" s="17"/>
      <c r="AB13" s="17"/>
      <c r="AC13" s="17"/>
      <c r="AD13" s="17" t="str" cm="1">
        <f t="array" ref="AD13:BF14">Constants!A2:AC3</f>
        <v>SC1</v>
      </c>
      <c r="AE13" s="17" t="str">
        <v>SC1 - Half</v>
      </c>
      <c r="AF13" s="17" t="str">
        <v>SC2</v>
      </c>
      <c r="AG13" s="17" t="str">
        <v>SC2 - Half</v>
      </c>
      <c r="AH13" s="17" t="str">
        <v>SC3</v>
      </c>
      <c r="AI13" s="17" t="str">
        <v>SC4</v>
      </c>
      <c r="AJ13" s="17" t="str">
        <v>SC5</v>
      </c>
      <c r="AK13" s="17" t="str">
        <v>SC6</v>
      </c>
      <c r="AL13" s="17" t="str">
        <v>Dojo</v>
      </c>
      <c r="AM13" s="17" t="str">
        <v>Boulder Wall</v>
      </c>
      <c r="AN13" s="17" t="str">
        <v>Climbing Wall</v>
      </c>
      <c r="AO13" s="17" t="str">
        <v>Artificial Hockey field</v>
      </c>
      <c r="AP13" s="17" t="str">
        <v>Artificial Hockey field - Half</v>
      </c>
      <c r="AQ13" s="17" t="str">
        <v>Artificial Soccer field</v>
      </c>
      <c r="AR13" s="17" t="str">
        <v>Artificial Soccer field - Half</v>
      </c>
      <c r="AS13" s="17" t="str">
        <v>Basketball</v>
      </c>
      <c r="AT13" s="17" t="str">
        <v>Bastille field</v>
      </c>
      <c r="AU13" s="17" t="str">
        <v>Beach fields</v>
      </c>
      <c r="AV13" s="17" t="str">
        <v>Shooting range</v>
      </c>
      <c r="AW13" s="17" t="str">
        <v>Multi/Lacrosse field</v>
      </c>
      <c r="AX13" s="17" t="str">
        <v>Multi/Lacrosse field - Half</v>
      </c>
      <c r="AY13" s="17" t="str">
        <v>Bootcamp field</v>
      </c>
      <c r="AZ13" s="17" t="str">
        <v>Multi/Baseball field</v>
      </c>
      <c r="BA13" s="17" t="str">
        <v>Tennis court</v>
      </c>
      <c r="BB13" s="17" t="str">
        <v>Utrack</v>
      </c>
      <c r="BC13" s="22" t="str">
        <v>Verreveld</v>
      </c>
      <c r="BD13" s="22" t="str">
        <v>Wsc</v>
      </c>
      <c r="BE13" s="22" t="str">
        <v>Indoor pool</v>
      </c>
      <c r="BF13" s="22" t="str">
        <v>Outdoor pool</v>
      </c>
      <c r="BG13" s="22" t="s">
        <v>270</v>
      </c>
    </row>
    <row r="14" spans="1:59">
      <c r="A14" s="175" t="s">
        <v>423</v>
      </c>
      <c r="B14" s="16"/>
      <c r="C14" s="16"/>
      <c r="D14" s="16"/>
      <c r="E14" s="16"/>
      <c r="F14" s="16"/>
      <c r="G14" s="175" t="s">
        <v>424</v>
      </c>
      <c r="I14" s="17"/>
      <c r="J14" s="17"/>
      <c r="K14" s="176" t="s">
        <v>425</v>
      </c>
      <c r="L14" s="17"/>
      <c r="M14" s="176" t="s">
        <v>426</v>
      </c>
      <c r="N14" s="17"/>
      <c r="O14" s="17"/>
      <c r="P14" s="17"/>
      <c r="Q14" s="17"/>
      <c r="R14" s="17"/>
      <c r="S14" s="16"/>
      <c r="T14" s="17"/>
      <c r="U14" s="17"/>
      <c r="V14" s="17"/>
      <c r="W14" s="17"/>
      <c r="X14" s="17"/>
      <c r="Y14" s="17"/>
      <c r="Z14" s="17"/>
      <c r="AA14" s="17"/>
      <c r="AB14" s="17"/>
      <c r="AC14" s="17"/>
      <c r="AD14" s="19">
        <v>67.5</v>
      </c>
      <c r="AE14" s="19">
        <v>35</v>
      </c>
      <c r="AF14" s="19">
        <v>67.5</v>
      </c>
      <c r="AG14" s="19">
        <v>35</v>
      </c>
      <c r="AH14" s="19">
        <v>40</v>
      </c>
      <c r="AI14" s="19">
        <v>40</v>
      </c>
      <c r="AJ14" s="19">
        <v>35</v>
      </c>
      <c r="AK14" s="19">
        <v>35</v>
      </c>
      <c r="AL14" s="19">
        <v>40</v>
      </c>
      <c r="AM14" s="19">
        <v>27.5</v>
      </c>
      <c r="AN14" s="19">
        <v>45</v>
      </c>
      <c r="AO14" s="19">
        <v>75</v>
      </c>
      <c r="AP14" s="19">
        <v>40</v>
      </c>
      <c r="AQ14" s="19">
        <v>75</v>
      </c>
      <c r="AR14" s="19">
        <v>40</v>
      </c>
      <c r="AS14" s="19">
        <v>30</v>
      </c>
      <c r="AT14" s="19">
        <v>50</v>
      </c>
      <c r="AU14" s="19">
        <v>75</v>
      </c>
      <c r="AV14" s="19">
        <v>40</v>
      </c>
      <c r="AW14" s="19">
        <v>75</v>
      </c>
      <c r="AX14" s="19">
        <v>40</v>
      </c>
      <c r="AY14" s="19">
        <v>50</v>
      </c>
      <c r="AZ14" s="19">
        <v>65</v>
      </c>
      <c r="BA14" s="19">
        <v>35</v>
      </c>
      <c r="BB14" s="19">
        <v>45</v>
      </c>
      <c r="BC14" s="19">
        <v>50</v>
      </c>
      <c r="BD14" s="19">
        <v>0</v>
      </c>
      <c r="BE14" s="19">
        <v>65</v>
      </c>
      <c r="BF14" s="20">
        <v>70</v>
      </c>
      <c r="BG14" s="20"/>
    </row>
    <row r="15" spans="1:59">
      <c r="A15" s="67"/>
      <c r="B15" s="68" t="str">
        <f>Constants!H6</f>
        <v>Performance training</v>
      </c>
      <c r="C15" s="68" t="str">
        <f>Constants!H7</f>
        <v>Performance coaching</v>
      </c>
      <c r="D15" s="68" t="str">
        <f>Constants!H8</f>
        <v>Dangerous</v>
      </c>
      <c r="E15" s="69" t="str">
        <f>Constants!H9</f>
        <v>Recreational</v>
      </c>
      <c r="F15" s="69" t="s">
        <v>290</v>
      </c>
      <c r="G15" s="70"/>
      <c r="H15" s="71" t="s">
        <v>427</v>
      </c>
      <c r="I15" s="72" t="s">
        <v>272</v>
      </c>
      <c r="J15" s="70" t="s">
        <v>5</v>
      </c>
      <c r="K15" s="72" t="s">
        <v>428</v>
      </c>
      <c r="L15" s="70" t="s">
        <v>429</v>
      </c>
      <c r="M15" s="73" cm="1">
        <f t="array" ref="M15">(SUM(IF($D$49:$D$53="PT",($F$49:$F$53)/1.5+IF($G$49:$G$53="yes",1)))+SUM(IF($D$49:$D$53="Extern",($F$49:$F$53)/1.5+IF($G$49:$G$53="yes",1)))+SUM(IF($D$49:$D$53="PT-ZZP",($F$49:$F$53)/1.5+IF($G$49:$G$53="yes",1))))*Constants!B10</f>
        <v>1500</v>
      </c>
      <c r="N15" s="17"/>
      <c r="O15" s="17"/>
      <c r="P15" s="17"/>
      <c r="Q15" s="17"/>
      <c r="R15" s="16"/>
      <c r="S15" s="17"/>
      <c r="T15" s="17"/>
      <c r="U15" s="17"/>
      <c r="V15" s="17"/>
      <c r="W15" s="17"/>
      <c r="X15" s="17"/>
      <c r="Y15" s="17"/>
      <c r="Z15" s="17"/>
      <c r="AA15" s="17"/>
      <c r="AB15" s="17"/>
      <c r="AC15" s="17"/>
      <c r="AD15" s="16">
        <f t="shared" ref="AD15:BF15" si="0">SUMIF($B$74:$B$91,AD13,$F$74:$F$91)</f>
        <v>132</v>
      </c>
      <c r="AE15" s="16">
        <f t="shared" si="0"/>
        <v>252</v>
      </c>
      <c r="AF15" s="16">
        <f t="shared" si="0"/>
        <v>0</v>
      </c>
      <c r="AG15" s="16">
        <f t="shared" si="0"/>
        <v>252</v>
      </c>
      <c r="AH15" s="16">
        <f t="shared" si="0"/>
        <v>0</v>
      </c>
      <c r="AI15" s="16">
        <f t="shared" si="0"/>
        <v>378</v>
      </c>
      <c r="AJ15" s="16">
        <f t="shared" si="0"/>
        <v>0</v>
      </c>
      <c r="AK15" s="16">
        <f t="shared" si="0"/>
        <v>0</v>
      </c>
      <c r="AL15" s="16">
        <f t="shared" si="0"/>
        <v>0</v>
      </c>
      <c r="AM15" s="16">
        <f t="shared" si="0"/>
        <v>0</v>
      </c>
      <c r="AN15" s="16">
        <f t="shared" si="0"/>
        <v>0</v>
      </c>
      <c r="AO15" s="16">
        <f t="shared" si="0"/>
        <v>0</v>
      </c>
      <c r="AP15" s="16">
        <f t="shared" si="0"/>
        <v>0</v>
      </c>
      <c r="AQ15" s="16">
        <f t="shared" si="0"/>
        <v>0</v>
      </c>
      <c r="AR15" s="16">
        <f t="shared" si="0"/>
        <v>0</v>
      </c>
      <c r="AS15" s="16">
        <f t="shared" si="0"/>
        <v>0</v>
      </c>
      <c r="AT15" s="16">
        <f t="shared" si="0"/>
        <v>0</v>
      </c>
      <c r="AU15" s="16">
        <f t="shared" si="0"/>
        <v>0</v>
      </c>
      <c r="AV15" s="16">
        <f t="shared" si="0"/>
        <v>0</v>
      </c>
      <c r="AW15" s="16">
        <f t="shared" si="0"/>
        <v>0</v>
      </c>
      <c r="AX15" s="16">
        <f t="shared" si="0"/>
        <v>0</v>
      </c>
      <c r="AY15" s="16">
        <f t="shared" si="0"/>
        <v>0</v>
      </c>
      <c r="AZ15" s="16">
        <f t="shared" si="0"/>
        <v>0</v>
      </c>
      <c r="BA15" s="16">
        <f t="shared" si="0"/>
        <v>0</v>
      </c>
      <c r="BB15" s="16">
        <f t="shared" si="0"/>
        <v>0</v>
      </c>
      <c r="BC15" s="16">
        <f t="shared" si="0"/>
        <v>0</v>
      </c>
      <c r="BD15" s="16">
        <f t="shared" si="0"/>
        <v>0</v>
      </c>
      <c r="BE15" s="16">
        <f t="shared" si="0"/>
        <v>0</v>
      </c>
      <c r="BF15" s="16">
        <f t="shared" si="0"/>
        <v>0</v>
      </c>
    </row>
    <row r="16" spans="1:59">
      <c r="A16" s="74" t="str">
        <f>Constants!E6</f>
        <v>PT</v>
      </c>
      <c r="B16" s="16">
        <f>SUMIFS(Arriba!$F$58:$F$70,Arriba!$B$58:$B$70, B$15,Arriba!$H$58:$H$70,$A16)*(1+Constants!$B$7)</f>
        <v>151.19999999999999</v>
      </c>
      <c r="C16" s="16">
        <f>SUMIFS(Arriba!$F$58:$F$70,Arriba!$B$58:$B$70, C$15,Arriba!$H$58:$H$70,$A16)</f>
        <v>100</v>
      </c>
      <c r="D16" s="16">
        <f>SUMIFS(Arriba!$F$58:$F$70,Arriba!$B$58:$B$70, D$15,Arriba!$H$58:$H$70,$A16)*(1+Constants!$B$7)</f>
        <v>0</v>
      </c>
      <c r="E16" s="16">
        <f>SUMIFS(Arriba!$F$58:$F$70,Arriba!$B$58:$B$70, E$15,Arriba!$H$58:$H$70,$A16)*(1+Constants!$B$7)</f>
        <v>0</v>
      </c>
      <c r="F16" s="16">
        <f>SUMIFS(Arriba!$F$58:$F$70,Arriba!$B$58:$B$70, F$15,Arriba!$H$58:$H$70,$A16)*(1+Constants!$B$7)</f>
        <v>50.4</v>
      </c>
      <c r="G16" s="74" t="s">
        <v>430</v>
      </c>
      <c r="H16" s="16">
        <f>SUMIF(Arriba!$B$74:$B$92,"&lt;&gt;External",Arriba!$F$74:$F$92)</f>
        <v>1014</v>
      </c>
      <c r="I16" s="75">
        <f>SUMIF(Arriba!$B$76:$B$92,"External",Arriba!$F$76:$F$92)</f>
        <v>126</v>
      </c>
      <c r="J16" s="234">
        <f>SUM($F$95:$F$108)</f>
        <v>203</v>
      </c>
      <c r="K16" s="76">
        <f>IF(OR(ISBLANK(B7),ISBLANK(B9)), "ERROR",MAX(MIN(J16,B7*Constants!B15)-Constants!B14*B7,0)*IF(B9="yes",Constants!B16,IF(B9="no",Constants!B17,0)))</f>
        <v>0</v>
      </c>
      <c r="L16" s="77" t="s">
        <v>360</v>
      </c>
      <c r="M16" s="76">
        <f>E16*Constants!B6+E17*Constants!B8+E22+E21</f>
        <v>0</v>
      </c>
      <c r="N16" s="17"/>
      <c r="O16" s="17"/>
      <c r="P16" s="17"/>
      <c r="Q16" s="17"/>
      <c r="R16" s="16"/>
      <c r="S16" s="17"/>
      <c r="T16" s="17"/>
      <c r="U16" s="17"/>
      <c r="V16" s="17"/>
      <c r="W16" s="17"/>
      <c r="X16" s="17"/>
      <c r="Y16" s="17"/>
      <c r="Z16" s="17"/>
      <c r="AA16" s="17"/>
      <c r="AB16" s="17"/>
      <c r="AC16" s="17"/>
      <c r="AD16" s="19">
        <f t="shared" ref="AD16:BF16" si="1">AD14*AD15</f>
        <v>8910</v>
      </c>
      <c r="AE16" s="19">
        <f t="shared" si="1"/>
        <v>8820</v>
      </c>
      <c r="AF16" s="19">
        <f t="shared" si="1"/>
        <v>0</v>
      </c>
      <c r="AG16" s="19">
        <f t="shared" si="1"/>
        <v>8820</v>
      </c>
      <c r="AH16" s="19">
        <f t="shared" si="1"/>
        <v>0</v>
      </c>
      <c r="AI16" s="19">
        <f t="shared" si="1"/>
        <v>15120</v>
      </c>
      <c r="AJ16" s="19">
        <f t="shared" si="1"/>
        <v>0</v>
      </c>
      <c r="AK16" s="19">
        <f t="shared" si="1"/>
        <v>0</v>
      </c>
      <c r="AL16" s="19">
        <f t="shared" si="1"/>
        <v>0</v>
      </c>
      <c r="AM16" s="19">
        <f t="shared" si="1"/>
        <v>0</v>
      </c>
      <c r="AN16" s="19">
        <f t="shared" si="1"/>
        <v>0</v>
      </c>
      <c r="AO16" s="19">
        <f t="shared" si="1"/>
        <v>0</v>
      </c>
      <c r="AP16" s="19">
        <f t="shared" si="1"/>
        <v>0</v>
      </c>
      <c r="AQ16" s="19">
        <f t="shared" si="1"/>
        <v>0</v>
      </c>
      <c r="AR16" s="19">
        <f t="shared" si="1"/>
        <v>0</v>
      </c>
      <c r="AS16" s="19">
        <f t="shared" si="1"/>
        <v>0</v>
      </c>
      <c r="AT16" s="19">
        <f t="shared" si="1"/>
        <v>0</v>
      </c>
      <c r="AU16" s="19">
        <f t="shared" si="1"/>
        <v>0</v>
      </c>
      <c r="AV16" s="19">
        <f t="shared" si="1"/>
        <v>0</v>
      </c>
      <c r="AW16" s="19">
        <f t="shared" si="1"/>
        <v>0</v>
      </c>
      <c r="AX16" s="19">
        <f t="shared" si="1"/>
        <v>0</v>
      </c>
      <c r="AY16" s="19">
        <f t="shared" si="1"/>
        <v>0</v>
      </c>
      <c r="AZ16" s="19">
        <f t="shared" si="1"/>
        <v>0</v>
      </c>
      <c r="BA16" s="19">
        <f t="shared" si="1"/>
        <v>0</v>
      </c>
      <c r="BB16" s="19">
        <f t="shared" si="1"/>
        <v>0</v>
      </c>
      <c r="BC16" s="19">
        <f t="shared" si="1"/>
        <v>0</v>
      </c>
      <c r="BD16" s="19">
        <f t="shared" si="1"/>
        <v>0</v>
      </c>
      <c r="BE16" s="19">
        <f t="shared" si="1"/>
        <v>0</v>
      </c>
      <c r="BF16" s="19">
        <f t="shared" si="1"/>
        <v>0</v>
      </c>
    </row>
    <row r="17" spans="1:36">
      <c r="A17" s="74" t="str">
        <f>Constants!E7</f>
        <v>PT-V</v>
      </c>
      <c r="B17" s="16">
        <f>SUMIFS(Arriba!$F$58:$F$70,Arriba!$B$58:$B$70, B$15,Arriba!$H$58:$H$70,$A17)*(1+Constants!$B$9)</f>
        <v>176.39999999999998</v>
      </c>
      <c r="C17" s="16">
        <f>SUMIFS(Arriba!$F$58:$F$70,Arriba!$B$58:$B$70, C$15,Arriba!$H$58:$H$70,$A17)</f>
        <v>100</v>
      </c>
      <c r="D17" s="16">
        <f>SUMIFS(Arriba!$F$58:$F$70,Arriba!$B$58:$B$70, D$15,Arriba!$H$58:$H$70,$A17)*(1+Constants!$B$9)</f>
        <v>0</v>
      </c>
      <c r="E17" s="16">
        <f>SUMIFS(Arriba!$F$58:$F$70,Arriba!$B$58:$B$70, E$15,Arriba!$H$58:$H$70,$A17)*(1+Constants!$B$9)</f>
        <v>0</v>
      </c>
      <c r="F17" s="16">
        <f>SUMIFS(Arriba!$F$58:$F$70,Arriba!$B$58:$B$70, F$15,Arriba!$H$58:$H$70,$A17)</f>
        <v>0</v>
      </c>
      <c r="G17" s="74" t="s">
        <v>38</v>
      </c>
      <c r="H17" s="78">
        <f>SUM(AD16:BZ16)</f>
        <v>41670</v>
      </c>
      <c r="I17" s="76" cm="1">
        <f t="array" ref="I17">SUM(IF($B$74:$B$91="External",$F$74:$F$91*$H$74:$H$91,0))</f>
        <v>0</v>
      </c>
      <c r="J17" s="79"/>
      <c r="K17" s="80"/>
      <c r="L17" s="77" t="s">
        <v>63</v>
      </c>
      <c r="M17" s="76">
        <f>J16-K16</f>
        <v>203</v>
      </c>
      <c r="N17" s="17"/>
      <c r="O17" s="17"/>
      <c r="P17" s="17"/>
      <c r="Q17" s="17"/>
      <c r="R17" s="16"/>
      <c r="S17" s="17"/>
      <c r="T17" s="17"/>
      <c r="U17" s="17"/>
      <c r="V17" s="17"/>
      <c r="W17" s="17"/>
      <c r="X17" s="17"/>
      <c r="Y17" s="17"/>
      <c r="Z17" s="17"/>
      <c r="AA17" s="17"/>
      <c r="AB17" s="17"/>
      <c r="AC17" s="17"/>
      <c r="AD17" s="17"/>
      <c r="AE17" s="17"/>
    </row>
    <row r="18" spans="1:36">
      <c r="A18" s="74" t="str">
        <f>Constants!E8</f>
        <v>PT-ZZP</v>
      </c>
      <c r="B18" s="16">
        <f>SUMIFS(Arriba!$F$58:$F$70,Arriba!$B$58:$B$70, B$15,Arriba!$H$58:$H$70,$A18)*(1+Constants!$B$7)</f>
        <v>0</v>
      </c>
      <c r="C18" s="16">
        <f>SUMIFS(Arriba!$F$58:$F$70,Arriba!$B$58:$B$70, C$15,Arriba!$H$58:$H$70,$A18)</f>
        <v>0</v>
      </c>
      <c r="D18" s="16">
        <f>SUMIFS(Arriba!$F$58:$F$70,Arriba!$B$58:$B$70, D$15,Arriba!$H$58:$H$70,$A18)*(1+Constants!$B$7)</f>
        <v>0</v>
      </c>
      <c r="E18" s="16">
        <f>SUMIFS(Arriba!$F$58:$F$70,Arriba!$B$58:$B$70, E$15,Arriba!$H$58:$H$70,$A18)*(1+Constants!$B$7)</f>
        <v>0</v>
      </c>
      <c r="F18" s="16">
        <f>SUMIFS(Arriba!$F$58:$F$70,Arriba!$B$58:$B$70, F$15,Arriba!$H$58:$H$70,$A18)*(1+Constants!$B$7)</f>
        <v>0</v>
      </c>
      <c r="G18" s="74"/>
      <c r="H18" s="78"/>
      <c r="I18" s="76"/>
      <c r="J18" s="79"/>
      <c r="K18" s="80"/>
      <c r="L18" s="77" t="s">
        <v>60</v>
      </c>
      <c r="M18" s="76" t="str">
        <f>IF(I17-Constants!I17*$B$7&gt;0,$I$17-Constants!I17*$B$7,"-")</f>
        <v>-</v>
      </c>
      <c r="N18" s="17"/>
      <c r="O18" s="17"/>
      <c r="P18" s="17"/>
      <c r="Q18" s="17"/>
      <c r="R18" s="16"/>
      <c r="S18" s="17"/>
      <c r="T18" s="17"/>
      <c r="U18" s="17"/>
      <c r="V18" s="17"/>
      <c r="W18" s="17"/>
      <c r="X18" s="17"/>
      <c r="Y18" s="17"/>
      <c r="Z18" s="17"/>
      <c r="AA18" s="17"/>
      <c r="AB18" s="17"/>
      <c r="AC18" s="17"/>
      <c r="AD18" s="17"/>
      <c r="AE18" s="17"/>
    </row>
    <row r="19" spans="1:36">
      <c r="A19" s="74" t="str">
        <f>Constants!E9</f>
        <v>RT</v>
      </c>
      <c r="B19" s="16">
        <f>SUMIFS(Arriba!$F$58:$F$70,Arriba!$B$58:$B$70, B$15,Arriba!$H$58:$H$70,$A19)</f>
        <v>0</v>
      </c>
      <c r="C19" s="16">
        <f>SUMIFS(Arriba!$F$58:$F$70,Arriba!$B$58:$B$70, C$15,Arriba!$H$58:$H$70,$A19)</f>
        <v>0</v>
      </c>
      <c r="D19" s="16">
        <f>SUMIFS(Arriba!$F$58:$F$70,Arriba!$B$58:$B$70, D$15,Arriba!$H$58:$H$70,$A19)</f>
        <v>0</v>
      </c>
      <c r="E19" s="16">
        <f>SUMIFS(Arriba!$F$58:$F$70,Arriba!$B$58:$B$70, E$15,Arriba!$H$58:$H$70,$A19)</f>
        <v>630</v>
      </c>
      <c r="F19" s="16">
        <f>SUMIFS(Arriba!$F$58:$F$70,Arriba!$B$58:$B$70, F$15,Arriba!$H$58:$H$70,$A19)</f>
        <v>0</v>
      </c>
      <c r="G19" s="74" t="s">
        <v>396</v>
      </c>
      <c r="H19" s="78"/>
      <c r="I19" s="76">
        <f>IF(B7*Constants!I17&lt;I17,B7*Constants!I17,I17)</f>
        <v>0</v>
      </c>
      <c r="J19" s="79"/>
      <c r="K19" s="80"/>
      <c r="L19" s="77" t="s">
        <v>431</v>
      </c>
      <c r="M19" s="255">
        <f ca="1">Constants!C31*B7+Data!L5</f>
        <v>7626.9483344119926</v>
      </c>
      <c r="N19" s="17"/>
      <c r="O19" s="17"/>
      <c r="P19" s="17"/>
      <c r="Q19" s="17"/>
      <c r="R19" s="16"/>
      <c r="S19" s="17"/>
      <c r="T19" s="17"/>
      <c r="U19" s="17"/>
      <c r="V19" s="17"/>
      <c r="W19" s="17"/>
      <c r="X19" s="17"/>
      <c r="Y19" s="17"/>
      <c r="Z19" s="17"/>
      <c r="AA19" s="17"/>
      <c r="AB19" s="17"/>
      <c r="AC19" s="17"/>
      <c r="AD19" s="17"/>
      <c r="AE19" s="17"/>
    </row>
    <row r="20" spans="1:36">
      <c r="A20" s="74" t="str">
        <f>Constants!E10</f>
        <v>Extern</v>
      </c>
      <c r="B20" s="16">
        <f>SUMIFS(Arriba!$F$58:$F$70,Arriba!$B$58:$B$70, B$15,Arriba!$H$58:$H$70,$A20)</f>
        <v>0</v>
      </c>
      <c r="C20" s="16">
        <f>SUMIFS(Arriba!$F$58:$F$70,Arriba!$B$58:$B$70, C$15,Arriba!$H$58:$H$70,$A20)</f>
        <v>0</v>
      </c>
      <c r="D20" s="16">
        <f>SUMIFS(Arriba!$F$58:$F$70,Arriba!$B$58:$B$70, D$15,Arriba!$H$58:$H$70,$A20)</f>
        <v>0</v>
      </c>
      <c r="E20" s="16">
        <f>SUMIFS(Arriba!$F$58:$F$70,Arriba!$B$58:$B$70, E$15,Arriba!$H$58:$H$70,$A20)</f>
        <v>0</v>
      </c>
      <c r="F20" s="16">
        <f>SUMIFS(Arriba!$F$58:$F$70,Arriba!$B$58:$B$70, F$15,Arriba!$H$58:$H$70,$A20)</f>
        <v>0</v>
      </c>
      <c r="G20" s="81"/>
      <c r="H20" s="16"/>
      <c r="I20" s="75"/>
      <c r="J20" s="79"/>
      <c r="K20" s="82"/>
      <c r="L20" s="83"/>
      <c r="M20" s="84"/>
      <c r="N20" s="17"/>
      <c r="O20" s="17"/>
      <c r="P20" s="17"/>
      <c r="Q20" s="17"/>
      <c r="R20" s="16"/>
      <c r="S20" s="17"/>
      <c r="T20" s="17"/>
      <c r="U20" s="17"/>
      <c r="V20" s="17"/>
      <c r="W20" s="17"/>
      <c r="X20" s="17"/>
      <c r="Y20" s="17"/>
      <c r="Z20" s="17"/>
      <c r="AA20" s="17"/>
      <c r="AB20" s="17"/>
      <c r="AC20" s="17"/>
      <c r="AD20" s="17"/>
      <c r="AE20" s="17"/>
    </row>
    <row r="21" spans="1:36">
      <c r="A21" s="74" t="str">
        <f>CONCATENATE(A18," Costs")</f>
        <v>PT-ZZP Costs</v>
      </c>
      <c r="B21" s="78">
        <f t="array" ref="B21">SUM(IF(Arriba!$B$58:$B$70=B$15,IF(Arriba!$H$58:$H$70="PT-ZZP",Arriba!$F$58:$F$70*Arriba!$I$58:$I$70*(1+Constants!$B$7),0),0))</f>
        <v>0</v>
      </c>
      <c r="C21" s="78">
        <f t="array" ref="C21">SUM(IF(Arriba!$B$58:$B$70=C$15,IF(Arriba!$H$58:$H$70="PT-ZZP",Arriba!$F$58:$F$70*Arriba!$I$58:$I$70,0),0))</f>
        <v>0</v>
      </c>
      <c r="D21" s="78">
        <f t="array" ref="D21">SUM(IF(Arriba!$B$58:$B$70=D$15,IF(Arriba!$H$58:$H$70="PT-ZZP",Arriba!$F$58:$F$70*Arriba!$I$58:$I$70*(1+Constants!$B$7),0),0))</f>
        <v>0</v>
      </c>
      <c r="E21" s="78">
        <f t="array" ref="E21">SUM(IF(Arriba!$B$58:$B$70=E$15,IF(Arriba!$H$58:$H$70="PT-ZZP",Arriba!$F$58:$F$70*Arriba!$I$58:$I$70*(1+Constants!$B$7),0),0))</f>
        <v>0</v>
      </c>
      <c r="F21" s="78">
        <f t="array" ref="F21">SUM(IF(Arriba!$B$58:$B$70=F$15,IF(Arriba!$H$58:$H$70="PT-ZZP",Arriba!$F$58:$F$70*Arriba!$I$58:$I$70*(1+Constants!$B$7),0),0))</f>
        <v>0</v>
      </c>
      <c r="G21" s="81"/>
      <c r="H21" s="16"/>
      <c r="I21" s="75"/>
      <c r="J21" s="79"/>
      <c r="K21" s="82"/>
      <c r="L21" s="77" t="s">
        <v>5</v>
      </c>
      <c r="M21" s="76">
        <f ca="1">SUM(M15:M20)</f>
        <v>9329.9483344119926</v>
      </c>
      <c r="N21" s="17"/>
      <c r="O21" s="17"/>
      <c r="P21" s="17"/>
      <c r="Q21" s="17"/>
      <c r="R21" s="16"/>
      <c r="S21" s="17"/>
      <c r="T21" s="17"/>
      <c r="U21" s="17"/>
      <c r="V21" s="17"/>
      <c r="W21" s="17"/>
      <c r="X21" s="17"/>
      <c r="Y21" s="17"/>
      <c r="Z21" s="17"/>
      <c r="AA21" s="17"/>
      <c r="AB21" s="17"/>
      <c r="AC21" s="17"/>
      <c r="AD21" s="17"/>
      <c r="AE21" s="17"/>
    </row>
    <row r="22" spans="1:36" ht="15.75" customHeight="1">
      <c r="A22" s="74" t="str">
        <f>CONCATENATE(A20," Costs")</f>
        <v>Extern Costs</v>
      </c>
      <c r="B22" s="78">
        <f t="array" ref="B22">SUM(IF(Arriba!$B$58:$B$70=B$15,IF(Arriba!$H$58:$H$70="Extern",Arriba!$F$58:$F$70*Arriba!$I$58:$I$70,0),0))</f>
        <v>0</v>
      </c>
      <c r="C22" s="78">
        <f t="array" ref="C22">SUM(IF(Arriba!$B$58:$B$70=C$15,IF(Arriba!$H$58:$H$70="Extern",Arriba!$F$58:$F$70*Arriba!$I$58:$I$70,0),0))</f>
        <v>0</v>
      </c>
      <c r="D22" s="78">
        <f t="array" ref="D22">SUM(IF(Arriba!$B$58:$B$70=D$15,IF(Arriba!$H$58:$H$70="Extern",Arriba!$F$58:$F$70*Arriba!$I$58:$I$70,0),0))</f>
        <v>0</v>
      </c>
      <c r="E22" s="78">
        <f t="array" ref="E22">SUM(IF(Arriba!$B$58:$B$70=E$15,IF(Arriba!$H$58:$H$70="Extern",Arriba!$F$58:$F$70*Arriba!$I$58:$I$70,0),0))</f>
        <v>0</v>
      </c>
      <c r="F22" s="76">
        <f t="array" ref="F22">SUM(IF(Arriba!$B$58:$B$70=F$15,IF(Arriba!$H$58:$H$70="Extern",Arriba!$F$58:$F$70*Arriba!$I$58:$I$70,0),0))</f>
        <v>0</v>
      </c>
      <c r="G22" s="85"/>
      <c r="H22" s="177"/>
      <c r="I22" s="86"/>
      <c r="J22" s="87"/>
      <c r="K22" s="88"/>
      <c r="L22" s="87"/>
      <c r="M22" s="88"/>
      <c r="N22" s="17"/>
      <c r="O22" s="17"/>
      <c r="P22" s="17"/>
      <c r="Q22" s="17"/>
      <c r="R22" s="16"/>
      <c r="S22" s="17"/>
      <c r="T22" s="17"/>
      <c r="U22" s="17"/>
      <c r="V22" s="17"/>
      <c r="W22" s="17"/>
      <c r="X22" s="17"/>
      <c r="Y22" s="17"/>
      <c r="Z22" s="17"/>
      <c r="AA22" s="17"/>
      <c r="AB22" s="17"/>
      <c r="AC22" s="17"/>
      <c r="AD22" s="17"/>
      <c r="AE22" s="17"/>
    </row>
    <row r="23" spans="1:36" ht="15" customHeight="1">
      <c r="A23" s="74" t="s">
        <v>432</v>
      </c>
      <c r="B23" s="78"/>
      <c r="C23" s="78"/>
      <c r="D23" s="78"/>
      <c r="E23" s="78"/>
      <c r="F23" s="76">
        <f t="array" ref="F23">SUMIFS(Arriba!$F$58:$F$70,Arriba!$B$58:$B$70,"Mentorship",Arriba!$H$58:$H$70,"PT-V")*Constants!B8+SUMIFS(Arriba!$F$58:$F$70,Arriba!$B$58:$B$70,"Mentorship",Arriba!$H$58:$H$70,"PT")*Constants!B6+SUMPRODUCT(IF(Arriba!$B$58:$B$70="Mentorship",IF(Arriba!$H$58:$H$70="PT-ZZP",Arriba!$F$58:$F$70*Arriba!$I$58:$I$70,0)))</f>
        <v>2100</v>
      </c>
    </row>
    <row r="24" spans="1:36" ht="15" customHeight="1">
      <c r="A24" s="89" t="s">
        <v>433</v>
      </c>
      <c r="B24" s="178"/>
      <c r="C24" s="178"/>
      <c r="D24" s="178"/>
      <c r="E24" s="178">
        <f>SUMIF(Arriba!$B$58:$B$70,"External Trainer Course",Arriba!$I$58:$I$70)</f>
        <v>0</v>
      </c>
      <c r="F24" s="90"/>
    </row>
    <row r="25" spans="1:36" ht="15.75" customHeight="1">
      <c r="A25" s="16"/>
      <c r="B25" s="16"/>
      <c r="C25" s="16"/>
      <c r="D25" s="16"/>
      <c r="E25" s="17"/>
      <c r="F25" s="17"/>
      <c r="G25" s="17"/>
      <c r="H25" s="17"/>
      <c r="I25" s="17"/>
      <c r="J25" s="17"/>
      <c r="K25" s="17"/>
      <c r="L25" s="17"/>
      <c r="M25" s="17"/>
      <c r="N25" s="17"/>
      <c r="O25" s="17"/>
      <c r="P25" s="17"/>
      <c r="Q25" s="16"/>
      <c r="R25" s="17"/>
      <c r="S25" s="17"/>
      <c r="T25" s="17"/>
      <c r="U25" s="17"/>
      <c r="V25" s="17"/>
      <c r="W25" s="17"/>
      <c r="X25" s="17"/>
      <c r="Y25" s="17"/>
      <c r="Z25" s="17"/>
      <c r="AA25" s="17"/>
      <c r="AB25" s="17"/>
      <c r="AC25" s="17"/>
      <c r="AD25" s="17"/>
    </row>
    <row r="26" spans="1:36" ht="15.75" customHeight="1">
      <c r="A26" s="16"/>
      <c r="B26" s="16"/>
      <c r="C26" s="16"/>
      <c r="D26" s="16"/>
      <c r="E26" s="17"/>
      <c r="F26" s="17"/>
      <c r="G26" s="17"/>
      <c r="H26" s="17"/>
      <c r="I26" s="17"/>
      <c r="J26" s="17"/>
      <c r="K26" s="17"/>
      <c r="L26" s="17"/>
      <c r="M26" s="17"/>
      <c r="N26" s="17"/>
      <c r="O26" s="17"/>
      <c r="P26" s="17"/>
      <c r="Q26" s="16"/>
      <c r="R26" s="17"/>
      <c r="S26" s="17"/>
      <c r="T26" s="17"/>
      <c r="U26" s="17"/>
      <c r="V26" s="17"/>
      <c r="W26" s="17"/>
      <c r="X26" s="17"/>
      <c r="Y26" s="17"/>
      <c r="Z26" s="17"/>
      <c r="AA26" s="17"/>
      <c r="AB26" s="17"/>
      <c r="AC26" s="17"/>
      <c r="AD26" s="17"/>
    </row>
    <row r="27" spans="1:36" ht="15.75" customHeight="1" thickBot="1">
      <c r="A27" s="91" t="s">
        <v>434</v>
      </c>
      <c r="B27" s="17"/>
      <c r="C27" s="17"/>
      <c r="D27" s="17"/>
      <c r="E27" s="17"/>
      <c r="F27" s="17"/>
      <c r="G27" s="92"/>
      <c r="H27" s="19"/>
      <c r="I27" s="17"/>
      <c r="J27" s="17"/>
      <c r="K27" s="17"/>
      <c r="L27" s="17"/>
      <c r="M27" s="17"/>
      <c r="N27" s="17"/>
      <c r="O27" s="17"/>
      <c r="P27" s="17"/>
      <c r="Q27" s="16"/>
      <c r="R27" s="17"/>
      <c r="S27" s="17"/>
      <c r="T27" s="17"/>
      <c r="U27" s="17"/>
      <c r="V27" s="17"/>
      <c r="W27" s="17"/>
      <c r="X27" s="17"/>
      <c r="Y27" s="17"/>
      <c r="Z27" s="17"/>
      <c r="AA27" s="17"/>
      <c r="AB27" s="17"/>
      <c r="AC27" s="17"/>
      <c r="AD27" s="17"/>
    </row>
    <row r="28" spans="1:36" ht="15.75" customHeight="1" thickTop="1" thickBot="1">
      <c r="A28" s="706" t="s">
        <v>435</v>
      </c>
      <c r="B28" s="707"/>
      <c r="C28" s="707"/>
      <c r="D28" s="707"/>
      <c r="E28" s="707"/>
      <c r="F28" s="708"/>
      <c r="G28" s="15"/>
      <c r="H28" s="17"/>
      <c r="I28" s="17"/>
      <c r="J28" s="17"/>
      <c r="K28" s="17"/>
      <c r="L28" s="17"/>
      <c r="M28" s="17"/>
      <c r="N28" s="17"/>
      <c r="O28" s="17"/>
      <c r="P28" s="17"/>
      <c r="Q28" s="16"/>
      <c r="R28" s="17"/>
      <c r="S28" s="17"/>
      <c r="T28" s="17"/>
      <c r="U28" s="17"/>
      <c r="V28" s="17"/>
      <c r="W28" s="17"/>
      <c r="X28" s="17"/>
      <c r="Y28" s="17"/>
      <c r="Z28" s="17"/>
      <c r="AA28" s="17"/>
      <c r="AB28" s="17"/>
      <c r="AC28" s="17"/>
      <c r="AD28" s="242" t="s">
        <v>436</v>
      </c>
      <c r="AE28" s="16"/>
      <c r="AF28" s="128"/>
      <c r="AG28" s="51"/>
      <c r="AH28" s="51"/>
      <c r="AI28" s="51"/>
      <c r="AJ28" s="51"/>
    </row>
    <row r="29" spans="1:36" ht="15.75" customHeight="1" thickBot="1">
      <c r="A29" s="709" t="s">
        <v>437</v>
      </c>
      <c r="B29" s="696"/>
      <c r="C29" s="696"/>
      <c r="D29" s="696"/>
      <c r="E29" s="696"/>
      <c r="F29" s="710"/>
      <c r="G29" s="17"/>
      <c r="H29" s="17"/>
      <c r="I29" s="17"/>
      <c r="J29" s="17"/>
      <c r="K29" s="17"/>
      <c r="L29" s="17"/>
      <c r="M29" s="17"/>
      <c r="N29" s="17"/>
      <c r="O29" s="17"/>
      <c r="P29" s="17"/>
      <c r="Q29" s="16"/>
      <c r="R29" s="17"/>
      <c r="S29" s="17"/>
      <c r="T29" s="17"/>
      <c r="U29" s="17"/>
      <c r="V29" s="17"/>
      <c r="W29" s="17"/>
      <c r="X29" s="17"/>
      <c r="Y29" s="17"/>
      <c r="Z29" s="17"/>
      <c r="AA29" s="17"/>
      <c r="AB29" s="17"/>
      <c r="AC29" s="17"/>
      <c r="AD29" s="243" t="s">
        <v>438</v>
      </c>
      <c r="AE29" s="243" t="s">
        <v>439</v>
      </c>
      <c r="AF29" s="243" t="s">
        <v>440</v>
      </c>
      <c r="AG29" s="711" t="s">
        <v>441</v>
      </c>
      <c r="AH29" s="712"/>
      <c r="AI29" s="711" t="s">
        <v>434</v>
      </c>
      <c r="AJ29" s="712"/>
    </row>
    <row r="30" spans="1:36" ht="15.75" customHeight="1" thickBot="1">
      <c r="A30" s="709" t="s">
        <v>442</v>
      </c>
      <c r="B30" s="696"/>
      <c r="C30" s="696"/>
      <c r="D30" s="696"/>
      <c r="E30" s="696"/>
      <c r="F30" s="710"/>
      <c r="G30" s="17"/>
      <c r="H30" s="17"/>
      <c r="I30" s="17"/>
      <c r="J30" s="17"/>
      <c r="K30" s="17"/>
      <c r="L30" s="17"/>
      <c r="M30" s="17"/>
      <c r="N30" s="17"/>
      <c r="O30" s="17"/>
      <c r="P30" s="17"/>
      <c r="Q30" s="16"/>
      <c r="R30" s="17"/>
      <c r="S30" s="17"/>
      <c r="T30" s="17"/>
      <c r="U30" s="17"/>
      <c r="V30" s="17"/>
      <c r="W30" s="17"/>
      <c r="X30" s="17"/>
      <c r="Y30" s="17"/>
      <c r="Z30" s="17"/>
      <c r="AA30" s="17"/>
      <c r="AB30" s="17"/>
      <c r="AC30" s="17"/>
      <c r="AD30" s="244" t="str">
        <f>IF($B$12="individual",Constants!F55,Constants!L55)</f>
        <v>member count</v>
      </c>
      <c r="AE30" s="244">
        <f>B7</f>
        <v>110</v>
      </c>
      <c r="AF30" s="269">
        <f>IF(AE30&gt;=301,5,IF(AE30&gt;=176,4,IF(AE30&gt;=101,3,IF(AE30&gt;=51,2,1))))</f>
        <v>3</v>
      </c>
      <c r="AG30" s="560"/>
      <c r="AH30" s="560"/>
      <c r="AI30" s="560" t="s">
        <v>443</v>
      </c>
      <c r="AJ30" s="560"/>
    </row>
    <row r="31" spans="1:36" ht="15" customHeight="1" thickBot="1">
      <c r="A31" s="709" t="s">
        <v>444</v>
      </c>
      <c r="B31" s="696"/>
      <c r="C31" s="696"/>
      <c r="D31" s="696"/>
      <c r="E31" s="696"/>
      <c r="F31" s="710"/>
      <c r="G31" s="17"/>
      <c r="H31" s="17"/>
      <c r="I31" s="17"/>
      <c r="J31" s="17"/>
      <c r="K31" s="17"/>
      <c r="L31" s="17"/>
      <c r="M31" s="17"/>
      <c r="N31" s="17"/>
      <c r="O31" s="17"/>
      <c r="P31" s="17"/>
      <c r="Q31" s="16"/>
      <c r="R31" s="17"/>
      <c r="S31" s="17"/>
      <c r="T31" s="17"/>
      <c r="U31" s="17"/>
      <c r="V31" s="17"/>
      <c r="W31" s="17"/>
      <c r="X31" s="17"/>
      <c r="Y31" s="17"/>
      <c r="Z31" s="17"/>
      <c r="AA31" s="17"/>
      <c r="AB31" s="17"/>
      <c r="AC31" s="17"/>
      <c r="AD31" s="244" t="str">
        <f>IF($B$12="individual",Constants!F56,Constants!L56)</f>
        <v>number of trainings per week</v>
      </c>
      <c r="AE31" s="244" cm="1">
        <f t="array" ref="AE31">SUMPRODUCT(C58:C70*D58:D70)/42</f>
        <v>16.19047619047619</v>
      </c>
      <c r="AF31" s="270">
        <f>IF(AE31&gt;=4,3,IF(AE31&gt;=3,2,IF(AE31&gt;=2,1,0)))</f>
        <v>3</v>
      </c>
      <c r="AG31" s="560"/>
      <c r="AH31" s="560"/>
      <c r="AI31" s="560"/>
      <c r="AJ31" s="560"/>
    </row>
    <row r="32" spans="1:36" ht="15.75" customHeight="1" thickBot="1">
      <c r="A32" s="709" t="s">
        <v>445</v>
      </c>
      <c r="B32" s="696"/>
      <c r="C32" s="696"/>
      <c r="D32" s="696"/>
      <c r="E32" s="696"/>
      <c r="F32" s="710"/>
      <c r="G32" s="17"/>
      <c r="H32" s="16"/>
      <c r="I32" s="16"/>
      <c r="J32" s="16"/>
      <c r="K32" s="17"/>
      <c r="L32" s="17"/>
      <c r="M32" s="17"/>
      <c r="N32" s="17"/>
      <c r="O32" s="17"/>
      <c r="P32" s="17"/>
      <c r="Q32" s="16"/>
      <c r="R32" s="17"/>
      <c r="S32" s="17"/>
      <c r="T32" s="17"/>
      <c r="U32" s="17"/>
      <c r="V32" s="17"/>
      <c r="W32" s="17"/>
      <c r="X32" s="17"/>
      <c r="Y32" s="17"/>
      <c r="Z32" s="17"/>
      <c r="AA32" s="17"/>
      <c r="AB32" s="17"/>
      <c r="AC32" s="17"/>
      <c r="AD32" s="244" t="str">
        <f>IF($B$12="individual",Constants!F57,Constants!L57)</f>
        <v>number of trainings weeks per year</v>
      </c>
      <c r="AE32" s="252">
        <f>MAX(C58:C70)</f>
        <v>42</v>
      </c>
      <c r="AF32" s="250">
        <f>IF(AE32&gt;=40,3,IF(AE32&gt;=35,2,1))</f>
        <v>3</v>
      </c>
      <c r="AG32" s="560"/>
      <c r="AH32" s="560"/>
      <c r="AI32" s="560"/>
      <c r="AJ32" s="560"/>
    </row>
    <row r="33" spans="1:58" ht="15.75" customHeight="1" thickBot="1">
      <c r="A33" s="93" t="s">
        <v>446</v>
      </c>
      <c r="F33" s="94"/>
      <c r="G33" s="17"/>
      <c r="H33" s="16"/>
      <c r="I33" s="16"/>
      <c r="J33" s="16"/>
      <c r="K33" s="17"/>
      <c r="L33" s="17"/>
      <c r="M33" s="17"/>
      <c r="N33" s="17"/>
      <c r="O33" s="17"/>
      <c r="P33" s="17"/>
      <c r="Q33" s="16"/>
      <c r="R33" s="17"/>
      <c r="S33" s="17"/>
      <c r="T33" s="17"/>
      <c r="U33" s="17"/>
      <c r="V33" s="17"/>
      <c r="W33" s="17"/>
      <c r="X33" s="17"/>
      <c r="Y33" s="17"/>
      <c r="Z33" s="17"/>
      <c r="AA33" s="17"/>
      <c r="AB33" s="17"/>
      <c r="AC33" s="17"/>
      <c r="AD33" s="244" t="str">
        <f>IF($B$12="individual",Constants!F58,Constants!L58)</f>
        <v>number of training hours by RT / PT-V</v>
      </c>
      <c r="AE33" s="251">
        <f>(SUMIF(H58:H70,"RT",F58:F70)+SUMIF(H58:H70,"PT-V",F58:F70))/SUM(F58:F70)</f>
        <v>0.76156583629893237</v>
      </c>
      <c r="AF33" s="270">
        <f>IF(AE33&gt;0.9,3,IF(AE33&gt;0.6,2,IF(AE33&gt;0.3,1,0)))</f>
        <v>2</v>
      </c>
      <c r="AG33" s="560"/>
      <c r="AH33" s="560"/>
      <c r="AI33" s="560"/>
      <c r="AJ33" s="560"/>
    </row>
    <row r="34" spans="1:58" ht="15.75" customHeight="1" thickBot="1">
      <c r="A34" s="713" t="s">
        <v>447</v>
      </c>
      <c r="B34" s="714"/>
      <c r="C34" s="714"/>
      <c r="D34" s="714"/>
      <c r="E34" s="714"/>
      <c r="F34" s="715"/>
      <c r="G34" s="17"/>
      <c r="H34" s="16"/>
      <c r="I34" s="16"/>
      <c r="J34" s="16"/>
      <c r="K34" s="17"/>
      <c r="L34" s="17"/>
      <c r="M34" s="17"/>
      <c r="N34" s="17"/>
      <c r="O34" s="17"/>
      <c r="P34" s="17"/>
      <c r="Q34" s="16"/>
      <c r="R34" s="17"/>
      <c r="S34" s="17"/>
      <c r="T34" s="17"/>
      <c r="U34" s="17"/>
      <c r="V34" s="17"/>
      <c r="W34" s="17"/>
      <c r="X34" s="17"/>
      <c r="Y34" s="17"/>
      <c r="Z34" s="17"/>
      <c r="AA34" s="17"/>
      <c r="AB34" s="17"/>
      <c r="AC34" s="17"/>
      <c r="AD34" s="244" t="str">
        <f>IF($B$12="individual",Constants!F59,Constants!L59)</f>
        <v>number of training groups / teams</v>
      </c>
      <c r="AE34" s="244">
        <f>B10</f>
        <v>10</v>
      </c>
      <c r="AF34" s="271">
        <f>IF(AE34&gt;9,3,IF(AE34&gt;4,2,IF(AE34&gt;2,1,0)))</f>
        <v>3</v>
      </c>
      <c r="AG34" s="560"/>
      <c r="AH34" s="560"/>
      <c r="AI34" s="560"/>
      <c r="AJ34" s="560"/>
    </row>
    <row r="35" spans="1:58" ht="15.75" customHeight="1" thickTop="1" thickBot="1">
      <c r="A35" s="16"/>
      <c r="G35" s="17"/>
      <c r="H35" s="16"/>
      <c r="I35" s="16"/>
      <c r="J35" s="16"/>
      <c r="K35" s="17"/>
      <c r="L35" s="17"/>
      <c r="M35" s="17"/>
      <c r="N35" s="17"/>
      <c r="O35" s="17"/>
      <c r="P35" s="17"/>
      <c r="Q35" s="16"/>
      <c r="R35" s="17"/>
      <c r="S35" s="17"/>
      <c r="T35" s="17"/>
      <c r="U35" s="17"/>
      <c r="V35" s="17"/>
      <c r="W35" s="17"/>
      <c r="X35" s="17"/>
      <c r="Y35" s="17"/>
      <c r="Z35" s="17"/>
      <c r="AA35" s="17"/>
      <c r="AB35" s="17"/>
      <c r="AC35" s="17"/>
      <c r="AD35" s="244" t="str">
        <f>IF($B$12="individual",Constants!F60,Constants!L60)</f>
        <v>number of competitions organised</v>
      </c>
      <c r="AE35" s="249">
        <v>3</v>
      </c>
      <c r="AF35" s="271">
        <f>IF(AE35&gt;=4,5,IF(AE35&gt;=2,3,IF(AE35&gt;=1,1,0)))</f>
        <v>3</v>
      </c>
      <c r="AG35" s="560"/>
      <c r="AH35" s="560"/>
      <c r="AI35" s="560"/>
      <c r="AJ35" s="560"/>
    </row>
    <row r="36" spans="1:58" ht="15.75" customHeight="1" thickBot="1">
      <c r="A36" s="179" t="s">
        <v>448</v>
      </c>
      <c r="B36" s="16"/>
      <c r="C36" s="16"/>
      <c r="D36" s="16"/>
      <c r="E36" s="16"/>
      <c r="F36" s="16"/>
      <c r="G36" s="16"/>
      <c r="H36" s="16"/>
      <c r="I36" s="16"/>
      <c r="J36" s="16"/>
      <c r="K36" s="16"/>
      <c r="L36" s="16"/>
      <c r="M36" s="16"/>
      <c r="N36" s="16"/>
      <c r="O36" s="16"/>
      <c r="P36" s="16"/>
      <c r="Q36" s="16"/>
      <c r="R36" s="16"/>
      <c r="S36" s="16"/>
      <c r="T36" s="16"/>
      <c r="U36" s="16"/>
      <c r="V36" s="16"/>
      <c r="W36" s="16"/>
      <c r="X36" s="16"/>
      <c r="Y36" s="16"/>
      <c r="Z36" s="16"/>
      <c r="AA36" s="16"/>
      <c r="AB36" s="18"/>
      <c r="AC36" s="16"/>
      <c r="AD36" s="244" t="str">
        <f>IF($B$12="individual",Constants!F61,Constants!L61)</f>
        <v>number of social activities</v>
      </c>
      <c r="AE36" s="249">
        <v>23</v>
      </c>
      <c r="AF36" s="271">
        <f>IF(AE36&gt;=20,2,IF(AE36&gt;=10,1,0))</f>
        <v>2</v>
      </c>
      <c r="AG36" s="560"/>
      <c r="AH36" s="560"/>
      <c r="AI36" s="560"/>
      <c r="AJ36" s="560"/>
    </row>
    <row r="37" spans="1:58" ht="15" customHeight="1" thickTop="1" thickBot="1">
      <c r="A37" s="258" t="s">
        <v>449</v>
      </c>
      <c r="B37" s="259" t="s">
        <v>450</v>
      </c>
      <c r="C37" s="258" t="s">
        <v>451</v>
      </c>
      <c r="D37" s="258" t="s">
        <v>452</v>
      </c>
      <c r="E37" s="258" t="s">
        <v>453</v>
      </c>
      <c r="F37" s="258" t="s">
        <v>454</v>
      </c>
      <c r="G37" s="259" t="s">
        <v>455</v>
      </c>
      <c r="H37" s="593" t="s">
        <v>456</v>
      </c>
      <c r="I37" s="736"/>
      <c r="J37" s="737"/>
      <c r="K37" s="98"/>
      <c r="L37" s="98"/>
      <c r="M37" s="98"/>
      <c r="N37" s="98"/>
      <c r="O37" s="98"/>
      <c r="P37" s="98"/>
      <c r="Q37" s="98"/>
      <c r="R37" s="98"/>
      <c r="S37" s="98"/>
      <c r="T37" s="98"/>
      <c r="U37" s="96"/>
      <c r="V37" s="96"/>
      <c r="W37" s="96"/>
      <c r="X37" s="96"/>
      <c r="Y37" s="99"/>
      <c r="Z37" s="96"/>
      <c r="AA37" s="96"/>
      <c r="AB37" s="100"/>
      <c r="AC37" s="100"/>
      <c r="AD37" s="244" t="str">
        <f>IF($B$12="individual",Constants!F62,Constants!L62)</f>
        <v>number of bar days</v>
      </c>
      <c r="AE37" s="249">
        <v>17</v>
      </c>
      <c r="AF37" s="271">
        <f>IF(AE37&gt;=15,2,IF(AE37&gt;=8,1,0))</f>
        <v>2</v>
      </c>
      <c r="AG37" s="560"/>
      <c r="AH37" s="560"/>
      <c r="AI37" s="560"/>
      <c r="AJ37" s="560"/>
      <c r="AK37" s="100"/>
      <c r="AL37" s="100"/>
      <c r="AM37" s="100"/>
      <c r="AN37" s="100"/>
      <c r="AO37" s="100"/>
      <c r="AP37" s="100"/>
      <c r="AQ37" s="100"/>
      <c r="AR37" s="100"/>
      <c r="AS37" s="100"/>
      <c r="AT37" s="100"/>
      <c r="AU37" s="100"/>
      <c r="AV37" s="100"/>
      <c r="AW37" s="100"/>
      <c r="AX37" s="100"/>
      <c r="AY37" s="100"/>
      <c r="AZ37" s="100"/>
      <c r="BA37" s="100"/>
      <c r="BB37" s="100"/>
      <c r="BC37" s="100"/>
      <c r="BD37" s="100"/>
      <c r="BE37" s="100"/>
      <c r="BF37" s="100"/>
    </row>
    <row r="38" spans="1:58" ht="15" customHeight="1" thickTop="1" thickBot="1">
      <c r="A38" s="312" t="s">
        <v>556</v>
      </c>
      <c r="B38" s="232">
        <v>14</v>
      </c>
      <c r="C38" s="269">
        <v>2</v>
      </c>
      <c r="D38" s="269">
        <v>42</v>
      </c>
      <c r="E38" s="313" t="s">
        <v>57</v>
      </c>
      <c r="F38" s="261" t="s">
        <v>557</v>
      </c>
      <c r="G38" s="325"/>
      <c r="H38" s="589"/>
      <c r="I38" s="589"/>
      <c r="J38" s="590"/>
      <c r="K38" s="98"/>
      <c r="L38" s="98"/>
      <c r="M38" s="98"/>
      <c r="N38" s="98"/>
      <c r="O38" s="98"/>
      <c r="P38" s="98"/>
      <c r="Q38" s="98"/>
      <c r="R38" s="98"/>
      <c r="S38" s="98"/>
      <c r="T38" s="98"/>
      <c r="U38" s="96"/>
      <c r="V38" s="96"/>
      <c r="W38" s="96"/>
      <c r="X38" s="96"/>
      <c r="Y38" s="99"/>
      <c r="Z38" s="96"/>
      <c r="AA38" s="96"/>
      <c r="AB38" s="100"/>
      <c r="AC38" s="100"/>
      <c r="AD38" s="244" t="str">
        <f>IF($B$12="individual",Constants!F63,Constants!L63)</f>
        <v>own bar / extra location</v>
      </c>
      <c r="AE38" s="249">
        <v>0</v>
      </c>
      <c r="AF38" s="271">
        <f>IF(AE38&gt;=15,2,IF(AE38&gt;=8,1,0))</f>
        <v>0</v>
      </c>
      <c r="AG38" s="560"/>
      <c r="AH38" s="560"/>
      <c r="AI38" s="560"/>
      <c r="AJ38" s="560"/>
      <c r="AK38" s="100"/>
      <c r="AL38" s="100"/>
      <c r="AM38" s="100"/>
      <c r="AN38" s="100"/>
      <c r="AO38" s="100"/>
      <c r="AP38" s="100"/>
      <c r="AQ38" s="100"/>
      <c r="AR38" s="100"/>
      <c r="AS38" s="100"/>
      <c r="AT38" s="100"/>
      <c r="AU38" s="100"/>
      <c r="AV38" s="100"/>
      <c r="AW38" s="100"/>
      <c r="AX38" s="100"/>
      <c r="AY38" s="100"/>
      <c r="AZ38" s="100"/>
      <c r="BA38" s="100"/>
      <c r="BB38" s="100"/>
      <c r="BC38" s="100"/>
      <c r="BD38" s="100"/>
      <c r="BE38" s="100"/>
      <c r="BF38" s="100"/>
    </row>
    <row r="39" spans="1:58" ht="15" customHeight="1" thickBot="1">
      <c r="A39" s="312" t="s">
        <v>558</v>
      </c>
      <c r="B39" s="232">
        <v>14</v>
      </c>
      <c r="C39" s="269">
        <v>2</v>
      </c>
      <c r="D39" s="269">
        <v>42</v>
      </c>
      <c r="E39" s="313" t="s">
        <v>55</v>
      </c>
      <c r="F39" s="261" t="s">
        <v>559</v>
      </c>
      <c r="G39" s="325"/>
      <c r="H39" s="589"/>
      <c r="I39" s="589"/>
      <c r="J39" s="590"/>
      <c r="K39" s="98"/>
      <c r="L39" s="98"/>
      <c r="M39" s="98"/>
      <c r="N39" s="98"/>
      <c r="O39" s="98"/>
      <c r="P39" s="98"/>
      <c r="Q39" s="98"/>
      <c r="R39" s="98"/>
      <c r="S39" s="98"/>
      <c r="T39" s="98"/>
      <c r="U39" s="96"/>
      <c r="V39" s="96"/>
      <c r="W39" s="96"/>
      <c r="X39" s="96"/>
      <c r="Y39" s="99"/>
      <c r="Z39" s="96"/>
      <c r="AA39" s="96"/>
      <c r="AB39" s="100"/>
      <c r="AC39" s="100"/>
      <c r="AD39" s="244" t="str">
        <f>IF($B$12="individual",Constants!F65,Constants!L64)</f>
        <v>number of facilities used</v>
      </c>
      <c r="AE39" s="249">
        <v>1</v>
      </c>
      <c r="AF39" s="273">
        <f>IF(B12="individual", IF(AE39&gt;10, 5, IF(AE39&gt;6, 3, IF(AE39&gt;2, 1, 0))), IF(AE39&gt;3, 3, IF(AE39&gt;1, 2, 1)))</f>
        <v>1</v>
      </c>
      <c r="AG39" s="560"/>
      <c r="AH39" s="560"/>
      <c r="AI39" s="560"/>
      <c r="AJ39" s="560"/>
      <c r="AK39" s="100"/>
      <c r="AL39" s="100"/>
      <c r="AM39" s="100"/>
      <c r="AN39" s="100"/>
      <c r="AO39" s="100"/>
      <c r="AP39" s="100"/>
      <c r="AQ39" s="100"/>
      <c r="AR39" s="100"/>
      <c r="AS39" s="100"/>
      <c r="AT39" s="100"/>
      <c r="AU39" s="100"/>
      <c r="AV39" s="100"/>
      <c r="AW39" s="100"/>
      <c r="AX39" s="100"/>
      <c r="AY39" s="100"/>
      <c r="AZ39" s="100"/>
      <c r="BA39" s="100"/>
      <c r="BB39" s="100"/>
      <c r="BC39" s="100"/>
      <c r="BD39" s="100"/>
      <c r="BE39" s="100"/>
      <c r="BF39" s="100"/>
    </row>
    <row r="40" spans="1:58" ht="15" customHeight="1" thickBot="1">
      <c r="A40" s="312" t="s">
        <v>560</v>
      </c>
      <c r="B40" s="232">
        <v>14</v>
      </c>
      <c r="C40" s="269">
        <v>2</v>
      </c>
      <c r="D40" s="269">
        <v>42</v>
      </c>
      <c r="E40" s="313" t="s">
        <v>55</v>
      </c>
      <c r="F40" s="261" t="s">
        <v>559</v>
      </c>
      <c r="G40" s="325"/>
      <c r="H40" s="589"/>
      <c r="I40" s="589"/>
      <c r="J40" s="590"/>
      <c r="K40" s="98"/>
      <c r="L40" s="98"/>
      <c r="M40" s="98"/>
      <c r="N40" s="98"/>
      <c r="O40" s="98"/>
      <c r="P40" s="98"/>
      <c r="Q40" s="98"/>
      <c r="R40" s="98"/>
      <c r="S40" s="98"/>
      <c r="T40" s="98"/>
      <c r="U40" s="96"/>
      <c r="V40" s="96"/>
      <c r="W40" s="96"/>
      <c r="X40" s="96"/>
      <c r="Y40" s="99"/>
      <c r="Z40" s="96"/>
      <c r="AA40" s="96"/>
      <c r="AB40" s="100"/>
      <c r="AC40" s="100"/>
      <c r="AD40" s="231" t="str">
        <f>IF($B$12="individual",Constants!F64,Constants!L65)</f>
        <v>ratio of competing teams / training teams</v>
      </c>
      <c r="AE40" s="248">
        <f>IF(AD40="n/a","",COUNTA(A49:A53)/COUNTA(A38:A45))</f>
        <v>0.25</v>
      </c>
      <c r="AF40" s="272">
        <f>IF(B12="group", IF(AE40&gt;0.15, 5, IF(AE40&gt;0.1, 3, IF(AE40&gt;0.05, 1, 0))), " ")</f>
        <v>5</v>
      </c>
      <c r="AG40" s="560"/>
      <c r="AH40" s="560"/>
      <c r="AI40" s="560"/>
      <c r="AJ40" s="560"/>
      <c r="AK40" s="100"/>
      <c r="AL40" s="100"/>
      <c r="AM40" s="100"/>
      <c r="AN40" s="100"/>
      <c r="AO40" s="100"/>
      <c r="AP40" s="100"/>
      <c r="AQ40" s="100"/>
      <c r="AR40" s="100"/>
      <c r="AS40" s="100"/>
      <c r="AT40" s="100"/>
      <c r="AU40" s="100"/>
      <c r="AV40" s="100"/>
      <c r="AW40" s="100"/>
      <c r="AX40" s="100"/>
      <c r="AY40" s="100"/>
      <c r="AZ40" s="100"/>
      <c r="BA40" s="100"/>
      <c r="BB40" s="100"/>
      <c r="BC40" s="100"/>
      <c r="BD40" s="100"/>
      <c r="BE40" s="100"/>
      <c r="BF40" s="100"/>
    </row>
    <row r="41" spans="1:58" ht="14.25" customHeight="1" thickBot="1">
      <c r="A41" s="312" t="s">
        <v>561</v>
      </c>
      <c r="B41" s="232">
        <v>14</v>
      </c>
      <c r="C41" s="269">
        <v>2</v>
      </c>
      <c r="D41" s="269">
        <v>42</v>
      </c>
      <c r="E41" s="313" t="s">
        <v>55</v>
      </c>
      <c r="F41" s="261" t="s">
        <v>562</v>
      </c>
      <c r="G41" s="325"/>
      <c r="H41" s="589"/>
      <c r="I41" s="589"/>
      <c r="J41" s="590"/>
      <c r="K41" s="16"/>
      <c r="L41" s="16"/>
      <c r="M41" s="16"/>
      <c r="N41" s="16"/>
      <c r="O41" s="16"/>
      <c r="P41" s="16"/>
      <c r="Q41" s="16"/>
      <c r="R41" s="16"/>
      <c r="S41" s="16"/>
      <c r="T41" s="16"/>
      <c r="U41" s="16"/>
      <c r="V41" s="16"/>
      <c r="W41" s="16"/>
      <c r="X41" s="16"/>
      <c r="Y41" s="17"/>
      <c r="Z41" s="16"/>
      <c r="AA41" s="16"/>
      <c r="AD41" s="16"/>
      <c r="AE41" s="275" t="s">
        <v>461</v>
      </c>
      <c r="AF41" s="277">
        <f>SUM(AF30:AF40)</f>
        <v>27</v>
      </c>
      <c r="AG41" s="247"/>
      <c r="AH41" s="245"/>
      <c r="AI41" s="246"/>
      <c r="AJ41" s="247"/>
    </row>
    <row r="42" spans="1:58" ht="14.25" customHeight="1">
      <c r="A42" s="312" t="s">
        <v>563</v>
      </c>
      <c r="B42" s="232">
        <v>12</v>
      </c>
      <c r="C42" s="269">
        <v>2</v>
      </c>
      <c r="D42" s="269">
        <v>42</v>
      </c>
      <c r="E42" s="313" t="s">
        <v>281</v>
      </c>
      <c r="F42" s="369" t="s">
        <v>557</v>
      </c>
      <c r="G42" s="325"/>
      <c r="H42" s="589"/>
      <c r="I42" s="589"/>
      <c r="J42" s="590"/>
      <c r="K42" s="16"/>
      <c r="L42" s="16"/>
      <c r="M42" s="16"/>
      <c r="N42" s="16"/>
      <c r="O42" s="16"/>
      <c r="P42" s="16"/>
      <c r="Q42" s="16"/>
      <c r="R42" s="16"/>
      <c r="S42" s="16"/>
      <c r="T42" s="16"/>
      <c r="U42" s="16"/>
      <c r="V42" s="16"/>
      <c r="W42" s="16"/>
      <c r="X42" s="16"/>
      <c r="Y42" s="17"/>
      <c r="Z42" s="16"/>
      <c r="AA42" s="16"/>
    </row>
    <row r="43" spans="1:58" ht="15.75" customHeight="1">
      <c r="A43" s="312" t="s">
        <v>564</v>
      </c>
      <c r="B43" s="232">
        <v>12</v>
      </c>
      <c r="C43" s="269">
        <v>2</v>
      </c>
      <c r="D43" s="269">
        <v>42</v>
      </c>
      <c r="E43" s="245" t="s">
        <v>55</v>
      </c>
      <c r="F43" s="261" t="s">
        <v>562</v>
      </c>
      <c r="G43" s="325"/>
      <c r="H43" s="589"/>
      <c r="I43" s="589"/>
      <c r="J43" s="590"/>
      <c r="K43" s="16"/>
      <c r="L43" s="16"/>
      <c r="M43" s="16"/>
      <c r="N43" s="16"/>
      <c r="O43" s="16"/>
      <c r="P43" s="16"/>
      <c r="Q43" s="16"/>
      <c r="R43" s="16"/>
      <c r="S43" s="16"/>
      <c r="T43" s="16"/>
      <c r="U43" s="16"/>
      <c r="V43" s="16"/>
      <c r="W43" s="16"/>
      <c r="X43" s="16"/>
      <c r="Y43" s="16"/>
      <c r="Z43" s="16"/>
      <c r="AA43" s="16"/>
    </row>
    <row r="44" spans="1:58" ht="15.75" customHeight="1">
      <c r="A44" s="231" t="s">
        <v>565</v>
      </c>
      <c r="B44" s="232">
        <v>20</v>
      </c>
      <c r="C44" s="231">
        <v>2</v>
      </c>
      <c r="D44" s="231">
        <v>42</v>
      </c>
      <c r="E44" s="245" t="s">
        <v>55</v>
      </c>
      <c r="F44" s="261" t="s">
        <v>566</v>
      </c>
      <c r="G44" s="325"/>
      <c r="H44" s="589"/>
      <c r="I44" s="589"/>
      <c r="J44" s="590"/>
      <c r="K44" s="16"/>
      <c r="L44" s="16"/>
      <c r="M44" s="16"/>
      <c r="N44" s="16"/>
      <c r="O44" s="16"/>
      <c r="P44" s="16"/>
      <c r="Q44" s="16"/>
      <c r="R44" s="16"/>
      <c r="S44" s="16"/>
      <c r="T44" s="16"/>
      <c r="U44" s="16"/>
      <c r="V44" s="16"/>
      <c r="W44" s="16"/>
      <c r="X44" s="16"/>
      <c r="Y44" s="16"/>
      <c r="Z44" s="16"/>
      <c r="AA44" s="16"/>
    </row>
    <row r="45" spans="1:58" ht="15.75" customHeight="1" thickBot="1">
      <c r="A45" s="231" t="s">
        <v>567</v>
      </c>
      <c r="B45" s="232">
        <v>20</v>
      </c>
      <c r="C45" s="231">
        <v>2</v>
      </c>
      <c r="D45" s="231">
        <v>42</v>
      </c>
      <c r="E45" s="245" t="s">
        <v>55</v>
      </c>
      <c r="F45" s="261" t="s">
        <v>566</v>
      </c>
      <c r="G45" s="231"/>
      <c r="H45" s="591"/>
      <c r="I45" s="591"/>
      <c r="J45" s="592"/>
      <c r="K45" s="16"/>
      <c r="L45" s="16"/>
      <c r="M45" s="16"/>
      <c r="N45" s="16"/>
      <c r="O45" s="16"/>
      <c r="P45" s="16"/>
      <c r="Q45" s="16"/>
      <c r="R45" s="16"/>
      <c r="S45" s="16"/>
      <c r="T45" s="16"/>
      <c r="U45" s="16"/>
      <c r="V45" s="16"/>
      <c r="W45" s="16"/>
      <c r="X45" s="16"/>
      <c r="Y45" s="16"/>
      <c r="Z45" s="16"/>
      <c r="AA45" s="16"/>
    </row>
    <row r="46" spans="1:58" ht="15.75" customHeight="1" thickTop="1">
      <c r="A46" s="18"/>
      <c r="B46" s="18"/>
      <c r="C46" s="18"/>
      <c r="D46" s="18"/>
      <c r="E46" s="18"/>
      <c r="F46" s="18"/>
      <c r="G46" s="17"/>
      <c r="H46" s="17"/>
      <c r="I46" s="17"/>
      <c r="J46" s="17"/>
      <c r="K46" s="17"/>
      <c r="L46" s="17"/>
      <c r="M46" s="17"/>
      <c r="N46" s="17"/>
      <c r="O46" s="17"/>
      <c r="P46" s="17"/>
      <c r="Q46" s="16"/>
      <c r="R46" s="17"/>
      <c r="S46" s="17"/>
      <c r="T46" s="17"/>
      <c r="U46" s="17"/>
      <c r="V46" s="17"/>
      <c r="W46" s="17"/>
      <c r="X46" s="17"/>
      <c r="Y46" s="17"/>
      <c r="Z46" s="17"/>
      <c r="AA46" s="17"/>
      <c r="AB46" s="17"/>
      <c r="AC46" s="17"/>
      <c r="AD46" s="17"/>
    </row>
    <row r="47" spans="1:58" ht="15.75" customHeight="1" thickBot="1">
      <c r="A47" s="179" t="s">
        <v>462</v>
      </c>
      <c r="B47" s="169"/>
      <c r="C47" s="16"/>
      <c r="D47" s="16"/>
      <c r="E47" s="16"/>
      <c r="F47" s="16"/>
      <c r="G47" s="16"/>
      <c r="H47" s="16"/>
      <c r="I47" s="16"/>
      <c r="J47" s="16"/>
      <c r="K47" s="16"/>
      <c r="L47" s="16"/>
      <c r="M47" s="16"/>
      <c r="N47" s="16"/>
      <c r="O47" s="16"/>
      <c r="P47" s="16"/>
      <c r="Q47" s="16"/>
      <c r="R47" s="16"/>
      <c r="S47" s="16"/>
      <c r="T47" s="16"/>
      <c r="U47" s="16"/>
      <c r="V47" s="16"/>
      <c r="W47" s="16"/>
      <c r="X47" s="16"/>
      <c r="Y47" s="16"/>
      <c r="Z47" s="16"/>
      <c r="AA47" s="16"/>
      <c r="AB47" s="18"/>
      <c r="AC47" s="16"/>
      <c r="AD47" s="16"/>
    </row>
    <row r="48" spans="1:58" ht="15" customHeight="1" thickTop="1">
      <c r="A48" s="258" t="s">
        <v>449</v>
      </c>
      <c r="B48" s="259" t="s">
        <v>450</v>
      </c>
      <c r="C48" s="258" t="s">
        <v>463</v>
      </c>
      <c r="D48" s="258" t="s">
        <v>464</v>
      </c>
      <c r="E48" s="258" t="s">
        <v>465</v>
      </c>
      <c r="F48" s="258" t="s">
        <v>466</v>
      </c>
      <c r="G48" s="258" t="s">
        <v>467</v>
      </c>
      <c r="H48" s="259" t="s">
        <v>455</v>
      </c>
      <c r="I48" s="561" t="s">
        <v>456</v>
      </c>
      <c r="J48" s="716"/>
      <c r="K48" s="717"/>
      <c r="L48" s="98"/>
      <c r="M48" s="98"/>
      <c r="N48" s="98"/>
      <c r="O48" s="98"/>
      <c r="P48" s="98"/>
      <c r="Q48" s="98"/>
      <c r="R48" s="98"/>
      <c r="S48" s="98"/>
      <c r="T48" s="98"/>
      <c r="U48" s="98"/>
      <c r="V48" s="96"/>
      <c r="W48" s="96"/>
      <c r="X48" s="96"/>
      <c r="Y48" s="96"/>
      <c r="Z48" s="99"/>
      <c r="AA48" s="96"/>
      <c r="AB48" s="96"/>
      <c r="AC48" s="100"/>
      <c r="AD48" s="100"/>
      <c r="AE48" s="100"/>
      <c r="AF48" s="100"/>
      <c r="AG48" s="100"/>
      <c r="AH48" s="100"/>
      <c r="AI48" s="100"/>
      <c r="AJ48" s="100"/>
      <c r="AK48" s="100"/>
      <c r="AL48" s="100"/>
      <c r="AM48" s="100"/>
      <c r="AN48" s="100"/>
      <c r="AO48" s="100"/>
      <c r="AP48" s="100"/>
      <c r="AQ48" s="100"/>
      <c r="AR48" s="100"/>
      <c r="AS48" s="100"/>
      <c r="AT48" s="100"/>
      <c r="AU48" s="100"/>
      <c r="AV48" s="100"/>
      <c r="AW48" s="100"/>
      <c r="AX48" s="100"/>
      <c r="AY48" s="100"/>
      <c r="AZ48" s="100"/>
      <c r="BA48" s="100"/>
      <c r="BB48" s="100"/>
      <c r="BC48" s="100"/>
      <c r="BD48" s="100"/>
      <c r="BE48" s="100"/>
      <c r="BF48" s="100"/>
    </row>
    <row r="49" spans="1:30" ht="14.25" customHeight="1">
      <c r="A49" s="312" t="s">
        <v>556</v>
      </c>
      <c r="B49" s="232">
        <v>14</v>
      </c>
      <c r="C49" s="269" t="s">
        <v>568</v>
      </c>
      <c r="D49" s="269" t="s">
        <v>57</v>
      </c>
      <c r="E49" s="232">
        <v>2</v>
      </c>
      <c r="F49" s="261">
        <v>3</v>
      </c>
      <c r="G49" s="231" t="s">
        <v>419</v>
      </c>
      <c r="H49" s="323"/>
      <c r="I49" s="571"/>
      <c r="J49" s="696"/>
      <c r="K49" s="718"/>
      <c r="L49" s="16"/>
      <c r="M49" s="16"/>
      <c r="N49" s="16"/>
      <c r="O49" s="16"/>
      <c r="P49" s="16"/>
      <c r="Q49" s="16"/>
      <c r="R49" s="16"/>
      <c r="S49" s="16"/>
      <c r="T49" s="16"/>
      <c r="U49" s="16"/>
      <c r="V49" s="16"/>
      <c r="W49" s="16"/>
      <c r="X49" s="16"/>
      <c r="Y49" s="16"/>
      <c r="Z49" s="17"/>
      <c r="AA49" s="16"/>
      <c r="AB49" s="16"/>
    </row>
    <row r="50" spans="1:30" ht="14.25" customHeight="1">
      <c r="A50" s="312" t="s">
        <v>563</v>
      </c>
      <c r="B50" s="232">
        <v>14</v>
      </c>
      <c r="C50" s="269" t="s">
        <v>569</v>
      </c>
      <c r="D50" s="269" t="s">
        <v>281</v>
      </c>
      <c r="E50" s="245">
        <v>2</v>
      </c>
      <c r="F50" s="261">
        <v>3</v>
      </c>
      <c r="G50" s="231" t="s">
        <v>419</v>
      </c>
      <c r="H50" s="323"/>
      <c r="I50" s="696"/>
      <c r="J50" s="696"/>
      <c r="K50" s="718"/>
      <c r="L50" s="16"/>
      <c r="M50" s="16"/>
      <c r="N50" s="16"/>
      <c r="O50" s="16"/>
      <c r="P50" s="16"/>
      <c r="Q50" s="16"/>
      <c r="R50" s="16"/>
      <c r="S50" s="16"/>
      <c r="T50" s="16"/>
      <c r="U50" s="16"/>
      <c r="V50" s="16"/>
      <c r="W50" s="16"/>
      <c r="X50" s="16"/>
      <c r="Y50" s="16"/>
      <c r="Z50" s="17"/>
      <c r="AA50" s="16"/>
      <c r="AB50" s="16"/>
    </row>
    <row r="51" spans="1:30" ht="15.75" customHeight="1">
      <c r="A51" s="323"/>
      <c r="B51" s="323"/>
      <c r="C51" s="323"/>
      <c r="D51" s="312"/>
      <c r="E51" s="328"/>
      <c r="F51" s="327"/>
      <c r="G51" s="329"/>
      <c r="H51" s="323"/>
      <c r="I51" s="696"/>
      <c r="J51" s="696"/>
      <c r="K51" s="718"/>
      <c r="L51" s="16"/>
      <c r="M51" s="16"/>
      <c r="N51" s="16"/>
      <c r="O51" s="16"/>
      <c r="P51" s="16"/>
      <c r="Q51" s="16"/>
      <c r="R51" s="16"/>
      <c r="S51" s="16"/>
      <c r="T51" s="16"/>
      <c r="U51" s="16"/>
      <c r="V51" s="16"/>
      <c r="W51" s="16"/>
      <c r="X51" s="16"/>
      <c r="Y51" s="16"/>
      <c r="Z51" s="16"/>
      <c r="AA51" s="16"/>
      <c r="AB51" s="16"/>
    </row>
    <row r="52" spans="1:30" ht="15.75" customHeight="1">
      <c r="A52" s="231"/>
      <c r="B52" s="232"/>
      <c r="C52" s="231"/>
      <c r="D52" s="269"/>
      <c r="E52" s="245"/>
      <c r="F52" s="261"/>
      <c r="G52" s="263"/>
      <c r="H52" s="231"/>
      <c r="I52" s="696"/>
      <c r="J52" s="696"/>
      <c r="K52" s="718"/>
      <c r="L52" s="16"/>
      <c r="M52" s="16"/>
      <c r="N52" s="16"/>
      <c r="O52" s="16"/>
      <c r="P52" s="16"/>
      <c r="Q52" s="16"/>
      <c r="R52" s="16"/>
      <c r="S52" s="16"/>
      <c r="T52" s="16"/>
      <c r="U52" s="16"/>
      <c r="V52" s="16"/>
      <c r="W52" s="16"/>
      <c r="X52" s="16"/>
      <c r="Y52" s="16"/>
      <c r="Z52" s="16"/>
      <c r="AA52" s="16"/>
      <c r="AB52" s="16"/>
    </row>
    <row r="53" spans="1:30" ht="15.75" customHeight="1" thickBot="1">
      <c r="A53" s="231"/>
      <c r="B53" s="326"/>
      <c r="C53" s="245"/>
      <c r="D53" s="245"/>
      <c r="E53" s="261"/>
      <c r="F53" s="261"/>
      <c r="G53" s="263"/>
      <c r="H53" s="231"/>
      <c r="I53" s="719"/>
      <c r="J53" s="719"/>
      <c r="K53" s="720"/>
      <c r="L53" s="16"/>
      <c r="M53" s="16"/>
      <c r="N53" s="16"/>
      <c r="O53" s="16"/>
      <c r="P53" s="16"/>
      <c r="Q53" s="16"/>
      <c r="R53" s="16"/>
      <c r="S53" s="16"/>
      <c r="T53" s="16"/>
      <c r="U53" s="16"/>
      <c r="V53" s="16"/>
      <c r="W53" s="16"/>
      <c r="X53" s="16"/>
      <c r="Y53" s="16"/>
      <c r="Z53" s="16"/>
      <c r="AA53" s="16"/>
      <c r="AB53" s="16"/>
    </row>
    <row r="54" spans="1:30" ht="15.75" customHeight="1" thickTop="1">
      <c r="A54" s="15"/>
      <c r="B54" s="16"/>
      <c r="C54" s="16"/>
      <c r="D54" s="16"/>
      <c r="E54" s="16"/>
      <c r="F54" s="16"/>
      <c r="G54" s="16"/>
      <c r="H54" s="16"/>
      <c r="I54" s="16"/>
      <c r="J54" s="16"/>
      <c r="K54" s="16"/>
      <c r="L54" s="16"/>
      <c r="M54" s="16"/>
      <c r="N54" s="16"/>
      <c r="O54" s="16"/>
      <c r="P54" s="16"/>
      <c r="Q54" s="16"/>
      <c r="R54" s="16"/>
      <c r="S54" s="16"/>
      <c r="T54" s="16"/>
      <c r="U54" s="16"/>
      <c r="V54" s="16"/>
      <c r="W54" s="16"/>
      <c r="X54" s="16"/>
      <c r="Y54" s="16"/>
      <c r="Z54" s="16"/>
      <c r="AA54" s="16"/>
      <c r="AB54" s="16"/>
      <c r="AC54" s="16"/>
      <c r="AD54" s="16"/>
    </row>
    <row r="55" spans="1:30" ht="15.75" customHeight="1">
      <c r="A55" s="15"/>
      <c r="B55" s="16"/>
      <c r="C55" s="16"/>
      <c r="D55" s="16"/>
      <c r="E55" s="16"/>
      <c r="F55" s="16"/>
      <c r="G55" s="16"/>
      <c r="H55" s="16"/>
      <c r="I55" s="16"/>
      <c r="J55" s="16"/>
      <c r="K55" s="16"/>
      <c r="L55" s="16"/>
      <c r="M55" s="16"/>
      <c r="N55" s="16"/>
      <c r="O55" s="16"/>
      <c r="P55" s="16"/>
      <c r="Q55" s="16"/>
      <c r="W55" s="16"/>
      <c r="X55" s="16"/>
      <c r="Y55" s="16"/>
      <c r="Z55" s="16"/>
      <c r="AA55" s="16"/>
      <c r="AB55" s="16"/>
      <c r="AC55" s="16"/>
      <c r="AD55" s="16"/>
    </row>
    <row r="56" spans="1:30" ht="15.75" customHeight="1">
      <c r="A56" s="113" t="s">
        <v>475</v>
      </c>
      <c r="B56" s="180"/>
      <c r="C56" s="180"/>
      <c r="D56" s="180"/>
      <c r="E56" s="180"/>
      <c r="F56" s="180"/>
      <c r="G56" s="180"/>
      <c r="H56" s="180"/>
      <c r="I56" s="180"/>
      <c r="J56" s="16"/>
      <c r="K56" s="16"/>
      <c r="L56" s="16"/>
      <c r="M56" s="16"/>
      <c r="N56" s="16"/>
      <c r="O56" s="16"/>
      <c r="P56" s="16"/>
      <c r="Q56" s="16"/>
      <c r="W56" s="16"/>
      <c r="X56" s="16"/>
      <c r="Y56" s="16"/>
      <c r="Z56" s="16"/>
      <c r="AA56" s="16"/>
      <c r="AB56" s="16"/>
      <c r="AC56" s="16"/>
      <c r="AD56" s="16"/>
    </row>
    <row r="57" spans="1:30" ht="15.75" customHeight="1">
      <c r="A57" s="114" t="s">
        <v>476</v>
      </c>
      <c r="B57" s="15" t="s">
        <v>477</v>
      </c>
      <c r="C57" s="15" t="s">
        <v>478</v>
      </c>
      <c r="D57" s="15" t="s">
        <v>479</v>
      </c>
      <c r="E57" s="15" t="s">
        <v>480</v>
      </c>
      <c r="F57" s="15" t="s">
        <v>481</v>
      </c>
      <c r="G57" s="15" t="s">
        <v>482</v>
      </c>
      <c r="H57" s="15" t="s">
        <v>453</v>
      </c>
      <c r="I57" s="15" t="s">
        <v>483</v>
      </c>
      <c r="J57" s="15" t="s">
        <v>484</v>
      </c>
      <c r="K57" s="721" t="s">
        <v>485</v>
      </c>
      <c r="L57" s="716"/>
      <c r="M57" s="722"/>
      <c r="N57" s="15"/>
      <c r="O57" s="16"/>
      <c r="P57" s="16"/>
      <c r="Q57" s="16"/>
      <c r="W57" s="16"/>
      <c r="X57" s="16"/>
      <c r="Y57" s="16"/>
      <c r="Z57" s="16"/>
      <c r="AA57" s="16"/>
      <c r="AB57" s="16"/>
    </row>
    <row r="58" spans="1:30" ht="15" customHeight="1">
      <c r="A58" s="116" t="s">
        <v>556</v>
      </c>
      <c r="B58" s="117" t="s">
        <v>278</v>
      </c>
      <c r="C58" s="51">
        <v>42</v>
      </c>
      <c r="D58" s="51">
        <v>2</v>
      </c>
      <c r="E58" s="106">
        <v>3</v>
      </c>
      <c r="F58" s="117">
        <f>Arriba!$E58*Arriba!$C58</f>
        <v>126</v>
      </c>
      <c r="G58" s="137" t="s">
        <v>568</v>
      </c>
      <c r="H58" s="117" t="s">
        <v>57</v>
      </c>
      <c r="I58" s="119"/>
      <c r="J58" s="16"/>
      <c r="K58" s="588"/>
      <c r="L58" s="696"/>
      <c r="M58" s="723"/>
      <c r="N58" s="16"/>
      <c r="O58" s="16"/>
      <c r="P58" s="16"/>
      <c r="Q58" s="16"/>
      <c r="W58" s="16"/>
      <c r="X58" s="16"/>
      <c r="Y58" s="16"/>
      <c r="Z58" s="16"/>
      <c r="AA58" s="16"/>
      <c r="AB58" s="16"/>
    </row>
    <row r="59" spans="1:30" ht="15.75" customHeight="1">
      <c r="A59" s="16" t="s">
        <v>556</v>
      </c>
      <c r="B59" s="117" t="s">
        <v>282</v>
      </c>
      <c r="C59" s="51">
        <v>25</v>
      </c>
      <c r="D59" s="51">
        <v>1</v>
      </c>
      <c r="E59" s="106">
        <v>4</v>
      </c>
      <c r="F59" s="117">
        <f>Arriba!$E59*Arriba!$C59</f>
        <v>100</v>
      </c>
      <c r="G59" s="137" t="s">
        <v>568</v>
      </c>
      <c r="H59" s="117" t="s">
        <v>57</v>
      </c>
      <c r="I59" s="119"/>
      <c r="J59" s="16"/>
      <c r="K59" s="738"/>
      <c r="L59" s="696"/>
      <c r="M59" s="723"/>
      <c r="N59" s="16"/>
      <c r="O59" s="16"/>
      <c r="P59" s="16"/>
      <c r="Q59" s="16"/>
      <c r="W59" s="16"/>
      <c r="X59" s="16"/>
      <c r="Y59" s="16"/>
      <c r="Z59" s="16"/>
      <c r="AA59" s="16"/>
      <c r="AB59" s="16"/>
    </row>
    <row r="60" spans="1:30" ht="14.25" customHeight="1">
      <c r="A60" s="116" t="s">
        <v>558</v>
      </c>
      <c r="B60" s="117" t="s">
        <v>287</v>
      </c>
      <c r="C60" s="51">
        <v>42</v>
      </c>
      <c r="D60" s="51">
        <v>2</v>
      </c>
      <c r="E60" s="106">
        <v>3</v>
      </c>
      <c r="F60" s="117">
        <f>Arriba!$E60*Arriba!$C60</f>
        <v>126</v>
      </c>
      <c r="G60" s="117" t="s">
        <v>570</v>
      </c>
      <c r="H60" s="117" t="s">
        <v>55</v>
      </c>
      <c r="I60" s="119"/>
      <c r="J60" s="16"/>
      <c r="K60" s="738"/>
      <c r="L60" s="696"/>
      <c r="M60" s="723"/>
      <c r="N60" s="16"/>
      <c r="O60" s="16"/>
      <c r="P60" s="16"/>
      <c r="Q60" s="16"/>
      <c r="W60" s="16"/>
      <c r="X60" s="16"/>
      <c r="Y60" s="16"/>
      <c r="Z60" s="16"/>
      <c r="AA60" s="16"/>
      <c r="AB60" s="16"/>
    </row>
    <row r="61" spans="1:30" ht="15.75" customHeight="1">
      <c r="A61" s="116" t="s">
        <v>560</v>
      </c>
      <c r="B61" s="117" t="s">
        <v>287</v>
      </c>
      <c r="C61" s="51">
        <v>42</v>
      </c>
      <c r="D61" s="51">
        <v>2</v>
      </c>
      <c r="E61" s="106">
        <v>3</v>
      </c>
      <c r="F61" s="117">
        <f>Arriba!$E61*Arriba!$C61</f>
        <v>126</v>
      </c>
      <c r="G61" s="117" t="s">
        <v>570</v>
      </c>
      <c r="H61" s="117" t="s">
        <v>55</v>
      </c>
      <c r="I61" s="119"/>
      <c r="J61" s="16"/>
      <c r="K61" s="738"/>
      <c r="L61" s="696"/>
      <c r="M61" s="723"/>
      <c r="N61" s="16"/>
      <c r="O61" s="16"/>
      <c r="P61" s="16"/>
      <c r="Q61" s="16"/>
      <c r="W61" s="16"/>
      <c r="X61" s="16"/>
      <c r="Y61" s="16"/>
      <c r="Z61" s="16"/>
      <c r="AA61" s="16"/>
      <c r="AB61" s="16"/>
    </row>
    <row r="62" spans="1:30" ht="15.75" customHeight="1">
      <c r="A62" s="116" t="s">
        <v>561</v>
      </c>
      <c r="B62" s="117" t="s">
        <v>287</v>
      </c>
      <c r="C62" s="51">
        <v>42</v>
      </c>
      <c r="D62" s="51">
        <v>2</v>
      </c>
      <c r="E62" s="106">
        <v>3</v>
      </c>
      <c r="F62" s="117">
        <f>Arriba!$E62*Arriba!$C62</f>
        <v>126</v>
      </c>
      <c r="G62" s="117" t="s">
        <v>570</v>
      </c>
      <c r="H62" s="117" t="s">
        <v>55</v>
      </c>
      <c r="I62" s="119"/>
      <c r="J62" s="16"/>
      <c r="K62" s="738"/>
      <c r="L62" s="696"/>
      <c r="M62" s="723"/>
      <c r="N62" s="16"/>
      <c r="O62" s="16"/>
      <c r="P62" s="16"/>
      <c r="Q62" s="16"/>
      <c r="W62" s="16"/>
      <c r="X62" s="16"/>
      <c r="Y62" s="16"/>
      <c r="Z62" s="16"/>
      <c r="AA62" s="16"/>
      <c r="AB62" s="16"/>
    </row>
    <row r="63" spans="1:30" ht="15.75" customHeight="1">
      <c r="A63" s="116" t="s">
        <v>563</v>
      </c>
      <c r="B63" s="117" t="s">
        <v>278</v>
      </c>
      <c r="C63" s="51">
        <v>42</v>
      </c>
      <c r="D63" s="51">
        <v>2</v>
      </c>
      <c r="E63" s="106">
        <v>3</v>
      </c>
      <c r="F63" s="117">
        <f>Arriba!$E63*Arriba!$C63</f>
        <v>126</v>
      </c>
      <c r="G63" s="117" t="s">
        <v>569</v>
      </c>
      <c r="H63" s="117" t="s">
        <v>281</v>
      </c>
      <c r="I63" s="119"/>
      <c r="J63" s="16"/>
      <c r="K63" s="738"/>
      <c r="L63" s="696"/>
      <c r="M63" s="723"/>
      <c r="N63" s="16"/>
      <c r="O63" s="16"/>
      <c r="P63" s="16"/>
      <c r="Q63" s="16"/>
      <c r="W63" s="16"/>
      <c r="X63" s="16"/>
      <c r="Y63" s="16"/>
      <c r="Z63" s="16"/>
      <c r="AA63" s="16"/>
      <c r="AB63" s="16"/>
    </row>
    <row r="64" spans="1:30" ht="15.75" customHeight="1">
      <c r="A64" s="16" t="s">
        <v>563</v>
      </c>
      <c r="B64" s="117" t="s">
        <v>282</v>
      </c>
      <c r="C64" s="51">
        <v>25</v>
      </c>
      <c r="D64" s="51">
        <v>1</v>
      </c>
      <c r="E64" s="106">
        <v>4</v>
      </c>
      <c r="F64" s="117">
        <f>Arriba!$E64*Arriba!$C64</f>
        <v>100</v>
      </c>
      <c r="G64" s="117" t="s">
        <v>569</v>
      </c>
      <c r="H64" s="117" t="s">
        <v>281</v>
      </c>
      <c r="I64" s="119"/>
      <c r="J64" s="16"/>
      <c r="K64" s="738"/>
      <c r="L64" s="696"/>
      <c r="M64" s="723"/>
      <c r="N64" s="16"/>
      <c r="O64" s="16"/>
      <c r="P64" s="16"/>
      <c r="Q64" s="16"/>
      <c r="W64" s="16"/>
      <c r="X64" s="16"/>
      <c r="Y64" s="16"/>
      <c r="Z64" s="16"/>
      <c r="AA64" s="16"/>
      <c r="AB64" s="16"/>
    </row>
    <row r="65" spans="1:30" ht="15.75" customHeight="1">
      <c r="A65" s="116" t="s">
        <v>564</v>
      </c>
      <c r="B65" s="117" t="s">
        <v>287</v>
      </c>
      <c r="C65" s="51">
        <v>42</v>
      </c>
      <c r="D65" s="51">
        <v>2</v>
      </c>
      <c r="E65" s="106">
        <v>3</v>
      </c>
      <c r="F65" s="117">
        <f>Arriba!$E65*Arriba!$C65</f>
        <v>126</v>
      </c>
      <c r="G65" s="117" t="s">
        <v>570</v>
      </c>
      <c r="H65" s="117" t="s">
        <v>55</v>
      </c>
      <c r="I65" s="119"/>
      <c r="J65" s="16"/>
      <c r="K65" s="738"/>
      <c r="L65" s="696"/>
      <c r="M65" s="723"/>
      <c r="N65" s="16"/>
      <c r="O65" s="16"/>
      <c r="P65" s="16"/>
      <c r="Q65" s="16"/>
      <c r="W65" s="16"/>
      <c r="X65" s="16"/>
      <c r="Y65" s="16"/>
      <c r="Z65" s="16"/>
      <c r="AA65" s="16"/>
      <c r="AB65" s="16"/>
    </row>
    <row r="66" spans="1:30" ht="15.75" customHeight="1">
      <c r="A66" s="116" t="s">
        <v>571</v>
      </c>
      <c r="B66" s="117" t="s">
        <v>287</v>
      </c>
      <c r="C66" s="51">
        <v>42</v>
      </c>
      <c r="D66" s="51">
        <v>1</v>
      </c>
      <c r="E66" s="106">
        <v>1.5</v>
      </c>
      <c r="F66" s="117">
        <f>Arriba!$E66*Arriba!$C66</f>
        <v>63</v>
      </c>
      <c r="G66" s="117" t="s">
        <v>570</v>
      </c>
      <c r="H66" s="117" t="s">
        <v>55</v>
      </c>
      <c r="I66" s="119"/>
      <c r="J66" s="16"/>
      <c r="K66" s="738"/>
      <c r="L66" s="696"/>
      <c r="M66" s="723"/>
      <c r="N66" s="16"/>
      <c r="O66" s="16"/>
      <c r="P66" s="16"/>
      <c r="Q66" s="16"/>
      <c r="W66" s="16"/>
      <c r="X66" s="16"/>
      <c r="Y66" s="16"/>
      <c r="Z66" s="16"/>
      <c r="AA66" s="16"/>
      <c r="AB66" s="16"/>
    </row>
    <row r="67" spans="1:30" ht="15.75" customHeight="1">
      <c r="A67" s="116" t="s">
        <v>572</v>
      </c>
      <c r="B67" s="117" t="s">
        <v>287</v>
      </c>
      <c r="C67" s="51">
        <v>42</v>
      </c>
      <c r="D67" s="51">
        <v>1</v>
      </c>
      <c r="E67" s="106">
        <v>1.5</v>
      </c>
      <c r="F67" s="117">
        <f>Arriba!$E67*Arriba!$C67</f>
        <v>63</v>
      </c>
      <c r="G67" s="117" t="s">
        <v>570</v>
      </c>
      <c r="H67" s="117" t="s">
        <v>55</v>
      </c>
      <c r="I67" s="119"/>
      <c r="J67" s="16"/>
      <c r="K67" s="738"/>
      <c r="L67" s="696"/>
      <c r="M67" s="723"/>
      <c r="N67" s="16"/>
      <c r="O67" s="16"/>
      <c r="P67" s="16"/>
      <c r="Q67" s="16"/>
      <c r="W67" s="16"/>
      <c r="X67" s="16"/>
      <c r="Y67" s="16"/>
      <c r="Z67" s="16"/>
      <c r="AA67" s="16"/>
      <c r="AB67" s="16"/>
    </row>
    <row r="68" spans="1:30" ht="15.75" customHeight="1">
      <c r="A68" s="16" t="s">
        <v>290</v>
      </c>
      <c r="B68" s="117" t="s">
        <v>290</v>
      </c>
      <c r="C68" s="51">
        <v>42</v>
      </c>
      <c r="D68" s="51">
        <v>1</v>
      </c>
      <c r="E68" s="106">
        <v>1</v>
      </c>
      <c r="F68" s="117">
        <f>Arriba!$E68*Arriba!$C68</f>
        <v>42</v>
      </c>
      <c r="G68" s="137" t="s">
        <v>568</v>
      </c>
      <c r="H68" s="117" t="s">
        <v>57</v>
      </c>
      <c r="I68" s="119"/>
      <c r="J68" s="16"/>
      <c r="K68" s="738"/>
      <c r="L68" s="696"/>
      <c r="M68" s="723"/>
      <c r="N68" s="16"/>
      <c r="O68" s="16"/>
      <c r="P68" s="16"/>
      <c r="Q68" s="16"/>
      <c r="W68" s="16"/>
      <c r="X68" s="16"/>
      <c r="Y68" s="16"/>
      <c r="Z68" s="16"/>
      <c r="AA68" s="16"/>
      <c r="AB68" s="16"/>
    </row>
    <row r="69" spans="1:30" ht="15.75" customHeight="1">
      <c r="A69" s="16"/>
      <c r="B69" s="117"/>
      <c r="C69" s="51"/>
      <c r="D69" s="51"/>
      <c r="E69" s="106"/>
      <c r="F69" s="120"/>
      <c r="G69" s="16"/>
      <c r="H69" s="117"/>
      <c r="I69" s="119"/>
      <c r="J69" s="16"/>
      <c r="K69" s="738"/>
      <c r="L69" s="696"/>
      <c r="M69" s="723"/>
      <c r="N69" s="16"/>
      <c r="O69" s="16"/>
      <c r="P69" s="16"/>
      <c r="Q69" s="16"/>
      <c r="W69" s="16"/>
      <c r="X69" s="16"/>
      <c r="Y69" s="16"/>
      <c r="Z69" s="16"/>
      <c r="AA69" s="16"/>
      <c r="AB69" s="16"/>
    </row>
    <row r="70" spans="1:30" ht="15.75" customHeight="1">
      <c r="A70" s="121"/>
      <c r="B70" s="117"/>
      <c r="C70" s="182"/>
      <c r="D70" s="183"/>
      <c r="E70" s="184"/>
      <c r="F70" s="185"/>
      <c r="G70" s="112"/>
      <c r="H70" s="112"/>
      <c r="I70" s="122"/>
      <c r="J70" s="180"/>
      <c r="K70" s="739"/>
      <c r="L70" s="724"/>
      <c r="M70" s="725"/>
      <c r="N70" s="16"/>
      <c r="O70" s="16"/>
      <c r="P70" s="16"/>
      <c r="Q70" s="16"/>
      <c r="W70" s="16"/>
      <c r="X70" s="16"/>
      <c r="Y70" s="16"/>
      <c r="Z70" s="16"/>
      <c r="AA70" s="16"/>
      <c r="AB70" s="16"/>
    </row>
    <row r="71" spans="1:30" ht="15.75" customHeight="1" thickTop="1">
      <c r="A71" s="16"/>
      <c r="B71" s="16"/>
      <c r="C71" s="16"/>
      <c r="D71" s="16"/>
      <c r="E71" s="16"/>
      <c r="F71" s="16"/>
      <c r="G71" s="16"/>
      <c r="H71" s="16"/>
      <c r="I71" s="16"/>
      <c r="J71" s="16"/>
      <c r="K71" s="16"/>
      <c r="L71" s="16"/>
      <c r="M71" s="16"/>
      <c r="N71" s="16"/>
      <c r="O71" s="16"/>
      <c r="P71" s="16"/>
      <c r="Q71" s="16"/>
      <c r="W71" s="16"/>
      <c r="X71" s="16"/>
      <c r="Y71" s="16"/>
      <c r="Z71" s="16"/>
      <c r="AA71" s="16"/>
      <c r="AB71" s="16"/>
      <c r="AC71" s="16"/>
      <c r="AD71" s="16"/>
    </row>
    <row r="72" spans="1:30" ht="15.75" customHeight="1" thickBot="1">
      <c r="A72" s="186" t="s">
        <v>499</v>
      </c>
      <c r="B72" s="231"/>
      <c r="C72" s="231"/>
      <c r="D72" s="231"/>
      <c r="E72" s="231"/>
      <c r="F72" s="231"/>
      <c r="G72" s="231"/>
      <c r="H72" s="231"/>
      <c r="I72" s="231"/>
      <c r="J72" s="231"/>
      <c r="K72" s="123"/>
      <c r="L72" s="123"/>
      <c r="M72" s="16"/>
      <c r="N72" s="16"/>
      <c r="O72" s="16"/>
      <c r="P72" s="16"/>
      <c r="Q72" s="16"/>
      <c r="W72" s="16"/>
      <c r="X72" s="16"/>
      <c r="Y72" s="16"/>
      <c r="Z72" s="16"/>
      <c r="AA72" s="16"/>
      <c r="AB72" s="16"/>
      <c r="AC72" s="16"/>
      <c r="AD72" s="16"/>
    </row>
    <row r="73" spans="1:30" ht="15.75" customHeight="1" thickTop="1" thickBot="1">
      <c r="A73" s="230" t="s">
        <v>476</v>
      </c>
      <c r="B73" s="230" t="s">
        <v>500</v>
      </c>
      <c r="C73" s="230" t="s">
        <v>501</v>
      </c>
      <c r="D73" s="230" t="s">
        <v>502</v>
      </c>
      <c r="E73" s="230" t="s">
        <v>503</v>
      </c>
      <c r="F73" s="230" t="s">
        <v>504</v>
      </c>
      <c r="G73" s="230" t="s">
        <v>505</v>
      </c>
      <c r="H73" s="230" t="s">
        <v>506</v>
      </c>
      <c r="I73" s="230" t="s">
        <v>507</v>
      </c>
      <c r="J73" s="230" t="s">
        <v>508</v>
      </c>
      <c r="K73" s="561" t="s">
        <v>441</v>
      </c>
      <c r="L73" s="561"/>
      <c r="M73" s="561"/>
      <c r="N73" s="561"/>
      <c r="O73" s="570"/>
      <c r="P73" s="726" t="s">
        <v>434</v>
      </c>
      <c r="Q73" s="727"/>
      <c r="R73" s="16"/>
      <c r="S73" s="16"/>
      <c r="V73" s="16"/>
      <c r="W73" s="16"/>
      <c r="X73" s="16"/>
      <c r="Y73" s="16"/>
      <c r="Z73" s="16"/>
      <c r="AA73" s="16"/>
    </row>
    <row r="74" spans="1:30" ht="15.75" customHeight="1" thickTop="1">
      <c r="A74" s="319" t="s">
        <v>556</v>
      </c>
      <c r="B74" s="231" t="s">
        <v>244</v>
      </c>
      <c r="C74" s="232" t="s">
        <v>573</v>
      </c>
      <c r="D74" s="261">
        <v>1.5</v>
      </c>
      <c r="E74" s="245">
        <v>42</v>
      </c>
      <c r="F74" s="326">
        <f>Arriba!$D74*Arriba!$E74</f>
        <v>63</v>
      </c>
      <c r="G74" s="245">
        <v>0.5</v>
      </c>
      <c r="H74" s="332">
        <f>IF($B74= "","-",IF($B74= "External","Specify location tariff", INDEX(Constants!$3:$3,MATCH($B74,Constants!$2:$2,0))))</f>
        <v>35</v>
      </c>
      <c r="I74" s="247"/>
      <c r="J74" s="247"/>
      <c r="K74" s="582"/>
      <c r="L74" s="583"/>
      <c r="M74" s="583"/>
      <c r="N74" s="583"/>
      <c r="O74" s="583"/>
      <c r="P74" s="576" t="s">
        <v>511</v>
      </c>
      <c r="Q74" s="577"/>
      <c r="R74" s="16"/>
      <c r="S74" s="16"/>
      <c r="V74" s="16"/>
      <c r="W74" s="16"/>
      <c r="X74" s="16"/>
      <c r="Y74" s="16"/>
      <c r="Z74" s="16"/>
      <c r="AA74" s="16"/>
    </row>
    <row r="75" spans="1:30" ht="15.75" customHeight="1">
      <c r="A75" s="231" t="s">
        <v>556</v>
      </c>
      <c r="B75" s="231" t="s">
        <v>244</v>
      </c>
      <c r="C75" s="232" t="s">
        <v>574</v>
      </c>
      <c r="D75" s="261">
        <v>1.5</v>
      </c>
      <c r="E75" s="245">
        <v>42</v>
      </c>
      <c r="F75" s="326">
        <f>Arriba!$D75*Arriba!$E75</f>
        <v>63</v>
      </c>
      <c r="G75" s="245">
        <v>2</v>
      </c>
      <c r="H75" s="332">
        <f>IF($B75= "","-",IF($B75= "External","Specify location tariff", INDEX(Constants!$3:$3,MATCH($B75,Constants!$2:$2,0))))</f>
        <v>35</v>
      </c>
      <c r="I75" s="247"/>
      <c r="J75" s="247"/>
      <c r="K75" s="584"/>
      <c r="L75" s="585"/>
      <c r="M75" s="585"/>
      <c r="N75" s="585"/>
      <c r="O75" s="585"/>
      <c r="P75" s="578"/>
      <c r="Q75" s="579"/>
      <c r="R75" s="16"/>
      <c r="S75" s="16"/>
      <c r="V75" s="16"/>
      <c r="W75" s="16"/>
      <c r="X75" s="16"/>
      <c r="Y75" s="16"/>
      <c r="Z75" s="16"/>
      <c r="AA75" s="16"/>
    </row>
    <row r="76" spans="1:30" ht="15.75" customHeight="1">
      <c r="A76" s="231" t="s">
        <v>558</v>
      </c>
      <c r="B76" s="231" t="s">
        <v>244</v>
      </c>
      <c r="C76" s="232" t="s">
        <v>573</v>
      </c>
      <c r="D76" s="261">
        <v>1.5</v>
      </c>
      <c r="E76" s="245">
        <v>42</v>
      </c>
      <c r="F76" s="326">
        <f>Arriba!$D76*Arriba!$E76</f>
        <v>63</v>
      </c>
      <c r="G76" s="245">
        <v>3</v>
      </c>
      <c r="H76" s="332">
        <f>IF($B76= "","-",IF($B76= "External","Specify location tariff", INDEX(Constants!$3:$3,MATCH($B76,Constants!$2:$2,0))))</f>
        <v>35</v>
      </c>
      <c r="I76" s="247"/>
      <c r="J76" s="247"/>
      <c r="K76" s="584"/>
      <c r="L76" s="585"/>
      <c r="M76" s="585"/>
      <c r="N76" s="585"/>
      <c r="O76" s="585"/>
      <c r="P76" s="578"/>
      <c r="Q76" s="579"/>
      <c r="R76" s="16"/>
      <c r="S76" s="16"/>
      <c r="V76" s="16"/>
      <c r="W76" s="16"/>
      <c r="X76" s="16"/>
      <c r="Y76" s="16"/>
      <c r="Z76" s="16"/>
      <c r="AA76" s="16"/>
    </row>
    <row r="77" spans="1:30" ht="15.75" customHeight="1">
      <c r="A77" s="319" t="s">
        <v>558</v>
      </c>
      <c r="B77" s="231" t="s">
        <v>244</v>
      </c>
      <c r="C77" s="232" t="s">
        <v>574</v>
      </c>
      <c r="D77" s="261">
        <v>1.5</v>
      </c>
      <c r="E77" s="245">
        <v>42</v>
      </c>
      <c r="F77" s="326">
        <f>Arriba!$D77*Arriba!$E77</f>
        <v>63</v>
      </c>
      <c r="G77" s="245">
        <v>4</v>
      </c>
      <c r="H77" s="332">
        <f>IF($B77= "","-",IF($B77= "External","Specify location tariff", INDEX(Constants!$3:$3,MATCH($B77,Constants!$2:$2,0))))</f>
        <v>35</v>
      </c>
      <c r="I77" s="247"/>
      <c r="J77" s="247"/>
      <c r="K77" s="584"/>
      <c r="L77" s="585"/>
      <c r="M77" s="585"/>
      <c r="N77" s="585"/>
      <c r="O77" s="585"/>
      <c r="P77" s="578"/>
      <c r="Q77" s="579"/>
      <c r="R77" s="16"/>
      <c r="S77" s="16"/>
      <c r="V77" s="16"/>
      <c r="W77" s="16"/>
      <c r="X77" s="16"/>
      <c r="Y77" s="16"/>
      <c r="Z77" s="16"/>
      <c r="AA77" s="16"/>
    </row>
    <row r="78" spans="1:30" ht="15.75" customHeight="1">
      <c r="A78" s="231" t="s">
        <v>560</v>
      </c>
      <c r="B78" s="231" t="s">
        <v>248</v>
      </c>
      <c r="C78" s="232" t="s">
        <v>575</v>
      </c>
      <c r="D78" s="261">
        <v>1.5</v>
      </c>
      <c r="E78" s="245">
        <v>42</v>
      </c>
      <c r="F78" s="326">
        <f>Arriba!$D78*Arriba!$E78</f>
        <v>63</v>
      </c>
      <c r="G78" s="245">
        <v>3</v>
      </c>
      <c r="H78" s="332">
        <f>IF($B78= "","-",IF($B78= "External","Specify location tariff", INDEX(Constants!$3:$3,MATCH($B78,Constants!$2:$2,0))))</f>
        <v>40</v>
      </c>
      <c r="I78" s="247"/>
      <c r="J78" s="247"/>
      <c r="K78" s="584"/>
      <c r="L78" s="585"/>
      <c r="M78" s="585"/>
      <c r="N78" s="585"/>
      <c r="O78" s="585"/>
      <c r="P78" s="578"/>
      <c r="Q78" s="579"/>
      <c r="R78" s="16"/>
      <c r="S78" s="16"/>
      <c r="V78" s="16"/>
      <c r="W78" s="16"/>
      <c r="X78" s="16"/>
      <c r="Y78" s="16"/>
      <c r="Z78" s="16"/>
      <c r="AA78" s="16"/>
    </row>
    <row r="79" spans="1:30" ht="15.75" customHeight="1">
      <c r="A79" s="319" t="s">
        <v>560</v>
      </c>
      <c r="B79" s="231" t="s">
        <v>248</v>
      </c>
      <c r="C79" s="232" t="s">
        <v>576</v>
      </c>
      <c r="D79" s="261">
        <v>1.5</v>
      </c>
      <c r="E79" s="245">
        <v>42</v>
      </c>
      <c r="F79" s="326">
        <f>Arriba!$D79*Arriba!$E79</f>
        <v>63</v>
      </c>
      <c r="G79" s="245">
        <v>4</v>
      </c>
      <c r="H79" s="332">
        <f>IF($B79= "","-",IF($B79= "External","Specify location tariff", INDEX(Constants!$3:$3,MATCH($B79,Constants!$2:$2,0))))</f>
        <v>40</v>
      </c>
      <c r="I79" s="247"/>
      <c r="J79" s="247"/>
      <c r="K79" s="584"/>
      <c r="L79" s="585"/>
      <c r="M79" s="585"/>
      <c r="N79" s="585"/>
      <c r="O79" s="585"/>
      <c r="P79" s="578"/>
      <c r="Q79" s="579"/>
      <c r="R79" s="16"/>
      <c r="S79" s="16"/>
      <c r="V79" s="16"/>
      <c r="W79" s="16"/>
      <c r="X79" s="16"/>
      <c r="Y79" s="16"/>
      <c r="Z79" s="16"/>
      <c r="AA79" s="16"/>
    </row>
    <row r="80" spans="1:30" ht="15.75" customHeight="1">
      <c r="A80" s="319" t="s">
        <v>561</v>
      </c>
      <c r="B80" s="231"/>
      <c r="C80" s="232"/>
      <c r="D80" s="261"/>
      <c r="E80" s="245"/>
      <c r="F80" s="326">
        <f>Arriba!$D80*Arriba!$E80</f>
        <v>0</v>
      </c>
      <c r="G80" s="245"/>
      <c r="H80" s="332" t="str">
        <f>IF($B80= "","-",IF($B80= "External","Specify location tariff", INDEX(Constants!$3:$3,MATCH($B80,Constants!$2:$2,0))))</f>
        <v>-</v>
      </c>
      <c r="I80" s="247"/>
      <c r="J80" s="247"/>
      <c r="K80" s="584"/>
      <c r="L80" s="585"/>
      <c r="M80" s="585"/>
      <c r="N80" s="585"/>
      <c r="O80" s="585"/>
      <c r="P80" s="578"/>
      <c r="Q80" s="579"/>
      <c r="R80" s="16"/>
      <c r="S80" s="16"/>
      <c r="V80" s="16"/>
      <c r="W80" s="16"/>
      <c r="X80" s="16"/>
      <c r="Y80" s="16"/>
      <c r="Z80" s="16"/>
      <c r="AA80" s="16"/>
    </row>
    <row r="81" spans="1:30" ht="15.75" customHeight="1">
      <c r="A81" s="231" t="s">
        <v>563</v>
      </c>
      <c r="B81" s="231" t="s">
        <v>246</v>
      </c>
      <c r="C81" s="232" t="s">
        <v>575</v>
      </c>
      <c r="D81" s="261">
        <v>1.5</v>
      </c>
      <c r="E81" s="245">
        <v>42</v>
      </c>
      <c r="F81" s="326">
        <f>Arriba!$D81*Arriba!$E81</f>
        <v>63</v>
      </c>
      <c r="G81" s="245">
        <v>1</v>
      </c>
      <c r="H81" s="332">
        <f>IF($B81= "","-",IF($B81= "External","Specify location tariff", INDEX(Constants!$3:$3,MATCH($B81,Constants!$2:$2,0))))</f>
        <v>35</v>
      </c>
      <c r="I81" s="247"/>
      <c r="J81" s="247"/>
      <c r="K81" s="584"/>
      <c r="L81" s="585"/>
      <c r="M81" s="585"/>
      <c r="N81" s="585"/>
      <c r="O81" s="585"/>
      <c r="P81" s="578"/>
      <c r="Q81" s="579"/>
      <c r="R81" s="16"/>
      <c r="S81" s="16"/>
      <c r="V81" s="16"/>
      <c r="W81" s="16"/>
      <c r="X81" s="16"/>
      <c r="Y81" s="16"/>
      <c r="Z81" s="16"/>
      <c r="AA81" s="16"/>
    </row>
    <row r="82" spans="1:30" ht="15.75" customHeight="1">
      <c r="A82" s="319" t="s">
        <v>563</v>
      </c>
      <c r="B82" s="231" t="s">
        <v>246</v>
      </c>
      <c r="C82" s="232" t="s">
        <v>576</v>
      </c>
      <c r="D82" s="261">
        <v>1.5</v>
      </c>
      <c r="E82" s="245">
        <v>42</v>
      </c>
      <c r="F82" s="326">
        <f>Arriba!$D82*Arriba!$E82</f>
        <v>63</v>
      </c>
      <c r="G82" s="245">
        <v>2</v>
      </c>
      <c r="H82" s="332">
        <f>IF($B82= "","-",IF($B82= "External","Specify location tariff", INDEX(Constants!$3:$3,MATCH($B82,Constants!$2:$2,0))))</f>
        <v>35</v>
      </c>
      <c r="I82" s="247"/>
      <c r="J82" s="247"/>
      <c r="K82" s="584"/>
      <c r="L82" s="585"/>
      <c r="M82" s="585"/>
      <c r="N82" s="585"/>
      <c r="O82" s="585"/>
      <c r="P82" s="578"/>
      <c r="Q82" s="579"/>
      <c r="R82" s="16"/>
      <c r="S82" s="16"/>
      <c r="V82" s="16"/>
      <c r="W82" s="16"/>
      <c r="X82" s="16"/>
      <c r="Y82" s="16"/>
      <c r="Z82" s="16"/>
      <c r="AA82" s="16"/>
    </row>
    <row r="83" spans="1:30" ht="15.75" customHeight="1">
      <c r="A83" s="231" t="s">
        <v>564</v>
      </c>
      <c r="B83" s="231" t="s">
        <v>246</v>
      </c>
      <c r="C83" s="232" t="s">
        <v>575</v>
      </c>
      <c r="D83" s="261">
        <v>1.5</v>
      </c>
      <c r="E83" s="245">
        <v>42</v>
      </c>
      <c r="F83" s="326">
        <f>Arriba!$D83*Arriba!$E83</f>
        <v>63</v>
      </c>
      <c r="G83" s="245">
        <v>3</v>
      </c>
      <c r="H83" s="332">
        <f>IF($B83= "","-",IF($B83= "External","Specify location tariff", INDEX(Constants!$3:$3,MATCH($B83,Constants!$2:$2,0))))</f>
        <v>35</v>
      </c>
      <c r="I83" s="247"/>
      <c r="J83" s="247"/>
      <c r="K83" s="584"/>
      <c r="L83" s="585"/>
      <c r="M83" s="585"/>
      <c r="N83" s="585"/>
      <c r="O83" s="585"/>
      <c r="P83" s="578"/>
      <c r="Q83" s="579"/>
      <c r="R83" s="16"/>
      <c r="S83" s="16"/>
      <c r="V83" s="16"/>
      <c r="W83" s="16"/>
      <c r="X83" s="16"/>
      <c r="Y83" s="16"/>
      <c r="Z83" s="16"/>
      <c r="AA83" s="16"/>
    </row>
    <row r="84" spans="1:30" ht="15.75" customHeight="1">
      <c r="A84" s="231" t="s">
        <v>564</v>
      </c>
      <c r="B84" s="231" t="s">
        <v>246</v>
      </c>
      <c r="C84" s="232" t="s">
        <v>576</v>
      </c>
      <c r="D84" s="261">
        <v>1.5</v>
      </c>
      <c r="E84" s="245">
        <v>42</v>
      </c>
      <c r="F84" s="326">
        <f>Arriba!$D84*Arriba!$E84</f>
        <v>63</v>
      </c>
      <c r="G84" s="245">
        <v>4</v>
      </c>
      <c r="H84" s="332">
        <f>IF($B84= "","-",IF($B84= "External","Specify location tariff", INDEX(Constants!$3:$3,MATCH($B84,Constants!$2:$2,0))))</f>
        <v>35</v>
      </c>
      <c r="I84" s="247"/>
      <c r="J84" s="247"/>
      <c r="K84" s="584"/>
      <c r="L84" s="585"/>
      <c r="M84" s="585"/>
      <c r="N84" s="585"/>
      <c r="O84" s="585"/>
      <c r="P84" s="578"/>
      <c r="Q84" s="579"/>
      <c r="R84" s="16"/>
      <c r="S84" s="16"/>
      <c r="V84" s="16"/>
      <c r="W84" s="16"/>
      <c r="X84" s="16"/>
      <c r="Y84" s="16"/>
      <c r="Z84" s="16"/>
      <c r="AA84" s="16"/>
    </row>
    <row r="85" spans="1:30" ht="15.75" customHeight="1">
      <c r="A85" s="231" t="s">
        <v>571</v>
      </c>
      <c r="B85" s="231" t="s">
        <v>248</v>
      </c>
      <c r="C85" s="232" t="s">
        <v>575</v>
      </c>
      <c r="D85" s="261">
        <v>1.5</v>
      </c>
      <c r="E85" s="245">
        <v>42</v>
      </c>
      <c r="F85" s="326">
        <f>Arriba!$D85*Arriba!$E85</f>
        <v>63</v>
      </c>
      <c r="G85" s="245">
        <v>3</v>
      </c>
      <c r="H85" s="332">
        <f>IF($B85= "","-",IF($B85= "External","Specify location tariff", INDEX(Constants!$3:$3,MATCH($B85,Constants!$2:$2,0))))</f>
        <v>40</v>
      </c>
      <c r="I85" s="247"/>
      <c r="J85" s="247"/>
      <c r="K85" s="584"/>
      <c r="L85" s="585"/>
      <c r="M85" s="585"/>
      <c r="N85" s="585"/>
      <c r="O85" s="585"/>
      <c r="P85" s="578"/>
      <c r="Q85" s="579"/>
      <c r="R85" s="16"/>
      <c r="S85" s="16"/>
      <c r="V85" s="16"/>
      <c r="W85" s="16"/>
      <c r="X85" s="16"/>
      <c r="Y85" s="16"/>
      <c r="Z85" s="16"/>
      <c r="AA85" s="16"/>
    </row>
    <row r="86" spans="1:30" ht="15.75" customHeight="1">
      <c r="A86" s="231" t="s">
        <v>571</v>
      </c>
      <c r="B86" s="231" t="s">
        <v>248</v>
      </c>
      <c r="C86" s="232" t="s">
        <v>576</v>
      </c>
      <c r="D86" s="261">
        <v>1.5</v>
      </c>
      <c r="E86" s="245">
        <v>42</v>
      </c>
      <c r="F86" s="326">
        <f>Arriba!$D86*Arriba!$E86</f>
        <v>63</v>
      </c>
      <c r="G86" s="245">
        <v>4</v>
      </c>
      <c r="H86" s="332">
        <f>IF($B86= "","-",IF($B86= "External","Specify location tariff", INDEX(Constants!$3:$3,MATCH($B86,Constants!$2:$2,0))))</f>
        <v>40</v>
      </c>
      <c r="I86" s="247"/>
      <c r="J86" s="247"/>
      <c r="K86" s="584"/>
      <c r="L86" s="585"/>
      <c r="M86" s="585"/>
      <c r="N86" s="585"/>
      <c r="O86" s="585"/>
      <c r="P86" s="578"/>
      <c r="Q86" s="579"/>
      <c r="R86" s="16"/>
      <c r="S86" s="16"/>
      <c r="V86" s="16"/>
      <c r="W86" s="16"/>
      <c r="X86" s="16"/>
      <c r="Y86" s="16"/>
      <c r="Z86" s="16"/>
      <c r="AA86" s="16"/>
    </row>
    <row r="87" spans="1:30" ht="15.75" customHeight="1">
      <c r="A87" s="231" t="s">
        <v>572</v>
      </c>
      <c r="B87" s="231" t="s">
        <v>248</v>
      </c>
      <c r="C87" s="232" t="s">
        <v>573</v>
      </c>
      <c r="D87" s="261">
        <v>1.5</v>
      </c>
      <c r="E87" s="245">
        <v>42</v>
      </c>
      <c r="F87" s="326">
        <f>Arriba!$D87*Arriba!$E87</f>
        <v>63</v>
      </c>
      <c r="G87" s="245">
        <v>3</v>
      </c>
      <c r="H87" s="332">
        <f>IF($B87= "","-",IF($B87= "External","Specify location tariff", INDEX(Constants!$3:$3,MATCH($B87,Constants!$2:$2,0))))</f>
        <v>40</v>
      </c>
      <c r="I87" s="247"/>
      <c r="J87" s="247"/>
      <c r="K87" s="584"/>
      <c r="L87" s="585"/>
      <c r="M87" s="585"/>
      <c r="N87" s="585"/>
      <c r="O87" s="585"/>
      <c r="P87" s="578"/>
      <c r="Q87" s="579"/>
      <c r="R87" s="16"/>
      <c r="S87" s="16"/>
      <c r="V87" s="16"/>
      <c r="W87" s="16"/>
      <c r="X87" s="16"/>
      <c r="Y87" s="16"/>
      <c r="Z87" s="16"/>
      <c r="AA87" s="16"/>
    </row>
    <row r="88" spans="1:30" ht="15.75" customHeight="1">
      <c r="A88" s="231" t="s">
        <v>572</v>
      </c>
      <c r="B88" s="231" t="s">
        <v>248</v>
      </c>
      <c r="C88" s="232" t="s">
        <v>574</v>
      </c>
      <c r="D88" s="261">
        <v>1.5</v>
      </c>
      <c r="E88" s="245">
        <v>42</v>
      </c>
      <c r="F88" s="326">
        <f>Arriba!$D88*Arriba!$E88</f>
        <v>63</v>
      </c>
      <c r="G88" s="245">
        <v>4</v>
      </c>
      <c r="H88" s="332">
        <f>IF($B88= "","-",IF($B88= "External","Specify location tariff", INDEX(Constants!$3:$3,MATCH($B88,Constants!$2:$2,0))))</f>
        <v>40</v>
      </c>
      <c r="I88" s="247"/>
      <c r="J88" s="247"/>
      <c r="K88" s="584"/>
      <c r="L88" s="585"/>
      <c r="M88" s="585"/>
      <c r="N88" s="585"/>
      <c r="O88" s="585"/>
      <c r="P88" s="578"/>
      <c r="Q88" s="579"/>
      <c r="R88" s="16"/>
      <c r="S88" s="16"/>
      <c r="V88" s="16"/>
      <c r="W88" s="16"/>
      <c r="X88" s="16"/>
      <c r="Y88" s="16"/>
      <c r="Z88" s="16"/>
      <c r="AA88" s="16"/>
    </row>
    <row r="89" spans="1:30" ht="15.75" customHeight="1">
      <c r="A89" s="231" t="s">
        <v>577</v>
      </c>
      <c r="B89" s="231" t="s">
        <v>243</v>
      </c>
      <c r="C89" s="232" t="s">
        <v>578</v>
      </c>
      <c r="D89" s="261">
        <v>6</v>
      </c>
      <c r="E89" s="245">
        <v>22</v>
      </c>
      <c r="F89" s="326">
        <f>Arriba!$D89*Arriba!$E89</f>
        <v>132</v>
      </c>
      <c r="G89" s="245">
        <v>0</v>
      </c>
      <c r="H89" s="332">
        <f>IF($B89= "","-",IF($B89= "External","Specify location tariff", INDEX(Constants!$3:$3,MATCH($B89,Constants!$2:$2,0))))</f>
        <v>67.5</v>
      </c>
      <c r="I89" s="247"/>
      <c r="J89" s="247"/>
      <c r="K89" s="584"/>
      <c r="L89" s="585"/>
      <c r="M89" s="585"/>
      <c r="N89" s="585"/>
      <c r="O89" s="585"/>
      <c r="P89" s="578"/>
      <c r="Q89" s="579"/>
      <c r="R89" s="16"/>
      <c r="S89" s="16"/>
      <c r="V89" s="16"/>
      <c r="W89" s="16"/>
      <c r="X89" s="16"/>
      <c r="Y89" s="16"/>
      <c r="Z89" s="16"/>
      <c r="AA89" s="16"/>
    </row>
    <row r="90" spans="1:30" ht="15.75" customHeight="1">
      <c r="A90" s="231"/>
      <c r="B90" s="231"/>
      <c r="C90" s="232"/>
      <c r="D90" s="261"/>
      <c r="E90" s="245"/>
      <c r="F90" s="326">
        <f>Arriba!$D90*Arriba!$E90</f>
        <v>0</v>
      </c>
      <c r="G90" s="245"/>
      <c r="H90" s="332" t="str">
        <f>IF($B90= "","-",IF($B90= "External","Specify location tariff", INDEX(Constants!$3:$3,MATCH($B90,Constants!$2:$2,0))))</f>
        <v>-</v>
      </c>
      <c r="I90" s="247"/>
      <c r="J90" s="247"/>
      <c r="K90" s="584"/>
      <c r="L90" s="585"/>
      <c r="M90" s="585"/>
      <c r="N90" s="585"/>
      <c r="O90" s="585"/>
      <c r="P90" s="578"/>
      <c r="Q90" s="579"/>
      <c r="R90" s="16"/>
      <c r="S90" s="16"/>
      <c r="V90" s="16"/>
      <c r="W90" s="16"/>
      <c r="X90" s="16"/>
      <c r="Y90" s="16"/>
      <c r="Z90" s="16"/>
      <c r="AA90" s="16"/>
    </row>
    <row r="91" spans="1:30" ht="15.75" customHeight="1" thickBot="1">
      <c r="A91" s="231"/>
      <c r="B91" s="231" t="s">
        <v>272</v>
      </c>
      <c r="C91" s="232"/>
      <c r="D91" s="261">
        <v>3</v>
      </c>
      <c r="E91" s="245">
        <v>42</v>
      </c>
      <c r="F91" s="326">
        <f>Arriba!$D91*Arriba!$E91</f>
        <v>126</v>
      </c>
      <c r="G91" s="245"/>
      <c r="H91" s="247">
        <v>0</v>
      </c>
      <c r="I91" s="247">
        <f>IF($H91="-","-",IF($H91="Specify location tariff","-",$H91*$F91))</f>
        <v>0</v>
      </c>
      <c r="J91" s="247"/>
      <c r="K91" s="586"/>
      <c r="L91" s="587"/>
      <c r="M91" s="587"/>
      <c r="N91" s="587"/>
      <c r="O91" s="587"/>
      <c r="P91" s="580"/>
      <c r="Q91" s="581"/>
      <c r="R91" s="16"/>
      <c r="S91" s="16"/>
      <c r="T91" s="16"/>
      <c r="U91" s="16"/>
      <c r="V91" s="16"/>
      <c r="W91" s="16"/>
      <c r="X91" s="16"/>
      <c r="Y91" s="16"/>
      <c r="Z91" s="16"/>
      <c r="AA91" s="16"/>
      <c r="AB91" s="16"/>
      <c r="AC91" s="16"/>
      <c r="AD91" s="16"/>
    </row>
    <row r="92" spans="1:30" ht="15.75" customHeight="1" thickTop="1">
      <c r="A92" s="15"/>
      <c r="B92" s="16"/>
      <c r="C92" s="16"/>
      <c r="D92" s="16"/>
      <c r="E92" s="16"/>
      <c r="F92" s="16"/>
      <c r="G92" s="16"/>
      <c r="H92" s="16"/>
      <c r="I92" s="16"/>
      <c r="J92" s="16"/>
      <c r="K92" s="16"/>
      <c r="L92" s="16"/>
      <c r="M92" s="16"/>
      <c r="N92" s="16"/>
      <c r="O92" s="16"/>
      <c r="P92" s="16"/>
      <c r="Q92" s="16"/>
      <c r="R92" s="16"/>
      <c r="S92" s="16"/>
      <c r="T92" s="16"/>
      <c r="U92" s="16"/>
      <c r="V92" s="16"/>
      <c r="W92" s="16"/>
      <c r="X92" s="16"/>
      <c r="Y92" s="16"/>
      <c r="Z92" s="16"/>
      <c r="AA92" s="16"/>
      <c r="AB92" s="16"/>
      <c r="AC92" s="16"/>
      <c r="AD92" s="16"/>
    </row>
    <row r="93" spans="1:30" ht="15.75" customHeight="1">
      <c r="A93" s="186" t="s">
        <v>519</v>
      </c>
      <c r="B93" s="16"/>
      <c r="C93" s="128"/>
      <c r="D93" s="51"/>
      <c r="E93" s="51"/>
      <c r="F93" s="51"/>
      <c r="G93" s="51"/>
      <c r="H93" s="51"/>
      <c r="I93" s="51"/>
      <c r="J93" s="51"/>
      <c r="K93" s="51"/>
      <c r="L93" s="232"/>
      <c r="M93" s="231"/>
      <c r="N93" s="16"/>
      <c r="O93" s="16"/>
      <c r="P93" s="16"/>
      <c r="Q93" s="16"/>
      <c r="R93" s="16"/>
      <c r="S93" s="16"/>
      <c r="T93" s="16"/>
      <c r="U93" s="16"/>
      <c r="V93" s="16"/>
      <c r="W93" s="16"/>
      <c r="X93" s="16"/>
      <c r="Y93" s="16"/>
      <c r="Z93" s="16"/>
      <c r="AA93" s="16"/>
      <c r="AB93" s="16"/>
      <c r="AC93" s="16"/>
      <c r="AD93" s="16"/>
    </row>
    <row r="94" spans="1:30" ht="15" customHeight="1">
      <c r="A94" s="230" t="s">
        <v>438</v>
      </c>
      <c r="B94" s="230" t="s">
        <v>439</v>
      </c>
      <c r="C94" s="230" t="s">
        <v>520</v>
      </c>
      <c r="D94" s="230" t="s">
        <v>521</v>
      </c>
      <c r="E94" s="230" t="s">
        <v>522</v>
      </c>
      <c r="F94" s="230" t="s">
        <v>523</v>
      </c>
      <c r="G94" s="230" t="s">
        <v>508</v>
      </c>
      <c r="H94" s="721" t="s">
        <v>441</v>
      </c>
      <c r="I94" s="728"/>
      <c r="J94" s="729" t="s">
        <v>434</v>
      </c>
      <c r="K94" s="730"/>
      <c r="L94" s="16"/>
      <c r="M94" s="16"/>
      <c r="N94" s="16"/>
      <c r="O94" s="16"/>
      <c r="P94" s="117"/>
      <c r="Q94" s="15"/>
      <c r="R94" s="16"/>
      <c r="S94" s="130"/>
      <c r="T94" s="16"/>
      <c r="U94" s="16"/>
      <c r="V94" s="16"/>
      <c r="W94" s="241"/>
      <c r="X94" s="16"/>
      <c r="Y94" s="16"/>
      <c r="Z94" s="16"/>
      <c r="AA94" s="16"/>
      <c r="AB94" s="16"/>
    </row>
    <row r="95" spans="1:30" ht="14.25" customHeight="1">
      <c r="A95" s="244" t="s">
        <v>258</v>
      </c>
      <c r="B95" s="244" t="s">
        <v>579</v>
      </c>
      <c r="C95" s="339">
        <v>540</v>
      </c>
      <c r="D95" s="371">
        <v>4</v>
      </c>
      <c r="E95" s="338">
        <v>6</v>
      </c>
      <c r="F95" s="372">
        <v>135</v>
      </c>
      <c r="G95" s="247"/>
      <c r="H95" s="558"/>
      <c r="I95" s="696"/>
      <c r="J95" s="559" t="s">
        <v>526</v>
      </c>
      <c r="K95" s="730"/>
      <c r="L95" s="16"/>
      <c r="M95" s="16"/>
      <c r="N95" s="16"/>
      <c r="O95" s="16"/>
      <c r="P95" s="16"/>
      <c r="Q95" s="133"/>
      <c r="R95" s="16"/>
      <c r="S95" s="16"/>
      <c r="T95" s="16"/>
      <c r="U95" s="16"/>
      <c r="V95" s="16"/>
      <c r="W95" s="16"/>
      <c r="X95" s="16"/>
      <c r="Y95" s="16"/>
      <c r="Z95" s="16"/>
      <c r="AA95" s="16"/>
      <c r="AB95" s="16"/>
    </row>
    <row r="96" spans="1:30" ht="15.75" customHeight="1">
      <c r="A96" s="244" t="s">
        <v>580</v>
      </c>
      <c r="B96" s="244" t="s">
        <v>579</v>
      </c>
      <c r="C96" s="339">
        <v>300</v>
      </c>
      <c r="D96" s="371">
        <v>5</v>
      </c>
      <c r="E96" s="338">
        <v>10</v>
      </c>
      <c r="F96" s="372">
        <v>60</v>
      </c>
      <c r="G96" s="247"/>
      <c r="H96" s="696"/>
      <c r="I96" s="696"/>
      <c r="J96" s="731"/>
      <c r="K96" s="732"/>
      <c r="L96" s="16"/>
      <c r="M96" s="16"/>
      <c r="N96" s="16"/>
      <c r="O96" s="16"/>
      <c r="P96" s="16"/>
      <c r="Q96" s="16"/>
      <c r="R96" s="16"/>
      <c r="S96" s="16"/>
      <c r="T96" s="16"/>
      <c r="U96" s="16"/>
      <c r="V96" s="16"/>
      <c r="W96" s="16"/>
      <c r="X96" s="16"/>
      <c r="Y96" s="16"/>
      <c r="Z96" s="16"/>
      <c r="AA96" s="16"/>
      <c r="AB96" s="16"/>
    </row>
    <row r="97" spans="1:30" ht="15.75" customHeight="1">
      <c r="A97" s="244" t="s">
        <v>581</v>
      </c>
      <c r="B97" s="244" t="s">
        <v>579</v>
      </c>
      <c r="C97" s="339">
        <v>40</v>
      </c>
      <c r="D97" s="371">
        <v>5</v>
      </c>
      <c r="E97" s="338">
        <v>8</v>
      </c>
      <c r="F97" s="372">
        <v>8</v>
      </c>
      <c r="G97" s="247"/>
      <c r="H97" s="696"/>
      <c r="I97" s="696"/>
      <c r="J97" s="731"/>
      <c r="K97" s="732"/>
      <c r="L97" s="16"/>
      <c r="M97" s="16"/>
      <c r="N97" s="16"/>
      <c r="O97" s="16"/>
      <c r="P97" s="16"/>
      <c r="Q97" s="16"/>
      <c r="R97" s="16"/>
      <c r="S97" s="16"/>
      <c r="T97" s="16"/>
      <c r="U97" s="16"/>
      <c r="V97" s="16"/>
      <c r="W97" s="16"/>
      <c r="X97" s="16"/>
      <c r="Y97" s="16"/>
      <c r="Z97" s="16"/>
      <c r="AA97" s="16"/>
      <c r="AB97" s="16"/>
    </row>
    <row r="98" spans="1:30" ht="15.75" customHeight="1">
      <c r="A98" s="231"/>
      <c r="B98" s="248"/>
      <c r="C98" s="246">
        <v>0</v>
      </c>
      <c r="D98" s="247"/>
      <c r="E98" s="245"/>
      <c r="F98" s="246">
        <v>0</v>
      </c>
      <c r="G98" s="247"/>
      <c r="H98" s="696"/>
      <c r="I98" s="696"/>
      <c r="J98" s="731"/>
      <c r="K98" s="732"/>
      <c r="L98" s="16"/>
      <c r="M98" s="16"/>
      <c r="N98" s="16"/>
      <c r="O98" s="16"/>
      <c r="P98" s="16"/>
      <c r="Q98" s="16"/>
      <c r="R98" s="16"/>
      <c r="S98" s="16"/>
      <c r="T98" s="16"/>
      <c r="U98" s="16"/>
      <c r="V98" s="16"/>
      <c r="W98" s="16"/>
      <c r="X98" s="16"/>
      <c r="Y98" s="16"/>
      <c r="Z98" s="16"/>
      <c r="AA98" s="16"/>
      <c r="AB98" s="16"/>
    </row>
    <row r="99" spans="1:30" ht="15.75" customHeight="1">
      <c r="A99" s="231"/>
      <c r="B99" s="248"/>
      <c r="C99" s="246">
        <v>0</v>
      </c>
      <c r="D99" s="247"/>
      <c r="E99" s="245"/>
      <c r="F99" s="246">
        <v>0</v>
      </c>
      <c r="G99" s="247"/>
      <c r="H99" s="696"/>
      <c r="I99" s="696"/>
      <c r="J99" s="731"/>
      <c r="K99" s="732"/>
      <c r="L99" s="16"/>
      <c r="M99" s="16"/>
      <c r="N99" s="16"/>
      <c r="O99" s="16"/>
      <c r="P99" s="16"/>
      <c r="Q99" s="16"/>
      <c r="R99" s="16"/>
      <c r="S99" s="16"/>
      <c r="T99" s="16"/>
      <c r="U99" s="16"/>
      <c r="V99" s="16"/>
      <c r="W99" s="16"/>
      <c r="X99" s="16"/>
      <c r="Y99" s="16"/>
      <c r="Z99" s="16"/>
      <c r="AA99" s="16"/>
      <c r="AB99" s="16"/>
    </row>
    <row r="100" spans="1:30" ht="15.75" customHeight="1">
      <c r="A100" s="231"/>
      <c r="B100" s="248"/>
      <c r="C100" s="246">
        <v>0</v>
      </c>
      <c r="D100" s="247"/>
      <c r="E100" s="245"/>
      <c r="F100" s="246">
        <v>0</v>
      </c>
      <c r="G100" s="247"/>
      <c r="H100" s="696"/>
      <c r="I100" s="696"/>
      <c r="J100" s="731"/>
      <c r="K100" s="732"/>
      <c r="L100" s="16"/>
      <c r="M100" s="16"/>
      <c r="N100" s="16"/>
      <c r="O100" s="16"/>
      <c r="P100" s="16"/>
      <c r="Q100" s="16"/>
      <c r="R100" s="16"/>
      <c r="S100" s="16"/>
      <c r="T100" s="16"/>
      <c r="U100" s="16"/>
      <c r="V100" s="16"/>
      <c r="W100" s="16"/>
      <c r="X100" s="16"/>
      <c r="Y100" s="16"/>
      <c r="Z100" s="16"/>
      <c r="AA100" s="16"/>
      <c r="AB100" s="16"/>
    </row>
    <row r="101" spans="1:30" ht="15.75" customHeight="1">
      <c r="A101" s="231"/>
      <c r="B101" s="244"/>
      <c r="C101" s="246">
        <v>0</v>
      </c>
      <c r="D101" s="247"/>
      <c r="E101" s="245"/>
      <c r="F101" s="246">
        <v>0</v>
      </c>
      <c r="G101" s="247"/>
      <c r="H101" s="696"/>
      <c r="I101" s="696"/>
      <c r="J101" s="731"/>
      <c r="K101" s="732"/>
      <c r="L101" s="16"/>
      <c r="M101" s="16"/>
      <c r="N101" s="16"/>
      <c r="O101" s="16"/>
      <c r="P101" s="16"/>
      <c r="Q101" s="16"/>
      <c r="R101" s="16"/>
      <c r="S101" s="16"/>
      <c r="T101" s="16"/>
      <c r="U101" s="16"/>
      <c r="V101" s="16"/>
      <c r="W101" s="16"/>
      <c r="X101" s="16"/>
      <c r="Y101" s="16"/>
      <c r="Z101" s="16"/>
      <c r="AA101" s="16"/>
      <c r="AB101" s="16"/>
    </row>
    <row r="102" spans="1:30" ht="15.75" customHeight="1">
      <c r="A102" s="231"/>
      <c r="B102" s="244"/>
      <c r="C102" s="246">
        <v>0</v>
      </c>
      <c r="D102" s="247"/>
      <c r="E102" s="245"/>
      <c r="F102" s="246">
        <v>0</v>
      </c>
      <c r="G102" s="247"/>
      <c r="H102" s="696"/>
      <c r="I102" s="696"/>
      <c r="J102" s="731"/>
      <c r="K102" s="732"/>
      <c r="L102" s="16"/>
      <c r="M102" s="16"/>
      <c r="N102" s="16"/>
      <c r="O102" s="16"/>
      <c r="P102" s="16"/>
      <c r="Q102" s="16"/>
      <c r="R102" s="16"/>
      <c r="S102" s="16"/>
      <c r="T102" s="16"/>
      <c r="U102" s="16"/>
      <c r="V102" s="16"/>
      <c r="W102" s="16"/>
      <c r="X102" s="16"/>
      <c r="Y102" s="16"/>
      <c r="Z102" s="16"/>
      <c r="AA102" s="16"/>
      <c r="AB102" s="16"/>
    </row>
    <row r="103" spans="1:30" ht="15.75" customHeight="1">
      <c r="A103" s="231"/>
      <c r="B103" s="244"/>
      <c r="C103" s="246">
        <v>0</v>
      </c>
      <c r="D103" s="247"/>
      <c r="E103" s="245"/>
      <c r="F103" s="246">
        <v>0</v>
      </c>
      <c r="G103" s="247"/>
      <c r="H103" s="696"/>
      <c r="I103" s="696"/>
      <c r="J103" s="731"/>
      <c r="K103" s="732"/>
      <c r="L103" s="16"/>
      <c r="M103" s="16"/>
      <c r="N103" s="16"/>
      <c r="O103" s="16"/>
      <c r="P103" s="16"/>
      <c r="Q103" s="16"/>
      <c r="R103" s="16"/>
      <c r="S103" s="16"/>
      <c r="T103" s="16"/>
      <c r="U103" s="16"/>
      <c r="V103" s="16"/>
      <c r="W103" s="16"/>
      <c r="X103" s="16"/>
      <c r="Y103" s="16"/>
      <c r="Z103" s="16"/>
      <c r="AA103" s="16"/>
      <c r="AB103" s="16"/>
    </row>
    <row r="104" spans="1:30" ht="15.75" customHeight="1">
      <c r="A104" s="231"/>
      <c r="B104" s="244"/>
      <c r="C104" s="246">
        <v>0</v>
      </c>
      <c r="D104" s="247"/>
      <c r="E104" s="245"/>
      <c r="F104" s="246">
        <v>0</v>
      </c>
      <c r="G104" s="247"/>
      <c r="H104" s="696"/>
      <c r="I104" s="696"/>
      <c r="J104" s="731"/>
      <c r="K104" s="732"/>
      <c r="L104" s="16"/>
      <c r="M104" s="16"/>
      <c r="N104" s="16"/>
      <c r="O104" s="16"/>
      <c r="P104" s="16"/>
      <c r="Q104" s="16"/>
      <c r="R104" s="16"/>
      <c r="S104" s="16"/>
      <c r="T104" s="16"/>
      <c r="U104" s="16"/>
      <c r="V104" s="16"/>
      <c r="W104" s="16"/>
      <c r="X104" s="16"/>
      <c r="Y104" s="16"/>
      <c r="Z104" s="16"/>
      <c r="AA104" s="16"/>
      <c r="AB104" s="16"/>
    </row>
    <row r="105" spans="1:30" ht="15.75" customHeight="1">
      <c r="A105" s="231"/>
      <c r="B105" s="244"/>
      <c r="C105" s="246">
        <v>0</v>
      </c>
      <c r="D105" s="247"/>
      <c r="E105" s="245"/>
      <c r="F105" s="246">
        <v>0</v>
      </c>
      <c r="G105" s="247"/>
      <c r="H105" s="696"/>
      <c r="I105" s="696"/>
      <c r="J105" s="731"/>
      <c r="K105" s="732"/>
      <c r="L105" s="16"/>
      <c r="M105" s="16"/>
      <c r="N105" s="16"/>
      <c r="O105" s="16"/>
      <c r="P105" s="16"/>
      <c r="Q105" s="16"/>
      <c r="R105" s="16"/>
      <c r="S105" s="16"/>
      <c r="T105" s="16"/>
      <c r="U105" s="16"/>
      <c r="V105" s="16"/>
      <c r="W105" s="16"/>
      <c r="X105" s="16"/>
      <c r="Y105" s="16"/>
      <c r="Z105" s="16"/>
      <c r="AA105" s="16"/>
      <c r="AB105" s="16"/>
    </row>
    <row r="106" spans="1:30" ht="15.75" customHeight="1">
      <c r="A106" s="231"/>
      <c r="B106" s="244"/>
      <c r="C106" s="246">
        <v>0</v>
      </c>
      <c r="D106" s="247"/>
      <c r="E106" s="245"/>
      <c r="F106" s="246">
        <v>0</v>
      </c>
      <c r="G106" s="247"/>
      <c r="H106" s="696"/>
      <c r="I106" s="696"/>
      <c r="J106" s="731"/>
      <c r="K106" s="732"/>
      <c r="L106" s="16"/>
      <c r="M106" s="16"/>
      <c r="N106" s="16"/>
      <c r="O106" s="16"/>
      <c r="P106" s="16"/>
      <c r="Q106" s="16"/>
      <c r="R106" s="16"/>
      <c r="S106" s="16"/>
      <c r="T106" s="16"/>
      <c r="U106" s="16"/>
      <c r="V106" s="16"/>
      <c r="W106" s="16"/>
      <c r="X106" s="16"/>
      <c r="Y106" s="16"/>
      <c r="Z106" s="16"/>
      <c r="AA106" s="16"/>
      <c r="AB106" s="16"/>
    </row>
    <row r="107" spans="1:30" ht="15.75" customHeight="1">
      <c r="A107" s="231"/>
      <c r="B107" s="244"/>
      <c r="C107" s="246">
        <v>0</v>
      </c>
      <c r="D107" s="247"/>
      <c r="E107" s="245"/>
      <c r="F107" s="246">
        <v>0</v>
      </c>
      <c r="G107" s="247"/>
      <c r="H107" s="696"/>
      <c r="I107" s="696"/>
      <c r="J107" s="731"/>
      <c r="K107" s="732"/>
      <c r="L107" s="16"/>
      <c r="M107" s="16"/>
      <c r="N107" s="16"/>
      <c r="O107" s="16"/>
      <c r="P107" s="16"/>
      <c r="Q107" s="16"/>
      <c r="R107" s="16"/>
      <c r="S107" s="16"/>
      <c r="T107" s="16"/>
      <c r="U107" s="16"/>
      <c r="V107" s="16"/>
      <c r="W107" s="16"/>
      <c r="X107" s="16"/>
      <c r="Y107" s="16"/>
      <c r="Z107" s="16"/>
      <c r="AA107" s="16"/>
      <c r="AB107" s="16"/>
    </row>
    <row r="108" spans="1:30" ht="15.75" customHeight="1">
      <c r="A108" s="231"/>
      <c r="B108" s="244"/>
      <c r="C108" s="246">
        <v>0</v>
      </c>
      <c r="D108" s="247"/>
      <c r="E108" s="245"/>
      <c r="F108" s="246">
        <v>0</v>
      </c>
      <c r="G108" s="247"/>
      <c r="H108" s="724"/>
      <c r="I108" s="724"/>
      <c r="J108" s="733"/>
      <c r="K108" s="734"/>
      <c r="L108" s="16"/>
      <c r="M108" s="16"/>
      <c r="N108" s="16"/>
      <c r="O108" s="16"/>
      <c r="P108" s="16"/>
      <c r="Q108" s="16"/>
      <c r="R108" s="16"/>
      <c r="S108" s="16"/>
      <c r="T108" s="16"/>
      <c r="U108" s="16"/>
      <c r="V108" s="16"/>
      <c r="W108" s="16"/>
      <c r="X108" s="16"/>
      <c r="Y108" s="16"/>
      <c r="Z108" s="16"/>
      <c r="AA108" s="16"/>
      <c r="AB108" s="16"/>
    </row>
    <row r="109" spans="1:30" ht="15.75" customHeight="1">
      <c r="A109" s="15"/>
      <c r="B109" s="131"/>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c r="AA109" s="16"/>
      <c r="AB109" s="16"/>
      <c r="AC109" s="16"/>
      <c r="AD109" s="16"/>
    </row>
    <row r="110" spans="1:30" ht="15.75" customHeight="1">
      <c r="A110" s="15"/>
      <c r="B110" s="131"/>
      <c r="C110" s="16"/>
      <c r="D110" s="16"/>
      <c r="E110" s="16"/>
      <c r="F110" s="16"/>
      <c r="G110" s="16"/>
      <c r="I110" s="16"/>
      <c r="J110" s="16"/>
      <c r="K110" s="16"/>
      <c r="L110" s="16"/>
      <c r="M110" s="16"/>
      <c r="N110" s="16"/>
      <c r="O110" s="16"/>
      <c r="P110" s="16"/>
      <c r="Q110" s="16"/>
      <c r="R110" s="16"/>
      <c r="S110" s="16"/>
      <c r="T110" s="16"/>
      <c r="U110" s="16"/>
      <c r="V110" s="16"/>
      <c r="W110" s="16"/>
      <c r="X110" s="16"/>
      <c r="Y110" s="16"/>
      <c r="Z110" s="16"/>
      <c r="AA110" s="16"/>
      <c r="AB110" s="16"/>
      <c r="AC110" s="16"/>
      <c r="AD110" s="16"/>
    </row>
    <row r="111" spans="1:30" ht="15.75" customHeight="1">
      <c r="H111" s="51"/>
      <c r="I111" s="51"/>
      <c r="J111" s="51"/>
      <c r="K111" s="51"/>
      <c r="L111" s="16"/>
      <c r="M111" s="16"/>
      <c r="N111" s="16"/>
      <c r="O111" s="16"/>
      <c r="P111" s="16"/>
      <c r="Q111" s="16"/>
      <c r="R111" s="16"/>
      <c r="S111" s="16"/>
      <c r="T111" s="16"/>
      <c r="U111" s="16"/>
      <c r="V111" s="16"/>
      <c r="W111" s="16"/>
      <c r="X111" s="16"/>
      <c r="Y111" s="16"/>
      <c r="Z111" s="16"/>
      <c r="AA111" s="16"/>
      <c r="AB111" s="16"/>
      <c r="AC111" s="16"/>
      <c r="AD111" s="16"/>
    </row>
    <row r="112" spans="1:30" ht="15.75" customHeight="1">
      <c r="L112" s="16"/>
      <c r="M112" s="16"/>
      <c r="N112" s="16"/>
      <c r="O112" s="16"/>
      <c r="P112" s="16"/>
      <c r="Q112" s="16"/>
      <c r="R112" s="16"/>
      <c r="S112" s="16"/>
      <c r="T112" s="16"/>
      <c r="U112" s="16"/>
      <c r="V112" s="16"/>
      <c r="W112" s="16"/>
      <c r="X112" s="16"/>
      <c r="Y112" s="16"/>
      <c r="Z112" s="16"/>
      <c r="AA112" s="16"/>
      <c r="AB112" s="16"/>
      <c r="AC112" s="16"/>
      <c r="AD112" s="16"/>
    </row>
    <row r="113" spans="1:30" ht="15.75" customHeight="1">
      <c r="L113" s="16"/>
      <c r="M113" s="16"/>
      <c r="N113" s="16"/>
      <c r="O113" s="16"/>
      <c r="P113" s="16"/>
      <c r="Q113" s="16"/>
      <c r="R113" s="16"/>
      <c r="S113" s="16"/>
      <c r="T113" s="16"/>
      <c r="U113" s="16"/>
      <c r="V113" s="16"/>
      <c r="W113" s="16"/>
      <c r="X113" s="16"/>
      <c r="Y113" s="16"/>
      <c r="Z113" s="16"/>
      <c r="AA113" s="16"/>
      <c r="AB113" s="16"/>
      <c r="AC113" s="16"/>
      <c r="AD113" s="16"/>
    </row>
    <row r="114" spans="1:30" ht="15.75" customHeight="1">
      <c r="L114" s="16"/>
      <c r="M114" s="16"/>
      <c r="N114" s="16"/>
      <c r="O114" s="16"/>
      <c r="P114" s="16"/>
      <c r="Q114" s="16"/>
      <c r="R114" s="16"/>
      <c r="S114" s="16"/>
      <c r="T114" s="16"/>
      <c r="U114" s="16"/>
      <c r="V114" s="16"/>
      <c r="W114" s="16"/>
      <c r="X114" s="16"/>
      <c r="Y114" s="16"/>
      <c r="Z114" s="16"/>
      <c r="AA114" s="16"/>
      <c r="AB114" s="16"/>
      <c r="AC114" s="16"/>
      <c r="AD114" s="16"/>
    </row>
    <row r="115" spans="1:30" ht="15.75" customHeight="1">
      <c r="L115" s="16"/>
      <c r="M115" s="16"/>
      <c r="N115" s="16"/>
      <c r="O115" s="16"/>
      <c r="P115" s="16"/>
      <c r="Q115" s="16"/>
      <c r="R115" s="16"/>
      <c r="S115" s="16"/>
      <c r="T115" s="16"/>
      <c r="U115" s="16"/>
      <c r="V115" s="16"/>
      <c r="W115" s="16"/>
      <c r="X115" s="16"/>
      <c r="Y115" s="16"/>
      <c r="Z115" s="16"/>
      <c r="AA115" s="16"/>
      <c r="AB115" s="16"/>
      <c r="AC115" s="16"/>
      <c r="AD115" s="16"/>
    </row>
    <row r="116" spans="1:30" ht="15.75" customHeight="1">
      <c r="L116" s="16"/>
      <c r="M116" s="16"/>
      <c r="N116" s="16"/>
      <c r="O116" s="16"/>
      <c r="P116" s="16"/>
      <c r="Q116" s="16"/>
      <c r="R116" s="16"/>
      <c r="S116" s="16"/>
      <c r="T116" s="16"/>
      <c r="U116" s="16"/>
      <c r="V116" s="16"/>
      <c r="W116" s="16"/>
      <c r="X116" s="16"/>
      <c r="Y116" s="16"/>
      <c r="Z116" s="16"/>
      <c r="AA116" s="16"/>
      <c r="AB116" s="16"/>
      <c r="AC116" s="16"/>
      <c r="AD116" s="16"/>
    </row>
    <row r="117" spans="1:30" ht="15.75" customHeight="1">
      <c r="L117" s="16"/>
      <c r="M117" s="16"/>
      <c r="N117" s="16"/>
      <c r="O117" s="16"/>
      <c r="P117" s="16"/>
      <c r="Q117" s="16"/>
      <c r="R117" s="16"/>
      <c r="S117" s="16"/>
      <c r="T117" s="16"/>
      <c r="U117" s="16"/>
      <c r="V117" s="16"/>
      <c r="W117" s="16"/>
      <c r="X117" s="16"/>
      <c r="Y117" s="16"/>
      <c r="Z117" s="16"/>
      <c r="AA117" s="16"/>
      <c r="AB117" s="16"/>
      <c r="AC117" s="16"/>
      <c r="AD117" s="16"/>
    </row>
    <row r="118" spans="1:30" ht="15.75" customHeight="1">
      <c r="L118" s="16"/>
      <c r="M118" s="16"/>
      <c r="N118" s="16"/>
      <c r="O118" s="16"/>
      <c r="P118" s="735"/>
      <c r="Q118" s="696"/>
      <c r="R118" s="696"/>
      <c r="S118" s="16"/>
      <c r="T118" s="16"/>
      <c r="U118" s="16"/>
      <c r="V118" s="16"/>
      <c r="W118" s="16"/>
      <c r="X118" s="16"/>
      <c r="Y118" s="16"/>
      <c r="Z118" s="16"/>
      <c r="AA118" s="16"/>
      <c r="AB118" s="16"/>
      <c r="AC118" s="16"/>
      <c r="AD118" s="16"/>
    </row>
    <row r="119" spans="1:30" ht="15.75" customHeight="1">
      <c r="L119" s="16"/>
      <c r="M119" s="16"/>
      <c r="N119" s="16"/>
      <c r="O119" s="16"/>
      <c r="P119" s="735"/>
      <c r="Q119" s="696"/>
      <c r="R119" s="696"/>
      <c r="S119" s="16"/>
      <c r="T119" s="16"/>
      <c r="U119" s="16"/>
      <c r="V119" s="16"/>
      <c r="W119" s="16"/>
      <c r="X119" s="16"/>
      <c r="Y119" s="16"/>
      <c r="Z119" s="16"/>
      <c r="AA119" s="16"/>
      <c r="AB119" s="16"/>
      <c r="AC119" s="16"/>
      <c r="AD119" s="16"/>
    </row>
    <row r="120" spans="1:30" ht="15.75" customHeight="1">
      <c r="L120" s="16"/>
      <c r="M120" s="16"/>
      <c r="N120" s="16"/>
      <c r="O120" s="16"/>
      <c r="P120" s="735"/>
      <c r="Q120" s="696"/>
      <c r="R120" s="696"/>
      <c r="S120" s="16"/>
      <c r="T120" s="16"/>
      <c r="U120" s="16"/>
      <c r="V120" s="16"/>
      <c r="W120" s="16"/>
      <c r="X120" s="16"/>
      <c r="Y120" s="16"/>
      <c r="Z120" s="16"/>
      <c r="AA120" s="16"/>
      <c r="AB120" s="16"/>
      <c r="AC120" s="16"/>
      <c r="AD120" s="16"/>
    </row>
    <row r="121" spans="1:30" ht="15.75" customHeight="1">
      <c r="L121" s="16"/>
      <c r="M121" s="16"/>
      <c r="N121" s="16"/>
      <c r="O121" s="16"/>
      <c r="P121" s="735"/>
      <c r="Q121" s="696"/>
      <c r="R121" s="696"/>
      <c r="S121" s="16"/>
      <c r="T121" s="16"/>
      <c r="U121" s="16"/>
      <c r="V121" s="16"/>
      <c r="W121" s="16"/>
      <c r="X121" s="16"/>
      <c r="Y121" s="16"/>
      <c r="Z121" s="16"/>
      <c r="AA121" s="16"/>
      <c r="AB121" s="16"/>
      <c r="AC121" s="16"/>
      <c r="AD121" s="16"/>
    </row>
    <row r="122" spans="1:30" ht="15.75" customHeight="1">
      <c r="L122" s="16"/>
      <c r="M122" s="16"/>
      <c r="N122" s="16"/>
      <c r="O122" s="16"/>
      <c r="P122" s="735"/>
      <c r="Q122" s="696"/>
      <c r="R122" s="696"/>
      <c r="S122" s="16"/>
      <c r="T122" s="16"/>
      <c r="U122" s="16"/>
      <c r="V122" s="16"/>
      <c r="W122" s="16"/>
      <c r="X122" s="16"/>
      <c r="Y122" s="16"/>
      <c r="Z122" s="16"/>
      <c r="AA122" s="16"/>
      <c r="AB122" s="16"/>
      <c r="AC122" s="16"/>
      <c r="AD122" s="16"/>
    </row>
    <row r="123" spans="1:30" ht="15.75" customHeight="1">
      <c r="L123" s="16"/>
      <c r="M123" s="16"/>
      <c r="N123" s="16"/>
      <c r="O123" s="16"/>
      <c r="P123" s="735"/>
      <c r="Q123" s="696"/>
      <c r="R123" s="696"/>
      <c r="S123" s="16"/>
      <c r="T123" s="16"/>
      <c r="U123" s="16"/>
      <c r="V123" s="16"/>
      <c r="W123" s="16"/>
      <c r="X123" s="16"/>
      <c r="Y123" s="16"/>
      <c r="Z123" s="16"/>
      <c r="AA123" s="16"/>
      <c r="AB123" s="16"/>
      <c r="AC123" s="16"/>
      <c r="AD123" s="16"/>
    </row>
    <row r="124" spans="1:30" ht="15.75" customHeight="1">
      <c r="H124" s="248"/>
      <c r="I124" s="248"/>
      <c r="J124" s="228"/>
      <c r="K124" s="228"/>
      <c r="L124" s="16"/>
      <c r="M124" s="16"/>
      <c r="N124" s="16"/>
      <c r="O124" s="16"/>
      <c r="P124" s="735"/>
      <c r="Q124" s="696"/>
      <c r="R124" s="696"/>
      <c r="S124" s="16"/>
      <c r="T124" s="16"/>
      <c r="U124" s="16"/>
      <c r="V124" s="16"/>
      <c r="W124" s="16"/>
      <c r="X124" s="16"/>
      <c r="Y124" s="16"/>
      <c r="Z124" s="16"/>
      <c r="AA124" s="16"/>
      <c r="AB124" s="16"/>
      <c r="AC124" s="16"/>
      <c r="AD124" s="16"/>
    </row>
    <row r="125" spans="1:30" ht="15.75" customHeight="1">
      <c r="A125" s="231"/>
      <c r="B125" s="231"/>
      <c r="C125" s="246"/>
      <c r="D125" s="247"/>
      <c r="E125" s="245"/>
      <c r="F125" s="246"/>
      <c r="G125" s="247"/>
      <c r="H125" s="248"/>
      <c r="I125" s="248"/>
      <c r="J125" s="228"/>
      <c r="K125" s="228"/>
      <c r="L125" s="16"/>
      <c r="M125" s="16"/>
      <c r="N125" s="16"/>
      <c r="O125" s="16"/>
      <c r="P125" s="16"/>
      <c r="Q125" s="16"/>
      <c r="R125" s="16"/>
      <c r="S125" s="16"/>
      <c r="T125" s="16"/>
      <c r="U125" s="16"/>
      <c r="V125" s="16"/>
      <c r="W125" s="16"/>
      <c r="X125" s="16"/>
      <c r="Y125" s="16"/>
      <c r="Z125" s="16"/>
      <c r="AA125" s="16"/>
      <c r="AB125" s="16"/>
      <c r="AC125" s="16"/>
      <c r="AD125" s="16"/>
    </row>
    <row r="126" spans="1:30" ht="15.75" customHeight="1">
      <c r="A126" s="231"/>
      <c r="B126" s="16"/>
      <c r="C126" s="246"/>
      <c r="D126" s="247"/>
      <c r="E126" s="245"/>
      <c r="F126" s="246"/>
      <c r="G126" s="247"/>
      <c r="H126" s="228"/>
      <c r="I126" s="228"/>
      <c r="J126" s="228"/>
      <c r="K126" s="228"/>
      <c r="L126" s="16"/>
      <c r="M126" s="735"/>
      <c r="N126" s="696"/>
      <c r="O126" s="696"/>
      <c r="P126" s="735"/>
      <c r="Q126" s="696"/>
      <c r="R126" s="696"/>
      <c r="S126" s="696"/>
      <c r="T126" s="696"/>
      <c r="U126" s="16"/>
      <c r="V126" s="16"/>
      <c r="W126" s="16"/>
      <c r="X126" s="16"/>
      <c r="Y126" s="16"/>
      <c r="Z126" s="16"/>
      <c r="AA126" s="16"/>
      <c r="AB126" s="16"/>
      <c r="AC126" s="16"/>
      <c r="AD126" s="16"/>
    </row>
    <row r="127" spans="1:30" ht="15.75" customHeight="1">
      <c r="A127" s="16"/>
      <c r="B127" s="16"/>
      <c r="C127" s="16"/>
      <c r="D127" s="16"/>
      <c r="E127" s="16"/>
      <c r="F127" s="16"/>
      <c r="G127" s="16"/>
      <c r="H127" s="16"/>
      <c r="I127" s="16"/>
      <c r="J127" s="16"/>
      <c r="K127" s="16"/>
      <c r="L127" s="16"/>
      <c r="M127" s="735"/>
      <c r="N127" s="696"/>
      <c r="O127" s="696"/>
      <c r="P127" s="735"/>
      <c r="Q127" s="696"/>
      <c r="R127" s="696"/>
      <c r="S127" s="696"/>
      <c r="T127" s="696"/>
      <c r="U127" s="16"/>
      <c r="V127" s="16"/>
      <c r="W127" s="16"/>
      <c r="X127" s="16"/>
      <c r="Y127" s="16"/>
      <c r="Z127" s="16"/>
      <c r="AA127" s="16"/>
      <c r="AB127" s="16"/>
      <c r="AC127" s="16"/>
      <c r="AD127" s="16"/>
    </row>
    <row r="128" spans="1:30" ht="15.75" customHeight="1">
      <c r="A128" s="16"/>
      <c r="B128" s="16"/>
      <c r="C128" s="16"/>
      <c r="D128" s="16"/>
      <c r="E128" s="16"/>
      <c r="F128" s="16"/>
      <c r="G128" s="16"/>
      <c r="H128" s="16"/>
      <c r="I128" s="16"/>
      <c r="J128" s="16"/>
      <c r="K128" s="16"/>
      <c r="L128" s="16"/>
      <c r="M128" s="735"/>
      <c r="N128" s="696"/>
      <c r="O128" s="696"/>
      <c r="P128" s="696"/>
      <c r="Q128" s="696"/>
      <c r="R128" s="696"/>
      <c r="S128" s="696"/>
      <c r="T128" s="696"/>
      <c r="U128" s="16"/>
      <c r="V128" s="16"/>
      <c r="W128" s="16"/>
      <c r="X128" s="16"/>
      <c r="Y128" s="16"/>
      <c r="Z128" s="16"/>
      <c r="AA128" s="16"/>
      <c r="AB128" s="16"/>
      <c r="AC128" s="16"/>
      <c r="AD128" s="16"/>
    </row>
    <row r="129" spans="1:30" ht="15.75" customHeight="1">
      <c r="A129" s="16"/>
      <c r="B129" s="16"/>
      <c r="C129" s="16"/>
      <c r="D129" s="16"/>
      <c r="E129" s="16"/>
      <c r="F129" s="16"/>
      <c r="G129" s="16"/>
      <c r="H129" s="16"/>
      <c r="I129" s="16"/>
      <c r="J129" s="16"/>
      <c r="K129" s="16"/>
      <c r="L129" s="16"/>
      <c r="M129" s="735"/>
      <c r="N129" s="696"/>
      <c r="O129" s="696"/>
      <c r="P129" s="696"/>
      <c r="Q129" s="696"/>
      <c r="R129" s="696"/>
      <c r="S129" s="696"/>
      <c r="T129" s="696"/>
      <c r="U129" s="16"/>
      <c r="V129" s="16"/>
      <c r="W129" s="16"/>
      <c r="X129" s="16"/>
      <c r="Y129" s="16"/>
      <c r="Z129" s="16"/>
      <c r="AA129" s="16"/>
      <c r="AB129" s="16"/>
      <c r="AC129" s="16"/>
      <c r="AD129" s="16"/>
    </row>
    <row r="130" spans="1:30" ht="15.75" customHeight="1">
      <c r="A130" s="16"/>
      <c r="B130" s="16"/>
      <c r="C130" s="16"/>
      <c r="D130" s="16"/>
      <c r="E130" s="16"/>
      <c r="F130" s="16"/>
      <c r="G130" s="16"/>
      <c r="H130" s="16"/>
      <c r="I130" s="16"/>
      <c r="J130" s="16"/>
      <c r="K130" s="16"/>
      <c r="L130" s="16"/>
      <c r="M130" s="735"/>
      <c r="N130" s="696"/>
      <c r="O130" s="696"/>
      <c r="P130" s="696"/>
      <c r="Q130" s="696"/>
      <c r="R130" s="696"/>
      <c r="S130" s="696"/>
      <c r="T130" s="696"/>
      <c r="U130" s="16"/>
      <c r="V130" s="16"/>
      <c r="W130" s="16"/>
      <c r="X130" s="16"/>
      <c r="Y130" s="16"/>
      <c r="Z130" s="16"/>
      <c r="AA130" s="16"/>
      <c r="AB130" s="16"/>
      <c r="AC130" s="16"/>
      <c r="AD130" s="16"/>
    </row>
    <row r="131" spans="1:30" ht="15.75" customHeight="1">
      <c r="A131" s="16"/>
      <c r="B131" s="16"/>
      <c r="C131" s="16"/>
      <c r="D131" s="16"/>
      <c r="E131" s="16"/>
      <c r="F131" s="16"/>
      <c r="G131" s="16"/>
      <c r="H131" s="16"/>
      <c r="I131" s="16"/>
      <c r="J131" s="16"/>
      <c r="K131" s="16"/>
      <c r="L131" s="16"/>
      <c r="M131" s="735"/>
      <c r="N131" s="696"/>
      <c r="O131" s="696"/>
      <c r="P131" s="696"/>
      <c r="Q131" s="696"/>
      <c r="R131" s="696"/>
      <c r="S131" s="696"/>
      <c r="T131" s="696"/>
      <c r="U131" s="16"/>
      <c r="V131" s="16"/>
      <c r="W131" s="16"/>
      <c r="X131" s="16"/>
      <c r="Y131" s="16"/>
      <c r="Z131" s="16"/>
      <c r="AA131" s="16"/>
      <c r="AB131" s="16"/>
      <c r="AC131" s="16"/>
      <c r="AD131" s="16"/>
    </row>
    <row r="132" spans="1:30" ht="15.75" customHeight="1">
      <c r="A132" s="16"/>
      <c r="B132" s="16"/>
      <c r="C132" s="16"/>
      <c r="D132" s="16"/>
      <c r="E132" s="16"/>
      <c r="F132" s="16"/>
      <c r="G132" s="16"/>
      <c r="H132" s="16"/>
      <c r="I132" s="16"/>
      <c r="J132" s="16"/>
      <c r="K132" s="16"/>
      <c r="L132" s="16"/>
      <c r="M132" s="735"/>
      <c r="N132" s="696"/>
      <c r="O132" s="696"/>
      <c r="P132" s="696"/>
      <c r="Q132" s="696"/>
      <c r="R132" s="696"/>
      <c r="S132" s="696"/>
      <c r="T132" s="696"/>
      <c r="U132" s="16"/>
      <c r="V132" s="16"/>
      <c r="W132" s="16"/>
      <c r="X132" s="16"/>
      <c r="Y132" s="16"/>
      <c r="Z132" s="16"/>
      <c r="AA132" s="16"/>
      <c r="AB132" s="16"/>
      <c r="AC132" s="16"/>
      <c r="AD132" s="16"/>
    </row>
    <row r="133" spans="1:30" ht="15.75" customHeight="1">
      <c r="A133" s="16"/>
      <c r="B133" s="16"/>
      <c r="C133" s="16"/>
      <c r="D133" s="16"/>
      <c r="E133" s="16"/>
      <c r="F133" s="16"/>
      <c r="G133" s="16"/>
      <c r="H133" s="16"/>
      <c r="I133" s="16"/>
      <c r="J133" s="16"/>
      <c r="K133" s="16"/>
      <c r="L133" s="16"/>
      <c r="M133" s="735"/>
      <c r="N133" s="696"/>
      <c r="O133" s="696"/>
      <c r="P133" s="696"/>
      <c r="Q133" s="696"/>
      <c r="R133" s="696"/>
      <c r="S133" s="696"/>
      <c r="T133" s="696"/>
      <c r="U133" s="16"/>
      <c r="V133" s="16"/>
      <c r="W133" s="16"/>
      <c r="X133" s="16"/>
      <c r="Y133" s="16"/>
      <c r="Z133" s="16"/>
      <c r="AA133" s="16"/>
      <c r="AB133" s="16"/>
      <c r="AC133" s="16"/>
      <c r="AD133" s="16"/>
    </row>
    <row r="134" spans="1:30" ht="15.75" customHeight="1">
      <c r="A134" s="16"/>
      <c r="B134" s="16"/>
      <c r="C134" s="16"/>
      <c r="D134" s="16"/>
      <c r="E134" s="16"/>
      <c r="F134" s="16"/>
      <c r="G134" s="16"/>
      <c r="H134" s="16"/>
      <c r="I134" s="16"/>
      <c r="J134" s="16"/>
      <c r="K134" s="16"/>
      <c r="L134" s="16"/>
      <c r="M134" s="735"/>
      <c r="N134" s="696"/>
      <c r="O134" s="696"/>
      <c r="P134" s="696"/>
      <c r="Q134" s="696"/>
      <c r="R134" s="696"/>
      <c r="S134" s="696"/>
      <c r="T134" s="696"/>
      <c r="U134" s="16"/>
      <c r="V134" s="16"/>
      <c r="W134" s="16"/>
      <c r="X134" s="16"/>
      <c r="Y134" s="16"/>
      <c r="Z134" s="16"/>
      <c r="AA134" s="16"/>
      <c r="AB134" s="16"/>
      <c r="AC134" s="16"/>
      <c r="AD134" s="16"/>
    </row>
    <row r="135" spans="1:30" ht="15.75" customHeight="1">
      <c r="A135" s="16"/>
      <c r="B135" s="16"/>
      <c r="C135" s="16"/>
      <c r="D135" s="16"/>
      <c r="E135" s="16"/>
      <c r="F135" s="16"/>
      <c r="G135" s="16"/>
      <c r="H135" s="16"/>
      <c r="I135" s="16"/>
      <c r="J135" s="16"/>
      <c r="K135" s="16"/>
      <c r="L135" s="16"/>
      <c r="M135" s="735"/>
      <c r="N135" s="696"/>
      <c r="O135" s="696"/>
      <c r="P135" s="696"/>
      <c r="Q135" s="696"/>
      <c r="R135" s="696"/>
      <c r="S135" s="696"/>
      <c r="T135" s="696"/>
      <c r="U135" s="16"/>
      <c r="V135" s="16"/>
      <c r="W135" s="16"/>
      <c r="X135" s="16"/>
      <c r="Y135" s="16"/>
      <c r="Z135" s="16"/>
      <c r="AA135" s="16"/>
      <c r="AB135" s="16"/>
      <c r="AC135" s="16"/>
      <c r="AD135" s="16"/>
    </row>
    <row r="136" spans="1:30" ht="15.75" customHeight="1">
      <c r="A136" s="16"/>
      <c r="B136" s="16"/>
      <c r="C136" s="16"/>
      <c r="D136" s="16"/>
      <c r="E136" s="16"/>
      <c r="F136" s="16"/>
      <c r="G136" s="16"/>
      <c r="H136" s="16"/>
      <c r="I136" s="16"/>
      <c r="J136" s="16"/>
      <c r="K136" s="16"/>
      <c r="L136" s="16"/>
      <c r="M136" s="735"/>
      <c r="N136" s="696"/>
      <c r="O136" s="696"/>
      <c r="P136" s="696"/>
      <c r="Q136" s="696"/>
      <c r="R136" s="696"/>
      <c r="S136" s="696"/>
      <c r="T136" s="696"/>
      <c r="U136" s="16"/>
      <c r="V136" s="16"/>
      <c r="W136" s="16"/>
      <c r="X136" s="16"/>
      <c r="Y136" s="16"/>
      <c r="Z136" s="16"/>
      <c r="AA136" s="16"/>
      <c r="AB136" s="16"/>
      <c r="AC136" s="16"/>
      <c r="AD136" s="16"/>
    </row>
    <row r="137" spans="1:30" ht="15.75" customHeight="1">
      <c r="A137" s="16"/>
      <c r="B137" s="16"/>
      <c r="C137" s="16"/>
      <c r="D137" s="16"/>
      <c r="E137" s="16"/>
      <c r="F137" s="16"/>
      <c r="G137" s="16"/>
      <c r="H137" s="16"/>
      <c r="I137" s="16"/>
      <c r="J137" s="16"/>
      <c r="K137" s="16"/>
      <c r="L137" s="16"/>
      <c r="M137" s="735"/>
      <c r="N137" s="696"/>
      <c r="O137" s="696"/>
      <c r="P137" s="696"/>
      <c r="Q137" s="696"/>
      <c r="R137" s="696"/>
      <c r="S137" s="696"/>
      <c r="T137" s="696"/>
      <c r="U137" s="16"/>
      <c r="V137" s="16"/>
      <c r="W137" s="16"/>
      <c r="X137" s="16"/>
      <c r="Y137" s="16"/>
      <c r="Z137" s="16"/>
      <c r="AA137" s="16"/>
      <c r="AB137" s="16"/>
      <c r="AC137" s="16"/>
      <c r="AD137" s="16"/>
    </row>
    <row r="138" spans="1:30" ht="15.75" customHeight="1">
      <c r="A138" s="16"/>
      <c r="B138" s="16"/>
      <c r="C138" s="16"/>
      <c r="D138" s="16"/>
      <c r="E138" s="16"/>
      <c r="F138" s="16"/>
      <c r="G138" s="16"/>
      <c r="H138" s="16"/>
      <c r="I138" s="16"/>
      <c r="J138" s="16"/>
      <c r="K138" s="16"/>
      <c r="L138" s="16"/>
      <c r="M138" s="735"/>
      <c r="N138" s="696"/>
      <c r="O138" s="696"/>
      <c r="P138" s="696"/>
      <c r="Q138" s="696"/>
      <c r="R138" s="696"/>
      <c r="S138" s="696"/>
      <c r="T138" s="696"/>
      <c r="U138" s="16"/>
      <c r="V138" s="16"/>
      <c r="W138" s="16"/>
      <c r="X138" s="16"/>
      <c r="Y138" s="16"/>
      <c r="Z138" s="16"/>
      <c r="AA138" s="16"/>
      <c r="AB138" s="16"/>
      <c r="AC138" s="16"/>
      <c r="AD138" s="16"/>
    </row>
    <row r="139" spans="1:30" ht="15.75" customHeight="1">
      <c r="A139" s="1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c r="AA139" s="16"/>
      <c r="AB139" s="16"/>
      <c r="AC139" s="16"/>
      <c r="AD139" s="16"/>
    </row>
    <row r="140" spans="1:30" ht="15.75" customHeight="1">
      <c r="A140" s="1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c r="AA140" s="16"/>
      <c r="AB140" s="16"/>
      <c r="AC140" s="16"/>
      <c r="AD140" s="16"/>
    </row>
    <row r="141" spans="1:30" ht="15.75" customHeight="1">
      <c r="A141" s="16"/>
      <c r="B141" s="16"/>
      <c r="C141" s="16"/>
      <c r="D141" s="16"/>
      <c r="E141" s="16"/>
      <c r="F141" s="16"/>
      <c r="G141" s="16"/>
      <c r="H141" s="16"/>
      <c r="I141" s="16"/>
      <c r="J141" s="16"/>
      <c r="K141" s="16"/>
      <c r="L141" s="16"/>
      <c r="M141" s="735"/>
      <c r="N141" s="696"/>
      <c r="O141" s="696"/>
      <c r="P141" s="735"/>
      <c r="Q141" s="696"/>
      <c r="R141" s="696"/>
      <c r="S141" s="696"/>
      <c r="T141" s="696"/>
      <c r="U141" s="16"/>
      <c r="V141" s="16"/>
      <c r="W141" s="16"/>
      <c r="X141" s="16"/>
      <c r="Y141" s="16"/>
      <c r="Z141" s="16"/>
      <c r="AA141" s="16"/>
      <c r="AB141" s="16"/>
      <c r="AC141" s="16"/>
      <c r="AD141" s="16"/>
    </row>
    <row r="142" spans="1:30" ht="15.75" customHeight="1">
      <c r="A142" s="16"/>
      <c r="B142" s="16"/>
      <c r="C142" s="16"/>
      <c r="D142" s="16"/>
      <c r="E142" s="16"/>
      <c r="F142" s="16"/>
      <c r="G142" s="16"/>
      <c r="H142" s="16"/>
      <c r="I142" s="16"/>
      <c r="J142" s="16"/>
      <c r="K142" s="16"/>
      <c r="L142" s="16"/>
      <c r="M142" s="735"/>
      <c r="N142" s="696"/>
      <c r="O142" s="696"/>
      <c r="P142" s="735"/>
      <c r="Q142" s="696"/>
      <c r="R142" s="696"/>
      <c r="S142" s="696"/>
      <c r="T142" s="696"/>
      <c r="U142" s="16"/>
      <c r="V142" s="16"/>
      <c r="W142" s="16"/>
      <c r="X142" s="16"/>
      <c r="Y142" s="16"/>
      <c r="Z142" s="16"/>
      <c r="AA142" s="16"/>
      <c r="AB142" s="16"/>
      <c r="AC142" s="16"/>
      <c r="AD142" s="16"/>
    </row>
    <row r="143" spans="1:30" ht="15.75" customHeight="1">
      <c r="A143" s="16"/>
      <c r="B143" s="16"/>
      <c r="C143" s="16"/>
      <c r="D143" s="16"/>
      <c r="E143" s="16"/>
      <c r="F143" s="16"/>
      <c r="G143" s="16"/>
      <c r="H143" s="16"/>
      <c r="I143" s="16"/>
      <c r="J143" s="16"/>
      <c r="K143" s="16"/>
      <c r="L143" s="16"/>
      <c r="M143" s="735"/>
      <c r="N143" s="696"/>
      <c r="O143" s="696"/>
      <c r="P143" s="696"/>
      <c r="Q143" s="696"/>
      <c r="R143" s="696"/>
      <c r="S143" s="696"/>
      <c r="T143" s="696"/>
      <c r="U143" s="16"/>
      <c r="V143" s="16"/>
      <c r="W143" s="16"/>
      <c r="X143" s="16"/>
      <c r="Y143" s="16"/>
      <c r="Z143" s="16"/>
      <c r="AA143" s="16"/>
      <c r="AB143" s="16"/>
      <c r="AC143" s="16"/>
      <c r="AD143" s="16"/>
    </row>
    <row r="144" spans="1:30" ht="15.75" customHeight="1">
      <c r="A144" s="16"/>
      <c r="B144" s="16"/>
      <c r="C144" s="16"/>
      <c r="D144" s="16"/>
      <c r="E144" s="16"/>
      <c r="F144" s="16"/>
      <c r="G144" s="16"/>
      <c r="H144" s="16"/>
      <c r="I144" s="16"/>
      <c r="J144" s="16"/>
      <c r="K144" s="16"/>
      <c r="L144" s="16"/>
      <c r="M144" s="735"/>
      <c r="N144" s="696"/>
      <c r="O144" s="696"/>
      <c r="P144" s="696"/>
      <c r="Q144" s="696"/>
      <c r="R144" s="696"/>
      <c r="S144" s="696"/>
      <c r="T144" s="696"/>
      <c r="U144" s="16"/>
      <c r="V144" s="16"/>
      <c r="W144" s="16"/>
      <c r="X144" s="16"/>
      <c r="Y144" s="16"/>
      <c r="Z144" s="16"/>
      <c r="AA144" s="16"/>
      <c r="AB144" s="16"/>
      <c r="AC144" s="16"/>
      <c r="AD144" s="16"/>
    </row>
    <row r="145" spans="1:30" ht="15.75" customHeight="1">
      <c r="A145" s="16"/>
      <c r="B145" s="16"/>
      <c r="C145" s="16"/>
      <c r="D145" s="16"/>
      <c r="E145" s="16"/>
      <c r="F145" s="16"/>
      <c r="G145" s="16"/>
      <c r="H145" s="16"/>
      <c r="I145" s="16"/>
      <c r="J145" s="16"/>
      <c r="K145" s="16"/>
      <c r="L145" s="16"/>
      <c r="M145" s="735"/>
      <c r="N145" s="696"/>
      <c r="O145" s="696"/>
      <c r="P145" s="696"/>
      <c r="Q145" s="696"/>
      <c r="R145" s="696"/>
      <c r="S145" s="696"/>
      <c r="T145" s="696"/>
      <c r="U145" s="16"/>
      <c r="V145" s="16"/>
      <c r="W145" s="16"/>
      <c r="X145" s="16"/>
      <c r="Y145" s="16"/>
      <c r="Z145" s="16"/>
      <c r="AA145" s="16"/>
      <c r="AB145" s="16"/>
      <c r="AC145" s="16"/>
      <c r="AD145" s="16"/>
    </row>
    <row r="146" spans="1:30" ht="15.75" customHeight="1">
      <c r="A146" s="16"/>
      <c r="B146" s="16"/>
      <c r="C146" s="16"/>
      <c r="D146" s="16"/>
      <c r="E146" s="16"/>
      <c r="F146" s="16"/>
      <c r="G146" s="16"/>
      <c r="H146" s="16"/>
      <c r="I146" s="16"/>
      <c r="J146" s="16"/>
      <c r="K146" s="16"/>
      <c r="L146" s="16"/>
      <c r="M146" s="735"/>
      <c r="N146" s="696"/>
      <c r="O146" s="696"/>
      <c r="P146" s="696"/>
      <c r="Q146" s="696"/>
      <c r="R146" s="696"/>
      <c r="S146" s="696"/>
      <c r="T146" s="696"/>
      <c r="U146" s="16"/>
      <c r="V146" s="16"/>
      <c r="W146" s="16"/>
      <c r="X146" s="16"/>
      <c r="Y146" s="16"/>
      <c r="Z146" s="16"/>
      <c r="AA146" s="16"/>
      <c r="AB146" s="16"/>
      <c r="AC146" s="16"/>
      <c r="AD146" s="16"/>
    </row>
    <row r="147" spans="1:30" ht="15.75" customHeight="1">
      <c r="A147" s="16"/>
      <c r="B147" s="16"/>
      <c r="C147" s="16"/>
      <c r="D147" s="16"/>
      <c r="E147" s="16"/>
      <c r="F147" s="16"/>
      <c r="G147" s="16"/>
      <c r="H147" s="16"/>
      <c r="I147" s="16"/>
      <c r="J147" s="16"/>
      <c r="K147" s="16"/>
      <c r="L147" s="16"/>
      <c r="M147" s="735"/>
      <c r="N147" s="696"/>
      <c r="O147" s="696"/>
      <c r="P147" s="696"/>
      <c r="Q147" s="696"/>
      <c r="R147" s="696"/>
      <c r="S147" s="696"/>
      <c r="T147" s="696"/>
      <c r="U147" s="16"/>
      <c r="V147" s="16"/>
      <c r="W147" s="16"/>
      <c r="X147" s="16"/>
      <c r="Y147" s="16"/>
      <c r="Z147" s="16"/>
      <c r="AA147" s="16"/>
      <c r="AB147" s="16"/>
      <c r="AC147" s="16"/>
      <c r="AD147" s="16"/>
    </row>
    <row r="148" spans="1:30" ht="15.75" customHeight="1">
      <c r="A148" s="16"/>
      <c r="B148" s="16"/>
      <c r="C148" s="16"/>
      <c r="D148" s="16"/>
      <c r="E148" s="16"/>
      <c r="F148" s="16"/>
      <c r="G148" s="16"/>
      <c r="H148" s="16"/>
      <c r="I148" s="16"/>
      <c r="J148" s="16"/>
      <c r="K148" s="16"/>
      <c r="L148" s="16"/>
      <c r="M148" s="735"/>
      <c r="N148" s="696"/>
      <c r="O148" s="696"/>
      <c r="P148" s="696"/>
      <c r="Q148" s="696"/>
      <c r="R148" s="696"/>
      <c r="S148" s="696"/>
      <c r="T148" s="696"/>
      <c r="U148" s="16"/>
      <c r="V148" s="16"/>
      <c r="W148" s="16"/>
      <c r="X148" s="16"/>
      <c r="Y148" s="16"/>
      <c r="Z148" s="16"/>
      <c r="AA148" s="16"/>
      <c r="AB148" s="16"/>
      <c r="AC148" s="16"/>
      <c r="AD148" s="16"/>
    </row>
    <row r="149" spans="1:30" ht="15.75" customHeight="1">
      <c r="A149" s="16"/>
      <c r="B149" s="16"/>
      <c r="C149" s="16"/>
      <c r="D149" s="16"/>
      <c r="E149" s="16"/>
      <c r="F149" s="16"/>
      <c r="G149" s="16"/>
      <c r="H149" s="16"/>
      <c r="I149" s="16"/>
      <c r="J149" s="16"/>
      <c r="K149" s="16"/>
      <c r="L149" s="16"/>
      <c r="M149" s="735"/>
      <c r="N149" s="696"/>
      <c r="O149" s="696"/>
      <c r="P149" s="696"/>
      <c r="Q149" s="696"/>
      <c r="R149" s="696"/>
      <c r="S149" s="696"/>
      <c r="T149" s="696"/>
      <c r="U149" s="16"/>
      <c r="V149" s="16"/>
      <c r="W149" s="16"/>
      <c r="X149" s="16"/>
      <c r="Y149" s="16"/>
      <c r="Z149" s="16"/>
      <c r="AA149" s="16"/>
      <c r="AB149" s="16"/>
      <c r="AC149" s="16"/>
      <c r="AD149" s="16"/>
    </row>
    <row r="150" spans="1:30" ht="15.75" customHeight="1">
      <c r="A150" s="16"/>
      <c r="B150" s="16"/>
      <c r="C150" s="16"/>
      <c r="D150" s="16"/>
      <c r="E150" s="16"/>
      <c r="F150" s="16"/>
      <c r="G150" s="16"/>
      <c r="H150" s="16"/>
      <c r="I150" s="16"/>
      <c r="J150" s="16"/>
      <c r="K150" s="16"/>
      <c r="L150" s="16"/>
      <c r="M150" s="735"/>
      <c r="N150" s="696"/>
      <c r="O150" s="696"/>
      <c r="P150" s="696"/>
      <c r="Q150" s="696"/>
      <c r="R150" s="696"/>
      <c r="S150" s="696"/>
      <c r="T150" s="696"/>
      <c r="U150" s="16"/>
      <c r="V150" s="16"/>
      <c r="W150" s="16"/>
      <c r="X150" s="16"/>
      <c r="Y150" s="16"/>
      <c r="Z150" s="16"/>
      <c r="AA150" s="16"/>
      <c r="AB150" s="16"/>
      <c r="AC150" s="16"/>
      <c r="AD150" s="16"/>
    </row>
    <row r="151" spans="1:30" ht="15.75" customHeight="1">
      <c r="A151" s="16"/>
      <c r="B151" s="16"/>
      <c r="C151" s="16"/>
      <c r="D151" s="16"/>
      <c r="E151" s="16"/>
      <c r="F151" s="16"/>
      <c r="G151" s="16"/>
      <c r="H151" s="16"/>
      <c r="I151" s="16"/>
      <c r="J151" s="16"/>
      <c r="K151" s="16"/>
      <c r="L151" s="16"/>
      <c r="M151" s="735"/>
      <c r="N151" s="696"/>
      <c r="O151" s="696"/>
      <c r="P151" s="696"/>
      <c r="Q151" s="696"/>
      <c r="R151" s="696"/>
      <c r="S151" s="696"/>
      <c r="T151" s="696"/>
      <c r="U151" s="16"/>
      <c r="V151" s="16"/>
      <c r="W151" s="16"/>
      <c r="X151" s="16"/>
      <c r="Y151" s="16"/>
      <c r="Z151" s="16"/>
      <c r="AA151" s="16"/>
      <c r="AB151" s="16"/>
      <c r="AC151" s="16"/>
      <c r="AD151" s="16"/>
    </row>
    <row r="152" spans="1:30" ht="15.75" customHeight="1">
      <c r="A152" s="16"/>
      <c r="B152" s="16"/>
      <c r="C152" s="16"/>
      <c r="D152" s="16"/>
      <c r="E152" s="16"/>
      <c r="F152" s="16"/>
      <c r="G152" s="16"/>
      <c r="H152" s="16"/>
      <c r="I152" s="16"/>
      <c r="J152" s="16"/>
      <c r="K152" s="16"/>
      <c r="L152" s="16"/>
      <c r="M152" s="735"/>
      <c r="N152" s="696"/>
      <c r="O152" s="696"/>
      <c r="P152" s="696"/>
      <c r="Q152" s="696"/>
      <c r="R152" s="696"/>
      <c r="S152" s="696"/>
      <c r="T152" s="696"/>
      <c r="U152" s="16"/>
      <c r="V152" s="16"/>
      <c r="W152" s="16"/>
      <c r="X152" s="16"/>
      <c r="Y152" s="16"/>
      <c r="Z152" s="16"/>
      <c r="AA152" s="16"/>
      <c r="AB152" s="16"/>
      <c r="AC152" s="16"/>
      <c r="AD152" s="16"/>
    </row>
    <row r="153" spans="1:30" ht="15.75" customHeight="1">
      <c r="A153" s="16"/>
      <c r="B153" s="16"/>
      <c r="C153" s="16"/>
      <c r="D153" s="16"/>
      <c r="E153" s="16"/>
      <c r="F153" s="16"/>
      <c r="G153" s="16"/>
      <c r="H153" s="16"/>
      <c r="I153" s="16"/>
      <c r="J153" s="16"/>
      <c r="K153" s="16"/>
      <c r="L153" s="16"/>
      <c r="M153" s="735"/>
      <c r="N153" s="696"/>
      <c r="O153" s="696"/>
      <c r="P153" s="696"/>
      <c r="Q153" s="696"/>
      <c r="R153" s="696"/>
      <c r="S153" s="696"/>
      <c r="T153" s="696"/>
      <c r="U153" s="16"/>
      <c r="V153" s="16"/>
      <c r="W153" s="16"/>
      <c r="X153" s="16"/>
      <c r="Y153" s="16"/>
      <c r="Z153" s="16"/>
      <c r="AA153" s="16"/>
      <c r="AB153" s="16"/>
      <c r="AC153" s="16"/>
      <c r="AD153" s="16"/>
    </row>
    <row r="154" spans="1:30" ht="15.75" customHeight="1">
      <c r="A154" s="16"/>
      <c r="B154" s="16"/>
      <c r="C154" s="16"/>
      <c r="D154" s="16"/>
      <c r="E154" s="16"/>
      <c r="F154" s="16"/>
      <c r="G154" s="16"/>
      <c r="H154" s="16"/>
      <c r="I154" s="16"/>
      <c r="J154" s="16"/>
      <c r="K154" s="16"/>
      <c r="L154" s="16"/>
      <c r="M154" s="735"/>
      <c r="N154" s="696"/>
      <c r="O154" s="696"/>
      <c r="P154" s="696"/>
      <c r="Q154" s="696"/>
      <c r="R154" s="696"/>
      <c r="S154" s="696"/>
      <c r="T154" s="696"/>
      <c r="U154" s="16"/>
      <c r="V154" s="16"/>
      <c r="W154" s="16"/>
      <c r="X154" s="16"/>
      <c r="Y154" s="16"/>
      <c r="Z154" s="16"/>
      <c r="AA154" s="16"/>
      <c r="AB154" s="16"/>
      <c r="AC154" s="16"/>
      <c r="AD154" s="16"/>
    </row>
    <row r="155" spans="1:30" ht="15.75" customHeight="1">
      <c r="A155" s="16"/>
      <c r="B155" s="16"/>
      <c r="C155" s="16"/>
      <c r="D155" s="16"/>
      <c r="E155" s="16"/>
      <c r="F155" s="16"/>
      <c r="G155" s="16"/>
      <c r="H155" s="16"/>
      <c r="I155" s="16"/>
      <c r="J155" s="16"/>
      <c r="K155" s="16"/>
      <c r="L155" s="16"/>
      <c r="M155" s="735"/>
      <c r="N155" s="696"/>
      <c r="O155" s="696"/>
      <c r="P155" s="696"/>
      <c r="Q155" s="696"/>
      <c r="R155" s="696"/>
      <c r="S155" s="696"/>
      <c r="T155" s="696"/>
      <c r="U155" s="16"/>
      <c r="V155" s="16"/>
      <c r="W155" s="16"/>
      <c r="X155" s="16"/>
      <c r="Y155" s="16"/>
      <c r="Z155" s="16"/>
      <c r="AA155" s="16"/>
      <c r="AB155" s="16"/>
      <c r="AC155" s="16"/>
      <c r="AD155" s="16"/>
    </row>
    <row r="156" spans="1:30" ht="15.75" customHeight="1">
      <c r="A156" s="1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c r="AA156" s="16"/>
      <c r="AB156" s="16"/>
      <c r="AC156" s="16"/>
      <c r="AD156" s="16"/>
    </row>
    <row r="157" spans="1:30" ht="15.75" customHeight="1">
      <c r="A157" s="1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c r="Z157" s="16"/>
      <c r="AA157" s="16"/>
      <c r="AB157" s="16"/>
      <c r="AC157" s="16"/>
      <c r="AD157" s="16"/>
    </row>
    <row r="158" spans="1:30" ht="15.75" customHeight="1">
      <c r="A158" s="16"/>
      <c r="B158" s="735"/>
      <c r="C158" s="696"/>
      <c r="D158" s="16"/>
      <c r="E158" s="16"/>
      <c r="F158" s="16"/>
      <c r="G158" s="16"/>
      <c r="H158" s="16"/>
      <c r="I158" s="16"/>
      <c r="J158" s="16"/>
      <c r="K158" s="16"/>
      <c r="L158" s="16"/>
      <c r="M158" s="735"/>
      <c r="N158" s="696"/>
      <c r="O158" s="696"/>
      <c r="P158" s="735"/>
      <c r="Q158" s="696"/>
      <c r="R158" s="696"/>
      <c r="S158" s="696"/>
      <c r="T158" s="696"/>
      <c r="U158" s="16"/>
      <c r="V158" s="16"/>
      <c r="W158" s="16"/>
      <c r="X158" s="16"/>
      <c r="Y158" s="16"/>
      <c r="Z158" s="16"/>
      <c r="AA158" s="16"/>
      <c r="AB158" s="16"/>
      <c r="AC158" s="16"/>
      <c r="AD158" s="16"/>
    </row>
    <row r="159" spans="1:30" ht="15.75" customHeight="1">
      <c r="A159" s="16"/>
      <c r="B159" s="735"/>
      <c r="C159" s="696"/>
      <c r="D159" s="16"/>
      <c r="E159" s="16"/>
      <c r="F159" s="16"/>
      <c r="G159" s="16"/>
      <c r="H159" s="16"/>
      <c r="I159" s="16"/>
      <c r="J159" s="16"/>
      <c r="K159" s="16"/>
      <c r="L159" s="16"/>
      <c r="M159" s="735"/>
      <c r="N159" s="696"/>
      <c r="O159" s="696"/>
      <c r="P159" s="735"/>
      <c r="Q159" s="696"/>
      <c r="R159" s="696"/>
      <c r="S159" s="696"/>
      <c r="T159" s="696"/>
      <c r="U159" s="16"/>
      <c r="V159" s="16"/>
      <c r="W159" s="16"/>
      <c r="X159" s="16"/>
      <c r="Y159" s="16"/>
      <c r="Z159" s="16"/>
      <c r="AA159" s="16"/>
      <c r="AB159" s="16"/>
      <c r="AC159" s="16"/>
      <c r="AD159" s="16"/>
    </row>
    <row r="160" spans="1:30" ht="15.75" customHeight="1">
      <c r="A160" s="16"/>
      <c r="B160" s="735"/>
      <c r="C160" s="696"/>
      <c r="D160" s="16"/>
      <c r="E160" s="16"/>
      <c r="F160" s="16"/>
      <c r="G160" s="16"/>
      <c r="H160" s="16"/>
      <c r="I160" s="16"/>
      <c r="J160" s="16"/>
      <c r="K160" s="16"/>
      <c r="L160" s="16"/>
      <c r="M160" s="735"/>
      <c r="N160" s="696"/>
      <c r="O160" s="696"/>
      <c r="P160" s="696"/>
      <c r="Q160" s="696"/>
      <c r="R160" s="696"/>
      <c r="S160" s="696"/>
      <c r="T160" s="696"/>
      <c r="U160" s="16"/>
      <c r="V160" s="16"/>
      <c r="W160" s="16"/>
      <c r="X160" s="16"/>
      <c r="Y160" s="16"/>
      <c r="Z160" s="16"/>
      <c r="AA160" s="16"/>
      <c r="AB160" s="16"/>
      <c r="AC160" s="16"/>
      <c r="AD160" s="16"/>
    </row>
    <row r="161" spans="1:30" ht="15.75" customHeight="1">
      <c r="A161" s="16"/>
      <c r="B161" s="735"/>
      <c r="C161" s="696"/>
      <c r="D161" s="16"/>
      <c r="E161" s="16"/>
      <c r="F161" s="16"/>
      <c r="G161" s="16"/>
      <c r="H161" s="16"/>
      <c r="I161" s="16"/>
      <c r="J161" s="16"/>
      <c r="K161" s="16"/>
      <c r="L161" s="16"/>
      <c r="M161" s="735"/>
      <c r="N161" s="696"/>
      <c r="O161" s="696"/>
      <c r="P161" s="696"/>
      <c r="Q161" s="696"/>
      <c r="R161" s="696"/>
      <c r="S161" s="696"/>
      <c r="T161" s="696"/>
      <c r="U161" s="16"/>
      <c r="V161" s="16"/>
      <c r="W161" s="16"/>
      <c r="X161" s="16"/>
      <c r="Y161" s="16"/>
      <c r="Z161" s="16"/>
      <c r="AA161" s="16"/>
      <c r="AB161" s="16"/>
      <c r="AC161" s="16"/>
      <c r="AD161" s="16"/>
    </row>
    <row r="162" spans="1:30" ht="15.75" customHeight="1">
      <c r="A162" s="16"/>
      <c r="B162" s="735"/>
      <c r="C162" s="696"/>
      <c r="D162" s="16"/>
      <c r="E162" s="16"/>
      <c r="F162" s="16"/>
      <c r="G162" s="16"/>
      <c r="H162" s="16"/>
      <c r="I162" s="16"/>
      <c r="J162" s="16"/>
      <c r="K162" s="16"/>
      <c r="L162" s="16"/>
      <c r="M162" s="735"/>
      <c r="N162" s="696"/>
      <c r="O162" s="696"/>
      <c r="P162" s="696"/>
      <c r="Q162" s="696"/>
      <c r="R162" s="696"/>
      <c r="S162" s="696"/>
      <c r="T162" s="696"/>
      <c r="U162" s="16"/>
      <c r="V162" s="16"/>
      <c r="W162" s="16"/>
      <c r="X162" s="16"/>
      <c r="Y162" s="16"/>
      <c r="Z162" s="16"/>
      <c r="AA162" s="16"/>
      <c r="AB162" s="16"/>
      <c r="AC162" s="16"/>
      <c r="AD162" s="16"/>
    </row>
    <row r="163" spans="1:30" ht="15.75" customHeight="1">
      <c r="A163" s="16"/>
      <c r="B163" s="735"/>
      <c r="C163" s="696"/>
      <c r="D163" s="16"/>
      <c r="E163" s="16"/>
      <c r="F163" s="16"/>
      <c r="G163" s="16"/>
      <c r="H163" s="16"/>
      <c r="I163" s="16"/>
      <c r="J163" s="16"/>
      <c r="K163" s="16"/>
      <c r="L163" s="16"/>
      <c r="M163" s="735"/>
      <c r="N163" s="696"/>
      <c r="O163" s="696"/>
      <c r="P163" s="696"/>
      <c r="Q163" s="696"/>
      <c r="R163" s="696"/>
      <c r="S163" s="696"/>
      <c r="T163" s="696"/>
      <c r="U163" s="16"/>
      <c r="V163" s="16"/>
      <c r="W163" s="16"/>
      <c r="X163" s="16"/>
      <c r="Y163" s="16"/>
      <c r="Z163" s="16"/>
      <c r="AA163" s="16"/>
      <c r="AB163" s="16"/>
      <c r="AC163" s="16"/>
      <c r="AD163" s="16"/>
    </row>
    <row r="164" spans="1:30" ht="15.75" customHeight="1">
      <c r="A164" s="16"/>
      <c r="B164" s="735"/>
      <c r="C164" s="696"/>
      <c r="D164" s="16"/>
      <c r="E164" s="16"/>
      <c r="F164" s="16"/>
      <c r="G164" s="16"/>
      <c r="H164" s="16"/>
      <c r="I164" s="16"/>
      <c r="J164" s="16"/>
      <c r="K164" s="16"/>
      <c r="L164" s="16"/>
      <c r="M164" s="735"/>
      <c r="N164" s="696"/>
      <c r="O164" s="696"/>
      <c r="P164" s="696"/>
      <c r="Q164" s="696"/>
      <c r="R164" s="696"/>
      <c r="S164" s="696"/>
      <c r="T164" s="696"/>
      <c r="U164" s="16"/>
      <c r="V164" s="16"/>
      <c r="W164" s="16"/>
      <c r="X164" s="16"/>
      <c r="Y164" s="16"/>
      <c r="Z164" s="16"/>
      <c r="AA164" s="16"/>
      <c r="AB164" s="16"/>
      <c r="AC164" s="16"/>
      <c r="AD164" s="16"/>
    </row>
    <row r="165" spans="1:30" ht="15.75" customHeight="1">
      <c r="A165" s="16"/>
      <c r="B165" s="735"/>
      <c r="C165" s="696"/>
      <c r="D165" s="16"/>
      <c r="E165" s="16"/>
      <c r="F165" s="16"/>
      <c r="G165" s="16"/>
      <c r="H165" s="16"/>
      <c r="I165" s="16"/>
      <c r="J165" s="16"/>
      <c r="K165" s="16"/>
      <c r="L165" s="16"/>
      <c r="M165" s="735"/>
      <c r="N165" s="696"/>
      <c r="O165" s="696"/>
      <c r="P165" s="696"/>
      <c r="Q165" s="696"/>
      <c r="R165" s="696"/>
      <c r="S165" s="696"/>
      <c r="T165" s="696"/>
      <c r="U165" s="16"/>
      <c r="V165" s="16"/>
      <c r="W165" s="16"/>
      <c r="X165" s="16"/>
      <c r="Y165" s="16"/>
      <c r="Z165" s="16"/>
      <c r="AA165" s="16"/>
      <c r="AB165" s="16"/>
      <c r="AC165" s="16"/>
      <c r="AD165" s="16"/>
    </row>
    <row r="166" spans="1:30" ht="15.75" customHeight="1">
      <c r="A166" s="16"/>
      <c r="B166" s="735"/>
      <c r="C166" s="696"/>
      <c r="D166" s="16"/>
      <c r="E166" s="16"/>
      <c r="F166" s="16"/>
      <c r="G166" s="16"/>
      <c r="H166" s="16"/>
      <c r="I166" s="16"/>
      <c r="J166" s="16"/>
      <c r="K166" s="16"/>
      <c r="L166" s="16"/>
      <c r="M166" s="735"/>
      <c r="N166" s="696"/>
      <c r="O166" s="696"/>
      <c r="P166" s="696"/>
      <c r="Q166" s="696"/>
      <c r="R166" s="696"/>
      <c r="S166" s="696"/>
      <c r="T166" s="696"/>
      <c r="U166" s="16"/>
      <c r="V166" s="16"/>
      <c r="W166" s="16"/>
      <c r="X166" s="16"/>
      <c r="Y166" s="16"/>
      <c r="Z166" s="16"/>
      <c r="AA166" s="16"/>
      <c r="AB166" s="16"/>
      <c r="AC166" s="16"/>
      <c r="AD166" s="16"/>
    </row>
    <row r="167" spans="1:30" ht="15.75" customHeight="1">
      <c r="A167" s="16"/>
      <c r="B167" s="735"/>
      <c r="C167" s="696"/>
      <c r="D167" s="16"/>
      <c r="E167" s="16"/>
      <c r="F167" s="16"/>
      <c r="G167" s="16"/>
      <c r="H167" s="16"/>
      <c r="I167" s="16"/>
      <c r="J167" s="16"/>
      <c r="K167" s="16"/>
      <c r="L167" s="16"/>
      <c r="M167" s="735"/>
      <c r="N167" s="696"/>
      <c r="O167" s="696"/>
      <c r="P167" s="696"/>
      <c r="Q167" s="696"/>
      <c r="R167" s="696"/>
      <c r="S167" s="696"/>
      <c r="T167" s="696"/>
      <c r="U167" s="16"/>
      <c r="V167" s="16"/>
      <c r="W167" s="16"/>
      <c r="X167" s="16"/>
      <c r="Y167" s="16"/>
      <c r="Z167" s="16"/>
      <c r="AA167" s="16"/>
      <c r="AB167" s="16"/>
      <c r="AC167" s="16"/>
      <c r="AD167" s="16"/>
    </row>
    <row r="168" spans="1:30" ht="15.75" customHeight="1">
      <c r="A168" s="16"/>
      <c r="B168" s="735"/>
      <c r="C168" s="696"/>
      <c r="D168" s="16"/>
      <c r="E168" s="16"/>
      <c r="F168" s="16"/>
      <c r="G168" s="16"/>
      <c r="H168" s="16"/>
      <c r="I168" s="16"/>
      <c r="J168" s="16"/>
      <c r="K168" s="16"/>
      <c r="L168" s="16"/>
      <c r="M168" s="735"/>
      <c r="N168" s="696"/>
      <c r="O168" s="696"/>
      <c r="P168" s="696"/>
      <c r="Q168" s="696"/>
      <c r="R168" s="696"/>
      <c r="S168" s="696"/>
      <c r="T168" s="696"/>
      <c r="U168" s="16"/>
      <c r="V168" s="16"/>
      <c r="W168" s="16"/>
      <c r="X168" s="16"/>
      <c r="Y168" s="16"/>
      <c r="Z168" s="16"/>
      <c r="AA168" s="16"/>
      <c r="AB168" s="16"/>
      <c r="AC168" s="16"/>
      <c r="AD168" s="16"/>
    </row>
    <row r="169" spans="1:30" ht="15.75" customHeight="1">
      <c r="A169" s="16"/>
      <c r="B169" s="735"/>
      <c r="C169" s="696"/>
      <c r="D169" s="16"/>
      <c r="E169" s="16"/>
      <c r="F169" s="16"/>
      <c r="G169" s="16"/>
      <c r="H169" s="16"/>
      <c r="I169" s="16"/>
      <c r="J169" s="16"/>
      <c r="K169" s="16"/>
      <c r="L169" s="16"/>
      <c r="M169" s="735"/>
      <c r="N169" s="696"/>
      <c r="O169" s="696"/>
      <c r="P169" s="696"/>
      <c r="Q169" s="696"/>
      <c r="R169" s="696"/>
      <c r="S169" s="696"/>
      <c r="T169" s="696"/>
      <c r="U169" s="16"/>
      <c r="V169" s="16"/>
      <c r="W169" s="16"/>
      <c r="X169" s="16"/>
      <c r="Y169" s="16"/>
      <c r="Z169" s="16"/>
      <c r="AA169" s="16"/>
      <c r="AB169" s="16"/>
      <c r="AC169" s="16"/>
      <c r="AD169" s="16"/>
    </row>
    <row r="170" spans="1:30" ht="15.75" customHeight="1">
      <c r="A170" s="16"/>
      <c r="B170" s="735"/>
      <c r="C170" s="696"/>
      <c r="D170" s="16"/>
      <c r="E170" s="16"/>
      <c r="F170" s="16"/>
      <c r="G170" s="16"/>
      <c r="H170" s="16"/>
      <c r="I170" s="16"/>
      <c r="J170" s="16"/>
      <c r="K170" s="16"/>
      <c r="L170" s="16"/>
      <c r="M170" s="735"/>
      <c r="N170" s="696"/>
      <c r="O170" s="696"/>
      <c r="P170" s="696"/>
      <c r="Q170" s="696"/>
      <c r="R170" s="696"/>
      <c r="S170" s="696"/>
      <c r="T170" s="696"/>
      <c r="U170" s="16"/>
      <c r="V170" s="16"/>
      <c r="W170" s="16"/>
      <c r="X170" s="16"/>
      <c r="Y170" s="16"/>
      <c r="Z170" s="16"/>
      <c r="AA170" s="16"/>
      <c r="AB170" s="16"/>
      <c r="AC170" s="16"/>
      <c r="AD170" s="16"/>
    </row>
    <row r="171" spans="1:30" ht="15.75" customHeight="1">
      <c r="A171" s="16"/>
      <c r="B171" s="735"/>
      <c r="C171" s="696"/>
      <c r="D171" s="16"/>
      <c r="E171" s="16"/>
      <c r="F171" s="16"/>
      <c r="G171" s="16"/>
      <c r="H171" s="16"/>
      <c r="I171" s="16"/>
      <c r="J171" s="16"/>
      <c r="K171" s="16"/>
      <c r="L171" s="16"/>
      <c r="M171" s="735"/>
      <c r="N171" s="696"/>
      <c r="O171" s="696"/>
      <c r="P171" s="696"/>
      <c r="Q171" s="696"/>
      <c r="R171" s="696"/>
      <c r="S171" s="696"/>
      <c r="T171" s="696"/>
      <c r="U171" s="16"/>
      <c r="V171" s="16"/>
      <c r="W171" s="16"/>
      <c r="X171" s="16"/>
      <c r="Y171" s="16"/>
      <c r="Z171" s="16"/>
      <c r="AA171" s="16"/>
      <c r="AB171" s="16"/>
      <c r="AC171" s="16"/>
      <c r="AD171" s="16"/>
    </row>
    <row r="172" spans="1:30" ht="15.75" customHeight="1">
      <c r="A172" s="16"/>
      <c r="B172" s="735"/>
      <c r="C172" s="696"/>
      <c r="D172" s="16"/>
      <c r="E172" s="16"/>
      <c r="F172" s="16"/>
      <c r="G172" s="16"/>
      <c r="H172" s="16"/>
      <c r="I172" s="16"/>
      <c r="J172" s="16"/>
      <c r="K172" s="16"/>
      <c r="L172" s="16"/>
      <c r="M172" s="735"/>
      <c r="N172" s="696"/>
      <c r="O172" s="696"/>
      <c r="P172" s="696"/>
      <c r="Q172" s="696"/>
      <c r="R172" s="696"/>
      <c r="S172" s="696"/>
      <c r="T172" s="696"/>
      <c r="U172" s="16"/>
      <c r="V172" s="16"/>
      <c r="W172" s="16"/>
      <c r="X172" s="16"/>
      <c r="Y172" s="16"/>
      <c r="Z172" s="16"/>
      <c r="AA172" s="16"/>
      <c r="AB172" s="16"/>
      <c r="AC172" s="16"/>
      <c r="AD172" s="16"/>
    </row>
    <row r="173" spans="1:30" ht="15.75" customHeight="1">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c r="AC173" s="16"/>
      <c r="AD173" s="16"/>
    </row>
    <row r="174" spans="1:30" ht="15.75" customHeight="1">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c r="AC174" s="16"/>
      <c r="AD174" s="16"/>
    </row>
    <row r="175" spans="1:30" ht="15.75" customHeight="1">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c r="AA175" s="16"/>
      <c r="AB175" s="16"/>
      <c r="AC175" s="16"/>
      <c r="AD175" s="16"/>
    </row>
    <row r="176" spans="1:30" ht="15.75" customHeight="1">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c r="AD176" s="16"/>
    </row>
    <row r="177" spans="1:30" ht="15.75" customHeight="1">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c r="AD177" s="16"/>
    </row>
    <row r="178" spans="1:30" ht="15.75" customHeight="1">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c r="AA178" s="16"/>
      <c r="AB178" s="16"/>
      <c r="AC178" s="16"/>
      <c r="AD178" s="16"/>
    </row>
    <row r="179" spans="1:30" ht="15.75" customHeight="1">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c r="AD179" s="16"/>
    </row>
    <row r="180" spans="1:30" ht="15.75" customHeight="1">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c r="AD180" s="16"/>
    </row>
    <row r="181" spans="1:30" ht="15.75" customHeight="1">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c r="AD181" s="16"/>
    </row>
    <row r="182" spans="1:30" ht="15.75" customHeight="1">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c r="AD182" s="16"/>
    </row>
    <row r="183" spans="1:30" ht="15.75" customHeight="1">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c r="AD183" s="16"/>
    </row>
    <row r="184" spans="1:30" ht="15.75" customHeight="1">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c r="AD184" s="16"/>
    </row>
    <row r="185" spans="1:30" ht="15.75" customHeight="1">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c r="AD185" s="16"/>
    </row>
    <row r="186" spans="1:30" ht="15.75" customHeight="1">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c r="AD186" s="16"/>
    </row>
    <row r="187" spans="1:30" ht="15.75" customHeight="1">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16"/>
      <c r="AB187" s="16"/>
      <c r="AC187" s="16"/>
      <c r="AD187" s="16"/>
    </row>
    <row r="188" spans="1:30" ht="15.75" customHeight="1">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c r="AD188" s="16"/>
    </row>
    <row r="189" spans="1:30" ht="15.75" customHeight="1">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c r="AD189" s="16"/>
    </row>
    <row r="190" spans="1:30" ht="15.75" customHeight="1">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c r="AD190" s="16"/>
    </row>
    <row r="191" spans="1:30" ht="15.75" customHeight="1">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c r="AD191" s="16"/>
    </row>
    <row r="192" spans="1:30" ht="15.75" customHeight="1">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c r="AD192" s="16"/>
    </row>
    <row r="193" spans="1:30" ht="15.75" customHeight="1">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c r="AA193" s="16"/>
      <c r="AB193" s="16"/>
      <c r="AC193" s="16"/>
      <c r="AD193" s="16"/>
    </row>
    <row r="194" spans="1:30" ht="15.75" customHeight="1">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c r="AA194" s="16"/>
      <c r="AB194" s="16"/>
      <c r="AC194" s="16"/>
      <c r="AD194" s="16"/>
    </row>
    <row r="195" spans="1:30" ht="15.75" customHeight="1">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c r="AA195" s="16"/>
      <c r="AB195" s="16"/>
      <c r="AC195" s="16"/>
      <c r="AD195" s="16"/>
    </row>
    <row r="196" spans="1:30" ht="15.75" customHeight="1">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c r="AA196" s="16"/>
      <c r="AB196" s="16"/>
      <c r="AC196" s="16"/>
      <c r="AD196" s="16"/>
    </row>
    <row r="197" spans="1:30" ht="15.75" customHeight="1">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c r="AD197" s="16"/>
    </row>
    <row r="198" spans="1:30" ht="15.75" customHeight="1">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c r="AD198" s="16"/>
    </row>
    <row r="199" spans="1:30" ht="15.75" customHeight="1">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c r="AA199" s="16"/>
      <c r="AB199" s="16"/>
      <c r="AC199" s="16"/>
      <c r="AD199" s="16"/>
    </row>
    <row r="200" spans="1:30" ht="15.75" customHeight="1">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c r="AA200" s="16"/>
      <c r="AB200" s="16"/>
      <c r="AC200" s="16"/>
      <c r="AD200" s="16"/>
    </row>
    <row r="201" spans="1:30" ht="15.75" customHeight="1">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c r="AD201" s="16"/>
    </row>
    <row r="202" spans="1:30" ht="15.75" customHeight="1">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c r="AD202" s="16"/>
    </row>
    <row r="203" spans="1:30" ht="15.75" customHeight="1">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c r="AA203" s="16"/>
      <c r="AB203" s="16"/>
      <c r="AC203" s="16"/>
      <c r="AD203" s="16"/>
    </row>
    <row r="204" spans="1:30" ht="15.75" customHeight="1">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c r="AA204" s="16"/>
      <c r="AB204" s="16"/>
      <c r="AC204" s="16"/>
      <c r="AD204" s="16"/>
    </row>
    <row r="205" spans="1:30" ht="15.75" customHeight="1">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c r="AD205" s="16"/>
    </row>
    <row r="206" spans="1:30" ht="15.75" customHeight="1">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row>
    <row r="207" spans="1:30" ht="15.75" customHeight="1">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c r="AD207" s="16"/>
    </row>
    <row r="208" spans="1:30" ht="15.75" customHeight="1">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c r="AD208" s="16"/>
    </row>
    <row r="209" spans="1:30" ht="15.75" customHeight="1">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c r="AD209" s="16"/>
    </row>
    <row r="210" spans="1:30" ht="15.75" customHeight="1">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c r="AD210" s="16"/>
    </row>
    <row r="211" spans="1:30" ht="15.75" customHeight="1">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row>
    <row r="212" spans="1:30" ht="15.75" customHeight="1">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c r="AD212" s="16"/>
    </row>
    <row r="213" spans="1:30" ht="15.75" customHeight="1">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c r="AD213" s="16"/>
    </row>
    <row r="214" spans="1:30" ht="15.75" customHeight="1">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row>
    <row r="215" spans="1:30" ht="15.75" customHeight="1">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c r="AD215" s="16"/>
    </row>
    <row r="216" spans="1:30" ht="15.75" customHeight="1">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c r="AD216" s="16"/>
    </row>
    <row r="217" spans="1:30" ht="15.75" customHeight="1">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c r="AD217" s="16"/>
    </row>
    <row r="218" spans="1:30" ht="15.75" customHeight="1">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c r="AD218" s="16"/>
    </row>
    <row r="219" spans="1:30" ht="15.75" customHeight="1">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c r="AD219" s="16"/>
    </row>
    <row r="220" spans="1:30" ht="15.75" customHeight="1">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c r="AD220" s="16"/>
    </row>
    <row r="221" spans="1:30" ht="15.75" customHeight="1">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row>
    <row r="222" spans="1:30" ht="15.75" customHeight="1">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row>
    <row r="223" spans="1:30" ht="15.75" customHeight="1">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c r="AD223" s="16"/>
    </row>
    <row r="224" spans="1:30" ht="15.75" customHeight="1">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c r="AD224" s="16"/>
    </row>
    <row r="225" spans="1:30" ht="15.75" customHeight="1">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16"/>
    </row>
    <row r="226" spans="1:30" ht="15.75" customHeight="1">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row>
    <row r="227" spans="1:30" ht="15.75" customHeight="1">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16"/>
    </row>
    <row r="228" spans="1:30" ht="15.75" customHeight="1">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c r="AD228" s="16"/>
    </row>
    <row r="229" spans="1:30" ht="15.75" customHeight="1">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c r="AD229" s="16"/>
    </row>
    <row r="230" spans="1:30" ht="15.75" customHeight="1">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row>
    <row r="231" spans="1:30" ht="15.75" customHeight="1">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c r="AD231" s="16"/>
    </row>
    <row r="232" spans="1:30" ht="15.75" customHeight="1">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c r="AD232" s="16"/>
    </row>
    <row r="233" spans="1:30" ht="15.75" customHeight="1">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c r="AD233" s="16"/>
    </row>
    <row r="234" spans="1:30" ht="15.75" customHeight="1">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c r="AD234" s="16"/>
    </row>
    <row r="235" spans="1:30" ht="15.75" customHeight="1">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row>
    <row r="236" spans="1:30" ht="15.75" customHeight="1">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c r="AD236" s="16"/>
    </row>
    <row r="237" spans="1:30" ht="15.75" customHeight="1">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c r="AD237" s="16"/>
    </row>
    <row r="238" spans="1:30" ht="15.75" customHeight="1">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c r="AD238" s="16"/>
    </row>
    <row r="239" spans="1:30" ht="15.75" customHeight="1">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c r="AD239" s="16"/>
    </row>
    <row r="240" spans="1:30" ht="15.75" customHeight="1">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c r="AD240" s="16"/>
    </row>
    <row r="241" spans="1:30" ht="15.75" customHeight="1">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c r="AD241" s="16"/>
    </row>
    <row r="242" spans="1:30" ht="15.75" customHeight="1">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c r="AD242" s="16"/>
    </row>
    <row r="243" spans="1:30" ht="15.75" customHeight="1">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c r="AD243" s="16"/>
    </row>
    <row r="244" spans="1:30" ht="15.75" customHeight="1">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16"/>
    </row>
    <row r="245" spans="1:30" ht="15.75" customHeight="1">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c r="AD245" s="16"/>
    </row>
    <row r="246" spans="1:30" ht="15.75" customHeight="1">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row>
    <row r="247" spans="1:30" ht="15.75" customHeight="1">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c r="AD247" s="16"/>
    </row>
    <row r="248" spans="1:30" ht="15.75" customHeight="1">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row>
    <row r="249" spans="1:30" ht="15.75" customHeight="1">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row>
    <row r="250" spans="1:30" ht="15.75" customHeight="1">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c r="AD250" s="16"/>
    </row>
    <row r="251" spans="1:30" ht="15.75" customHeight="1">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row>
    <row r="252" spans="1:30" ht="15.75" customHeight="1">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16"/>
    </row>
    <row r="253" spans="1:30" ht="15.75" customHeight="1">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c r="AD253" s="16"/>
    </row>
    <row r="254" spans="1:30" ht="15.75" customHeight="1">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row>
    <row r="255" spans="1:30" ht="15.75" customHeight="1">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c r="AD255" s="16"/>
    </row>
    <row r="256" spans="1:30" ht="15.75" customHeight="1">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row>
    <row r="257" spans="1:30" ht="15.75" customHeight="1">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c r="AD257" s="16"/>
    </row>
    <row r="258" spans="1:30" ht="15.75" customHeight="1">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c r="AD258" s="16"/>
    </row>
    <row r="259" spans="1:30" ht="15.75" customHeight="1">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row>
    <row r="260" spans="1:30" ht="15.75" customHeight="1">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row>
    <row r="261" spans="1:30" ht="15.75" customHeight="1">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c r="AD261" s="16"/>
    </row>
    <row r="262" spans="1:30" ht="15.75" customHeight="1">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row>
    <row r="263" spans="1:30" ht="15.75" customHeight="1">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row>
    <row r="264" spans="1:30" ht="15.75" customHeight="1">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c r="AD264" s="16"/>
    </row>
    <row r="265" spans="1:30" ht="15.75" customHeight="1">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row>
    <row r="266" spans="1:30" ht="15.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row>
    <row r="267" spans="1:30" ht="15.75" customHeight="1">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row>
    <row r="268" spans="1:30" ht="15.75" customHeight="1">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c r="AD268" s="16"/>
    </row>
    <row r="269" spans="1:30" ht="15.75" customHeight="1">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row>
    <row r="270" spans="1:30" ht="15.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row>
    <row r="271" spans="1:30" ht="15.75" customHeight="1">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c r="AD271" s="16"/>
    </row>
    <row r="272" spans="1:30" ht="15.75" customHeight="1">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c r="AD272" s="16"/>
    </row>
    <row r="273" spans="1:30" ht="15.75" customHeight="1">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c r="AD273" s="16"/>
    </row>
    <row r="274" spans="1:30" ht="15.75" customHeight="1">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c r="AD274" s="16"/>
    </row>
    <row r="275" spans="1:30" ht="15.75" customHeight="1">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c r="AD275" s="16"/>
    </row>
    <row r="276" spans="1:30" ht="15.75" customHeight="1">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row>
    <row r="277" spans="1:30" ht="15.75" customHeight="1">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16"/>
    </row>
    <row r="278" spans="1:30" ht="15.75" customHeight="1">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row>
    <row r="279" spans="1:30" ht="15.75" customHeight="1">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16"/>
    </row>
    <row r="280" spans="1:30" ht="15.75" customHeight="1">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c r="AD280" s="16"/>
    </row>
    <row r="281" spans="1:30" ht="15.75" customHeight="1">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c r="AD281" s="16"/>
    </row>
    <row r="282" spans="1:30" ht="15.75" customHeight="1">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c r="AD282" s="16"/>
    </row>
    <row r="283" spans="1:30" ht="15.75" customHeight="1">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c r="AD283" s="16"/>
    </row>
    <row r="284" spans="1:30" ht="15.75" customHeight="1">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c r="AD284" s="16"/>
    </row>
    <row r="285" spans="1:30" ht="15.75" customHeight="1">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c r="AD285" s="16"/>
    </row>
    <row r="286" spans="1:30" ht="15.75" customHeight="1">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row>
    <row r="287" spans="1:30" ht="15.75" customHeight="1">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row>
    <row r="288" spans="1:30" ht="15.75" customHeight="1">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row>
    <row r="289" spans="1:30" ht="15.75" customHeight="1">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row>
    <row r="290" spans="1:30" ht="15.75" customHeight="1">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row>
    <row r="291" spans="1:30" ht="15.75" customHeight="1">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c r="AD291" s="16"/>
    </row>
    <row r="292" spans="1:30" ht="15.75" customHeight="1">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row>
    <row r="293" spans="1:30" ht="15.75" customHeight="1">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row>
    <row r="294" spans="1:30" ht="15.75" customHeight="1">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row>
    <row r="295" spans="1:30" ht="15.75" customHeight="1">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row>
    <row r="296" spans="1:30" ht="15.75" customHeight="1">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row>
    <row r="297" spans="1:30" ht="15.75" customHeight="1">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row>
    <row r="298" spans="1:30" ht="15.75" customHeight="1">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row>
    <row r="299" spans="1:30" ht="15.75" customHeight="1">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row>
    <row r="300" spans="1:30" ht="15.75" customHeight="1">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row>
    <row r="301" spans="1:30" ht="15.75" customHeight="1">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c r="AD301" s="16"/>
    </row>
    <row r="302" spans="1:30" ht="15.75" customHeight="1">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c r="AD302" s="16"/>
    </row>
    <row r="303" spans="1:30" ht="15.75" customHeight="1">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row>
    <row r="304" spans="1:30" ht="15.75" customHeight="1">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c r="AD304" s="16"/>
    </row>
    <row r="305" spans="1:30" ht="15.75" customHeight="1">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c r="AD305" s="16"/>
    </row>
    <row r="306" spans="1:30" ht="15.75" customHeight="1">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c r="AA306" s="16"/>
      <c r="AB306" s="16"/>
      <c r="AC306" s="16"/>
      <c r="AD306" s="16"/>
    </row>
    <row r="307" spans="1:30" ht="15.75" customHeight="1">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c r="AA307" s="16"/>
      <c r="AB307" s="16"/>
      <c r="AC307" s="16"/>
      <c r="AD307" s="16"/>
    </row>
    <row r="308" spans="1:30" ht="15.75" customHeight="1">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c r="AA308" s="16"/>
      <c r="AB308" s="16"/>
      <c r="AC308" s="16"/>
      <c r="AD308" s="16"/>
    </row>
    <row r="309" spans="1:30" ht="15.75" customHeight="1"/>
    <row r="310" spans="1:30" ht="15.75" customHeight="1"/>
    <row r="311" spans="1:30" ht="15.75" customHeight="1"/>
    <row r="312" spans="1:30" ht="15.75" customHeight="1"/>
    <row r="313" spans="1:30" ht="15.75" customHeight="1"/>
    <row r="314" spans="1:30" ht="15.75" customHeight="1"/>
    <row r="315" spans="1:30" ht="15.75" customHeight="1"/>
    <row r="316" spans="1:30" ht="15.75" customHeight="1"/>
    <row r="317" spans="1:30" ht="15.75" customHeight="1"/>
    <row r="318" spans="1:30" ht="15.75" customHeight="1"/>
    <row r="319" spans="1:30" ht="15.75" customHeight="1"/>
    <row r="320" spans="1:3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sheetData>
  <mergeCells count="99">
    <mergeCell ref="H38:J45"/>
    <mergeCell ref="A29:F29"/>
    <mergeCell ref="A1:C1"/>
    <mergeCell ref="E1:H1"/>
    <mergeCell ref="D7:I7"/>
    <mergeCell ref="D8:I8"/>
    <mergeCell ref="A28:F28"/>
    <mergeCell ref="A30:F30"/>
    <mergeCell ref="A31:F31"/>
    <mergeCell ref="A32:F32"/>
    <mergeCell ref="A34:F34"/>
    <mergeCell ref="H37:J37"/>
    <mergeCell ref="I48:K48"/>
    <mergeCell ref="I49:K53"/>
    <mergeCell ref="K57:M57"/>
    <mergeCell ref="K58:M70"/>
    <mergeCell ref="K73:O73"/>
    <mergeCell ref="H94:I94"/>
    <mergeCell ref="J94:K94"/>
    <mergeCell ref="H95:I108"/>
    <mergeCell ref="J95:K108"/>
    <mergeCell ref="K74:O91"/>
    <mergeCell ref="P74:Q91"/>
    <mergeCell ref="AG29:AH29"/>
    <mergeCell ref="AI29:AJ29"/>
    <mergeCell ref="AG30:AH40"/>
    <mergeCell ref="AI30:AJ40"/>
    <mergeCell ref="P73:Q73"/>
    <mergeCell ref="P118:R118"/>
    <mergeCell ref="P119:R119"/>
    <mergeCell ref="P120:R120"/>
    <mergeCell ref="P121:R121"/>
    <mergeCell ref="P122:R122"/>
    <mergeCell ref="P123:R123"/>
    <mergeCell ref="M138:O138"/>
    <mergeCell ref="P124:R124"/>
    <mergeCell ref="M126:O126"/>
    <mergeCell ref="P126:T126"/>
    <mergeCell ref="M127:O127"/>
    <mergeCell ref="P127:T138"/>
    <mergeCell ref="M128:O128"/>
    <mergeCell ref="M129:O129"/>
    <mergeCell ref="M130:O130"/>
    <mergeCell ref="M131:O131"/>
    <mergeCell ref="M132:O132"/>
    <mergeCell ref="M133:O133"/>
    <mergeCell ref="M134:O134"/>
    <mergeCell ref="M135:O135"/>
    <mergeCell ref="M136:O136"/>
    <mergeCell ref="M137:O137"/>
    <mergeCell ref="M154:O154"/>
    <mergeCell ref="M141:O141"/>
    <mergeCell ref="P141:T141"/>
    <mergeCell ref="M142:O142"/>
    <mergeCell ref="P142:T155"/>
    <mergeCell ref="M143:O143"/>
    <mergeCell ref="M144:O144"/>
    <mergeCell ref="M145:O145"/>
    <mergeCell ref="M146:O146"/>
    <mergeCell ref="M147:O147"/>
    <mergeCell ref="M148:O148"/>
    <mergeCell ref="M149:O149"/>
    <mergeCell ref="M150:O150"/>
    <mergeCell ref="M151:O151"/>
    <mergeCell ref="M152:O152"/>
    <mergeCell ref="M153:O153"/>
    <mergeCell ref="P158:T158"/>
    <mergeCell ref="B159:C159"/>
    <mergeCell ref="M159:O159"/>
    <mergeCell ref="P159:T172"/>
    <mergeCell ref="B160:C160"/>
    <mergeCell ref="M160:O160"/>
    <mergeCell ref="B161:C161"/>
    <mergeCell ref="B164:C164"/>
    <mergeCell ref="M164:O164"/>
    <mergeCell ref="B163:C163"/>
    <mergeCell ref="M163:O163"/>
    <mergeCell ref="B165:C165"/>
    <mergeCell ref="M165:O165"/>
    <mergeCell ref="B166:C166"/>
    <mergeCell ref="M166:O166"/>
    <mergeCell ref="B167:C167"/>
    <mergeCell ref="M155:O155"/>
    <mergeCell ref="B158:C158"/>
    <mergeCell ref="M158:O158"/>
    <mergeCell ref="M161:O161"/>
    <mergeCell ref="B162:C162"/>
    <mergeCell ref="M162:O162"/>
    <mergeCell ref="M167:O167"/>
    <mergeCell ref="B171:C171"/>
    <mergeCell ref="M171:O171"/>
    <mergeCell ref="B172:C172"/>
    <mergeCell ref="M172:O172"/>
    <mergeCell ref="B168:C168"/>
    <mergeCell ref="M168:O168"/>
    <mergeCell ref="B169:C169"/>
    <mergeCell ref="M169:O169"/>
    <mergeCell ref="B170:C170"/>
    <mergeCell ref="M170:O170"/>
  </mergeCells>
  <phoneticPr fontId="31" type="noConversion"/>
  <conditionalFormatting sqref="I58:I69">
    <cfRule type="containsText" dxfId="803" priority="1" operator="containsText" text="5">
      <formula>NOT(ISERROR(SEARCH(("5"),(I58))))</formula>
    </cfRule>
    <cfRule type="containsText" dxfId="802" priority="2" operator="containsText" text="42">
      <formula>NOT(ISERROR(SEARCH(("42"),(I58))))</formula>
    </cfRule>
    <cfRule type="containsText" dxfId="801" priority="3" operator="containsText" text="Please fill in">
      <formula>NOT(ISERROR(SEARCH(("Please fill in"),(I58))))</formula>
    </cfRule>
  </conditionalFormatting>
  <dataValidations count="5">
    <dataValidation type="list" allowBlank="1" showErrorMessage="1" sqref="D51:D53 H69:H70" xr:uid="{23E64F71-6338-4152-BF01-C5D925FA02C4}">
      <formula1>Arriba!TypesOfTrainers</formula1>
    </dataValidation>
    <dataValidation type="list" allowBlank="1" showErrorMessage="1" sqref="B9" xr:uid="{FDFB03CD-73FC-4F2D-85EB-C562C564228F}">
      <formula1>"yes,no,partial"</formula1>
    </dataValidation>
    <dataValidation type="list" allowBlank="1" sqref="G49:G53" xr:uid="{7698E119-CFB3-4AC8-AE7B-335791A91BA0}">
      <formula1>"yes,no"</formula1>
    </dataValidation>
    <dataValidation type="list" allowBlank="1" showErrorMessage="1" sqref="D49:D50 H58:H68" xr:uid="{49C4C980-8DBE-416E-B2D7-C834475ECB61}">
      <formula1>'https://universiteittwente.sharepoint.com/sites/SportsCoordinatorsSUT/Gedeelde documenten/General/(WIP) FAM Sheets - Regulations 2025-28 - Version April 2025.xlsx'!TypesOfTrainers</formula1>
    </dataValidation>
    <dataValidation type="list" allowBlank="1" showErrorMessage="1" sqref="B74:B91" xr:uid="{0F3E0192-2F95-4871-9D92-A8ED92F4010B}">
      <formula1>'https://universiteittwente.sharepoint.com/sites/SportsCoordinatorsSUT/Gedeelde documenten/General/(WIP) FAM Sheets - Regulations 2025-28 - Version April 2025.xlsx'!LocationNames</formula1>
    </dataValidation>
  </dataValidations>
  <pageMargins left="0.7" right="0.7" top="0.75" bottom="0.75" header="0" footer="0"/>
  <pageSetup paperSize="9" orientation="portrait"/>
  <drawing r:id="rId1"/>
  <legacyDrawing r:id="rId2"/>
  <tableParts count="6">
    <tablePart r:id="rId3"/>
    <tablePart r:id="rId4"/>
    <tablePart r:id="rId5"/>
    <tablePart r:id="rId6"/>
    <tablePart r:id="rId7"/>
    <tablePart r:id="rId8"/>
  </tableParts>
  <extLst>
    <ext xmlns:x14="http://schemas.microsoft.com/office/spreadsheetml/2009/9/main" uri="{CCE6A557-97BC-4b89-ADB6-D9C93CAAB3DF}">
      <x14:dataValidations xmlns:xm="http://schemas.microsoft.com/office/excel/2006/main" count="4">
        <x14:dataValidation type="list" allowBlank="1" showInputMessage="1" showErrorMessage="1" xr:uid="{9B8847F0-35D3-4AF1-9D3C-43A138983016}">
          <x14:formula1>
            <xm:f>Constants!$M$6:$M$7</xm:f>
          </x14:formula1>
          <xm:sqref>B98:B110</xm:sqref>
        </x14:dataValidation>
        <x14:dataValidation type="list" allowBlank="1" showInputMessage="1" showErrorMessage="1" xr:uid="{308A2D95-4A26-4A90-BC80-197F6CEC945B}">
          <x14:formula1>
            <xm:f>Constants!$C$55:$C$56</xm:f>
          </x14:formula1>
          <xm:sqref>B12</xm:sqref>
        </x14:dataValidation>
        <x14:dataValidation type="list" allowBlank="1" showErrorMessage="1" xr:uid="{2040EBE7-A0D5-41FF-8FC7-BEA277F445DE}">
          <x14:formula1>
            <xm:f>Constants!$H$6:$H$13</xm:f>
          </x14:formula1>
          <xm:sqref>B69:B70</xm:sqref>
        </x14:dataValidation>
        <x14:dataValidation type="list" allowBlank="1" showErrorMessage="1" xr:uid="{B0E04410-646D-4287-95DF-7371D9AD65B0}">
          <x14:formula1>
            <xm:f>Constants!$H$6:$H$10</xm:f>
          </x14:formula1>
          <xm:sqref>B58:B68</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654133-E4B1-4B98-BE3A-6709687499F2}">
  <dimension ref="A1:BG1003"/>
  <sheetViews>
    <sheetView topLeftCell="X6" workbookViewId="0">
      <selection activeCell="AF30" sqref="AF30"/>
    </sheetView>
  </sheetViews>
  <sheetFormatPr defaultColWidth="12.625" defaultRowHeight="15" customHeight="1"/>
  <cols>
    <col min="1" max="1" width="36.625" customWidth="1"/>
    <col min="2" max="2" width="28.125" customWidth="1"/>
    <col min="3" max="3" width="21" customWidth="1"/>
    <col min="4" max="4" width="17.5" customWidth="1"/>
    <col min="5" max="5" width="16.125" customWidth="1"/>
    <col min="6" max="6" width="21.5" customWidth="1"/>
    <col min="7" max="7" width="22.625" customWidth="1"/>
    <col min="8" max="8" width="18.625" customWidth="1"/>
    <col min="9" max="9" width="19.625" customWidth="1"/>
    <col min="10" max="10" width="18.875" customWidth="1"/>
    <col min="11" max="11" width="21.625" customWidth="1"/>
    <col min="12" max="12" width="17.375" customWidth="1"/>
    <col min="13" max="13" width="15.125" customWidth="1"/>
    <col min="14" max="14" width="15.625" customWidth="1"/>
    <col min="15" max="15" width="28.5" customWidth="1"/>
    <col min="16" max="16" width="13.125" customWidth="1"/>
    <col min="17" max="17" width="21.875" customWidth="1"/>
    <col min="18" max="18" width="27" customWidth="1"/>
    <col min="19" max="19" width="20.5" customWidth="1"/>
    <col min="20" max="22" width="7.625" customWidth="1"/>
    <col min="23" max="23" width="31.875" customWidth="1"/>
    <col min="24" max="24" width="7.625" customWidth="1"/>
    <col min="25" max="25" width="8.375" customWidth="1"/>
    <col min="26" max="26" width="21.625" customWidth="1"/>
    <col min="27" max="27" width="12" customWidth="1"/>
    <col min="28" max="28" width="16.5" customWidth="1"/>
    <col min="29" max="29" width="6" customWidth="1"/>
    <col min="30" max="30" width="13.625" customWidth="1"/>
  </cols>
  <sheetData>
    <row r="1" spans="1:59" ht="171" customHeight="1">
      <c r="A1" s="703"/>
      <c r="B1" s="704"/>
      <c r="C1" s="705"/>
      <c r="D1" s="16"/>
      <c r="E1" s="572" t="s">
        <v>135</v>
      </c>
      <c r="F1" s="704"/>
      <c r="G1" s="704"/>
      <c r="H1" s="705"/>
      <c r="I1" s="16"/>
      <c r="J1" s="16"/>
      <c r="K1" s="16"/>
      <c r="L1" s="16"/>
      <c r="M1" s="16"/>
      <c r="N1" s="16"/>
      <c r="O1" s="16"/>
      <c r="P1" s="16"/>
      <c r="Q1" s="16"/>
      <c r="R1" s="16"/>
      <c r="S1" s="16"/>
      <c r="T1" s="16"/>
      <c r="U1" s="16"/>
      <c r="V1" s="16"/>
      <c r="W1" s="16"/>
      <c r="X1" s="16"/>
      <c r="Y1" s="16"/>
      <c r="Z1" s="16"/>
      <c r="AA1" s="16"/>
      <c r="AB1" s="16"/>
      <c r="AC1" s="16"/>
      <c r="AD1" s="16"/>
    </row>
    <row r="2" spans="1:59">
      <c r="A2" s="58" t="s">
        <v>404</v>
      </c>
      <c r="B2" s="152" t="s">
        <v>175</v>
      </c>
      <c r="C2" s="59"/>
      <c r="D2" s="16"/>
      <c r="E2" s="60" t="s">
        <v>406</v>
      </c>
      <c r="F2" s="153"/>
      <c r="G2" s="154"/>
      <c r="H2" s="61"/>
      <c r="I2" s="16"/>
      <c r="J2" s="16"/>
      <c r="K2" s="16"/>
      <c r="L2" s="16"/>
      <c r="M2" s="16"/>
      <c r="N2" s="16"/>
      <c r="O2" s="16"/>
      <c r="P2" s="16"/>
      <c r="Q2" s="16"/>
      <c r="R2" s="16"/>
      <c r="S2" s="16"/>
      <c r="T2" s="16"/>
      <c r="U2" s="16"/>
      <c r="V2" s="16"/>
      <c r="W2" s="16"/>
      <c r="X2" s="16"/>
      <c r="Y2" s="16"/>
      <c r="Z2" s="15"/>
      <c r="AA2" s="15"/>
      <c r="AB2" s="15"/>
      <c r="AC2" s="15"/>
      <c r="AD2" s="16"/>
      <c r="AE2" s="16"/>
      <c r="AF2" s="16"/>
      <c r="AG2" s="16"/>
      <c r="AH2" s="16"/>
      <c r="AI2" s="17"/>
      <c r="AJ2" s="17"/>
      <c r="AK2" s="17"/>
      <c r="AL2" s="17"/>
      <c r="AM2" s="17"/>
      <c r="AN2" s="17"/>
      <c r="AO2" s="17"/>
      <c r="AP2" s="17"/>
      <c r="AQ2" s="17"/>
      <c r="AR2" s="18"/>
      <c r="AS2" s="17"/>
      <c r="AT2" s="17"/>
      <c r="AU2" s="16"/>
      <c r="AV2" s="16"/>
      <c r="AW2" s="16"/>
      <c r="AX2" s="16"/>
      <c r="AY2" s="16"/>
      <c r="AZ2" s="16"/>
      <c r="BA2" s="16"/>
    </row>
    <row r="3" spans="1:59">
      <c r="A3" s="62" t="s">
        <v>408</v>
      </c>
      <c r="B3" s="155">
        <v>3</v>
      </c>
      <c r="C3" s="156"/>
      <c r="D3" s="16"/>
      <c r="E3" s="63" t="s">
        <v>409</v>
      </c>
      <c r="F3" s="157"/>
      <c r="G3" s="158"/>
      <c r="H3" s="159"/>
      <c r="I3" s="16"/>
      <c r="J3" s="16"/>
      <c r="K3" s="16"/>
      <c r="L3" s="16"/>
      <c r="M3" s="16"/>
      <c r="N3" s="16"/>
      <c r="O3" s="16"/>
      <c r="P3" s="16"/>
      <c r="Q3" s="16"/>
      <c r="R3" s="16"/>
      <c r="S3" s="16"/>
      <c r="T3" s="16"/>
      <c r="U3" s="16"/>
      <c r="V3" s="16"/>
      <c r="W3" s="16"/>
      <c r="X3" s="16"/>
      <c r="Y3" s="16"/>
      <c r="Z3" s="16"/>
      <c r="AA3" s="16"/>
      <c r="AB3" s="16"/>
      <c r="AC3" s="16"/>
      <c r="AD3" s="16"/>
    </row>
    <row r="4" spans="1:59">
      <c r="A4" s="160" t="s">
        <v>410</v>
      </c>
      <c r="B4" s="161">
        <v>45812</v>
      </c>
      <c r="C4" s="162"/>
      <c r="D4" s="16"/>
      <c r="E4" s="163"/>
      <c r="F4" s="164"/>
      <c r="G4" s="165"/>
      <c r="H4" s="166"/>
      <c r="I4" s="16"/>
      <c r="J4" s="16"/>
      <c r="K4" s="16"/>
      <c r="L4" s="16"/>
      <c r="M4" s="16"/>
      <c r="N4" s="16"/>
      <c r="O4" s="16"/>
      <c r="P4" s="16"/>
      <c r="Q4" s="16"/>
      <c r="R4" s="16"/>
      <c r="S4" s="16"/>
      <c r="T4" s="16"/>
      <c r="U4" s="16"/>
      <c r="V4" s="16"/>
      <c r="W4" s="16"/>
      <c r="X4" s="16"/>
      <c r="Y4" s="16"/>
      <c r="Z4" s="16"/>
      <c r="AA4" s="16"/>
      <c r="AB4" s="16"/>
      <c r="AC4" s="16"/>
      <c r="AD4" s="16"/>
    </row>
    <row r="5" spans="1:59">
      <c r="A5" s="167" t="s">
        <v>411</v>
      </c>
      <c r="B5" s="168"/>
      <c r="C5" s="167"/>
      <c r="D5" s="16"/>
      <c r="E5" s="169" t="s">
        <v>412</v>
      </c>
      <c r="F5" s="169"/>
      <c r="G5" s="158"/>
      <c r="H5" s="169"/>
      <c r="I5" s="16"/>
      <c r="J5" s="16"/>
      <c r="K5" s="16"/>
      <c r="L5" s="16"/>
      <c r="M5" s="16"/>
      <c r="N5" s="16"/>
      <c r="O5" s="16"/>
      <c r="P5" s="16"/>
      <c r="Q5" s="16"/>
      <c r="R5" s="16"/>
      <c r="S5" s="16"/>
      <c r="T5" s="16"/>
      <c r="U5" s="16"/>
      <c r="V5" s="16"/>
      <c r="W5" s="16"/>
      <c r="X5" s="16"/>
      <c r="Y5" s="16"/>
      <c r="Z5" s="16"/>
      <c r="AA5" s="16"/>
      <c r="AB5" s="16"/>
      <c r="AC5" s="16"/>
      <c r="AD5" s="16"/>
    </row>
    <row r="6" spans="1:59">
      <c r="A6" s="15"/>
      <c r="B6" s="64"/>
      <c r="C6" s="16"/>
      <c r="D6" s="16"/>
      <c r="E6" s="16"/>
      <c r="F6" s="16"/>
      <c r="G6" s="16"/>
      <c r="H6" s="16"/>
      <c r="I6" s="16"/>
      <c r="J6" s="64"/>
      <c r="K6" s="16"/>
      <c r="L6" s="16"/>
      <c r="M6" s="16"/>
      <c r="N6" s="16"/>
      <c r="O6" s="16"/>
      <c r="P6" s="16"/>
      <c r="Q6" s="16"/>
      <c r="R6" s="16"/>
      <c r="S6" s="16"/>
      <c r="T6" s="16"/>
      <c r="U6" s="16"/>
      <c r="V6" s="16"/>
      <c r="W6" s="16"/>
      <c r="X6" s="16"/>
      <c r="Y6" s="16"/>
      <c r="Z6" s="16"/>
      <c r="AA6" s="16"/>
      <c r="AB6" s="16"/>
      <c r="AC6" s="16"/>
      <c r="AD6" s="16"/>
    </row>
    <row r="7" spans="1:59">
      <c r="A7" s="170" t="s">
        <v>413</v>
      </c>
      <c r="B7" s="59">
        <v>75</v>
      </c>
      <c r="C7" s="16"/>
      <c r="D7" s="573" t="s">
        <v>414</v>
      </c>
      <c r="E7" s="701"/>
      <c r="F7" s="701"/>
      <c r="G7" s="701"/>
      <c r="H7" s="701"/>
      <c r="I7" s="701"/>
      <c r="J7" s="16"/>
      <c r="K7" s="16"/>
      <c r="L7" s="16"/>
      <c r="M7" s="16"/>
      <c r="N7" s="16"/>
      <c r="O7" s="16"/>
      <c r="P7" s="16"/>
      <c r="Q7" s="16"/>
      <c r="R7" s="16"/>
      <c r="S7" s="16"/>
      <c r="T7" s="16"/>
      <c r="U7" s="16"/>
      <c r="V7" s="16"/>
      <c r="W7" s="16"/>
      <c r="X7" s="16"/>
      <c r="Y7" s="16"/>
      <c r="Z7" s="16"/>
      <c r="AA7" s="16"/>
      <c r="AB7" s="16"/>
      <c r="AC7" s="16"/>
      <c r="AD7" s="16"/>
    </row>
    <row r="8" spans="1:59" ht="14.25" customHeight="1">
      <c r="A8" s="171" t="s">
        <v>415</v>
      </c>
      <c r="B8" s="172">
        <f>M21-M17</f>
        <v>2000</v>
      </c>
      <c r="C8" s="16" t="s">
        <v>416</v>
      </c>
      <c r="D8" s="574" t="s">
        <v>417</v>
      </c>
      <c r="E8" s="704"/>
      <c r="F8" s="704"/>
      <c r="G8" s="704"/>
      <c r="H8" s="704"/>
      <c r="I8" s="704"/>
      <c r="J8" s="16"/>
      <c r="K8" s="16"/>
      <c r="L8" s="16"/>
      <c r="M8" s="16"/>
      <c r="N8" s="16"/>
      <c r="O8" s="16"/>
      <c r="P8" s="16"/>
      <c r="Q8" s="16"/>
      <c r="R8" s="16"/>
      <c r="S8" s="16"/>
      <c r="T8" s="16"/>
      <c r="U8" s="16"/>
      <c r="V8" s="16"/>
      <c r="W8" s="16"/>
      <c r="X8" s="16"/>
      <c r="Y8" s="16"/>
      <c r="Z8" s="16"/>
      <c r="AA8" s="16"/>
      <c r="AB8" s="16"/>
      <c r="AC8" s="16"/>
    </row>
    <row r="9" spans="1:59">
      <c r="A9" s="65" t="s">
        <v>418</v>
      </c>
      <c r="B9" s="173" t="s">
        <v>419</v>
      </c>
      <c r="C9" s="16"/>
      <c r="D9" s="16"/>
      <c r="E9" s="17"/>
      <c r="F9" s="17"/>
      <c r="G9" s="17"/>
      <c r="H9" s="17"/>
      <c r="I9" s="17"/>
      <c r="J9" s="17"/>
      <c r="K9" s="17"/>
      <c r="L9" s="17"/>
      <c r="M9" s="17"/>
      <c r="N9" s="17"/>
      <c r="O9" s="17"/>
      <c r="P9" s="17"/>
      <c r="Q9" s="16"/>
      <c r="R9" s="17"/>
      <c r="S9" s="17"/>
      <c r="T9" s="17"/>
      <c r="U9" s="17"/>
      <c r="V9" s="17"/>
      <c r="W9" s="17"/>
      <c r="X9" s="17"/>
      <c r="Y9" s="17"/>
      <c r="Z9" s="17"/>
      <c r="AA9" s="17"/>
      <c r="AB9" s="17"/>
      <c r="AC9" s="17"/>
      <c r="AD9" s="18" t="s">
        <v>242</v>
      </c>
    </row>
    <row r="10" spans="1:59">
      <c r="A10" s="174" t="s">
        <v>420</v>
      </c>
      <c r="B10" s="66">
        <f>COUNTA(A38:A42)</f>
        <v>3</v>
      </c>
      <c r="C10" s="16"/>
      <c r="D10" s="16"/>
      <c r="E10" s="17"/>
      <c r="F10" s="17"/>
      <c r="G10" s="17"/>
      <c r="H10" s="17"/>
      <c r="I10" s="17"/>
      <c r="J10" s="17"/>
      <c r="K10" s="17"/>
      <c r="L10" s="17"/>
      <c r="M10" s="17"/>
      <c r="N10" s="17"/>
      <c r="O10" s="17"/>
      <c r="P10" s="17"/>
      <c r="Q10" s="16"/>
      <c r="R10" s="17"/>
      <c r="S10" s="17"/>
      <c r="T10" s="17"/>
      <c r="U10" s="17"/>
      <c r="V10" s="17"/>
      <c r="W10" s="17"/>
      <c r="X10" s="17"/>
      <c r="Y10" s="17"/>
      <c r="Z10" s="17"/>
      <c r="AA10" s="17"/>
      <c r="AB10" s="17"/>
      <c r="AC10" s="17"/>
      <c r="AD10" s="18"/>
    </row>
    <row r="11" spans="1:59">
      <c r="A11" s="171" t="s">
        <v>421</v>
      </c>
      <c r="B11" s="238">
        <f>SUM(B38:B42)</f>
        <v>65</v>
      </c>
      <c r="C11" s="16"/>
      <c r="D11" s="16"/>
      <c r="E11" s="17"/>
      <c r="F11" s="17"/>
      <c r="G11" s="17"/>
      <c r="H11" s="17"/>
      <c r="I11" s="17"/>
      <c r="J11" s="17"/>
      <c r="K11" s="17"/>
      <c r="L11" s="17"/>
      <c r="M11" s="17"/>
      <c r="N11" s="17"/>
      <c r="O11" s="17"/>
      <c r="P11" s="17"/>
      <c r="Q11" s="16"/>
      <c r="R11" s="17"/>
      <c r="S11" s="17"/>
      <c r="T11" s="17"/>
      <c r="U11" s="17"/>
      <c r="V11" s="17"/>
      <c r="W11" s="17"/>
      <c r="X11" s="17"/>
      <c r="Y11" s="17"/>
      <c r="Z11" s="17"/>
      <c r="AA11" s="17"/>
      <c r="AB11" s="17"/>
      <c r="AC11" s="17"/>
      <c r="AD11" s="18"/>
    </row>
    <row r="12" spans="1:59">
      <c r="A12" s="239" t="s">
        <v>422</v>
      </c>
      <c r="B12" s="240" t="s">
        <v>317</v>
      </c>
      <c r="C12" s="16"/>
      <c r="D12" s="16"/>
      <c r="E12" s="17"/>
      <c r="F12" s="17"/>
      <c r="G12" s="17"/>
      <c r="H12" s="17"/>
      <c r="I12" s="17"/>
      <c r="J12" s="17"/>
      <c r="K12" s="17"/>
      <c r="L12" s="17"/>
      <c r="M12" s="17"/>
      <c r="N12" s="17"/>
      <c r="O12" s="17"/>
      <c r="P12" s="17"/>
      <c r="Q12" s="16"/>
      <c r="R12" s="17"/>
      <c r="S12" s="17"/>
      <c r="T12" s="17"/>
      <c r="U12" s="17"/>
      <c r="V12" s="17"/>
      <c r="W12" s="17"/>
      <c r="X12" s="17"/>
      <c r="Y12" s="17"/>
      <c r="Z12" s="17"/>
      <c r="AA12" s="17"/>
      <c r="AB12" s="17"/>
      <c r="AC12" s="17"/>
      <c r="AD12" s="18"/>
    </row>
    <row r="13" spans="1:59">
      <c r="A13" s="16"/>
      <c r="B13" s="16"/>
      <c r="C13" s="16"/>
      <c r="D13" s="16"/>
      <c r="E13" s="17"/>
      <c r="F13" s="17"/>
      <c r="G13" s="17"/>
      <c r="H13" s="17"/>
      <c r="I13" s="17"/>
      <c r="J13" s="17"/>
      <c r="K13" s="17"/>
      <c r="L13" s="17"/>
      <c r="M13" s="17"/>
      <c r="N13" s="17"/>
      <c r="O13" s="17"/>
      <c r="P13" s="17"/>
      <c r="Q13" s="16"/>
      <c r="R13" s="17"/>
      <c r="S13" s="17"/>
      <c r="T13" s="17"/>
      <c r="U13" s="17"/>
      <c r="V13" s="17"/>
      <c r="W13" s="17"/>
      <c r="X13" s="17"/>
      <c r="Y13" s="17"/>
      <c r="Z13" s="17"/>
      <c r="AA13" s="17"/>
      <c r="AB13" s="17"/>
      <c r="AC13" s="17"/>
      <c r="AD13" s="17" t="str" cm="1">
        <f t="array" ref="AD13:BF14">Constants!A2:AC3</f>
        <v>SC1</v>
      </c>
      <c r="AE13" s="17" t="str">
        <v>SC1 - Half</v>
      </c>
      <c r="AF13" s="17" t="str">
        <v>SC2</v>
      </c>
      <c r="AG13" s="17" t="str">
        <v>SC2 - Half</v>
      </c>
      <c r="AH13" s="17" t="str">
        <v>SC3</v>
      </c>
      <c r="AI13" s="17" t="str">
        <v>SC4</v>
      </c>
      <c r="AJ13" s="17" t="str">
        <v>SC5</v>
      </c>
      <c r="AK13" s="17" t="str">
        <v>SC6</v>
      </c>
      <c r="AL13" s="17" t="str">
        <v>Dojo</v>
      </c>
      <c r="AM13" s="17" t="str">
        <v>Boulder Wall</v>
      </c>
      <c r="AN13" s="17" t="str">
        <v>Climbing Wall</v>
      </c>
      <c r="AO13" s="17" t="str">
        <v>Artificial Hockey field</v>
      </c>
      <c r="AP13" s="17" t="str">
        <v>Artificial Hockey field - Half</v>
      </c>
      <c r="AQ13" s="17" t="str">
        <v>Artificial Soccer field</v>
      </c>
      <c r="AR13" s="17" t="str">
        <v>Artificial Soccer field - Half</v>
      </c>
      <c r="AS13" s="17" t="str">
        <v>Basketball</v>
      </c>
      <c r="AT13" s="17" t="str">
        <v>Bastille field</v>
      </c>
      <c r="AU13" s="17" t="str">
        <v>Beach fields</v>
      </c>
      <c r="AV13" s="17" t="str">
        <v>Shooting range</v>
      </c>
      <c r="AW13" s="17" t="str">
        <v>Multi/Lacrosse field</v>
      </c>
      <c r="AX13" s="17" t="str">
        <v>Multi/Lacrosse field - Half</v>
      </c>
      <c r="AY13" s="17" t="str">
        <v>Bootcamp field</v>
      </c>
      <c r="AZ13" s="17" t="str">
        <v>Multi/Baseball field</v>
      </c>
      <c r="BA13" s="17" t="str">
        <v>Tennis court</v>
      </c>
      <c r="BB13" s="17" t="str">
        <v>Utrack</v>
      </c>
      <c r="BC13" s="22" t="str">
        <v>Verreveld</v>
      </c>
      <c r="BD13" s="22" t="str">
        <v>Wsc</v>
      </c>
      <c r="BE13" s="22" t="str">
        <v>Indoor pool</v>
      </c>
      <c r="BF13" s="22" t="str">
        <v>Outdoor pool</v>
      </c>
      <c r="BG13" s="22" t="s">
        <v>270</v>
      </c>
    </row>
    <row r="14" spans="1:59" ht="15.95" thickBot="1">
      <c r="A14" s="175" t="s">
        <v>423</v>
      </c>
      <c r="B14" s="16"/>
      <c r="C14" s="16"/>
      <c r="D14" s="16"/>
      <c r="E14" s="16"/>
      <c r="F14" s="16"/>
      <c r="G14" s="175" t="s">
        <v>424</v>
      </c>
      <c r="I14" s="17"/>
      <c r="J14" s="17"/>
      <c r="K14" s="176" t="s">
        <v>425</v>
      </c>
      <c r="L14" s="17"/>
      <c r="M14" s="176" t="s">
        <v>426</v>
      </c>
      <c r="N14" s="17"/>
      <c r="O14" s="17"/>
      <c r="P14" s="17"/>
      <c r="Q14" s="17"/>
      <c r="R14" s="17"/>
      <c r="S14" s="16"/>
      <c r="T14" s="17"/>
      <c r="U14" s="17"/>
      <c r="V14" s="17"/>
      <c r="W14" s="17"/>
      <c r="X14" s="17"/>
      <c r="Y14" s="17"/>
      <c r="Z14" s="17"/>
      <c r="AA14" s="17"/>
      <c r="AB14" s="17"/>
      <c r="AC14" s="17"/>
      <c r="AD14" s="19">
        <v>67.5</v>
      </c>
      <c r="AE14" s="19">
        <v>35</v>
      </c>
      <c r="AF14" s="19">
        <v>67.5</v>
      </c>
      <c r="AG14" s="19">
        <v>35</v>
      </c>
      <c r="AH14" s="19">
        <v>40</v>
      </c>
      <c r="AI14" s="19">
        <v>40</v>
      </c>
      <c r="AJ14" s="19">
        <v>35</v>
      </c>
      <c r="AK14" s="19">
        <v>35</v>
      </c>
      <c r="AL14" s="19">
        <v>40</v>
      </c>
      <c r="AM14" s="19">
        <v>27.5</v>
      </c>
      <c r="AN14" s="19">
        <v>45</v>
      </c>
      <c r="AO14" s="19">
        <v>75</v>
      </c>
      <c r="AP14" s="19">
        <v>40</v>
      </c>
      <c r="AQ14" s="19">
        <v>75</v>
      </c>
      <c r="AR14" s="19">
        <v>40</v>
      </c>
      <c r="AS14" s="19">
        <v>30</v>
      </c>
      <c r="AT14" s="19">
        <v>50</v>
      </c>
      <c r="AU14" s="19">
        <v>75</v>
      </c>
      <c r="AV14" s="19">
        <v>40</v>
      </c>
      <c r="AW14" s="19">
        <v>75</v>
      </c>
      <c r="AX14" s="19">
        <v>40</v>
      </c>
      <c r="AY14" s="19">
        <v>50</v>
      </c>
      <c r="AZ14" s="19">
        <v>65</v>
      </c>
      <c r="BA14" s="19">
        <v>35</v>
      </c>
      <c r="BB14" s="19">
        <v>45</v>
      </c>
      <c r="BC14" s="19">
        <v>50</v>
      </c>
      <c r="BD14" s="19">
        <v>0</v>
      </c>
      <c r="BE14" s="19">
        <v>65</v>
      </c>
      <c r="BF14" s="20">
        <v>70</v>
      </c>
      <c r="BG14" s="20"/>
    </row>
    <row r="15" spans="1:59" ht="15.95" thickTop="1">
      <c r="A15" s="67"/>
      <c r="B15" s="68" t="str">
        <f>Constants!H6</f>
        <v>Performance training</v>
      </c>
      <c r="C15" s="68" t="str">
        <f>Constants!H7</f>
        <v>Performance coaching</v>
      </c>
      <c r="D15" s="68" t="str">
        <f>Constants!H8</f>
        <v>Dangerous</v>
      </c>
      <c r="E15" s="69" t="str">
        <f>Constants!H9</f>
        <v>Recreational</v>
      </c>
      <c r="F15" s="69" t="s">
        <v>290</v>
      </c>
      <c r="G15" s="70"/>
      <c r="H15" s="71" t="s">
        <v>427</v>
      </c>
      <c r="I15" s="72" t="s">
        <v>272</v>
      </c>
      <c r="J15" s="70" t="s">
        <v>5</v>
      </c>
      <c r="K15" s="72" t="s">
        <v>428</v>
      </c>
      <c r="L15" s="70" t="s">
        <v>429</v>
      </c>
      <c r="M15" s="73" cm="1">
        <f t="array" ref="M15">(SUM(IF($D$46:$D$50="PT",($F$46:$F$50)/1.5+IF($G$46:$G$50="yes",1)))+SUM(IF($D$46:$D$50="Extern",($F$46:$F$50)/1.5+IF($G$46:$G$50="yes",1)))+SUM(IF($D$46:$D$50="PT-ZZP",($F$46:$F$50)/1.5+IF($G$46:$G$50="yes",1))))*Constants!B10</f>
        <v>2000</v>
      </c>
      <c r="N15" s="17"/>
      <c r="O15" s="17"/>
      <c r="P15" s="17"/>
      <c r="Q15" s="17"/>
      <c r="R15" s="16"/>
      <c r="S15" s="17"/>
      <c r="T15" s="17"/>
      <c r="U15" s="17"/>
      <c r="V15" s="17"/>
      <c r="W15" s="17"/>
      <c r="X15" s="17"/>
      <c r="Y15" s="17"/>
      <c r="Z15" s="17"/>
      <c r="AA15" s="17"/>
      <c r="AB15" s="17"/>
      <c r="AC15" s="17"/>
      <c r="AD15" s="16">
        <f t="shared" ref="AD15:BF15" si="0">SUMIF($B$71:$B$88,AD13,$F$71:$F$88)</f>
        <v>0</v>
      </c>
      <c r="AE15" s="16">
        <f t="shared" si="0"/>
        <v>0</v>
      </c>
      <c r="AF15" s="16">
        <f t="shared" si="0"/>
        <v>0</v>
      </c>
      <c r="AG15" s="16">
        <f t="shared" si="0"/>
        <v>0</v>
      </c>
      <c r="AH15" s="16">
        <f t="shared" si="0"/>
        <v>0</v>
      </c>
      <c r="AI15" s="16">
        <f t="shared" si="0"/>
        <v>0</v>
      </c>
      <c r="AJ15" s="16">
        <f t="shared" si="0"/>
        <v>294</v>
      </c>
      <c r="AK15" s="16">
        <f t="shared" si="0"/>
        <v>0</v>
      </c>
      <c r="AL15" s="16">
        <f t="shared" si="0"/>
        <v>0</v>
      </c>
      <c r="AM15" s="16">
        <f t="shared" si="0"/>
        <v>0</v>
      </c>
      <c r="AN15" s="16">
        <f t="shared" si="0"/>
        <v>0</v>
      </c>
      <c r="AO15" s="16">
        <f t="shared" si="0"/>
        <v>0</v>
      </c>
      <c r="AP15" s="16">
        <f t="shared" si="0"/>
        <v>0</v>
      </c>
      <c r="AQ15" s="16">
        <f t="shared" si="0"/>
        <v>0</v>
      </c>
      <c r="AR15" s="16">
        <f t="shared" si="0"/>
        <v>0</v>
      </c>
      <c r="AS15" s="16">
        <f t="shared" si="0"/>
        <v>0</v>
      </c>
      <c r="AT15" s="16">
        <f t="shared" si="0"/>
        <v>0</v>
      </c>
      <c r="AU15" s="16">
        <f t="shared" si="0"/>
        <v>0</v>
      </c>
      <c r="AV15" s="16">
        <f t="shared" si="0"/>
        <v>0</v>
      </c>
      <c r="AW15" s="16">
        <f t="shared" si="0"/>
        <v>0</v>
      </c>
      <c r="AX15" s="16">
        <f t="shared" si="0"/>
        <v>0</v>
      </c>
      <c r="AY15" s="16">
        <f t="shared" si="0"/>
        <v>0</v>
      </c>
      <c r="AZ15" s="16">
        <f t="shared" si="0"/>
        <v>0</v>
      </c>
      <c r="BA15" s="16">
        <f t="shared" si="0"/>
        <v>0</v>
      </c>
      <c r="BB15" s="16">
        <f t="shared" si="0"/>
        <v>0</v>
      </c>
      <c r="BC15" s="16">
        <f t="shared" si="0"/>
        <v>0</v>
      </c>
      <c r="BD15" s="16">
        <f t="shared" si="0"/>
        <v>0</v>
      </c>
      <c r="BE15" s="16">
        <f t="shared" si="0"/>
        <v>0</v>
      </c>
      <c r="BF15" s="16">
        <f t="shared" si="0"/>
        <v>0</v>
      </c>
    </row>
    <row r="16" spans="1:59">
      <c r="A16" s="74" t="str">
        <f>Constants!E6</f>
        <v>PT</v>
      </c>
      <c r="B16" s="16">
        <f>SUMIFS(Buitenwesten!$F$55:$F$67,Buitenwesten!$B$55:$B$67, B$15,Buitenwesten!$H$55:$H$67,$A16)*(1+Constants!$B$7)</f>
        <v>0</v>
      </c>
      <c r="C16" s="16">
        <f>SUMIFS(Buitenwesten!$F$55:$F$67,Buitenwesten!$B$55:$B$67, C$15,Buitenwesten!$H$55:$H$67,$A16)</f>
        <v>0</v>
      </c>
      <c r="D16" s="16">
        <f>SUMIFS(Buitenwesten!$F$55:$F$67,Buitenwesten!$B$55:$B$67, D$15,Buitenwesten!$H$55:$H$67,$A16)*(1+Constants!$B$7)</f>
        <v>302.39999999999998</v>
      </c>
      <c r="E16" s="16">
        <f>SUMIFS(Buitenwesten!$F$55:$F$67,Buitenwesten!$B$55:$B$67, E$15,Buitenwesten!$H$55:$H$67,$A16)*(1+Constants!$B$7)</f>
        <v>0</v>
      </c>
      <c r="F16" s="16">
        <f>SUMIFS(Buitenwesten!$F$55:$F$67,Buitenwesten!$B$55:$B$67, F$15,Buitenwesten!$H$55:$H$67,$A16)*(1+Constants!$B$7)</f>
        <v>0</v>
      </c>
      <c r="G16" s="74" t="s">
        <v>430</v>
      </c>
      <c r="H16" s="16">
        <f>SUMIF(Buitenwesten!$B$71:$B$89,"&lt;&gt;External",Buitenwesten!$F$71:$F$89)</f>
        <v>294</v>
      </c>
      <c r="I16" s="75">
        <f>SUMIF(Buitenwesten!$B$73:$B$89,"External",Buitenwesten!$F$73:$F$89)</f>
        <v>0</v>
      </c>
      <c r="J16" s="234">
        <f>SUM($F$92:$F$105)</f>
        <v>84.344333333333338</v>
      </c>
      <c r="K16" s="76">
        <f>IF(OR(ISBLANK(B7),ISBLANK(B9)), "ERROR",MAX(MIN(J16,B7*Constants!B15)-Constants!B14*B7,0)*IF(B9="yes",Constants!B16,IF(B9="no",Constants!B17,0)))</f>
        <v>0</v>
      </c>
      <c r="L16" s="77" t="s">
        <v>360</v>
      </c>
      <c r="M16" s="76">
        <f>E16*Constants!B6+E17*Constants!B8+E22+E21</f>
        <v>0</v>
      </c>
      <c r="N16" s="17"/>
      <c r="O16" s="17"/>
      <c r="P16" s="17"/>
      <c r="Q16" s="17"/>
      <c r="R16" s="16"/>
      <c r="S16" s="17"/>
      <c r="T16" s="17"/>
      <c r="U16" s="17"/>
      <c r="V16" s="17"/>
      <c r="W16" s="17"/>
      <c r="X16" s="17"/>
      <c r="Y16" s="17"/>
      <c r="Z16" s="17"/>
      <c r="AA16" s="17"/>
      <c r="AB16" s="17"/>
      <c r="AC16" s="17"/>
      <c r="AD16" s="19">
        <f t="shared" ref="AD16:BF16" si="1">AD14*AD15</f>
        <v>0</v>
      </c>
      <c r="AE16" s="19">
        <f t="shared" si="1"/>
        <v>0</v>
      </c>
      <c r="AF16" s="19">
        <f t="shared" si="1"/>
        <v>0</v>
      </c>
      <c r="AG16" s="19">
        <f t="shared" si="1"/>
        <v>0</v>
      </c>
      <c r="AH16" s="19">
        <f t="shared" si="1"/>
        <v>0</v>
      </c>
      <c r="AI16" s="19">
        <f t="shared" si="1"/>
        <v>0</v>
      </c>
      <c r="AJ16" s="19">
        <f t="shared" si="1"/>
        <v>10290</v>
      </c>
      <c r="AK16" s="19">
        <f t="shared" si="1"/>
        <v>0</v>
      </c>
      <c r="AL16" s="19">
        <f t="shared" si="1"/>
        <v>0</v>
      </c>
      <c r="AM16" s="19">
        <f t="shared" si="1"/>
        <v>0</v>
      </c>
      <c r="AN16" s="19">
        <f t="shared" si="1"/>
        <v>0</v>
      </c>
      <c r="AO16" s="19">
        <f t="shared" si="1"/>
        <v>0</v>
      </c>
      <c r="AP16" s="19">
        <f t="shared" si="1"/>
        <v>0</v>
      </c>
      <c r="AQ16" s="19">
        <f t="shared" si="1"/>
        <v>0</v>
      </c>
      <c r="AR16" s="19">
        <f t="shared" si="1"/>
        <v>0</v>
      </c>
      <c r="AS16" s="19">
        <f t="shared" si="1"/>
        <v>0</v>
      </c>
      <c r="AT16" s="19">
        <f t="shared" si="1"/>
        <v>0</v>
      </c>
      <c r="AU16" s="19">
        <f t="shared" si="1"/>
        <v>0</v>
      </c>
      <c r="AV16" s="19">
        <f t="shared" si="1"/>
        <v>0</v>
      </c>
      <c r="AW16" s="19">
        <f t="shared" si="1"/>
        <v>0</v>
      </c>
      <c r="AX16" s="19">
        <f t="shared" si="1"/>
        <v>0</v>
      </c>
      <c r="AY16" s="19">
        <f t="shared" si="1"/>
        <v>0</v>
      </c>
      <c r="AZ16" s="19">
        <f t="shared" si="1"/>
        <v>0</v>
      </c>
      <c r="BA16" s="19">
        <f t="shared" si="1"/>
        <v>0</v>
      </c>
      <c r="BB16" s="19">
        <f t="shared" si="1"/>
        <v>0</v>
      </c>
      <c r="BC16" s="19">
        <f t="shared" si="1"/>
        <v>0</v>
      </c>
      <c r="BD16" s="19">
        <f t="shared" si="1"/>
        <v>0</v>
      </c>
      <c r="BE16" s="19">
        <f t="shared" si="1"/>
        <v>0</v>
      </c>
      <c r="BF16" s="19">
        <f t="shared" si="1"/>
        <v>0</v>
      </c>
    </row>
    <row r="17" spans="1:36">
      <c r="A17" s="74" t="str">
        <f>Constants!E7</f>
        <v>PT-V</v>
      </c>
      <c r="B17" s="16">
        <f>SUMIFS(Buitenwesten!$F$55:$F$67,Buitenwesten!$B$55:$B$67, B$15,Buitenwesten!$H$55:$H$67,$A17)*(1+Constants!$B$9)</f>
        <v>0</v>
      </c>
      <c r="C17" s="16">
        <f>SUMIFS(Buitenwesten!$F$55:$F$67,Buitenwesten!$B$55:$B$67, C$15,Buitenwesten!$H$55:$H$67,$A17)</f>
        <v>0</v>
      </c>
      <c r="D17" s="16">
        <f>SUMIFS(Buitenwesten!$F$55:$F$67,Buitenwesten!$B$55:$B$67, D$15,Buitenwesten!$H$55:$H$67,$A17)*(1+Constants!$B$9)</f>
        <v>0</v>
      </c>
      <c r="E17" s="16">
        <f>SUMIFS(Buitenwesten!$F$55:$F$67,Buitenwesten!$B$55:$B$67, E$15,Buitenwesten!$H$55:$H$67,$A17)*(1+Constants!$B$9)</f>
        <v>0</v>
      </c>
      <c r="F17" s="16">
        <f>SUMIFS(Buitenwesten!$F$55:$F$67,Buitenwesten!$B$55:$B$67, F$15,Buitenwesten!$H$55:$H$67,$A17)</f>
        <v>0</v>
      </c>
      <c r="G17" s="74" t="s">
        <v>38</v>
      </c>
      <c r="H17" s="78">
        <f>SUM(AD16:BZ16)</f>
        <v>10290</v>
      </c>
      <c r="I17" s="76" cm="1">
        <f t="array" ref="I17">SUM(IF($B$71:$B$87="External",$F$71:$F$87*$H$71:$H$87,0))</f>
        <v>0</v>
      </c>
      <c r="J17" s="79"/>
      <c r="K17" s="80"/>
      <c r="L17" s="77" t="s">
        <v>63</v>
      </c>
      <c r="M17" s="76">
        <f>J16-K16</f>
        <v>84.344333333333338</v>
      </c>
      <c r="N17" s="17"/>
      <c r="O17" s="17"/>
      <c r="P17" s="17"/>
      <c r="Q17" s="17"/>
      <c r="R17" s="16"/>
      <c r="S17" s="17"/>
      <c r="T17" s="17"/>
      <c r="U17" s="17"/>
      <c r="V17" s="17"/>
      <c r="W17" s="17"/>
      <c r="X17" s="17"/>
      <c r="Y17" s="17"/>
      <c r="Z17" s="17"/>
      <c r="AA17" s="17"/>
      <c r="AB17" s="17"/>
      <c r="AC17" s="17"/>
      <c r="AD17" s="17"/>
      <c r="AE17" s="17"/>
    </row>
    <row r="18" spans="1:36">
      <c r="A18" s="74" t="str">
        <f>Constants!E8</f>
        <v>PT-ZZP</v>
      </c>
      <c r="B18" s="16">
        <f>SUMIFS(Buitenwesten!$F$55:$F$67,Buitenwesten!$B$55:$B$67, B$15,Buitenwesten!$H$55:$H$67,$A18)*(1+Constants!$B$7)</f>
        <v>0</v>
      </c>
      <c r="C18" s="16">
        <f>SUMIFS(Buitenwesten!$F$55:$F$67,Buitenwesten!$B$55:$B$67, C$15,Buitenwesten!$H$55:$H$67,$A18)</f>
        <v>0</v>
      </c>
      <c r="D18" s="16">
        <f>SUMIFS(Buitenwesten!$F$55:$F$67,Buitenwesten!$B$55:$B$67, D$15,Buitenwesten!$H$55:$H$67,$A18)*(1+Constants!$B$7)</f>
        <v>0</v>
      </c>
      <c r="E18" s="16">
        <f>SUMIFS(Buitenwesten!$F$55:$F$67,Buitenwesten!$B$55:$B$67, E$15,Buitenwesten!$H$55:$H$67,$A18)*(1+Constants!$B$7)</f>
        <v>0</v>
      </c>
      <c r="F18" s="16">
        <f>SUMIFS(Buitenwesten!$F$55:$F$67,Buitenwesten!$B$55:$B$67, F$15,Buitenwesten!$H$55:$H$67,$A18)*(1+Constants!$B$7)</f>
        <v>0</v>
      </c>
      <c r="G18" s="74"/>
      <c r="H18" s="78"/>
      <c r="I18" s="76"/>
      <c r="J18" s="79"/>
      <c r="K18" s="80"/>
      <c r="L18" s="77" t="s">
        <v>60</v>
      </c>
      <c r="M18" s="76" t="str">
        <f>IF(I17-Constants!I17*$B$7&gt;0,$I$17-Constants!I17*$B$7,"-")</f>
        <v>-</v>
      </c>
      <c r="N18" s="17"/>
      <c r="O18" s="17"/>
      <c r="P18" s="17"/>
      <c r="Q18" s="17"/>
      <c r="R18" s="16"/>
      <c r="S18" s="17"/>
      <c r="T18" s="17"/>
      <c r="U18" s="17"/>
      <c r="V18" s="17"/>
      <c r="W18" s="17"/>
      <c r="X18" s="17"/>
      <c r="Y18" s="17"/>
      <c r="Z18" s="17"/>
      <c r="AA18" s="17"/>
      <c r="AB18" s="17"/>
      <c r="AC18" s="17"/>
      <c r="AD18" s="17"/>
      <c r="AE18" s="17"/>
    </row>
    <row r="19" spans="1:36">
      <c r="A19" s="74" t="str">
        <f>Constants!E9</f>
        <v>RT</v>
      </c>
      <c r="B19" s="16">
        <f>SUMIFS(Buitenwesten!$F$55:$F$67,Buitenwesten!$B$55:$B$67, B$15,Buitenwesten!$H$55:$H$67,$A19)</f>
        <v>0</v>
      </c>
      <c r="C19" s="16">
        <f>SUMIFS(Buitenwesten!$F$55:$F$67,Buitenwesten!$B$55:$B$67, C$15,Buitenwesten!$H$55:$H$67,$A19)</f>
        <v>0</v>
      </c>
      <c r="D19" s="16">
        <f>SUMIFS(Buitenwesten!$F$55:$F$67,Buitenwesten!$B$55:$B$67, D$15,Buitenwesten!$H$55:$H$67,$A19)</f>
        <v>63</v>
      </c>
      <c r="E19" s="16">
        <f>SUMIFS(Buitenwesten!$F$55:$F$67,Buitenwesten!$B$55:$B$67, E$15,Buitenwesten!$H$55:$H$67,$A19)</f>
        <v>0</v>
      </c>
      <c r="F19" s="16">
        <f>SUMIFS(Buitenwesten!$F$55:$F$67,Buitenwesten!$B$55:$B$67, F$15,Buitenwesten!$H$55:$H$67,$A19)</f>
        <v>0</v>
      </c>
      <c r="G19" s="74" t="s">
        <v>396</v>
      </c>
      <c r="H19" s="78"/>
      <c r="I19" s="76">
        <f>IF(B7*Constants!I17&lt;I17,B7*Constants!I17,I17)</f>
        <v>0</v>
      </c>
      <c r="J19" s="79"/>
      <c r="K19" s="80"/>
      <c r="L19" s="77" t="s">
        <v>431</v>
      </c>
      <c r="M19" s="255"/>
      <c r="N19" s="17"/>
      <c r="O19" s="17"/>
      <c r="P19" s="17"/>
      <c r="Q19" s="17"/>
      <c r="R19" s="16"/>
      <c r="S19" s="17"/>
      <c r="T19" s="17"/>
      <c r="U19" s="17"/>
      <c r="V19" s="17"/>
      <c r="W19" s="17"/>
      <c r="X19" s="17"/>
      <c r="Y19" s="17"/>
      <c r="Z19" s="17"/>
      <c r="AA19" s="17"/>
      <c r="AB19" s="17"/>
      <c r="AC19" s="17"/>
      <c r="AD19" s="17"/>
      <c r="AE19" s="17"/>
    </row>
    <row r="20" spans="1:36">
      <c r="A20" s="74" t="str">
        <f>Constants!E10</f>
        <v>Extern</v>
      </c>
      <c r="B20" s="16">
        <f>SUMIFS(Buitenwesten!$F$55:$F$67,Buitenwesten!$B$55:$B$67, B$15,Buitenwesten!$H$55:$H$67,$A20)</f>
        <v>0</v>
      </c>
      <c r="C20" s="16">
        <f>SUMIFS(Buitenwesten!$F$55:$F$67,Buitenwesten!$B$55:$B$67, C$15,Buitenwesten!$H$55:$H$67,$A20)</f>
        <v>0</v>
      </c>
      <c r="D20" s="16">
        <f>SUMIFS(Buitenwesten!$F$55:$F$67,Buitenwesten!$B$55:$B$67, D$15,Buitenwesten!$H$55:$H$67,$A20)</f>
        <v>0</v>
      </c>
      <c r="E20" s="16">
        <f>SUMIFS(Buitenwesten!$F$55:$F$67,Buitenwesten!$B$55:$B$67, E$15,Buitenwesten!$H$55:$H$67,$A20)</f>
        <v>0</v>
      </c>
      <c r="F20" s="16">
        <f>SUMIFS(Buitenwesten!$F$55:$F$67,Buitenwesten!$B$55:$B$67, F$15,Buitenwesten!$H$55:$H$67,$A20)</f>
        <v>0</v>
      </c>
      <c r="G20" s="81"/>
      <c r="H20" s="16"/>
      <c r="I20" s="75"/>
      <c r="J20" s="79"/>
      <c r="K20" s="82"/>
      <c r="L20" s="83"/>
      <c r="M20" s="84"/>
      <c r="N20" s="17"/>
      <c r="O20" s="17"/>
      <c r="P20" s="17"/>
      <c r="Q20" s="17"/>
      <c r="R20" s="16"/>
      <c r="S20" s="17"/>
      <c r="T20" s="17"/>
      <c r="U20" s="17"/>
      <c r="V20" s="17"/>
      <c r="W20" s="17"/>
      <c r="X20" s="17"/>
      <c r="Y20" s="17"/>
      <c r="Z20" s="17"/>
      <c r="AA20" s="17"/>
      <c r="AB20" s="17"/>
      <c r="AC20" s="17"/>
      <c r="AD20" s="17"/>
      <c r="AE20" s="17"/>
    </row>
    <row r="21" spans="1:36">
      <c r="A21" s="74" t="str">
        <f>CONCATENATE(A18," Costs")</f>
        <v>PT-ZZP Costs</v>
      </c>
      <c r="B21" s="78">
        <f t="array" ref="B21">SUM(IF(Buitenwesten!$B$55:$B$67=B$15,IF(Buitenwesten!$H$55:$H$67="PT-ZZP",Buitenwesten!$F$55:$F$67*Buitenwesten!$I$55:$I$67*(1+Constants!$B$7),0),0))</f>
        <v>0</v>
      </c>
      <c r="C21" s="78">
        <f t="array" ref="C21">SUM(IF(Buitenwesten!$B$55:$B$67=C$15,IF(Buitenwesten!$H$55:$H$67="PT-ZZP",Buitenwesten!$F$55:$F$67*Buitenwesten!$I$55:$I$67,0),0))</f>
        <v>0</v>
      </c>
      <c r="D21" s="78">
        <f t="array" ref="D21">SUM(IF(Buitenwesten!$B$55:$B$67=D$15,IF(Buitenwesten!$H$55:$H$67="PT-ZZP",Buitenwesten!$F$55:$F$67*Buitenwesten!$I$55:$I$67*(1+Constants!$B$7),0),0))</f>
        <v>0</v>
      </c>
      <c r="E21" s="78" cm="1">
        <f t="array" ref="E21">SUM(IF(Buitenwesten!$B$55:$B$67=E$15,IF(Buitenwesten!$H$55:$H$67="PT-ZZP",Buitenwesten!$F$55:$F$67*Buitenwesten!$I$55:$I$67*(1+Constants!$B$7),0),0))</f>
        <v>0</v>
      </c>
      <c r="F21" s="78">
        <f t="array" ref="F21">SUM(IF(Buitenwesten!$B$55:$B$67=F$15,IF(Buitenwesten!$H$55:$H$67="PT-ZZP",Buitenwesten!$F$55:$F$67*Buitenwesten!$I$55:$I$67*(1+Constants!$B$7),0),0))</f>
        <v>0</v>
      </c>
      <c r="G21" s="81"/>
      <c r="H21" s="16"/>
      <c r="I21" s="75"/>
      <c r="J21" s="79"/>
      <c r="K21" s="82"/>
      <c r="L21" s="77" t="s">
        <v>5</v>
      </c>
      <c r="M21" s="76">
        <f>SUM(M15:M20)</f>
        <v>2084.3443333333335</v>
      </c>
      <c r="N21" s="17"/>
      <c r="O21" s="17"/>
      <c r="P21" s="17"/>
      <c r="Q21" s="17"/>
      <c r="R21" s="16"/>
      <c r="S21" s="17"/>
      <c r="T21" s="17"/>
      <c r="U21" s="17"/>
      <c r="V21" s="17"/>
      <c r="W21" s="17"/>
      <c r="X21" s="17"/>
      <c r="Y21" s="17"/>
      <c r="Z21" s="17"/>
      <c r="AA21" s="17"/>
      <c r="AB21" s="17"/>
      <c r="AC21" s="17"/>
      <c r="AD21" s="17"/>
      <c r="AE21" s="17"/>
    </row>
    <row r="22" spans="1:36" ht="15.75" customHeight="1" thickBot="1">
      <c r="A22" s="74" t="str">
        <f>CONCATENATE(A20," Costs")</f>
        <v>Extern Costs</v>
      </c>
      <c r="B22" s="78">
        <f t="array" ref="B22">SUM(IF(Buitenwesten!$B$55:$B$67=B$15,IF(Buitenwesten!$H$55:$H$67="Extern",Buitenwesten!$F$55:$F$67*Buitenwesten!$I$55:$I$67,0),0))</f>
        <v>0</v>
      </c>
      <c r="C22" s="78">
        <f t="array" ref="C22">SUM(IF(Buitenwesten!$B$55:$B$67=C$15,IF(Buitenwesten!$H$55:$H$67="Extern",Buitenwesten!$F$55:$F$67*Buitenwesten!$I$55:$I$67,0),0))</f>
        <v>0</v>
      </c>
      <c r="D22" s="78">
        <f t="array" ref="D22">SUM(IF(Buitenwesten!$B$55:$B$67=D$15,IF(Buitenwesten!$H$55:$H$67="Extern",Buitenwesten!$F$55:$F$67*Buitenwesten!$I$55:$I$67,0),0))</f>
        <v>0</v>
      </c>
      <c r="E22" s="78">
        <f t="array" ref="E22">SUM(IF(Buitenwesten!$B$55:$B$67=E$15,IF(Buitenwesten!$H$55:$H$67="Extern",Buitenwesten!$F$55:$F$67*Buitenwesten!$I$55:$I$67,0),0))</f>
        <v>0</v>
      </c>
      <c r="F22" s="76">
        <f t="array" ref="F22">SUM(IF(Buitenwesten!$B$55:$B$67=F$15,IF(Buitenwesten!$H$55:$H$67="Extern",Buitenwesten!$F$55:$F$67*Buitenwesten!$I$55:$I$67,0),0))</f>
        <v>0</v>
      </c>
      <c r="G22" s="85"/>
      <c r="H22" s="177"/>
      <c r="I22" s="86"/>
      <c r="J22" s="87"/>
      <c r="K22" s="88"/>
      <c r="L22" s="87"/>
      <c r="M22" s="88"/>
      <c r="N22" s="17"/>
      <c r="O22" s="17"/>
      <c r="P22" s="17"/>
      <c r="Q22" s="17"/>
      <c r="R22" s="16"/>
      <c r="S22" s="17"/>
      <c r="T22" s="17"/>
      <c r="U22" s="17"/>
      <c r="V22" s="17"/>
      <c r="W22" s="17"/>
      <c r="X22" s="17"/>
      <c r="Y22" s="17"/>
      <c r="Z22" s="17"/>
      <c r="AA22" s="17"/>
      <c r="AB22" s="17"/>
      <c r="AC22" s="17"/>
      <c r="AD22" s="17"/>
      <c r="AE22" s="17"/>
    </row>
    <row r="23" spans="1:36" ht="15" customHeight="1" thickTop="1">
      <c r="A23" s="74" t="s">
        <v>432</v>
      </c>
      <c r="B23" s="78"/>
      <c r="C23" s="78"/>
      <c r="D23" s="78"/>
      <c r="E23" s="78"/>
      <c r="F23" s="76">
        <f t="array" ref="F23">SUMIFS(Buitenwesten!$F$55:$F$67,Buitenwesten!$B$55:$B$67,"Mentorship",Buitenwesten!$H$55:$H$67,"PT-V")*Constants!B8+SUMIFS(Buitenwesten!$F$55:$F$67,Buitenwesten!$B$55:$B$67,"Mentorship",Buitenwesten!$H$55:$H$67,"PT")*Constants!B6+SUMPRODUCT(IF(Buitenwesten!$B$55:$B$67="Mentorship",IF(Buitenwesten!$H$55:$H$67="PT-ZZP",Buitenwesten!$F$55:$F$67*Buitenwesten!$I$55:$I$67,0)))</f>
        <v>0</v>
      </c>
    </row>
    <row r="24" spans="1:36" ht="15" customHeight="1" thickBot="1">
      <c r="A24" s="89" t="s">
        <v>433</v>
      </c>
      <c r="B24" s="178"/>
      <c r="C24" s="178"/>
      <c r="D24" s="178"/>
      <c r="E24" s="178">
        <f>SUMIF(Buitenwesten!$B$55:$B$67,"External Trainer Course",Buitenwesten!$I$55:$I$67)</f>
        <v>0</v>
      </c>
      <c r="F24" s="90"/>
    </row>
    <row r="25" spans="1:36" ht="15.75" customHeight="1" thickTop="1">
      <c r="A25" s="16"/>
      <c r="B25" s="16"/>
      <c r="C25" s="16"/>
      <c r="D25" s="16"/>
      <c r="E25" s="17"/>
      <c r="F25" s="17"/>
      <c r="G25" s="17"/>
      <c r="H25" s="17"/>
      <c r="I25" s="17"/>
      <c r="J25" s="17"/>
      <c r="K25" s="17"/>
      <c r="L25" s="17"/>
      <c r="M25" s="17"/>
      <c r="N25" s="17"/>
      <c r="O25" s="17"/>
      <c r="P25" s="17"/>
      <c r="Q25" s="16"/>
      <c r="R25" s="17"/>
      <c r="S25" s="17"/>
      <c r="T25" s="17"/>
      <c r="U25" s="17"/>
      <c r="V25" s="17"/>
      <c r="W25" s="17"/>
      <c r="X25" s="17"/>
      <c r="Y25" s="17"/>
      <c r="Z25" s="17"/>
      <c r="AA25" s="17"/>
      <c r="AB25" s="17"/>
      <c r="AC25" s="17"/>
      <c r="AD25" s="17"/>
    </row>
    <row r="26" spans="1:36" ht="15.75" customHeight="1">
      <c r="A26" s="16"/>
      <c r="B26" s="16"/>
      <c r="C26" s="16"/>
      <c r="D26" s="16"/>
      <c r="E26" s="17"/>
      <c r="F26" s="17"/>
      <c r="G26" s="17"/>
      <c r="H26" s="17"/>
      <c r="I26" s="17"/>
      <c r="J26" s="17"/>
      <c r="K26" s="17"/>
      <c r="L26" s="17"/>
      <c r="M26" s="17"/>
      <c r="N26" s="17"/>
      <c r="O26" s="17"/>
      <c r="P26" s="17"/>
      <c r="Q26" s="16"/>
      <c r="R26" s="17"/>
      <c r="S26" s="17"/>
      <c r="T26" s="17"/>
      <c r="U26" s="17"/>
      <c r="V26" s="17"/>
      <c r="W26" s="17"/>
      <c r="X26" s="17"/>
      <c r="Y26" s="17"/>
      <c r="Z26" s="17"/>
      <c r="AA26" s="17"/>
      <c r="AB26" s="17"/>
      <c r="AC26" s="17"/>
      <c r="AD26" s="17"/>
    </row>
    <row r="27" spans="1:36" ht="15.75" customHeight="1" thickBot="1">
      <c r="A27" s="91" t="s">
        <v>434</v>
      </c>
      <c r="B27" s="17"/>
      <c r="C27" s="17"/>
      <c r="D27" s="17"/>
      <c r="E27" s="17"/>
      <c r="F27" s="17"/>
      <c r="G27" s="92"/>
      <c r="H27" s="19"/>
      <c r="I27" s="17"/>
      <c r="J27" s="17"/>
      <c r="K27" s="17"/>
      <c r="L27" s="17"/>
      <c r="M27" s="17"/>
      <c r="N27" s="17"/>
      <c r="O27" s="17"/>
      <c r="P27" s="17"/>
      <c r="Q27" s="16"/>
      <c r="R27" s="17"/>
      <c r="S27" s="17"/>
      <c r="T27" s="17"/>
      <c r="U27" s="17"/>
      <c r="V27" s="17"/>
      <c r="W27" s="17"/>
      <c r="X27" s="17"/>
      <c r="Y27" s="17"/>
      <c r="Z27" s="17"/>
      <c r="AA27" s="17"/>
      <c r="AB27" s="17"/>
      <c r="AC27" s="17"/>
      <c r="AD27" s="17"/>
    </row>
    <row r="28" spans="1:36" ht="15.75" customHeight="1" thickTop="1" thickBot="1">
      <c r="A28" s="706" t="s">
        <v>435</v>
      </c>
      <c r="B28" s="707"/>
      <c r="C28" s="707"/>
      <c r="D28" s="707"/>
      <c r="E28" s="707"/>
      <c r="F28" s="708"/>
      <c r="G28" s="15"/>
      <c r="H28" s="17"/>
      <c r="I28" s="17"/>
      <c r="J28" s="17"/>
      <c r="K28" s="17"/>
      <c r="L28" s="17"/>
      <c r="M28" s="17"/>
      <c r="N28" s="17"/>
      <c r="O28" s="17"/>
      <c r="P28" s="17"/>
      <c r="Q28" s="16"/>
      <c r="R28" s="17"/>
      <c r="S28" s="17"/>
      <c r="T28" s="17"/>
      <c r="U28" s="17"/>
      <c r="V28" s="17"/>
      <c r="W28" s="17"/>
      <c r="X28" s="17"/>
      <c r="Y28" s="17"/>
      <c r="Z28" s="17"/>
      <c r="AA28" s="17"/>
      <c r="AB28" s="17"/>
      <c r="AC28" s="17"/>
      <c r="AD28" s="242" t="s">
        <v>436</v>
      </c>
      <c r="AE28" s="16"/>
      <c r="AF28" s="128"/>
      <c r="AG28" s="51"/>
      <c r="AH28" s="51"/>
      <c r="AI28" s="51"/>
      <c r="AJ28" s="51"/>
    </row>
    <row r="29" spans="1:36" ht="15.75" customHeight="1" thickBot="1">
      <c r="A29" s="709" t="s">
        <v>437</v>
      </c>
      <c r="B29" s="696"/>
      <c r="C29" s="696"/>
      <c r="D29" s="696"/>
      <c r="E29" s="696"/>
      <c r="F29" s="710"/>
      <c r="G29" s="17"/>
      <c r="H29" s="17"/>
      <c r="I29" s="17"/>
      <c r="J29" s="17"/>
      <c r="K29" s="17"/>
      <c r="L29" s="17"/>
      <c r="M29" s="17"/>
      <c r="N29" s="17"/>
      <c r="O29" s="17"/>
      <c r="P29" s="17"/>
      <c r="Q29" s="16"/>
      <c r="R29" s="17"/>
      <c r="S29" s="17"/>
      <c r="T29" s="17"/>
      <c r="U29" s="17"/>
      <c r="V29" s="17"/>
      <c r="W29" s="17"/>
      <c r="X29" s="17"/>
      <c r="Y29" s="17"/>
      <c r="Z29" s="17"/>
      <c r="AA29" s="17"/>
      <c r="AB29" s="17"/>
      <c r="AC29" s="17"/>
      <c r="AD29" s="243" t="s">
        <v>438</v>
      </c>
      <c r="AE29" s="243" t="s">
        <v>439</v>
      </c>
      <c r="AF29" s="243" t="s">
        <v>440</v>
      </c>
      <c r="AG29" s="711" t="s">
        <v>441</v>
      </c>
      <c r="AH29" s="712"/>
      <c r="AI29" s="711" t="s">
        <v>434</v>
      </c>
      <c r="AJ29" s="712"/>
    </row>
    <row r="30" spans="1:36" ht="15.75" customHeight="1" thickBot="1">
      <c r="A30" s="709" t="s">
        <v>442</v>
      </c>
      <c r="B30" s="696"/>
      <c r="C30" s="696"/>
      <c r="D30" s="696"/>
      <c r="E30" s="696"/>
      <c r="F30" s="710"/>
      <c r="G30" s="17"/>
      <c r="H30" s="17"/>
      <c r="I30" s="17"/>
      <c r="J30" s="17"/>
      <c r="K30" s="17"/>
      <c r="L30" s="17"/>
      <c r="M30" s="17"/>
      <c r="N30" s="17"/>
      <c r="O30" s="17"/>
      <c r="P30" s="17"/>
      <c r="Q30" s="16"/>
      <c r="R30" s="17"/>
      <c r="S30" s="17"/>
      <c r="T30" s="17"/>
      <c r="U30" s="17"/>
      <c r="V30" s="17"/>
      <c r="W30" s="17"/>
      <c r="X30" s="17"/>
      <c r="Y30" s="17"/>
      <c r="Z30" s="17"/>
      <c r="AA30" s="17"/>
      <c r="AB30" s="17"/>
      <c r="AC30" s="17"/>
      <c r="AD30" s="244" t="str">
        <f>IF($B$12="individual",Constants!F55,Constants!L55)</f>
        <v>member count</v>
      </c>
      <c r="AE30" s="244">
        <f>B7</f>
        <v>75</v>
      </c>
      <c r="AF30" s="269">
        <f>IF(AE30&gt;=301,5,IF(AE30&gt;=176,4,IF(AE30&gt;=101,3,IF(AE30&gt;=51,2,1))))</f>
        <v>2</v>
      </c>
      <c r="AG30" s="560"/>
      <c r="AH30" s="560"/>
      <c r="AI30" s="560" t="s">
        <v>443</v>
      </c>
      <c r="AJ30" s="560"/>
    </row>
    <row r="31" spans="1:36" ht="15" customHeight="1" thickBot="1">
      <c r="A31" s="709" t="s">
        <v>444</v>
      </c>
      <c r="B31" s="696"/>
      <c r="C31" s="696"/>
      <c r="D31" s="696"/>
      <c r="E31" s="696"/>
      <c r="F31" s="710"/>
      <c r="G31" s="17"/>
      <c r="H31" s="17"/>
      <c r="I31" s="17"/>
      <c r="J31" s="17"/>
      <c r="K31" s="17"/>
      <c r="L31" s="17"/>
      <c r="M31" s="17"/>
      <c r="N31" s="17"/>
      <c r="O31" s="17"/>
      <c r="P31" s="17"/>
      <c r="Q31" s="16"/>
      <c r="R31" s="17"/>
      <c r="S31" s="17"/>
      <c r="T31" s="17"/>
      <c r="U31" s="17"/>
      <c r="V31" s="17"/>
      <c r="W31" s="17"/>
      <c r="X31" s="17"/>
      <c r="Y31" s="17"/>
      <c r="Z31" s="17"/>
      <c r="AA31" s="17"/>
      <c r="AB31" s="17"/>
      <c r="AC31" s="17"/>
      <c r="AD31" s="244" t="str">
        <f>IF($B$12="individual",Constants!F56,Constants!L56)</f>
        <v>number of trainings per week</v>
      </c>
      <c r="AE31" s="244" cm="1">
        <f t="array" ref="AE31">SUMPRODUCT(C55:C67*D55:D67)/42</f>
        <v>5</v>
      </c>
      <c r="AF31" s="270">
        <f>IF(AE31&gt;=4,3,IF(AE31&gt;=3,2,IF(AE31&gt;=2,1,0)))</f>
        <v>3</v>
      </c>
      <c r="AG31" s="560"/>
      <c r="AH31" s="560"/>
      <c r="AI31" s="560"/>
      <c r="AJ31" s="560"/>
    </row>
    <row r="32" spans="1:36" ht="15.75" customHeight="1" thickBot="1">
      <c r="A32" s="709" t="s">
        <v>445</v>
      </c>
      <c r="B32" s="696"/>
      <c r="C32" s="696"/>
      <c r="D32" s="696"/>
      <c r="E32" s="696"/>
      <c r="F32" s="710"/>
      <c r="G32" s="17"/>
      <c r="H32" s="16"/>
      <c r="I32" s="16"/>
      <c r="J32" s="16"/>
      <c r="K32" s="17"/>
      <c r="L32" s="17"/>
      <c r="M32" s="17"/>
      <c r="N32" s="17"/>
      <c r="O32" s="17"/>
      <c r="P32" s="17"/>
      <c r="Q32" s="16"/>
      <c r="R32" s="17"/>
      <c r="S32" s="17"/>
      <c r="T32" s="17"/>
      <c r="U32" s="17"/>
      <c r="V32" s="17"/>
      <c r="W32" s="17"/>
      <c r="X32" s="17"/>
      <c r="Y32" s="17"/>
      <c r="Z32" s="17"/>
      <c r="AA32" s="17"/>
      <c r="AB32" s="17"/>
      <c r="AC32" s="17"/>
      <c r="AD32" s="244" t="str">
        <f>IF($B$12="individual",Constants!F57,Constants!L57)</f>
        <v>number of trainings weeks per year</v>
      </c>
      <c r="AE32" s="252">
        <f>MAX(C55:C67)</f>
        <v>42</v>
      </c>
      <c r="AF32" s="250">
        <f>IF(AE32&gt;=40,3,IF(AE32&gt;=35,2,1))</f>
        <v>3</v>
      </c>
      <c r="AG32" s="560"/>
      <c r="AH32" s="560"/>
      <c r="AI32" s="560"/>
      <c r="AJ32" s="560"/>
    </row>
    <row r="33" spans="1:58" ht="15.75" customHeight="1" thickBot="1">
      <c r="A33" s="93" t="s">
        <v>446</v>
      </c>
      <c r="F33" s="94"/>
      <c r="G33" s="17"/>
      <c r="H33" s="16"/>
      <c r="I33" s="16"/>
      <c r="J33" s="16"/>
      <c r="K33" s="17"/>
      <c r="L33" s="17"/>
      <c r="M33" s="17"/>
      <c r="N33" s="17"/>
      <c r="O33" s="17"/>
      <c r="P33" s="17"/>
      <c r="Q33" s="16"/>
      <c r="R33" s="17"/>
      <c r="S33" s="17"/>
      <c r="T33" s="17"/>
      <c r="U33" s="17"/>
      <c r="V33" s="17"/>
      <c r="W33" s="17"/>
      <c r="X33" s="17"/>
      <c r="Y33" s="17"/>
      <c r="Z33" s="17"/>
      <c r="AA33" s="17"/>
      <c r="AB33" s="17"/>
      <c r="AC33" s="17"/>
      <c r="AD33" s="244" t="str">
        <f>IF($B$12="individual",Constants!F58,Constants!L58)</f>
        <v>number of training hours by RT / PT-V</v>
      </c>
      <c r="AE33" s="251">
        <f>(SUMIF(H55:H67,"RT",F55:F67)+SUMIF(H55:H67,"PT-V",F55:F67))/SUM(F55:F67)</f>
        <v>0.2</v>
      </c>
      <c r="AF33" s="270">
        <f>IF(AE33&gt;0.9,3,IF(AE33&gt;0.6,2,IF(AE33&gt;0.3,1,0)))</f>
        <v>0</v>
      </c>
      <c r="AG33" s="560"/>
      <c r="AH33" s="560"/>
      <c r="AI33" s="560"/>
      <c r="AJ33" s="560"/>
    </row>
    <row r="34" spans="1:58" ht="15.75" customHeight="1" thickBot="1">
      <c r="A34" s="713" t="s">
        <v>447</v>
      </c>
      <c r="B34" s="714"/>
      <c r="C34" s="714"/>
      <c r="D34" s="714"/>
      <c r="E34" s="714"/>
      <c r="F34" s="715"/>
      <c r="G34" s="17"/>
      <c r="H34" s="16"/>
      <c r="I34" s="16"/>
      <c r="J34" s="16"/>
      <c r="K34" s="17"/>
      <c r="L34" s="17"/>
      <c r="M34" s="17"/>
      <c r="N34" s="17"/>
      <c r="O34" s="17"/>
      <c r="P34" s="17"/>
      <c r="Q34" s="16"/>
      <c r="R34" s="17"/>
      <c r="S34" s="17"/>
      <c r="T34" s="17"/>
      <c r="U34" s="17"/>
      <c r="V34" s="17"/>
      <c r="W34" s="17"/>
      <c r="X34" s="17"/>
      <c r="Y34" s="17"/>
      <c r="Z34" s="17"/>
      <c r="AA34" s="17"/>
      <c r="AB34" s="17"/>
      <c r="AC34" s="17"/>
      <c r="AD34" s="244" t="str">
        <f>IF($B$12="individual",Constants!F59,Constants!L59)</f>
        <v>number of training groups / teams</v>
      </c>
      <c r="AE34" s="244">
        <f>B10</f>
        <v>3</v>
      </c>
      <c r="AF34" s="271">
        <f>IF(AE34&gt;9,3,IF(AE34&gt;4,2,IF(AE34&gt;2,1,0)))</f>
        <v>1</v>
      </c>
      <c r="AG34" s="560"/>
      <c r="AH34" s="560"/>
      <c r="AI34" s="560"/>
      <c r="AJ34" s="560"/>
    </row>
    <row r="35" spans="1:58" ht="15.75" customHeight="1" thickTop="1" thickBot="1">
      <c r="A35" s="16"/>
      <c r="G35" s="17"/>
      <c r="H35" s="16"/>
      <c r="I35" s="16"/>
      <c r="J35" s="16"/>
      <c r="K35" s="17"/>
      <c r="L35" s="17"/>
      <c r="M35" s="17"/>
      <c r="N35" s="17"/>
      <c r="O35" s="17"/>
      <c r="P35" s="17"/>
      <c r="Q35" s="16"/>
      <c r="R35" s="17"/>
      <c r="S35" s="17"/>
      <c r="T35" s="17"/>
      <c r="U35" s="17"/>
      <c r="V35" s="17"/>
      <c r="W35" s="17"/>
      <c r="X35" s="17"/>
      <c r="Y35" s="17"/>
      <c r="Z35" s="17"/>
      <c r="AA35" s="17"/>
      <c r="AB35" s="17"/>
      <c r="AC35" s="17"/>
      <c r="AD35" s="244" t="str">
        <f>IF($B$12="individual",Constants!F60,Constants!L60)</f>
        <v>number of competitions organised</v>
      </c>
      <c r="AE35" s="249">
        <v>0</v>
      </c>
      <c r="AF35" s="271">
        <f>IF(AE35&gt;=4,5,IF(AE35&gt;=2,3,IF(AE35&gt;=1,1,0)))</f>
        <v>0</v>
      </c>
      <c r="AG35" s="560"/>
      <c r="AH35" s="560"/>
      <c r="AI35" s="560"/>
      <c r="AJ35" s="560"/>
    </row>
    <row r="36" spans="1:58" ht="15.75" customHeight="1" thickBot="1">
      <c r="A36" s="179" t="s">
        <v>448</v>
      </c>
      <c r="B36" s="16"/>
      <c r="C36" s="16"/>
      <c r="D36" s="16"/>
      <c r="E36" s="16"/>
      <c r="F36" s="16"/>
      <c r="G36" s="16"/>
      <c r="H36" s="16"/>
      <c r="I36" s="16"/>
      <c r="J36" s="16"/>
      <c r="K36" s="16"/>
      <c r="L36" s="16"/>
      <c r="M36" s="16"/>
      <c r="N36" s="16"/>
      <c r="O36" s="16"/>
      <c r="P36" s="16"/>
      <c r="Q36" s="16"/>
      <c r="R36" s="16"/>
      <c r="S36" s="16"/>
      <c r="T36" s="16"/>
      <c r="U36" s="16"/>
      <c r="V36" s="16"/>
      <c r="W36" s="16"/>
      <c r="X36" s="16"/>
      <c r="Y36" s="16"/>
      <c r="Z36" s="16"/>
      <c r="AA36" s="16"/>
      <c r="AB36" s="18"/>
      <c r="AC36" s="16"/>
      <c r="AD36" s="244" t="str">
        <f>IF($B$12="individual",Constants!F61,Constants!L61)</f>
        <v>number of social activities</v>
      </c>
      <c r="AE36" s="249">
        <v>10</v>
      </c>
      <c r="AF36" s="271">
        <f>IF(AE36&gt;=20,2,IF(AE36&gt;=10,1,0))</f>
        <v>1</v>
      </c>
      <c r="AG36" s="560"/>
      <c r="AH36" s="560"/>
      <c r="AI36" s="560"/>
      <c r="AJ36" s="560"/>
    </row>
    <row r="37" spans="1:58" ht="15" customHeight="1" thickTop="1" thickBot="1">
      <c r="A37" s="258" t="s">
        <v>449</v>
      </c>
      <c r="B37" s="259" t="s">
        <v>450</v>
      </c>
      <c r="C37" s="258" t="s">
        <v>451</v>
      </c>
      <c r="D37" s="258" t="s">
        <v>452</v>
      </c>
      <c r="E37" s="258" t="s">
        <v>453</v>
      </c>
      <c r="F37" s="258" t="s">
        <v>454</v>
      </c>
      <c r="G37" s="259" t="s">
        <v>455</v>
      </c>
      <c r="H37" s="561" t="s">
        <v>456</v>
      </c>
      <c r="I37" s="716"/>
      <c r="J37" s="717"/>
      <c r="K37" s="98"/>
      <c r="L37" s="98"/>
      <c r="M37" s="98"/>
      <c r="N37" s="98"/>
      <c r="O37" s="98"/>
      <c r="P37" s="98"/>
      <c r="Q37" s="98"/>
      <c r="R37" s="98"/>
      <c r="S37" s="98"/>
      <c r="T37" s="98"/>
      <c r="U37" s="96"/>
      <c r="V37" s="96"/>
      <c r="W37" s="96"/>
      <c r="X37" s="96"/>
      <c r="Y37" s="99"/>
      <c r="Z37" s="96"/>
      <c r="AA37" s="96"/>
      <c r="AB37" s="100"/>
      <c r="AC37" s="100"/>
      <c r="AD37" s="244" t="str">
        <f>IF($B$12="individual",Constants!F62,Constants!L62)</f>
        <v>number of bar days</v>
      </c>
      <c r="AE37" s="249">
        <v>13</v>
      </c>
      <c r="AF37" s="271">
        <f>IF(AE37&gt;=15,2,IF(AE37&gt;=8,1,0))</f>
        <v>1</v>
      </c>
      <c r="AG37" s="560"/>
      <c r="AH37" s="560"/>
      <c r="AI37" s="560"/>
      <c r="AJ37" s="560"/>
      <c r="AK37" s="100"/>
      <c r="AL37" s="100"/>
      <c r="AM37" s="100"/>
      <c r="AN37" s="100"/>
      <c r="AO37" s="100"/>
      <c r="AP37" s="100"/>
      <c r="AQ37" s="100"/>
      <c r="AR37" s="100"/>
      <c r="AS37" s="100"/>
      <c r="AT37" s="100"/>
      <c r="AU37" s="100"/>
      <c r="AV37" s="100"/>
      <c r="AW37" s="100"/>
      <c r="AX37" s="100"/>
      <c r="AY37" s="100"/>
      <c r="AZ37" s="100"/>
      <c r="BA37" s="100"/>
      <c r="BB37" s="100"/>
      <c r="BC37" s="100"/>
      <c r="BD37" s="100"/>
      <c r="BE37" s="100"/>
      <c r="BF37" s="100"/>
    </row>
    <row r="38" spans="1:58" ht="14.25" customHeight="1" thickBot="1">
      <c r="A38" s="196" t="s">
        <v>582</v>
      </c>
      <c r="B38" s="341">
        <v>25</v>
      </c>
      <c r="C38" s="341">
        <v>2</v>
      </c>
      <c r="D38" s="341">
        <v>42</v>
      </c>
      <c r="E38" s="196" t="s">
        <v>57</v>
      </c>
      <c r="F38" s="324"/>
      <c r="G38" s="323" t="s">
        <v>285</v>
      </c>
      <c r="H38" s="571"/>
      <c r="I38" s="696"/>
      <c r="J38" s="718"/>
      <c r="K38" s="16"/>
      <c r="L38" s="16"/>
      <c r="M38" s="16"/>
      <c r="N38" s="16"/>
      <c r="O38" s="16"/>
      <c r="P38" s="16"/>
      <c r="Q38" s="16"/>
      <c r="R38" s="16"/>
      <c r="S38" s="16"/>
      <c r="T38" s="16"/>
      <c r="U38" s="16"/>
      <c r="V38" s="16"/>
      <c r="W38" s="16"/>
      <c r="X38" s="16"/>
      <c r="Y38" s="17"/>
      <c r="Z38" s="16"/>
      <c r="AA38" s="16"/>
      <c r="AD38" s="244" t="str">
        <f>IF($B$12="individual",Constants!F63,Constants!L63)</f>
        <v>own bar / extra location</v>
      </c>
      <c r="AE38" s="249">
        <v>0</v>
      </c>
      <c r="AF38" s="271">
        <f>IF(AE38&gt;=15,2,IF(AE38&gt;=8,1,0))</f>
        <v>0</v>
      </c>
      <c r="AG38" s="560"/>
      <c r="AH38" s="560"/>
      <c r="AI38" s="560"/>
      <c r="AJ38" s="560"/>
    </row>
    <row r="39" spans="1:58" ht="14.25" customHeight="1" thickBot="1">
      <c r="A39" s="199" t="s">
        <v>583</v>
      </c>
      <c r="B39" s="342">
        <v>15</v>
      </c>
      <c r="C39" s="342">
        <v>2</v>
      </c>
      <c r="D39" s="342">
        <v>42</v>
      </c>
      <c r="E39" s="343" t="s">
        <v>57</v>
      </c>
      <c r="F39" s="261"/>
      <c r="G39" s="323" t="s">
        <v>285</v>
      </c>
      <c r="H39" s="696"/>
      <c r="I39" s="696"/>
      <c r="J39" s="718"/>
      <c r="K39" s="16"/>
      <c r="L39" s="16"/>
      <c r="M39" s="16"/>
      <c r="N39" s="16"/>
      <c r="O39" s="16"/>
      <c r="P39" s="16"/>
      <c r="Q39" s="16"/>
      <c r="R39" s="16"/>
      <c r="S39" s="16"/>
      <c r="T39" s="16"/>
      <c r="U39" s="16"/>
      <c r="V39" s="16"/>
      <c r="W39" s="16"/>
      <c r="X39" s="16"/>
      <c r="Y39" s="17"/>
      <c r="Z39" s="16"/>
      <c r="AA39" s="16"/>
      <c r="AD39" s="244" t="str">
        <f>IF($B$12="individual",Constants!F65,Constants!L64)</f>
        <v>number of competitions attended</v>
      </c>
      <c r="AE39" s="249">
        <v>1</v>
      </c>
      <c r="AF39" s="273">
        <f>IF(B12="individual", IF(AE39&gt;10, 5, IF(AE39&gt;6, 3, IF(AE39&gt;2, 1, 0))), IF(AE39&gt;3, 3, IF(AE39&gt;1, 2, 1)))</f>
        <v>0</v>
      </c>
      <c r="AG39" s="560"/>
      <c r="AH39" s="560"/>
      <c r="AI39" s="560"/>
      <c r="AJ39" s="560"/>
    </row>
    <row r="40" spans="1:58" ht="15.75" customHeight="1" thickBot="1">
      <c r="A40" s="231" t="s">
        <v>582</v>
      </c>
      <c r="B40" s="373">
        <v>25</v>
      </c>
      <c r="C40" s="373">
        <v>1</v>
      </c>
      <c r="D40" s="373">
        <v>42</v>
      </c>
      <c r="E40" s="328" t="s">
        <v>55</v>
      </c>
      <c r="F40" s="261"/>
      <c r="G40" s="323" t="s">
        <v>285</v>
      </c>
      <c r="H40" s="696"/>
      <c r="I40" s="696"/>
      <c r="J40" s="718"/>
      <c r="K40" s="16"/>
      <c r="L40" s="16"/>
      <c r="M40" s="16"/>
      <c r="N40" s="16"/>
      <c r="O40" s="16"/>
      <c r="P40" s="16"/>
      <c r="Q40" s="16"/>
      <c r="R40" s="16"/>
      <c r="S40" s="16"/>
      <c r="T40" s="16"/>
      <c r="U40" s="16"/>
      <c r="V40" s="16"/>
      <c r="W40" s="16"/>
      <c r="X40" s="16"/>
      <c r="Y40" s="16"/>
      <c r="Z40" s="16"/>
      <c r="AA40" s="16"/>
      <c r="AD40" s="231" t="str">
        <f>IF($B$12="individual",Constants!F64,Constants!L65)</f>
        <v>n/a</v>
      </c>
      <c r="AE40" s="231" t="str">
        <f>IF(AD40="n/a","",COUNTA(A46:A50)/COUNTA(A38:A42))</f>
        <v/>
      </c>
      <c r="AF40" s="272" t="str">
        <f>IF(B12="group", IF(AE40&gt;0.15, 5, IF(AE40&gt;0.1, 3, IF(AE40&gt;0.05, 1, 0))), " ")</f>
        <v xml:space="preserve"> </v>
      </c>
      <c r="AG40" s="560"/>
      <c r="AH40" s="560"/>
      <c r="AI40" s="560"/>
      <c r="AJ40" s="560"/>
    </row>
    <row r="41" spans="1:58" ht="15.75" customHeight="1" thickBot="1">
      <c r="A41" s="231"/>
      <c r="B41" s="232"/>
      <c r="C41" s="231"/>
      <c r="D41" s="232"/>
      <c r="E41" s="245"/>
      <c r="F41" s="261"/>
      <c r="G41" s="231"/>
      <c r="H41" s="696"/>
      <c r="I41" s="696"/>
      <c r="J41" s="718"/>
      <c r="K41" s="16"/>
      <c r="L41" s="16"/>
      <c r="M41" s="16"/>
      <c r="N41" s="16"/>
      <c r="O41" s="16"/>
      <c r="P41" s="16"/>
      <c r="Q41" s="16"/>
      <c r="R41" s="16"/>
      <c r="S41" s="16"/>
      <c r="T41" s="16"/>
      <c r="U41" s="16"/>
      <c r="V41" s="16"/>
      <c r="W41" s="16"/>
      <c r="X41" s="16"/>
      <c r="Y41" s="16"/>
      <c r="Z41" s="16"/>
      <c r="AA41" s="16"/>
      <c r="AD41" s="16"/>
      <c r="AE41" s="275" t="s">
        <v>461</v>
      </c>
      <c r="AF41" s="277">
        <f>SUM(AF30:AF40)</f>
        <v>11</v>
      </c>
      <c r="AG41" s="247"/>
      <c r="AH41" s="245"/>
      <c r="AI41" s="246"/>
      <c r="AJ41" s="247"/>
    </row>
    <row r="42" spans="1:58" ht="15.75" customHeight="1" thickBot="1">
      <c r="A42" s="231"/>
      <c r="B42" s="326"/>
      <c r="C42" s="245"/>
      <c r="D42" s="232"/>
      <c r="E42" s="261"/>
      <c r="F42" s="261"/>
      <c r="G42" s="231"/>
      <c r="H42" s="719"/>
      <c r="I42" s="719"/>
      <c r="J42" s="720"/>
      <c r="K42" s="16"/>
      <c r="L42" s="16"/>
      <c r="M42" s="16"/>
      <c r="N42" s="16"/>
      <c r="O42" s="16"/>
      <c r="P42" s="16"/>
      <c r="Q42" s="16"/>
      <c r="R42" s="16"/>
      <c r="S42" s="16"/>
      <c r="T42" s="16"/>
      <c r="U42" s="16"/>
      <c r="V42" s="16"/>
      <c r="W42" s="16"/>
      <c r="X42" s="16"/>
      <c r="Y42" s="16"/>
      <c r="Z42" s="16"/>
      <c r="AA42" s="16"/>
    </row>
    <row r="43" spans="1:58" ht="15.75" customHeight="1" thickTop="1">
      <c r="A43" s="18"/>
      <c r="B43" s="18"/>
      <c r="C43" s="18"/>
      <c r="D43" s="18"/>
      <c r="E43" s="18"/>
      <c r="F43" s="18"/>
      <c r="G43" s="17"/>
      <c r="H43" s="17"/>
      <c r="I43" s="17"/>
      <c r="J43" s="17"/>
      <c r="K43" s="17"/>
      <c r="L43" s="17"/>
      <c r="M43" s="17"/>
      <c r="N43" s="17"/>
      <c r="O43" s="17"/>
      <c r="P43" s="17"/>
      <c r="Q43" s="16"/>
      <c r="R43" s="17"/>
      <c r="S43" s="17"/>
      <c r="T43" s="17"/>
      <c r="U43" s="17"/>
      <c r="V43" s="17"/>
      <c r="W43" s="17"/>
      <c r="X43" s="17"/>
      <c r="Y43" s="17"/>
      <c r="Z43" s="17"/>
      <c r="AA43" s="17"/>
      <c r="AB43" s="17"/>
      <c r="AC43" s="17"/>
      <c r="AD43" s="17"/>
    </row>
    <row r="44" spans="1:58" ht="15.75" customHeight="1" thickBot="1">
      <c r="A44" s="179" t="s">
        <v>462</v>
      </c>
      <c r="B44" s="169"/>
      <c r="C44" s="16"/>
      <c r="D44" s="16"/>
      <c r="E44" s="16"/>
      <c r="F44" s="16"/>
      <c r="G44" s="16"/>
      <c r="H44" s="16"/>
      <c r="I44" s="16"/>
      <c r="J44" s="16"/>
      <c r="K44" s="16"/>
      <c r="L44" s="16"/>
      <c r="M44" s="16"/>
      <c r="N44" s="16"/>
      <c r="O44" s="16"/>
      <c r="P44" s="16"/>
      <c r="Q44" s="16"/>
      <c r="R44" s="16"/>
      <c r="S44" s="16"/>
      <c r="T44" s="16"/>
      <c r="U44" s="16"/>
      <c r="V44" s="16"/>
      <c r="W44" s="16"/>
      <c r="X44" s="16"/>
      <c r="Y44" s="16"/>
      <c r="Z44" s="16"/>
      <c r="AA44" s="16"/>
      <c r="AB44" s="18"/>
      <c r="AC44" s="16"/>
      <c r="AD44" s="16"/>
    </row>
    <row r="45" spans="1:58" ht="15" customHeight="1" thickTop="1">
      <c r="A45" s="258" t="s">
        <v>449</v>
      </c>
      <c r="B45" s="259" t="s">
        <v>450</v>
      </c>
      <c r="C45" s="258" t="s">
        <v>463</v>
      </c>
      <c r="D45" s="258" t="s">
        <v>464</v>
      </c>
      <c r="E45" s="258" t="s">
        <v>465</v>
      </c>
      <c r="F45" s="258" t="s">
        <v>466</v>
      </c>
      <c r="G45" s="258" t="s">
        <v>467</v>
      </c>
      <c r="H45" s="259" t="s">
        <v>455</v>
      </c>
      <c r="I45" s="561" t="s">
        <v>456</v>
      </c>
      <c r="J45" s="716"/>
      <c r="K45" s="717"/>
      <c r="L45" s="98"/>
      <c r="M45" s="98"/>
      <c r="N45" s="98"/>
      <c r="O45" s="98"/>
      <c r="P45" s="98"/>
      <c r="Q45" s="98"/>
      <c r="R45" s="98"/>
      <c r="S45" s="98"/>
      <c r="T45" s="98"/>
      <c r="U45" s="98"/>
      <c r="V45" s="96"/>
      <c r="W45" s="96"/>
      <c r="X45" s="96"/>
      <c r="Y45" s="96"/>
      <c r="Z45" s="99"/>
      <c r="AA45" s="96"/>
      <c r="AB45" s="96"/>
      <c r="AC45" s="100"/>
      <c r="AD45" s="100"/>
      <c r="AE45" s="100"/>
      <c r="AF45" s="100"/>
      <c r="AG45" s="100"/>
      <c r="AH45" s="100"/>
      <c r="AI45" s="100"/>
      <c r="AJ45" s="100"/>
      <c r="AK45" s="100"/>
      <c r="AL45" s="100"/>
      <c r="AM45" s="100"/>
      <c r="AN45" s="100"/>
      <c r="AO45" s="100"/>
      <c r="AP45" s="100"/>
      <c r="AQ45" s="100"/>
      <c r="AR45" s="100"/>
      <c r="AS45" s="100"/>
      <c r="AT45" s="100"/>
      <c r="AU45" s="100"/>
      <c r="AV45" s="100"/>
      <c r="AW45" s="100"/>
      <c r="AX45" s="100"/>
      <c r="AY45" s="100"/>
      <c r="AZ45" s="100"/>
      <c r="BA45" s="100"/>
      <c r="BB45" s="100"/>
      <c r="BC45" s="100"/>
      <c r="BD45" s="100"/>
      <c r="BE45" s="100"/>
      <c r="BF45" s="100"/>
    </row>
    <row r="46" spans="1:58" ht="14.25" customHeight="1">
      <c r="A46" s="374" t="s">
        <v>583</v>
      </c>
      <c r="B46" s="374">
        <v>15</v>
      </c>
      <c r="C46" s="375" t="s">
        <v>584</v>
      </c>
      <c r="D46" s="376" t="s">
        <v>57</v>
      </c>
      <c r="E46" s="377">
        <v>2</v>
      </c>
      <c r="F46" s="375">
        <v>3</v>
      </c>
      <c r="G46" s="374" t="s">
        <v>471</v>
      </c>
      <c r="H46" s="323"/>
      <c r="I46" s="571"/>
      <c r="J46" s="696"/>
      <c r="K46" s="718"/>
      <c r="L46" s="16"/>
      <c r="M46" s="16"/>
      <c r="N46" s="16"/>
      <c r="O46" s="16"/>
      <c r="P46" s="16"/>
      <c r="Q46" s="16"/>
      <c r="R46" s="16"/>
      <c r="S46" s="16"/>
      <c r="T46" s="16"/>
      <c r="U46" s="16"/>
      <c r="V46" s="16"/>
      <c r="W46" s="16"/>
      <c r="X46" s="16"/>
      <c r="Y46" s="16"/>
      <c r="Z46" s="17"/>
      <c r="AA46" s="16"/>
      <c r="AB46" s="16"/>
    </row>
    <row r="47" spans="1:58" ht="14.25" customHeight="1">
      <c r="A47" s="312" t="s">
        <v>582</v>
      </c>
      <c r="B47" s="323">
        <v>25</v>
      </c>
      <c r="C47" s="312" t="s">
        <v>584</v>
      </c>
      <c r="D47" s="312" t="s">
        <v>57</v>
      </c>
      <c r="E47" s="328">
        <v>2</v>
      </c>
      <c r="F47" s="327">
        <v>3</v>
      </c>
      <c r="G47" s="323" t="s">
        <v>471</v>
      </c>
      <c r="H47" s="323"/>
      <c r="I47" s="696"/>
      <c r="J47" s="696"/>
      <c r="K47" s="718"/>
      <c r="L47" s="16"/>
      <c r="M47" s="16"/>
      <c r="N47" s="16"/>
      <c r="O47" s="16"/>
      <c r="P47" s="16"/>
      <c r="Q47" s="16"/>
      <c r="R47" s="16"/>
      <c r="S47" s="16"/>
      <c r="T47" s="16"/>
      <c r="U47" s="16"/>
      <c r="V47" s="16"/>
      <c r="W47" s="16"/>
      <c r="X47" s="16"/>
      <c r="Y47" s="16"/>
      <c r="Z47" s="17"/>
      <c r="AA47" s="16"/>
      <c r="AB47" s="16"/>
    </row>
    <row r="48" spans="1:58" ht="15.75" customHeight="1">
      <c r="A48" s="323"/>
      <c r="B48" s="323"/>
      <c r="C48" s="323"/>
      <c r="D48" s="312"/>
      <c r="E48" s="328"/>
      <c r="F48" s="327"/>
      <c r="G48" s="329"/>
      <c r="H48" s="323"/>
      <c r="I48" s="696"/>
      <c r="J48" s="696"/>
      <c r="K48" s="718"/>
      <c r="L48" s="16"/>
      <c r="M48" s="16"/>
      <c r="N48" s="16"/>
      <c r="O48" s="16"/>
      <c r="P48" s="16"/>
      <c r="Q48" s="16"/>
      <c r="R48" s="16"/>
      <c r="S48" s="16"/>
      <c r="T48" s="16"/>
      <c r="U48" s="16"/>
      <c r="V48" s="16"/>
      <c r="W48" s="16"/>
      <c r="X48" s="16"/>
      <c r="Y48" s="16"/>
      <c r="Z48" s="16"/>
      <c r="AA48" s="16"/>
      <c r="AB48" s="16"/>
    </row>
    <row r="49" spans="1:30" ht="15.75" customHeight="1">
      <c r="A49" s="231"/>
      <c r="B49" s="232"/>
      <c r="C49" s="231"/>
      <c r="D49" s="269"/>
      <c r="E49" s="245"/>
      <c r="F49" s="261"/>
      <c r="G49" s="263"/>
      <c r="H49" s="231"/>
      <c r="I49" s="696"/>
      <c r="J49" s="696"/>
      <c r="K49" s="718"/>
      <c r="L49" s="16"/>
      <c r="M49" s="16"/>
      <c r="N49" s="16"/>
      <c r="O49" s="16"/>
      <c r="P49" s="16"/>
      <c r="Q49" s="16"/>
      <c r="R49" s="16"/>
      <c r="S49" s="16"/>
      <c r="T49" s="16"/>
      <c r="U49" s="16"/>
      <c r="V49" s="16"/>
      <c r="W49" s="16"/>
      <c r="X49" s="16"/>
      <c r="Y49" s="16"/>
      <c r="Z49" s="16"/>
      <c r="AA49" s="16"/>
      <c r="AB49" s="16"/>
    </row>
    <row r="50" spans="1:30" ht="15.75" customHeight="1" thickBot="1">
      <c r="A50" s="231"/>
      <c r="B50" s="326"/>
      <c r="C50" s="245"/>
      <c r="D50" s="245"/>
      <c r="E50" s="261"/>
      <c r="F50" s="261"/>
      <c r="G50" s="263"/>
      <c r="H50" s="231"/>
      <c r="I50" s="719"/>
      <c r="J50" s="719"/>
      <c r="K50" s="720"/>
      <c r="L50" s="16"/>
      <c r="M50" s="16"/>
      <c r="N50" s="16"/>
      <c r="O50" s="16"/>
      <c r="P50" s="16"/>
      <c r="Q50" s="16"/>
      <c r="R50" s="16"/>
      <c r="S50" s="16"/>
      <c r="T50" s="16"/>
      <c r="U50" s="16"/>
      <c r="V50" s="16"/>
      <c r="W50" s="16"/>
      <c r="X50" s="16"/>
      <c r="Y50" s="16"/>
      <c r="Z50" s="16"/>
      <c r="AA50" s="16"/>
      <c r="AB50" s="16"/>
    </row>
    <row r="51" spans="1:30" ht="15.75" customHeight="1" thickTop="1">
      <c r="A51" s="15"/>
      <c r="B51" s="16"/>
      <c r="C51" s="16"/>
      <c r="D51" s="16"/>
      <c r="E51" s="16"/>
      <c r="F51" s="16"/>
      <c r="G51" s="16"/>
      <c r="H51" s="16"/>
      <c r="I51" s="16"/>
      <c r="J51" s="16"/>
      <c r="K51" s="16"/>
      <c r="L51" s="16"/>
      <c r="M51" s="16"/>
      <c r="N51" s="16"/>
      <c r="O51" s="16"/>
      <c r="P51" s="16"/>
      <c r="Q51" s="16"/>
      <c r="R51" s="16"/>
      <c r="S51" s="16"/>
      <c r="T51" s="16"/>
      <c r="U51" s="16"/>
      <c r="V51" s="16"/>
      <c r="W51" s="16"/>
      <c r="X51" s="16"/>
      <c r="Y51" s="16"/>
      <c r="Z51" s="16"/>
      <c r="AA51" s="16"/>
      <c r="AB51" s="16"/>
      <c r="AC51" s="16"/>
      <c r="AD51" s="16"/>
    </row>
    <row r="52" spans="1:30" ht="15.75" customHeight="1">
      <c r="A52" s="15"/>
      <c r="B52" s="16"/>
      <c r="C52" s="16"/>
      <c r="D52" s="16"/>
      <c r="E52" s="16"/>
      <c r="F52" s="16"/>
      <c r="G52" s="16"/>
      <c r="H52" s="16"/>
      <c r="I52" s="16"/>
      <c r="J52" s="16"/>
      <c r="K52" s="16"/>
      <c r="L52" s="16"/>
      <c r="M52" s="16"/>
      <c r="N52" s="16"/>
      <c r="O52" s="16"/>
      <c r="P52" s="16"/>
      <c r="Q52" s="16"/>
      <c r="W52" s="16"/>
      <c r="X52" s="16"/>
      <c r="Y52" s="16"/>
      <c r="Z52" s="16"/>
      <c r="AA52" s="16"/>
      <c r="AB52" s="16"/>
      <c r="AC52" s="16"/>
      <c r="AD52" s="16"/>
    </row>
    <row r="53" spans="1:30" ht="15.75" customHeight="1" thickBot="1">
      <c r="A53" s="186" t="s">
        <v>475</v>
      </c>
      <c r="B53" s="231"/>
      <c r="C53" s="231"/>
      <c r="D53" s="231"/>
      <c r="E53" s="231"/>
      <c r="F53" s="231"/>
      <c r="G53" s="231"/>
      <c r="H53" s="231"/>
      <c r="I53" s="231"/>
      <c r="J53" s="231"/>
      <c r="K53" s="16"/>
      <c r="L53" s="16"/>
      <c r="M53" s="16"/>
      <c r="N53" s="16"/>
      <c r="O53" s="16"/>
      <c r="P53" s="16"/>
      <c r="Q53" s="16"/>
      <c r="W53" s="16"/>
      <c r="X53" s="16"/>
      <c r="Y53" s="16"/>
      <c r="Z53" s="16"/>
      <c r="AA53" s="16"/>
      <c r="AB53" s="16"/>
      <c r="AC53" s="16"/>
      <c r="AD53" s="16"/>
    </row>
    <row r="54" spans="1:30" ht="15.75" customHeight="1" thickTop="1">
      <c r="A54" s="230" t="s">
        <v>476</v>
      </c>
      <c r="B54" s="230" t="s">
        <v>477</v>
      </c>
      <c r="C54" s="230" t="s">
        <v>478</v>
      </c>
      <c r="D54" s="230" t="s">
        <v>479</v>
      </c>
      <c r="E54" s="230" t="s">
        <v>480</v>
      </c>
      <c r="F54" s="230" t="s">
        <v>481</v>
      </c>
      <c r="G54" s="230" t="s">
        <v>482</v>
      </c>
      <c r="H54" s="230" t="s">
        <v>453</v>
      </c>
      <c r="I54" s="230" t="s">
        <v>483</v>
      </c>
      <c r="J54" s="230" t="s">
        <v>484</v>
      </c>
      <c r="K54" s="721" t="s">
        <v>485</v>
      </c>
      <c r="L54" s="716"/>
      <c r="M54" s="722"/>
      <c r="N54" s="15"/>
      <c r="O54" s="16"/>
      <c r="P54" s="16"/>
      <c r="Q54" s="16"/>
      <c r="W54" s="16"/>
      <c r="X54" s="16"/>
      <c r="Y54" s="16"/>
      <c r="Z54" s="16"/>
      <c r="AA54" s="16"/>
      <c r="AB54" s="16"/>
    </row>
    <row r="55" spans="1:30" ht="15" customHeight="1">
      <c r="A55" s="354" t="s">
        <v>582</v>
      </c>
      <c r="B55" s="319" t="s">
        <v>285</v>
      </c>
      <c r="C55" s="364">
        <v>42</v>
      </c>
      <c r="D55" s="341">
        <v>2</v>
      </c>
      <c r="E55" s="279">
        <v>3</v>
      </c>
      <c r="F55" s="231">
        <f>Table_4168109[[#This Row],[Total hours/week]]*Table_4168109[[#This Row],['# Weeks]]</f>
        <v>126</v>
      </c>
      <c r="G55" s="354" t="s">
        <v>584</v>
      </c>
      <c r="H55" s="354" t="s">
        <v>57</v>
      </c>
      <c r="I55" s="360" t="s">
        <v>328</v>
      </c>
      <c r="J55" s="196"/>
      <c r="K55" s="575"/>
      <c r="L55" s="696"/>
      <c r="M55" s="723"/>
      <c r="N55" s="16"/>
      <c r="O55" s="16"/>
      <c r="P55" s="16"/>
      <c r="Q55" s="16"/>
      <c r="W55" s="16"/>
      <c r="X55" s="16"/>
      <c r="Y55" s="16"/>
      <c r="Z55" s="16"/>
      <c r="AA55" s="16"/>
      <c r="AB55" s="16"/>
    </row>
    <row r="56" spans="1:30" ht="15.75" customHeight="1">
      <c r="A56" s="199" t="s">
        <v>583</v>
      </c>
      <c r="B56" s="319" t="s">
        <v>285</v>
      </c>
      <c r="C56" s="346">
        <v>42</v>
      </c>
      <c r="D56" s="342">
        <v>1</v>
      </c>
      <c r="E56" s="357">
        <v>1.5</v>
      </c>
      <c r="F56" s="231">
        <f>Table_4168109[[#This Row],[Total hours/week]]*Table_4168109[[#This Row],['# Weeks]]</f>
        <v>63</v>
      </c>
      <c r="G56" s="347" t="s">
        <v>584</v>
      </c>
      <c r="H56" s="347" t="s">
        <v>57</v>
      </c>
      <c r="I56" s="362" t="s">
        <v>328</v>
      </c>
      <c r="J56" s="199"/>
      <c r="K56" s="702"/>
      <c r="L56" s="696"/>
      <c r="M56" s="723"/>
      <c r="N56" s="16"/>
      <c r="O56" s="16"/>
      <c r="P56" s="16"/>
      <c r="Q56" s="16"/>
      <c r="W56" s="16"/>
      <c r="X56" s="16"/>
      <c r="Y56" s="16"/>
      <c r="Z56" s="16"/>
      <c r="AA56" s="16"/>
      <c r="AB56" s="16"/>
    </row>
    <row r="57" spans="1:30" ht="14.25" customHeight="1">
      <c r="A57" s="354" t="s">
        <v>585</v>
      </c>
      <c r="B57" s="319" t="s">
        <v>285</v>
      </c>
      <c r="C57" s="364">
        <v>42</v>
      </c>
      <c r="D57" s="364">
        <v>1</v>
      </c>
      <c r="E57" s="279">
        <v>1.5</v>
      </c>
      <c r="F57" s="231">
        <f>Table_4168109[[#This Row],[Total hours/week]]*Table_4168109[[#This Row],['# Weeks]]</f>
        <v>63</v>
      </c>
      <c r="G57" s="354" t="s">
        <v>584</v>
      </c>
      <c r="H57" s="354" t="s">
        <v>57</v>
      </c>
      <c r="I57" s="360" t="s">
        <v>328</v>
      </c>
      <c r="J57" s="196"/>
      <c r="K57" s="702"/>
      <c r="L57" s="696"/>
      <c r="M57" s="723"/>
      <c r="N57" s="16"/>
      <c r="O57" s="16"/>
      <c r="P57" s="16"/>
      <c r="Q57" s="16"/>
      <c r="W57" s="16"/>
      <c r="X57" s="16"/>
      <c r="Y57" s="16"/>
      <c r="Z57" s="16"/>
      <c r="AA57" s="16"/>
      <c r="AB57" s="16"/>
    </row>
    <row r="58" spans="1:30" ht="15.75" customHeight="1">
      <c r="A58" s="347"/>
      <c r="B58" s="319"/>
      <c r="C58" s="346"/>
      <c r="D58" s="346"/>
      <c r="E58" s="357"/>
      <c r="F58" s="231"/>
      <c r="G58" s="347"/>
      <c r="H58" s="347"/>
      <c r="I58" s="362"/>
      <c r="J58" s="199"/>
      <c r="K58" s="702"/>
      <c r="L58" s="696"/>
      <c r="M58" s="723"/>
      <c r="N58" s="16"/>
      <c r="O58" s="16"/>
      <c r="P58" s="16"/>
      <c r="Q58" s="16"/>
      <c r="W58" s="16"/>
      <c r="X58" s="16"/>
      <c r="Y58" s="16"/>
      <c r="Z58" s="16"/>
      <c r="AA58" s="16"/>
      <c r="AB58" s="16"/>
    </row>
    <row r="59" spans="1:30" ht="15.75" customHeight="1">
      <c r="A59" s="319" t="s">
        <v>586</v>
      </c>
      <c r="B59" s="319" t="s">
        <v>285</v>
      </c>
      <c r="C59" s="231">
        <v>42</v>
      </c>
      <c r="D59" s="231">
        <v>1</v>
      </c>
      <c r="E59" s="231">
        <v>1.5</v>
      </c>
      <c r="F59" s="231">
        <f>Table_4168109[[#This Row],[Total hours/week]]*Table_4168109[[#This Row],['# Weeks]]</f>
        <v>63</v>
      </c>
      <c r="G59" s="231"/>
      <c r="H59" s="319" t="s">
        <v>55</v>
      </c>
      <c r="I59" s="331" t="s">
        <v>328</v>
      </c>
      <c r="J59" s="231" t="s">
        <v>587</v>
      </c>
      <c r="K59" s="702"/>
      <c r="L59" s="696"/>
      <c r="M59" s="723"/>
      <c r="N59" s="16"/>
      <c r="O59" s="16"/>
      <c r="P59" s="16"/>
      <c r="Q59" s="16"/>
      <c r="W59" s="16"/>
      <c r="X59" s="16"/>
      <c r="Y59" s="16"/>
      <c r="Z59" s="16"/>
      <c r="AA59" s="16"/>
      <c r="AB59" s="16"/>
    </row>
    <row r="60" spans="1:30" ht="15.75" customHeight="1">
      <c r="A60" s="319"/>
      <c r="B60" s="319"/>
      <c r="C60" s="231"/>
      <c r="D60" s="231"/>
      <c r="E60" s="231"/>
      <c r="F60" s="231"/>
      <c r="G60" s="319"/>
      <c r="H60" s="319"/>
      <c r="I60" s="331"/>
      <c r="J60" s="231"/>
      <c r="K60" s="702"/>
      <c r="L60" s="696"/>
      <c r="M60" s="723"/>
      <c r="N60" s="16"/>
      <c r="O60" s="16"/>
      <c r="P60" s="16"/>
      <c r="Q60" s="16"/>
      <c r="W60" s="16"/>
      <c r="X60" s="16"/>
      <c r="Y60" s="16"/>
      <c r="Z60" s="16"/>
      <c r="AA60" s="16"/>
      <c r="AB60" s="16"/>
    </row>
    <row r="61" spans="1:30" ht="15.75" customHeight="1">
      <c r="A61" s="319"/>
      <c r="B61" s="319"/>
      <c r="C61" s="231"/>
      <c r="D61" s="231"/>
      <c r="E61" s="231"/>
      <c r="F61" s="231"/>
      <c r="G61" s="319"/>
      <c r="H61" s="319"/>
      <c r="I61" s="331"/>
      <c r="J61" s="231"/>
      <c r="K61" s="702"/>
      <c r="L61" s="696"/>
      <c r="M61" s="723"/>
      <c r="N61" s="16"/>
      <c r="O61" s="16"/>
      <c r="P61" s="16"/>
      <c r="Q61" s="16"/>
      <c r="W61" s="16"/>
      <c r="X61" s="16"/>
      <c r="Y61" s="16"/>
      <c r="Z61" s="16"/>
      <c r="AA61" s="16"/>
      <c r="AB61" s="16"/>
    </row>
    <row r="62" spans="1:30" ht="15.75" customHeight="1">
      <c r="A62" s="319"/>
      <c r="B62" s="319"/>
      <c r="C62" s="261"/>
      <c r="D62" s="261"/>
      <c r="E62" s="261"/>
      <c r="F62" s="262"/>
      <c r="G62" s="319"/>
      <c r="H62" s="319"/>
      <c r="I62" s="331"/>
      <c r="J62" s="231"/>
      <c r="K62" s="702"/>
      <c r="L62" s="696"/>
      <c r="M62" s="723"/>
      <c r="N62" s="16"/>
      <c r="O62" s="16"/>
      <c r="P62" s="16"/>
      <c r="Q62" s="16"/>
      <c r="W62" s="16"/>
      <c r="X62" s="16"/>
      <c r="Y62" s="16"/>
      <c r="Z62" s="16"/>
      <c r="AA62" s="16"/>
      <c r="AB62" s="16"/>
    </row>
    <row r="63" spans="1:30" ht="15.75" customHeight="1">
      <c r="A63" s="319"/>
      <c r="B63" s="319"/>
      <c r="C63" s="261"/>
      <c r="D63" s="261"/>
      <c r="E63" s="261"/>
      <c r="F63" s="262"/>
      <c r="G63" s="319"/>
      <c r="H63" s="319"/>
      <c r="I63" s="331"/>
      <c r="J63" s="231"/>
      <c r="K63" s="702"/>
      <c r="L63" s="696"/>
      <c r="M63" s="723"/>
      <c r="N63" s="16"/>
      <c r="O63" s="16"/>
      <c r="P63" s="16"/>
      <c r="Q63" s="16"/>
      <c r="W63" s="16"/>
      <c r="X63" s="16"/>
      <c r="Y63" s="16"/>
      <c r="Z63" s="16"/>
      <c r="AA63" s="16"/>
      <c r="AB63" s="16"/>
    </row>
    <row r="64" spans="1:30" ht="15.75" customHeight="1">
      <c r="A64" s="231"/>
      <c r="B64" s="319"/>
      <c r="C64" s="232"/>
      <c r="D64" s="232"/>
      <c r="E64" s="261"/>
      <c r="F64" s="262"/>
      <c r="G64" s="231"/>
      <c r="H64" s="319"/>
      <c r="I64" s="331"/>
      <c r="J64" s="231"/>
      <c r="K64" s="702"/>
      <c r="L64" s="696"/>
      <c r="M64" s="723"/>
      <c r="N64" s="16"/>
      <c r="O64" s="16"/>
      <c r="P64" s="16"/>
      <c r="Q64" s="16"/>
      <c r="W64" s="16"/>
      <c r="X64" s="16"/>
      <c r="Y64" s="16"/>
      <c r="Z64" s="16"/>
      <c r="AA64" s="16"/>
      <c r="AB64" s="16"/>
    </row>
    <row r="65" spans="1:30" ht="15.75" customHeight="1">
      <c r="A65" s="231"/>
      <c r="B65" s="319"/>
      <c r="C65" s="232"/>
      <c r="D65" s="232"/>
      <c r="E65" s="261"/>
      <c r="F65" s="262"/>
      <c r="G65" s="231"/>
      <c r="H65" s="319"/>
      <c r="I65" s="331"/>
      <c r="J65" s="231"/>
      <c r="K65" s="702"/>
      <c r="L65" s="696"/>
      <c r="M65" s="723"/>
      <c r="N65" s="16"/>
      <c r="O65" s="16"/>
      <c r="P65" s="16"/>
      <c r="Q65" s="16"/>
      <c r="W65" s="16"/>
      <c r="X65" s="16"/>
      <c r="Y65" s="16"/>
      <c r="Z65" s="16"/>
      <c r="AA65" s="16"/>
      <c r="AB65" s="16"/>
    </row>
    <row r="66" spans="1:30" ht="15.75" customHeight="1">
      <c r="A66" s="231"/>
      <c r="B66" s="319"/>
      <c r="C66" s="232"/>
      <c r="D66" s="232"/>
      <c r="E66" s="261"/>
      <c r="F66" s="262"/>
      <c r="G66" s="231"/>
      <c r="H66" s="319"/>
      <c r="I66" s="331"/>
      <c r="J66" s="231"/>
      <c r="K66" s="702"/>
      <c r="L66" s="696"/>
      <c r="M66" s="723"/>
      <c r="N66" s="16"/>
      <c r="O66" s="16"/>
      <c r="P66" s="16"/>
      <c r="Q66" s="16"/>
      <c r="W66" s="16"/>
      <c r="X66" s="16"/>
      <c r="Y66" s="16"/>
      <c r="Z66" s="16"/>
      <c r="AA66" s="16"/>
      <c r="AB66" s="16"/>
    </row>
    <row r="67" spans="1:30" ht="15.75" customHeight="1" thickBot="1">
      <c r="A67" s="231"/>
      <c r="B67" s="319"/>
      <c r="C67" s="245"/>
      <c r="D67" s="232"/>
      <c r="E67" s="261"/>
      <c r="F67" s="262"/>
      <c r="G67" s="263"/>
      <c r="H67" s="263"/>
      <c r="I67" s="264"/>
      <c r="J67" s="231"/>
      <c r="K67" s="724"/>
      <c r="L67" s="724"/>
      <c r="M67" s="725"/>
      <c r="N67" s="16"/>
      <c r="O67" s="16"/>
      <c r="P67" s="16"/>
      <c r="Q67" s="16"/>
      <c r="W67" s="16"/>
      <c r="X67" s="16"/>
      <c r="Y67" s="16"/>
      <c r="Z67" s="16"/>
      <c r="AA67" s="16"/>
      <c r="AB67" s="16"/>
    </row>
    <row r="68" spans="1:30" ht="15.75" customHeight="1" thickTop="1">
      <c r="A68" s="16"/>
      <c r="B68" s="16"/>
      <c r="C68" s="16"/>
      <c r="D68" s="16"/>
      <c r="E68" s="16"/>
      <c r="F68" s="16"/>
      <c r="G68" s="16"/>
      <c r="H68" s="16"/>
      <c r="I68" s="16"/>
      <c r="J68" s="16"/>
      <c r="K68" s="16"/>
      <c r="L68" s="16"/>
      <c r="M68" s="16"/>
      <c r="N68" s="16"/>
      <c r="O68" s="16"/>
      <c r="P68" s="16"/>
      <c r="Q68" s="16"/>
      <c r="W68" s="16"/>
      <c r="X68" s="16"/>
      <c r="Y68" s="16"/>
      <c r="Z68" s="16"/>
      <c r="AA68" s="16"/>
      <c r="AB68" s="16"/>
      <c r="AC68" s="16"/>
      <c r="AD68" s="16"/>
    </row>
    <row r="69" spans="1:30" ht="15.75" customHeight="1" thickBot="1">
      <c r="A69" s="186" t="s">
        <v>499</v>
      </c>
      <c r="B69" s="231"/>
      <c r="C69" s="231"/>
      <c r="D69" s="231"/>
      <c r="E69" s="231"/>
      <c r="F69" s="231"/>
      <c r="G69" s="231"/>
      <c r="H69" s="231"/>
      <c r="I69" s="231"/>
      <c r="J69" s="231"/>
      <c r="K69" s="123"/>
      <c r="L69" s="123"/>
      <c r="M69" s="16"/>
      <c r="N69" s="16"/>
      <c r="O69" s="16"/>
      <c r="P69" s="16"/>
      <c r="Q69" s="16"/>
      <c r="W69" s="16"/>
      <c r="X69" s="16"/>
      <c r="Y69" s="16"/>
      <c r="Z69" s="16"/>
      <c r="AA69" s="16"/>
      <c r="AB69" s="16"/>
      <c r="AC69" s="16"/>
      <c r="AD69" s="16"/>
    </row>
    <row r="70" spans="1:30" ht="15.75" customHeight="1" thickTop="1" thickBot="1">
      <c r="A70" s="230" t="s">
        <v>476</v>
      </c>
      <c r="B70" s="230" t="s">
        <v>500</v>
      </c>
      <c r="C70" s="230" t="s">
        <v>501</v>
      </c>
      <c r="D70" s="230" t="s">
        <v>502</v>
      </c>
      <c r="E70" s="230" t="s">
        <v>503</v>
      </c>
      <c r="F70" s="230" t="s">
        <v>504</v>
      </c>
      <c r="G70" s="230" t="s">
        <v>505</v>
      </c>
      <c r="H70" s="230" t="s">
        <v>506</v>
      </c>
      <c r="I70" s="230" t="s">
        <v>507</v>
      </c>
      <c r="J70" s="230" t="s">
        <v>508</v>
      </c>
      <c r="K70" s="561" t="s">
        <v>441</v>
      </c>
      <c r="L70" s="561"/>
      <c r="M70" s="561"/>
      <c r="N70" s="561"/>
      <c r="O70" s="570"/>
      <c r="P70" s="726" t="s">
        <v>434</v>
      </c>
      <c r="Q70" s="727"/>
      <c r="R70" s="16"/>
      <c r="S70" s="16"/>
      <c r="V70" s="16"/>
      <c r="W70" s="16"/>
      <c r="X70" s="16"/>
      <c r="Y70" s="16"/>
      <c r="Z70" s="16"/>
      <c r="AA70" s="16"/>
    </row>
    <row r="71" spans="1:30" ht="15.75" customHeight="1" thickTop="1">
      <c r="A71" s="378" t="s">
        <v>582</v>
      </c>
      <c r="B71" s="231" t="s">
        <v>249</v>
      </c>
      <c r="C71" s="232" t="s">
        <v>515</v>
      </c>
      <c r="D71" s="354">
        <v>1.5</v>
      </c>
      <c r="E71" s="364">
        <v>42</v>
      </c>
      <c r="F71" s="326">
        <f>Buitenwesten!$D71*Buitenwesten!$E71</f>
        <v>63</v>
      </c>
      <c r="G71" s="364">
        <v>1</v>
      </c>
      <c r="H71" s="332">
        <f>IF($B71= "","-",IF($B71= "External","Specify location tariff", INDEX(Constants!$3:$3,MATCH($B71,Constants!$2:$2,0))))</f>
        <v>35</v>
      </c>
      <c r="I71" s="333">
        <f t="shared" ref="I71:I87" si="2">IF($H71="-","-",IF($H71="Specify location tariff","-",$H71*$F71))</f>
        <v>2205</v>
      </c>
      <c r="J71" s="247"/>
      <c r="K71" s="562"/>
      <c r="L71" s="562"/>
      <c r="M71" s="562"/>
      <c r="N71" s="562"/>
      <c r="O71" s="562"/>
      <c r="P71" s="564" t="s">
        <v>511</v>
      </c>
      <c r="Q71" s="565"/>
      <c r="R71" s="16"/>
      <c r="S71" s="16"/>
      <c r="V71" s="16"/>
      <c r="W71" s="16"/>
      <c r="X71" s="16"/>
      <c r="Y71" s="16"/>
      <c r="Z71" s="16"/>
      <c r="AA71" s="16"/>
    </row>
    <row r="72" spans="1:30" ht="15.75" customHeight="1">
      <c r="A72" s="199" t="s">
        <v>583</v>
      </c>
      <c r="B72" s="231" t="s">
        <v>249</v>
      </c>
      <c r="C72" s="379" t="s">
        <v>516</v>
      </c>
      <c r="D72" s="347">
        <v>1.5</v>
      </c>
      <c r="E72" s="346">
        <v>42</v>
      </c>
      <c r="F72" s="326">
        <f>Buitenwesten!$D72*Buitenwesten!$E72</f>
        <v>63</v>
      </c>
      <c r="G72" s="346">
        <v>2</v>
      </c>
      <c r="H72" s="332">
        <f>IF($B72= "","-",IF($B72= "External","Specify location tariff", INDEX(Constants!$3:$3,MATCH($B72,Constants!$2:$2,0))))</f>
        <v>35</v>
      </c>
      <c r="I72" s="333">
        <f t="shared" si="2"/>
        <v>2205</v>
      </c>
      <c r="J72" s="247"/>
      <c r="K72" s="562"/>
      <c r="L72" s="562"/>
      <c r="M72" s="562"/>
      <c r="N72" s="562"/>
      <c r="O72" s="562"/>
      <c r="P72" s="566"/>
      <c r="Q72" s="567"/>
      <c r="R72" s="16"/>
      <c r="S72" s="16"/>
      <c r="V72" s="16"/>
      <c r="W72" s="16"/>
      <c r="X72" s="16"/>
      <c r="Y72" s="16"/>
      <c r="Z72" s="16"/>
      <c r="AA72" s="16"/>
    </row>
    <row r="73" spans="1:30" ht="15.75" customHeight="1">
      <c r="A73" s="380" t="s">
        <v>588</v>
      </c>
      <c r="B73" s="231" t="s">
        <v>249</v>
      </c>
      <c r="C73" s="198" t="s">
        <v>515</v>
      </c>
      <c r="D73" s="354">
        <v>1.5</v>
      </c>
      <c r="E73" s="364">
        <v>42</v>
      </c>
      <c r="F73" s="326">
        <f>Buitenwesten!$D73*Buitenwesten!$E73</f>
        <v>63</v>
      </c>
      <c r="G73" s="364">
        <v>1</v>
      </c>
      <c r="H73" s="332">
        <f>IF($B73= "","-",IF($B73= "External","Specify location tariff", INDEX(Constants!$3:$3,MATCH($B73,Constants!$2:$2,0))))</f>
        <v>35</v>
      </c>
      <c r="I73" s="333">
        <f t="shared" si="2"/>
        <v>2205</v>
      </c>
      <c r="J73" s="247"/>
      <c r="K73" s="562"/>
      <c r="L73" s="562"/>
      <c r="M73" s="562"/>
      <c r="N73" s="562"/>
      <c r="O73" s="562"/>
      <c r="P73" s="566"/>
      <c r="Q73" s="567"/>
      <c r="R73" s="16"/>
      <c r="S73" s="16"/>
      <c r="V73" s="16"/>
      <c r="W73" s="16"/>
      <c r="X73" s="16"/>
      <c r="Y73" s="16"/>
      <c r="Z73" s="16"/>
      <c r="AA73" s="16"/>
    </row>
    <row r="74" spans="1:30" ht="15.75" customHeight="1">
      <c r="A74" s="347" t="s">
        <v>589</v>
      </c>
      <c r="B74" s="231" t="s">
        <v>249</v>
      </c>
      <c r="C74" s="379" t="s">
        <v>516</v>
      </c>
      <c r="D74" s="347">
        <v>1.5</v>
      </c>
      <c r="E74" s="346">
        <v>42</v>
      </c>
      <c r="F74" s="326">
        <f>Buitenwesten!$D74*Buitenwesten!$E74</f>
        <v>63</v>
      </c>
      <c r="G74" s="346">
        <v>2</v>
      </c>
      <c r="H74" s="332">
        <f>IF($B74= "","-",IF($B74= "External","Specify location tariff", INDEX(Constants!$3:$3,MATCH($B74,Constants!$2:$2,0))))</f>
        <v>35</v>
      </c>
      <c r="I74" s="333">
        <f t="shared" si="2"/>
        <v>2205</v>
      </c>
      <c r="J74" s="247"/>
      <c r="K74" s="562"/>
      <c r="L74" s="562"/>
      <c r="M74" s="562"/>
      <c r="N74" s="562"/>
      <c r="O74" s="562"/>
      <c r="P74" s="566"/>
      <c r="Q74" s="567"/>
      <c r="R74" s="16"/>
      <c r="S74" s="16"/>
      <c r="V74" s="16"/>
      <c r="W74" s="16"/>
      <c r="X74" s="16"/>
      <c r="Y74" s="16"/>
      <c r="Z74" s="16"/>
      <c r="AA74" s="16"/>
    </row>
    <row r="75" spans="1:30" ht="15.75" customHeight="1">
      <c r="A75" s="231" t="s">
        <v>586</v>
      </c>
      <c r="B75" s="231" t="s">
        <v>249</v>
      </c>
      <c r="C75" s="232" t="s">
        <v>590</v>
      </c>
      <c r="D75" s="262">
        <v>1</v>
      </c>
      <c r="E75" s="381">
        <v>42</v>
      </c>
      <c r="F75" s="326">
        <f>Buitenwesten!$D75*Buitenwesten!$E75</f>
        <v>42</v>
      </c>
      <c r="G75" s="381">
        <v>3</v>
      </c>
      <c r="H75" s="332">
        <f>IF($B75= "","-",IF($B75= "External","Specify location tariff", INDEX(Constants!$3:$3,MATCH($B75,Constants!$2:$2,0))))</f>
        <v>35</v>
      </c>
      <c r="I75" s="333">
        <f t="shared" si="2"/>
        <v>1470</v>
      </c>
      <c r="J75" s="247"/>
      <c r="K75" s="562"/>
      <c r="L75" s="562"/>
      <c r="M75" s="562"/>
      <c r="N75" s="562"/>
      <c r="O75" s="562"/>
      <c r="P75" s="566"/>
      <c r="Q75" s="567"/>
      <c r="R75" s="16"/>
      <c r="S75" s="16"/>
      <c r="V75" s="16"/>
      <c r="W75" s="16"/>
      <c r="X75" s="16"/>
      <c r="Y75" s="16"/>
      <c r="Z75" s="16"/>
      <c r="AA75" s="16"/>
    </row>
    <row r="76" spans="1:30" ht="15.75" customHeight="1">
      <c r="A76" s="231"/>
      <c r="B76" s="231"/>
      <c r="C76" s="232"/>
      <c r="D76" s="261"/>
      <c r="E76" s="245"/>
      <c r="F76" s="326">
        <f>Buitenwesten!$D76*Buitenwesten!$E76</f>
        <v>0</v>
      </c>
      <c r="G76" s="245"/>
      <c r="H76" s="332" t="str">
        <f>IF($B76= "","-",IF($B76= "External","Specify location tariff", INDEX(Constants!$3:$3,MATCH($B76,Constants!$2:$2,0))))</f>
        <v>-</v>
      </c>
      <c r="I76" s="333" t="str">
        <f t="shared" si="2"/>
        <v>-</v>
      </c>
      <c r="J76" s="247"/>
      <c r="K76" s="562"/>
      <c r="L76" s="562"/>
      <c r="M76" s="562"/>
      <c r="N76" s="562"/>
      <c r="O76" s="562"/>
      <c r="P76" s="566"/>
      <c r="Q76" s="567"/>
      <c r="R76" s="16"/>
      <c r="S76" s="16"/>
      <c r="V76" s="16"/>
      <c r="W76" s="16"/>
      <c r="X76" s="16"/>
      <c r="Y76" s="16"/>
      <c r="Z76" s="16"/>
      <c r="AA76" s="16"/>
    </row>
    <row r="77" spans="1:30" ht="15.75" customHeight="1">
      <c r="A77" s="231"/>
      <c r="B77" s="231"/>
      <c r="C77" s="232"/>
      <c r="D77" s="261"/>
      <c r="E77" s="245"/>
      <c r="F77" s="326">
        <f>Buitenwesten!$D77*Buitenwesten!$E77</f>
        <v>0</v>
      </c>
      <c r="G77" s="245"/>
      <c r="H77" s="332" t="str">
        <f>IF($B77= "","-",IF($B77= "External","Specify location tariff", INDEX(Constants!$3:$3,MATCH($B77,Constants!$2:$2,0))))</f>
        <v>-</v>
      </c>
      <c r="I77" s="333" t="str">
        <f t="shared" si="2"/>
        <v>-</v>
      </c>
      <c r="J77" s="247"/>
      <c r="K77" s="562"/>
      <c r="L77" s="562"/>
      <c r="M77" s="562"/>
      <c r="N77" s="562"/>
      <c r="O77" s="562"/>
      <c r="P77" s="566"/>
      <c r="Q77" s="567"/>
      <c r="R77" s="16"/>
      <c r="S77" s="16"/>
      <c r="V77" s="16"/>
      <c r="W77" s="16"/>
      <c r="X77" s="16"/>
      <c r="Y77" s="16"/>
      <c r="Z77" s="16"/>
      <c r="AA77" s="16"/>
    </row>
    <row r="78" spans="1:30" ht="15.75" customHeight="1">
      <c r="A78" s="231"/>
      <c r="B78" s="231"/>
      <c r="C78" s="232"/>
      <c r="D78" s="261"/>
      <c r="E78" s="245"/>
      <c r="F78" s="326">
        <f>Buitenwesten!$D78*Buitenwesten!$E78</f>
        <v>0</v>
      </c>
      <c r="G78" s="245"/>
      <c r="H78" s="332" t="str">
        <f>IF($B78= "","-",IF($B78= "External","Specify location tariff", INDEX(Constants!$3:$3,MATCH($B78,Constants!$2:$2,0))))</f>
        <v>-</v>
      </c>
      <c r="I78" s="333" t="str">
        <f t="shared" si="2"/>
        <v>-</v>
      </c>
      <c r="J78" s="247"/>
      <c r="K78" s="562"/>
      <c r="L78" s="562"/>
      <c r="M78" s="562"/>
      <c r="N78" s="562"/>
      <c r="O78" s="562"/>
      <c r="P78" s="566"/>
      <c r="Q78" s="567"/>
      <c r="R78" s="16"/>
      <c r="S78" s="16"/>
      <c r="V78" s="16"/>
      <c r="W78" s="16"/>
      <c r="X78" s="16"/>
      <c r="Y78" s="16"/>
      <c r="Z78" s="16"/>
      <c r="AA78" s="16"/>
    </row>
    <row r="79" spans="1:30" ht="15.75" customHeight="1">
      <c r="A79" s="231"/>
      <c r="B79" s="231"/>
      <c r="C79" s="232"/>
      <c r="D79" s="261"/>
      <c r="E79" s="245"/>
      <c r="F79" s="326">
        <f>Buitenwesten!$D79*Buitenwesten!$E79</f>
        <v>0</v>
      </c>
      <c r="G79" s="245"/>
      <c r="H79" s="332" t="str">
        <f>IF($B79= "","-",IF($B79= "External","Specify location tariff", INDEX(Constants!$3:$3,MATCH($B79,Constants!$2:$2,0))))</f>
        <v>-</v>
      </c>
      <c r="I79" s="333" t="str">
        <f t="shared" si="2"/>
        <v>-</v>
      </c>
      <c r="J79" s="247"/>
      <c r="K79" s="562"/>
      <c r="L79" s="562"/>
      <c r="M79" s="562"/>
      <c r="N79" s="562"/>
      <c r="O79" s="562"/>
      <c r="P79" s="566"/>
      <c r="Q79" s="567"/>
      <c r="R79" s="16"/>
      <c r="S79" s="16"/>
      <c r="V79" s="16"/>
      <c r="W79" s="16"/>
      <c r="X79" s="16"/>
      <c r="Y79" s="16"/>
      <c r="Z79" s="16"/>
      <c r="AA79" s="16"/>
    </row>
    <row r="80" spans="1:30" ht="15.75" customHeight="1">
      <c r="A80" s="231"/>
      <c r="B80" s="231"/>
      <c r="C80" s="232"/>
      <c r="D80" s="261"/>
      <c r="E80" s="245"/>
      <c r="F80" s="326">
        <f>Buitenwesten!$D80*Buitenwesten!$E80</f>
        <v>0</v>
      </c>
      <c r="G80" s="245"/>
      <c r="H80" s="332" t="str">
        <f>IF($B80= "","-",IF($B80= "External","Specify location tariff", INDEX(Constants!$3:$3,MATCH($B80,Constants!$2:$2,0))))</f>
        <v>-</v>
      </c>
      <c r="I80" s="333" t="str">
        <f t="shared" si="2"/>
        <v>-</v>
      </c>
      <c r="J80" s="247"/>
      <c r="K80" s="562"/>
      <c r="L80" s="562"/>
      <c r="M80" s="562"/>
      <c r="N80" s="562"/>
      <c r="O80" s="562"/>
      <c r="P80" s="566"/>
      <c r="Q80" s="567"/>
      <c r="R80" s="16"/>
      <c r="S80" s="16"/>
      <c r="V80" s="16"/>
      <c r="W80" s="16"/>
      <c r="X80" s="16"/>
      <c r="Y80" s="16"/>
      <c r="Z80" s="16"/>
      <c r="AA80" s="16"/>
    </row>
    <row r="81" spans="1:30" ht="15.75" customHeight="1">
      <c r="A81" s="231"/>
      <c r="B81" s="231"/>
      <c r="C81" s="232"/>
      <c r="D81" s="261"/>
      <c r="E81" s="245"/>
      <c r="F81" s="326">
        <f>Buitenwesten!$D81*Buitenwesten!$E81</f>
        <v>0</v>
      </c>
      <c r="G81" s="245"/>
      <c r="H81" s="332" t="str">
        <f>IF($B81= "","-",IF($B81= "External","Specify location tariff", INDEX(Constants!$3:$3,MATCH($B81,Constants!$2:$2,0))))</f>
        <v>-</v>
      </c>
      <c r="I81" s="333" t="str">
        <f t="shared" si="2"/>
        <v>-</v>
      </c>
      <c r="J81" s="247"/>
      <c r="K81" s="562"/>
      <c r="L81" s="562"/>
      <c r="M81" s="562"/>
      <c r="N81" s="562"/>
      <c r="O81" s="562"/>
      <c r="P81" s="566"/>
      <c r="Q81" s="567"/>
      <c r="R81" s="16"/>
      <c r="S81" s="16"/>
      <c r="V81" s="16"/>
      <c r="W81" s="16"/>
      <c r="X81" s="16"/>
      <c r="Y81" s="16"/>
      <c r="Z81" s="16"/>
      <c r="AA81" s="16"/>
    </row>
    <row r="82" spans="1:30" ht="15.75" customHeight="1">
      <c r="A82" s="231"/>
      <c r="B82" s="231"/>
      <c r="C82" s="232"/>
      <c r="D82" s="261"/>
      <c r="E82" s="245"/>
      <c r="F82" s="326">
        <f>Buitenwesten!$D82*Buitenwesten!$E82</f>
        <v>0</v>
      </c>
      <c r="G82" s="245"/>
      <c r="H82" s="332" t="str">
        <f>IF($B82= "","-",IF($B82= "External","Specify location tariff", INDEX(Constants!$3:$3,MATCH($B82,Constants!$2:$2,0))))</f>
        <v>-</v>
      </c>
      <c r="I82" s="333" t="str">
        <f t="shared" si="2"/>
        <v>-</v>
      </c>
      <c r="J82" s="247"/>
      <c r="K82" s="562"/>
      <c r="L82" s="562"/>
      <c r="M82" s="562"/>
      <c r="N82" s="562"/>
      <c r="O82" s="562"/>
      <c r="P82" s="566"/>
      <c r="Q82" s="567"/>
      <c r="R82" s="16"/>
      <c r="S82" s="16"/>
      <c r="V82" s="16"/>
      <c r="W82" s="16"/>
      <c r="X82" s="16"/>
      <c r="Y82" s="16"/>
      <c r="Z82" s="16"/>
      <c r="AA82" s="16"/>
    </row>
    <row r="83" spans="1:30" ht="15.75" customHeight="1">
      <c r="A83" s="231"/>
      <c r="B83" s="231"/>
      <c r="C83" s="232"/>
      <c r="D83" s="261"/>
      <c r="E83" s="245"/>
      <c r="F83" s="326">
        <f>Buitenwesten!$D83*Buitenwesten!$E83</f>
        <v>0</v>
      </c>
      <c r="G83" s="245"/>
      <c r="H83" s="332" t="str">
        <f>IF($B83= "","-",IF($B83= "External","Specify location tariff", INDEX(Constants!$3:$3,MATCH($B83,Constants!$2:$2,0))))</f>
        <v>-</v>
      </c>
      <c r="I83" s="333" t="str">
        <f t="shared" si="2"/>
        <v>-</v>
      </c>
      <c r="J83" s="247"/>
      <c r="K83" s="562"/>
      <c r="L83" s="562"/>
      <c r="M83" s="562"/>
      <c r="N83" s="562"/>
      <c r="O83" s="562"/>
      <c r="P83" s="566"/>
      <c r="Q83" s="567"/>
      <c r="R83" s="16"/>
      <c r="S83" s="16"/>
      <c r="V83" s="16"/>
      <c r="W83" s="16"/>
      <c r="X83" s="16"/>
      <c r="Y83" s="16"/>
      <c r="Z83" s="16"/>
      <c r="AA83" s="16"/>
    </row>
    <row r="84" spans="1:30" ht="15.75" customHeight="1">
      <c r="A84" s="231"/>
      <c r="B84" s="231"/>
      <c r="C84" s="232"/>
      <c r="D84" s="261"/>
      <c r="E84" s="245"/>
      <c r="F84" s="326">
        <f>Buitenwesten!$D84*Buitenwesten!$E84</f>
        <v>0</v>
      </c>
      <c r="G84" s="245"/>
      <c r="H84" s="332" t="str">
        <f>IF($B84= "","-",IF($B84= "External","Specify location tariff", INDEX(Constants!$3:$3,MATCH($B84,Constants!$2:$2,0))))</f>
        <v>-</v>
      </c>
      <c r="I84" s="333" t="str">
        <f t="shared" si="2"/>
        <v>-</v>
      </c>
      <c r="J84" s="247"/>
      <c r="K84" s="562"/>
      <c r="L84" s="562"/>
      <c r="M84" s="562"/>
      <c r="N84" s="562"/>
      <c r="O84" s="562"/>
      <c r="P84" s="566"/>
      <c r="Q84" s="567"/>
      <c r="R84" s="16"/>
      <c r="S84" s="16"/>
      <c r="V84" s="16"/>
      <c r="W84" s="16"/>
      <c r="X84" s="16"/>
      <c r="Y84" s="16"/>
      <c r="Z84" s="16"/>
      <c r="AA84" s="16"/>
    </row>
    <row r="85" spans="1:30" ht="15.75" customHeight="1">
      <c r="A85" s="231"/>
      <c r="B85" s="231"/>
      <c r="C85" s="232"/>
      <c r="D85" s="261"/>
      <c r="E85" s="245"/>
      <c r="F85" s="326">
        <f>Buitenwesten!$D85*Buitenwesten!$E85</f>
        <v>0</v>
      </c>
      <c r="G85" s="245"/>
      <c r="H85" s="332" t="str">
        <f>IF($B85= "","-",IF($B85= "External","Specify location tariff", INDEX(Constants!$3:$3,MATCH($B85,Constants!$2:$2,0))))</f>
        <v>-</v>
      </c>
      <c r="I85" s="333" t="str">
        <f t="shared" si="2"/>
        <v>-</v>
      </c>
      <c r="J85" s="247"/>
      <c r="K85" s="562"/>
      <c r="L85" s="562"/>
      <c r="M85" s="562"/>
      <c r="N85" s="562"/>
      <c r="O85" s="562"/>
      <c r="P85" s="566"/>
      <c r="Q85" s="567"/>
      <c r="R85" s="16"/>
      <c r="S85" s="16"/>
      <c r="V85" s="16"/>
      <c r="W85" s="16"/>
      <c r="X85" s="16"/>
      <c r="Y85" s="16"/>
      <c r="Z85" s="16"/>
      <c r="AA85" s="16"/>
    </row>
    <row r="86" spans="1:30" ht="15.75" customHeight="1">
      <c r="A86" s="231"/>
      <c r="B86" s="231"/>
      <c r="C86" s="232"/>
      <c r="D86" s="261"/>
      <c r="E86" s="245"/>
      <c r="F86" s="326">
        <f>Buitenwesten!$D86*Buitenwesten!$E86</f>
        <v>0</v>
      </c>
      <c r="G86" s="245"/>
      <c r="H86" s="332" t="str">
        <f>IF($B86= "","-",IF($B86= "External","Specify location tariff", INDEX(Constants!$3:$3,MATCH($B86,Constants!$2:$2,0))))</f>
        <v>-</v>
      </c>
      <c r="I86" s="333" t="str">
        <f t="shared" si="2"/>
        <v>-</v>
      </c>
      <c r="J86" s="247"/>
      <c r="K86" s="562"/>
      <c r="L86" s="562"/>
      <c r="M86" s="562"/>
      <c r="N86" s="562"/>
      <c r="O86" s="562"/>
      <c r="P86" s="566"/>
      <c r="Q86" s="567"/>
      <c r="R86" s="16"/>
      <c r="S86" s="16"/>
      <c r="V86" s="16"/>
      <c r="W86" s="16"/>
      <c r="X86" s="16"/>
      <c r="Y86" s="16"/>
      <c r="Z86" s="16"/>
      <c r="AA86" s="16"/>
    </row>
    <row r="87" spans="1:30" ht="15.75" customHeight="1" thickBot="1">
      <c r="A87" s="231"/>
      <c r="B87" s="231"/>
      <c r="C87" s="232"/>
      <c r="D87" s="261"/>
      <c r="E87" s="245"/>
      <c r="F87" s="326">
        <f>Buitenwesten!$D87*Buitenwesten!$E87</f>
        <v>0</v>
      </c>
      <c r="G87" s="245"/>
      <c r="H87" s="332" t="str">
        <f>IF($B87= "","-",IF($B87= "External","Specify location tariff", INDEX(Constants!$3:$3,MATCH($B87,Constants!$2:$2,0))))</f>
        <v>-</v>
      </c>
      <c r="I87" s="333" t="str">
        <f t="shared" si="2"/>
        <v>-</v>
      </c>
      <c r="J87" s="247"/>
      <c r="K87" s="563"/>
      <c r="L87" s="563"/>
      <c r="M87" s="563"/>
      <c r="N87" s="563"/>
      <c r="O87" s="563"/>
      <c r="P87" s="568"/>
      <c r="Q87" s="569"/>
      <c r="R87" s="16"/>
      <c r="S87" s="16"/>
      <c r="V87" s="16"/>
      <c r="W87" s="16"/>
      <c r="X87" s="16"/>
      <c r="Y87" s="16"/>
      <c r="Z87" s="16"/>
      <c r="AA87" s="16"/>
    </row>
    <row r="88" spans="1:30" ht="15.75" customHeight="1" thickTop="1">
      <c r="A88" s="15"/>
      <c r="B88" s="16"/>
      <c r="C88" s="16"/>
      <c r="D88" s="16"/>
      <c r="E88" s="16"/>
      <c r="F88" s="16"/>
      <c r="G88" s="16"/>
      <c r="H88" s="16"/>
      <c r="I88" s="16"/>
      <c r="J88" s="16"/>
      <c r="K88" s="16"/>
      <c r="L88" s="16"/>
      <c r="M88" s="16"/>
      <c r="N88" s="16"/>
      <c r="O88" s="16"/>
      <c r="P88" s="16"/>
      <c r="Q88" s="16"/>
      <c r="R88" s="16"/>
      <c r="S88" s="16"/>
      <c r="T88" s="16"/>
      <c r="U88" s="16"/>
      <c r="V88" s="16"/>
      <c r="W88" s="16"/>
      <c r="X88" s="16"/>
      <c r="Y88" s="16"/>
      <c r="Z88" s="16"/>
      <c r="AA88" s="16"/>
      <c r="AB88" s="16"/>
      <c r="AC88" s="16"/>
      <c r="AD88" s="16"/>
    </row>
    <row r="89" spans="1:30" ht="15.75" customHeight="1">
      <c r="A89" s="15"/>
      <c r="B89" s="16"/>
      <c r="C89" s="16"/>
      <c r="D89" s="16"/>
      <c r="E89" s="16"/>
      <c r="F89" s="16"/>
      <c r="G89" s="16"/>
      <c r="H89" s="16"/>
      <c r="I89" s="16"/>
      <c r="J89" s="16"/>
      <c r="K89" s="16"/>
      <c r="L89" s="16"/>
      <c r="M89" s="16"/>
      <c r="N89" s="16"/>
      <c r="O89" s="16"/>
      <c r="P89" s="16"/>
      <c r="Q89" s="16"/>
      <c r="R89" s="16"/>
      <c r="S89" s="16"/>
      <c r="T89" s="16"/>
      <c r="U89" s="16"/>
      <c r="V89" s="16"/>
      <c r="W89" s="16"/>
      <c r="X89" s="16"/>
      <c r="Y89" s="16"/>
      <c r="Z89" s="16"/>
      <c r="AA89" s="16"/>
      <c r="AB89" s="16"/>
      <c r="AC89" s="16"/>
      <c r="AD89" s="16"/>
    </row>
    <row r="90" spans="1:30" ht="15.75" customHeight="1" thickBot="1">
      <c r="A90" s="186" t="s">
        <v>519</v>
      </c>
      <c r="B90" s="16"/>
      <c r="C90" s="128"/>
      <c r="D90" s="51"/>
      <c r="E90" s="51"/>
      <c r="F90" s="51"/>
      <c r="G90" s="51"/>
      <c r="H90" s="51"/>
      <c r="I90" s="51"/>
      <c r="J90" s="51"/>
      <c r="K90" s="51"/>
      <c r="L90" s="232"/>
      <c r="M90" s="231"/>
      <c r="N90" s="16"/>
      <c r="O90" s="16"/>
      <c r="P90" s="16"/>
      <c r="Q90" s="16"/>
      <c r="R90" s="16"/>
      <c r="S90" s="16"/>
      <c r="T90" s="16"/>
      <c r="U90" s="16"/>
      <c r="V90" s="16"/>
      <c r="W90" s="16"/>
      <c r="X90" s="16"/>
      <c r="Y90" s="16"/>
      <c r="Z90" s="16"/>
      <c r="AA90" s="16"/>
      <c r="AB90" s="16"/>
      <c r="AC90" s="16"/>
      <c r="AD90" s="16"/>
    </row>
    <row r="91" spans="1:30" ht="15" customHeight="1" thickTop="1" thickBot="1">
      <c r="A91" s="230" t="s">
        <v>438</v>
      </c>
      <c r="B91" s="230" t="s">
        <v>439</v>
      </c>
      <c r="C91" s="230" t="s">
        <v>520</v>
      </c>
      <c r="D91" s="230" t="s">
        <v>521</v>
      </c>
      <c r="E91" s="230" t="s">
        <v>522</v>
      </c>
      <c r="F91" s="230" t="s">
        <v>523</v>
      </c>
      <c r="G91" s="230" t="s">
        <v>508</v>
      </c>
      <c r="H91" s="721" t="s">
        <v>441</v>
      </c>
      <c r="I91" s="728"/>
      <c r="J91" s="729" t="s">
        <v>434</v>
      </c>
      <c r="K91" s="730"/>
      <c r="L91" s="16"/>
      <c r="M91" s="16"/>
      <c r="N91" s="16"/>
      <c r="O91" s="16"/>
      <c r="P91" s="117"/>
      <c r="Q91" s="15"/>
      <c r="R91" s="16"/>
      <c r="S91" s="130"/>
      <c r="T91" s="16"/>
      <c r="U91" s="16"/>
      <c r="V91" s="16"/>
      <c r="W91" s="241"/>
      <c r="X91" s="16"/>
      <c r="Y91" s="16"/>
      <c r="Z91" s="16"/>
      <c r="AA91" s="16"/>
      <c r="AB91" s="16"/>
    </row>
    <row r="92" spans="1:30" ht="14.25" customHeight="1" thickTop="1">
      <c r="A92" s="231" t="s">
        <v>591</v>
      </c>
      <c r="B92" s="248" t="s">
        <v>279</v>
      </c>
      <c r="C92" s="246">
        <v>5.99</v>
      </c>
      <c r="D92" s="382">
        <v>3</v>
      </c>
      <c r="E92" s="245">
        <v>5</v>
      </c>
      <c r="F92" s="246">
        <f>IF(Table_6170111[[#This Row],[Item]]="",0,Table_6170111[[#This Row],[Amount]]*Table_6170111[[#This Row],[Purchase / Running costs]]/Table_6170111[[#This Row],[Depreciation period]])</f>
        <v>9.9833333333333343</v>
      </c>
      <c r="G92" s="247"/>
      <c r="H92" s="558"/>
      <c r="I92" s="696"/>
      <c r="J92" s="559" t="s">
        <v>526</v>
      </c>
      <c r="K92" s="730"/>
      <c r="L92" s="16"/>
      <c r="M92" s="16"/>
      <c r="N92" s="16"/>
      <c r="O92" s="16"/>
      <c r="P92" s="16"/>
      <c r="Q92" s="133"/>
      <c r="R92" s="16"/>
      <c r="S92" s="16"/>
      <c r="T92" s="16"/>
      <c r="U92" s="16"/>
      <c r="V92" s="16"/>
      <c r="W92" s="16"/>
      <c r="X92" s="16"/>
      <c r="Y92" s="16"/>
      <c r="Z92" s="16"/>
      <c r="AA92" s="16"/>
      <c r="AB92" s="16"/>
    </row>
    <row r="93" spans="1:30" ht="15.75" customHeight="1">
      <c r="A93" s="231" t="s">
        <v>592</v>
      </c>
      <c r="B93" s="248" t="s">
        <v>279</v>
      </c>
      <c r="C93" s="246">
        <v>6</v>
      </c>
      <c r="D93" s="382">
        <v>3</v>
      </c>
      <c r="E93" s="245">
        <v>10</v>
      </c>
      <c r="F93" s="246">
        <f>IF(Table_6170111[[#This Row],[Item]]="",0,Table_6170111[[#This Row],[Amount]]*Table_6170111[[#This Row],[Purchase / Running costs]]/Table_6170111[[#This Row],[Depreciation period]])</f>
        <v>20</v>
      </c>
      <c r="G93" s="247"/>
      <c r="H93" s="696"/>
      <c r="I93" s="696"/>
      <c r="J93" s="731"/>
      <c r="K93" s="732"/>
      <c r="L93" s="16"/>
      <c r="M93" s="16"/>
      <c r="N93" s="16"/>
      <c r="O93" s="16"/>
      <c r="P93" s="16"/>
      <c r="Q93" s="16"/>
      <c r="R93" s="16"/>
      <c r="S93" s="16"/>
      <c r="T93" s="16"/>
      <c r="U93" s="16"/>
      <c r="V93" s="16"/>
      <c r="W93" s="16"/>
      <c r="X93" s="16"/>
      <c r="Y93" s="16"/>
      <c r="Z93" s="16"/>
      <c r="AA93" s="16"/>
      <c r="AB93" s="16"/>
    </row>
    <row r="94" spans="1:30" ht="15.75" customHeight="1">
      <c r="A94" s="231" t="s">
        <v>593</v>
      </c>
      <c r="B94" s="248" t="s">
        <v>279</v>
      </c>
      <c r="C94" s="246">
        <v>38.950000000000003</v>
      </c>
      <c r="D94" s="382">
        <v>10</v>
      </c>
      <c r="E94" s="245">
        <v>5</v>
      </c>
      <c r="F94" s="246">
        <f>IF(Table_6170111[[#This Row],[Item]]="",0,Table_6170111[[#This Row],[Amount]]*Table_6170111[[#This Row],[Purchase / Running costs]]/Table_6170111[[#This Row],[Depreciation period]])</f>
        <v>19.475000000000001</v>
      </c>
      <c r="G94" s="247"/>
      <c r="H94" s="696"/>
      <c r="I94" s="696"/>
      <c r="J94" s="731"/>
      <c r="K94" s="732"/>
      <c r="L94" s="16"/>
      <c r="M94" s="16"/>
      <c r="N94" s="16"/>
      <c r="O94" s="16"/>
      <c r="P94" s="16"/>
      <c r="Q94" s="16"/>
      <c r="R94" s="16"/>
      <c r="S94" s="16"/>
      <c r="T94" s="16"/>
      <c r="U94" s="16"/>
      <c r="V94" s="16"/>
      <c r="W94" s="16"/>
      <c r="X94" s="16"/>
      <c r="Y94" s="16"/>
      <c r="Z94" s="16"/>
      <c r="AA94" s="16"/>
      <c r="AB94" s="16"/>
    </row>
    <row r="95" spans="1:30" ht="15.75" customHeight="1">
      <c r="A95" s="231" t="s">
        <v>594</v>
      </c>
      <c r="B95" s="248" t="s">
        <v>279</v>
      </c>
      <c r="C95" s="246">
        <v>46.95</v>
      </c>
      <c r="D95" s="382">
        <v>10</v>
      </c>
      <c r="E95" s="245">
        <v>2</v>
      </c>
      <c r="F95" s="246">
        <f>IF(Table_6170111[[#This Row],[Item]]="",0,Table_6170111[[#This Row],[Amount]]*Table_6170111[[#This Row],[Purchase / Running costs]]/Table_6170111[[#This Row],[Depreciation period]])</f>
        <v>9.39</v>
      </c>
      <c r="G95" s="247"/>
      <c r="H95" s="696"/>
      <c r="I95" s="696"/>
      <c r="J95" s="731"/>
      <c r="K95" s="732"/>
      <c r="L95" s="16"/>
      <c r="M95" s="16"/>
      <c r="N95" s="16"/>
      <c r="O95" s="16"/>
      <c r="P95" s="16"/>
      <c r="Q95" s="16"/>
      <c r="R95" s="16"/>
      <c r="S95" s="16"/>
      <c r="T95" s="16"/>
      <c r="U95" s="16"/>
      <c r="V95" s="16"/>
      <c r="W95" s="16"/>
      <c r="X95" s="16"/>
      <c r="Y95" s="16"/>
      <c r="Z95" s="16"/>
      <c r="AA95" s="16"/>
      <c r="AB95" s="16"/>
    </row>
    <row r="96" spans="1:30" ht="15.75" customHeight="1">
      <c r="A96" s="231" t="s">
        <v>595</v>
      </c>
      <c r="B96" s="248" t="s">
        <v>279</v>
      </c>
      <c r="C96" s="246">
        <v>43.74</v>
      </c>
      <c r="D96" s="382">
        <v>10</v>
      </c>
      <c r="E96" s="245">
        <v>4</v>
      </c>
      <c r="F96" s="246">
        <f>IF(Table_6170111[[#This Row],[Item]]="",0,Table_6170111[[#This Row],[Amount]]*Table_6170111[[#This Row],[Purchase / Running costs]]/Table_6170111[[#This Row],[Depreciation period]])</f>
        <v>17.496000000000002</v>
      </c>
      <c r="G96" s="247"/>
      <c r="H96" s="696"/>
      <c r="I96" s="696"/>
      <c r="J96" s="731"/>
      <c r="K96" s="732"/>
      <c r="L96" s="16"/>
      <c r="M96" s="16"/>
      <c r="N96" s="16"/>
      <c r="O96" s="16"/>
      <c r="P96" s="16"/>
      <c r="Q96" s="16"/>
      <c r="R96" s="16"/>
      <c r="S96" s="16"/>
      <c r="T96" s="16"/>
      <c r="U96" s="16"/>
      <c r="V96" s="16"/>
      <c r="W96" s="16"/>
      <c r="X96" s="16"/>
      <c r="Y96" s="16"/>
      <c r="Z96" s="16"/>
      <c r="AA96" s="16"/>
      <c r="AB96" s="16"/>
    </row>
    <row r="97" spans="1:30" ht="15.75" customHeight="1">
      <c r="A97" s="231" t="s">
        <v>596</v>
      </c>
      <c r="B97" s="248" t="s">
        <v>279</v>
      </c>
      <c r="C97" s="246">
        <v>40</v>
      </c>
      <c r="D97" s="382">
        <v>10</v>
      </c>
      <c r="E97" s="245">
        <v>2</v>
      </c>
      <c r="F97" s="246">
        <f>IF(Table_6170111[[#This Row],[Item]]="",0,Table_6170111[[#This Row],[Amount]]*Table_6170111[[#This Row],[Purchase / Running costs]]/Table_6170111[[#This Row],[Depreciation period]])</f>
        <v>8</v>
      </c>
      <c r="G97" s="247"/>
      <c r="H97" s="696"/>
      <c r="I97" s="696"/>
      <c r="J97" s="731"/>
      <c r="K97" s="732"/>
      <c r="L97" s="16"/>
      <c r="M97" s="16"/>
      <c r="N97" s="16"/>
      <c r="O97" s="16"/>
      <c r="P97" s="16"/>
      <c r="Q97" s="16"/>
      <c r="R97" s="16"/>
      <c r="S97" s="16"/>
      <c r="T97" s="16"/>
      <c r="U97" s="16"/>
      <c r="V97" s="16"/>
      <c r="W97" s="16"/>
      <c r="X97" s="16"/>
      <c r="Y97" s="16"/>
      <c r="Z97" s="16"/>
      <c r="AA97" s="16"/>
      <c r="AB97" s="16"/>
    </row>
    <row r="98" spans="1:30" ht="15.75" customHeight="1">
      <c r="A98" s="231"/>
      <c r="B98" s="244"/>
      <c r="C98" s="246">
        <v>0</v>
      </c>
      <c r="D98" s="382"/>
      <c r="E98" s="245"/>
      <c r="F98" s="246">
        <f>IF(Table_6170111[[#This Row],[Item]]="",0,Table_6170111[[#This Row],[Amount]]*Table_6170111[[#This Row],[Purchase / Running costs]]/Table_6170111[[#This Row],[Depreciation period]])</f>
        <v>0</v>
      </c>
      <c r="G98" s="247"/>
      <c r="H98" s="696"/>
      <c r="I98" s="696"/>
      <c r="J98" s="731"/>
      <c r="K98" s="732"/>
      <c r="L98" s="16"/>
      <c r="M98" s="16"/>
      <c r="N98" s="16"/>
      <c r="O98" s="16"/>
      <c r="P98" s="16"/>
      <c r="Q98" s="16"/>
      <c r="R98" s="16"/>
      <c r="S98" s="16"/>
      <c r="T98" s="16"/>
      <c r="U98" s="16"/>
      <c r="V98" s="16"/>
      <c r="W98" s="16"/>
      <c r="X98" s="16"/>
      <c r="Y98" s="16"/>
      <c r="Z98" s="16"/>
      <c r="AA98" s="16"/>
      <c r="AB98" s="16"/>
    </row>
    <row r="99" spans="1:30" ht="15.75" customHeight="1">
      <c r="A99" s="231"/>
      <c r="B99" s="244"/>
      <c r="C99" s="246">
        <v>0</v>
      </c>
      <c r="D99" s="382"/>
      <c r="E99" s="245"/>
      <c r="F99" s="246">
        <f>IF(Table_6170111[[#This Row],[Item]]="",0,Table_6170111[[#This Row],[Amount]]*Table_6170111[[#This Row],[Purchase / Running costs]]/Table_6170111[[#This Row],[Depreciation period]])</f>
        <v>0</v>
      </c>
      <c r="G99" s="247"/>
      <c r="H99" s="696"/>
      <c r="I99" s="696"/>
      <c r="J99" s="731"/>
      <c r="K99" s="732"/>
      <c r="L99" s="16"/>
      <c r="M99" s="16"/>
      <c r="N99" s="16"/>
      <c r="O99" s="16"/>
      <c r="P99" s="16"/>
      <c r="Q99" s="16"/>
      <c r="R99" s="16"/>
      <c r="S99" s="16"/>
      <c r="T99" s="16"/>
      <c r="U99" s="16"/>
      <c r="V99" s="16"/>
      <c r="W99" s="16"/>
      <c r="X99" s="16"/>
      <c r="Y99" s="16"/>
      <c r="Z99" s="16"/>
      <c r="AA99" s="16"/>
      <c r="AB99" s="16"/>
    </row>
    <row r="100" spans="1:30" ht="15.75" customHeight="1">
      <c r="A100" s="231"/>
      <c r="B100" s="244"/>
      <c r="C100" s="246">
        <v>0</v>
      </c>
      <c r="D100" s="382"/>
      <c r="E100" s="245"/>
      <c r="F100" s="246">
        <f>IF(Table_6170111[[#This Row],[Item]]="",0,Table_6170111[[#This Row],[Amount]]*Table_6170111[[#This Row],[Purchase / Running costs]]/Table_6170111[[#This Row],[Depreciation period]])</f>
        <v>0</v>
      </c>
      <c r="G100" s="247"/>
      <c r="H100" s="696"/>
      <c r="I100" s="696"/>
      <c r="J100" s="731"/>
      <c r="K100" s="732"/>
      <c r="L100" s="16"/>
      <c r="M100" s="16"/>
      <c r="N100" s="16"/>
      <c r="O100" s="16"/>
      <c r="P100" s="16"/>
      <c r="Q100" s="16"/>
      <c r="R100" s="16"/>
      <c r="S100" s="16"/>
      <c r="T100" s="16"/>
      <c r="U100" s="16"/>
      <c r="V100" s="16"/>
      <c r="W100" s="16"/>
      <c r="X100" s="16"/>
      <c r="Y100" s="16"/>
      <c r="Z100" s="16"/>
      <c r="AA100" s="16"/>
      <c r="AB100" s="16"/>
    </row>
    <row r="101" spans="1:30" ht="15.75" customHeight="1">
      <c r="A101" s="231"/>
      <c r="B101" s="244"/>
      <c r="C101" s="246">
        <v>0</v>
      </c>
      <c r="D101" s="382"/>
      <c r="E101" s="245"/>
      <c r="F101" s="246">
        <f>IF(Table_6170111[[#This Row],[Item]]="",0,Table_6170111[[#This Row],[Amount]]*Table_6170111[[#This Row],[Purchase / Running costs]]/Table_6170111[[#This Row],[Depreciation period]])</f>
        <v>0</v>
      </c>
      <c r="G101" s="247"/>
      <c r="H101" s="696"/>
      <c r="I101" s="696"/>
      <c r="J101" s="731"/>
      <c r="K101" s="732"/>
      <c r="L101" s="16"/>
      <c r="M101" s="16"/>
      <c r="N101" s="16"/>
      <c r="O101" s="16"/>
      <c r="P101" s="16"/>
      <c r="Q101" s="16"/>
      <c r="R101" s="16"/>
      <c r="S101" s="16"/>
      <c r="T101" s="16"/>
      <c r="U101" s="16"/>
      <c r="V101" s="16"/>
      <c r="W101" s="16"/>
      <c r="X101" s="16"/>
      <c r="Y101" s="16"/>
      <c r="Z101" s="16"/>
      <c r="AA101" s="16"/>
      <c r="AB101" s="16"/>
    </row>
    <row r="102" spans="1:30" ht="15.75" customHeight="1">
      <c r="A102" s="231"/>
      <c r="B102" s="244"/>
      <c r="C102" s="246">
        <v>0</v>
      </c>
      <c r="D102" s="382"/>
      <c r="E102" s="245"/>
      <c r="F102" s="246">
        <f>IF(Table_6170111[[#This Row],[Item]]="",0,Table_6170111[[#This Row],[Amount]]*Table_6170111[[#This Row],[Purchase / Running costs]]/Table_6170111[[#This Row],[Depreciation period]])</f>
        <v>0</v>
      </c>
      <c r="G102" s="247"/>
      <c r="H102" s="696"/>
      <c r="I102" s="696"/>
      <c r="J102" s="731"/>
      <c r="K102" s="732"/>
      <c r="L102" s="16"/>
      <c r="M102" s="16"/>
      <c r="N102" s="16"/>
      <c r="O102" s="16"/>
      <c r="P102" s="16"/>
      <c r="Q102" s="16"/>
      <c r="R102" s="16"/>
      <c r="S102" s="16"/>
      <c r="T102" s="16"/>
      <c r="U102" s="16"/>
      <c r="V102" s="16"/>
      <c r="W102" s="16"/>
      <c r="X102" s="16"/>
      <c r="Y102" s="16"/>
      <c r="Z102" s="16"/>
      <c r="AA102" s="16"/>
      <c r="AB102" s="16"/>
    </row>
    <row r="103" spans="1:30" ht="15.75" customHeight="1">
      <c r="A103" s="231"/>
      <c r="B103" s="244"/>
      <c r="C103" s="246">
        <v>0</v>
      </c>
      <c r="D103" s="382"/>
      <c r="E103" s="245"/>
      <c r="F103" s="246">
        <f>IF(Table_6170111[[#This Row],[Item]]="",0,Table_6170111[[#This Row],[Amount]]*Table_6170111[[#This Row],[Purchase / Running costs]]/Table_6170111[[#This Row],[Depreciation period]])</f>
        <v>0</v>
      </c>
      <c r="G103" s="247"/>
      <c r="H103" s="696"/>
      <c r="I103" s="696"/>
      <c r="J103" s="731"/>
      <c r="K103" s="732"/>
      <c r="L103" s="16"/>
      <c r="M103" s="16"/>
      <c r="N103" s="16"/>
      <c r="O103" s="16"/>
      <c r="P103" s="16"/>
      <c r="Q103" s="16"/>
      <c r="R103" s="16"/>
      <c r="S103" s="16"/>
      <c r="T103" s="16"/>
      <c r="U103" s="16"/>
      <c r="V103" s="16"/>
      <c r="W103" s="16"/>
      <c r="X103" s="16"/>
      <c r="Y103" s="16"/>
      <c r="Z103" s="16"/>
      <c r="AA103" s="16"/>
      <c r="AB103" s="16"/>
    </row>
    <row r="104" spans="1:30" ht="15.75" customHeight="1">
      <c r="A104" s="231"/>
      <c r="B104" s="244"/>
      <c r="C104" s="246">
        <v>0</v>
      </c>
      <c r="D104" s="382"/>
      <c r="E104" s="245"/>
      <c r="F104" s="246">
        <f>IF(Table_6170111[[#This Row],[Item]]="",0,Table_6170111[[#This Row],[Amount]]*Table_6170111[[#This Row],[Purchase / Running costs]]/Table_6170111[[#This Row],[Depreciation period]])</f>
        <v>0</v>
      </c>
      <c r="G104" s="247"/>
      <c r="H104" s="696"/>
      <c r="I104" s="696"/>
      <c r="J104" s="731"/>
      <c r="K104" s="732"/>
      <c r="L104" s="16"/>
      <c r="M104" s="16"/>
      <c r="N104" s="16"/>
      <c r="O104" s="16"/>
      <c r="P104" s="16"/>
      <c r="Q104" s="16"/>
      <c r="R104" s="16"/>
      <c r="S104" s="16"/>
      <c r="T104" s="16"/>
      <c r="U104" s="16"/>
      <c r="V104" s="16"/>
      <c r="W104" s="16"/>
      <c r="X104" s="16"/>
      <c r="Y104" s="16"/>
      <c r="Z104" s="16"/>
      <c r="AA104" s="16"/>
      <c r="AB104" s="16"/>
    </row>
    <row r="105" spans="1:30" ht="15.75" customHeight="1" thickBot="1">
      <c r="A105" s="231"/>
      <c r="B105" s="244"/>
      <c r="C105" s="246">
        <v>0</v>
      </c>
      <c r="D105" s="382"/>
      <c r="E105" s="245"/>
      <c r="F105" s="246">
        <f>IF(Table_6170111[[#This Row],[Item]]="",0,Table_6170111[[#This Row],[Amount]]*Table_6170111[[#This Row],[Purchase / Running costs]]/Table_6170111[[#This Row],[Depreciation period]])</f>
        <v>0</v>
      </c>
      <c r="G105" s="247"/>
      <c r="H105" s="724"/>
      <c r="I105" s="724"/>
      <c r="J105" s="733"/>
      <c r="K105" s="734"/>
      <c r="L105" s="16"/>
      <c r="M105" s="16"/>
      <c r="N105" s="16"/>
      <c r="O105" s="16"/>
      <c r="P105" s="16"/>
      <c r="Q105" s="16"/>
      <c r="R105" s="16"/>
      <c r="S105" s="16"/>
      <c r="T105" s="16"/>
      <c r="U105" s="16"/>
      <c r="V105" s="16"/>
      <c r="W105" s="16"/>
      <c r="X105" s="16"/>
      <c r="Y105" s="16"/>
      <c r="Z105" s="16"/>
      <c r="AA105" s="16"/>
      <c r="AB105" s="16"/>
    </row>
    <row r="106" spans="1:30" ht="15.75" customHeight="1" thickTop="1">
      <c r="A106" s="15"/>
      <c r="B106" s="131"/>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c r="AD106" s="16"/>
    </row>
    <row r="107" spans="1:30" ht="15.75" customHeight="1">
      <c r="A107" s="15"/>
      <c r="B107" s="131"/>
      <c r="C107" s="16"/>
      <c r="D107" s="16"/>
      <c r="E107" s="16"/>
      <c r="F107" s="16"/>
      <c r="G107" s="16"/>
      <c r="I107" s="16"/>
      <c r="J107" s="16"/>
      <c r="K107" s="16"/>
      <c r="L107" s="16"/>
      <c r="M107" s="16"/>
      <c r="N107" s="16"/>
      <c r="O107" s="16"/>
      <c r="P107" s="16"/>
      <c r="Q107" s="16"/>
      <c r="R107" s="16"/>
      <c r="S107" s="16"/>
      <c r="T107" s="16"/>
      <c r="U107" s="16"/>
      <c r="V107" s="16"/>
      <c r="W107" s="16"/>
      <c r="X107" s="16"/>
      <c r="Y107" s="16"/>
      <c r="Z107" s="16"/>
      <c r="AA107" s="16"/>
      <c r="AB107" s="16"/>
      <c r="AC107" s="16"/>
      <c r="AD107" s="16"/>
    </row>
    <row r="108" spans="1:30" ht="15.75" customHeight="1">
      <c r="H108" s="51"/>
      <c r="I108" s="51"/>
      <c r="J108" s="51"/>
      <c r="K108" s="51"/>
      <c r="L108" s="16"/>
      <c r="M108" s="16"/>
      <c r="N108" s="16"/>
      <c r="O108" s="16"/>
      <c r="P108" s="16"/>
      <c r="Q108" s="16"/>
      <c r="R108" s="16"/>
      <c r="S108" s="16"/>
      <c r="T108" s="16"/>
      <c r="U108" s="16"/>
      <c r="V108" s="16"/>
      <c r="W108" s="16"/>
      <c r="X108" s="16"/>
      <c r="Y108" s="16"/>
      <c r="Z108" s="16"/>
      <c r="AA108" s="16"/>
      <c r="AB108" s="16"/>
      <c r="AC108" s="16"/>
      <c r="AD108" s="16"/>
    </row>
    <row r="109" spans="1:30" ht="15.75" customHeight="1">
      <c r="L109" s="16"/>
      <c r="M109" s="16"/>
      <c r="N109" s="16"/>
      <c r="O109" s="16"/>
      <c r="P109" s="16"/>
      <c r="Q109" s="16"/>
      <c r="R109" s="16"/>
      <c r="S109" s="16"/>
      <c r="T109" s="16"/>
      <c r="U109" s="16"/>
      <c r="V109" s="16"/>
      <c r="W109" s="16"/>
      <c r="X109" s="16"/>
      <c r="Y109" s="16"/>
      <c r="Z109" s="16"/>
      <c r="AA109" s="16"/>
      <c r="AB109" s="16"/>
      <c r="AC109" s="16"/>
      <c r="AD109" s="16"/>
    </row>
    <row r="110" spans="1:30" ht="15.75" customHeight="1">
      <c r="L110" s="16"/>
      <c r="M110" s="16"/>
      <c r="N110" s="16"/>
      <c r="O110" s="16"/>
      <c r="P110" s="16"/>
      <c r="Q110" s="16"/>
      <c r="R110" s="16"/>
      <c r="S110" s="16"/>
      <c r="T110" s="16"/>
      <c r="U110" s="16"/>
      <c r="V110" s="16"/>
      <c r="W110" s="16"/>
      <c r="X110" s="16"/>
      <c r="Y110" s="16"/>
      <c r="Z110" s="16"/>
      <c r="AA110" s="16"/>
      <c r="AB110" s="16"/>
      <c r="AC110" s="16"/>
      <c r="AD110" s="16"/>
    </row>
    <row r="111" spans="1:30" ht="15.75" customHeight="1">
      <c r="L111" s="16"/>
      <c r="M111" s="16"/>
      <c r="N111" s="16"/>
      <c r="O111" s="16"/>
      <c r="P111" s="16"/>
      <c r="Q111" s="16"/>
      <c r="R111" s="16"/>
      <c r="S111" s="16"/>
      <c r="T111" s="16"/>
      <c r="U111" s="16"/>
      <c r="V111" s="16"/>
      <c r="W111" s="16"/>
      <c r="X111" s="16"/>
      <c r="Y111" s="16"/>
      <c r="Z111" s="16"/>
      <c r="AA111" s="16"/>
      <c r="AB111" s="16"/>
      <c r="AC111" s="16"/>
      <c r="AD111" s="16"/>
    </row>
    <row r="112" spans="1:30" ht="15.75" customHeight="1">
      <c r="L112" s="16"/>
      <c r="M112" s="16"/>
      <c r="N112" s="16"/>
      <c r="O112" s="16"/>
      <c r="P112" s="16"/>
      <c r="Q112" s="16"/>
      <c r="R112" s="16"/>
      <c r="S112" s="16"/>
      <c r="T112" s="16"/>
      <c r="U112" s="16"/>
      <c r="V112" s="16"/>
      <c r="W112" s="16"/>
      <c r="X112" s="16"/>
      <c r="Y112" s="16"/>
      <c r="Z112" s="16"/>
      <c r="AA112" s="16"/>
      <c r="AB112" s="16"/>
      <c r="AC112" s="16"/>
      <c r="AD112" s="16"/>
    </row>
    <row r="113" spans="1:30" ht="15.75" customHeight="1">
      <c r="L113" s="16"/>
      <c r="M113" s="16"/>
      <c r="N113" s="16"/>
      <c r="O113" s="16"/>
      <c r="P113" s="16"/>
      <c r="Q113" s="16"/>
      <c r="R113" s="16"/>
      <c r="S113" s="16"/>
      <c r="T113" s="16"/>
      <c r="U113" s="16"/>
      <c r="V113" s="16"/>
      <c r="W113" s="16"/>
      <c r="X113" s="16"/>
      <c r="Y113" s="16"/>
      <c r="Z113" s="16"/>
      <c r="AA113" s="16"/>
      <c r="AB113" s="16"/>
      <c r="AC113" s="16"/>
      <c r="AD113" s="16"/>
    </row>
    <row r="114" spans="1:30" ht="15.75" customHeight="1">
      <c r="L114" s="16"/>
      <c r="M114" s="16"/>
      <c r="N114" s="16"/>
      <c r="O114" s="16"/>
      <c r="P114" s="16"/>
      <c r="Q114" s="16"/>
      <c r="R114" s="16"/>
      <c r="S114" s="16"/>
      <c r="T114" s="16"/>
      <c r="U114" s="16"/>
      <c r="V114" s="16"/>
      <c r="W114" s="16"/>
      <c r="X114" s="16"/>
      <c r="Y114" s="16"/>
      <c r="Z114" s="16"/>
      <c r="AA114" s="16"/>
      <c r="AB114" s="16"/>
      <c r="AC114" s="16"/>
      <c r="AD114" s="16"/>
    </row>
    <row r="115" spans="1:30" ht="15.75" customHeight="1">
      <c r="L115" s="16"/>
      <c r="M115" s="16"/>
      <c r="N115" s="16"/>
      <c r="O115" s="16"/>
      <c r="P115" s="735"/>
      <c r="Q115" s="696"/>
      <c r="R115" s="696"/>
      <c r="S115" s="16"/>
      <c r="T115" s="16"/>
      <c r="U115" s="16"/>
      <c r="V115" s="16"/>
      <c r="W115" s="16"/>
      <c r="X115" s="16"/>
      <c r="Y115" s="16"/>
      <c r="Z115" s="16"/>
      <c r="AA115" s="16"/>
      <c r="AB115" s="16"/>
      <c r="AC115" s="16"/>
      <c r="AD115" s="16"/>
    </row>
    <row r="116" spans="1:30" ht="15.75" customHeight="1">
      <c r="L116" s="16"/>
      <c r="M116" s="16"/>
      <c r="N116" s="16"/>
      <c r="O116" s="16"/>
      <c r="P116" s="735"/>
      <c r="Q116" s="696"/>
      <c r="R116" s="696"/>
      <c r="S116" s="16"/>
      <c r="T116" s="16"/>
      <c r="U116" s="16"/>
      <c r="V116" s="16"/>
      <c r="W116" s="16"/>
      <c r="X116" s="16"/>
      <c r="Y116" s="16"/>
      <c r="Z116" s="16"/>
      <c r="AA116" s="16"/>
      <c r="AB116" s="16"/>
      <c r="AC116" s="16"/>
      <c r="AD116" s="16"/>
    </row>
    <row r="117" spans="1:30" ht="15.75" customHeight="1">
      <c r="L117" s="16"/>
      <c r="M117" s="16"/>
      <c r="N117" s="16"/>
      <c r="O117" s="16"/>
      <c r="P117" s="735"/>
      <c r="Q117" s="696"/>
      <c r="R117" s="696"/>
      <c r="S117" s="16"/>
      <c r="T117" s="16"/>
      <c r="U117" s="16"/>
      <c r="V117" s="16"/>
      <c r="W117" s="16"/>
      <c r="X117" s="16"/>
      <c r="Y117" s="16"/>
      <c r="Z117" s="16"/>
      <c r="AA117" s="16"/>
      <c r="AB117" s="16"/>
      <c r="AC117" s="16"/>
      <c r="AD117" s="16"/>
    </row>
    <row r="118" spans="1:30" ht="15.75" customHeight="1">
      <c r="L118" s="16"/>
      <c r="M118" s="16"/>
      <c r="N118" s="16"/>
      <c r="O118" s="16"/>
      <c r="P118" s="735"/>
      <c r="Q118" s="696"/>
      <c r="R118" s="696"/>
      <c r="S118" s="16"/>
      <c r="T118" s="16"/>
      <c r="U118" s="16"/>
      <c r="V118" s="16"/>
      <c r="W118" s="16"/>
      <c r="X118" s="16"/>
      <c r="Y118" s="16"/>
      <c r="Z118" s="16"/>
      <c r="AA118" s="16"/>
      <c r="AB118" s="16"/>
      <c r="AC118" s="16"/>
      <c r="AD118" s="16"/>
    </row>
    <row r="119" spans="1:30" ht="15.75" customHeight="1">
      <c r="L119" s="16"/>
      <c r="M119" s="16"/>
      <c r="N119" s="16"/>
      <c r="O119" s="16"/>
      <c r="P119" s="735"/>
      <c r="Q119" s="696"/>
      <c r="R119" s="696"/>
      <c r="S119" s="16"/>
      <c r="T119" s="16"/>
      <c r="U119" s="16"/>
      <c r="V119" s="16"/>
      <c r="W119" s="16"/>
      <c r="X119" s="16"/>
      <c r="Y119" s="16"/>
      <c r="Z119" s="16"/>
      <c r="AA119" s="16"/>
      <c r="AB119" s="16"/>
      <c r="AC119" s="16"/>
      <c r="AD119" s="16"/>
    </row>
    <row r="120" spans="1:30" ht="15.75" customHeight="1">
      <c r="L120" s="16"/>
      <c r="M120" s="16"/>
      <c r="N120" s="16"/>
      <c r="O120" s="16"/>
      <c r="P120" s="735"/>
      <c r="Q120" s="696"/>
      <c r="R120" s="696"/>
      <c r="S120" s="16"/>
      <c r="T120" s="16"/>
      <c r="U120" s="16"/>
      <c r="V120" s="16"/>
      <c r="W120" s="16"/>
      <c r="X120" s="16"/>
      <c r="Y120" s="16"/>
      <c r="Z120" s="16"/>
      <c r="AA120" s="16"/>
      <c r="AB120" s="16"/>
      <c r="AC120" s="16"/>
      <c r="AD120" s="16"/>
    </row>
    <row r="121" spans="1:30" ht="15.75" customHeight="1">
      <c r="H121" s="248"/>
      <c r="I121" s="248"/>
      <c r="J121" s="228"/>
      <c r="K121" s="228"/>
      <c r="L121" s="16"/>
      <c r="M121" s="16"/>
      <c r="N121" s="16"/>
      <c r="O121" s="16"/>
      <c r="P121" s="735"/>
      <c r="Q121" s="696"/>
      <c r="R121" s="696"/>
      <c r="S121" s="16"/>
      <c r="T121" s="16"/>
      <c r="U121" s="16"/>
      <c r="V121" s="16"/>
      <c r="W121" s="16"/>
      <c r="X121" s="16"/>
      <c r="Y121" s="16"/>
      <c r="Z121" s="16"/>
      <c r="AA121" s="16"/>
      <c r="AB121" s="16"/>
      <c r="AC121" s="16"/>
      <c r="AD121" s="16"/>
    </row>
    <row r="122" spans="1:30" ht="15.75" customHeight="1">
      <c r="A122" s="231"/>
      <c r="B122" s="231"/>
      <c r="C122" s="246"/>
      <c r="D122" s="247"/>
      <c r="E122" s="245"/>
      <c r="F122" s="246"/>
      <c r="G122" s="247"/>
      <c r="H122" s="248"/>
      <c r="I122" s="248"/>
      <c r="J122" s="228"/>
      <c r="K122" s="228"/>
      <c r="L122" s="16"/>
      <c r="M122" s="16"/>
      <c r="N122" s="16"/>
      <c r="O122" s="16"/>
      <c r="P122" s="16"/>
      <c r="Q122" s="16"/>
      <c r="R122" s="16"/>
      <c r="S122" s="16"/>
      <c r="T122" s="16"/>
      <c r="U122" s="16"/>
      <c r="V122" s="16"/>
      <c r="W122" s="16"/>
      <c r="X122" s="16"/>
      <c r="Y122" s="16"/>
      <c r="Z122" s="16"/>
      <c r="AA122" s="16"/>
      <c r="AB122" s="16"/>
      <c r="AC122" s="16"/>
      <c r="AD122" s="16"/>
    </row>
    <row r="123" spans="1:30" ht="15.75" customHeight="1">
      <c r="A123" s="231"/>
      <c r="B123" s="16"/>
      <c r="C123" s="246"/>
      <c r="D123" s="247"/>
      <c r="E123" s="245"/>
      <c r="F123" s="246"/>
      <c r="G123" s="247"/>
      <c r="H123" s="228"/>
      <c r="I123" s="228"/>
      <c r="J123" s="228"/>
      <c r="K123" s="228"/>
      <c r="L123" s="16"/>
      <c r="M123" s="735"/>
      <c r="N123" s="696"/>
      <c r="O123" s="696"/>
      <c r="P123" s="735"/>
      <c r="Q123" s="696"/>
      <c r="R123" s="696"/>
      <c r="S123" s="696"/>
      <c r="T123" s="696"/>
      <c r="U123" s="16"/>
      <c r="V123" s="16"/>
      <c r="W123" s="16"/>
      <c r="X123" s="16"/>
      <c r="Y123" s="16"/>
      <c r="Z123" s="16"/>
      <c r="AA123" s="16"/>
      <c r="AB123" s="16"/>
      <c r="AC123" s="16"/>
      <c r="AD123" s="16"/>
    </row>
    <row r="124" spans="1:30" ht="15.75" customHeight="1">
      <c r="A124" s="16"/>
      <c r="B124" s="16"/>
      <c r="C124" s="16"/>
      <c r="D124" s="16"/>
      <c r="E124" s="16"/>
      <c r="F124" s="16"/>
      <c r="G124" s="16"/>
      <c r="H124" s="16"/>
      <c r="I124" s="16"/>
      <c r="J124" s="16"/>
      <c r="K124" s="16"/>
      <c r="L124" s="16"/>
      <c r="M124" s="735"/>
      <c r="N124" s="696"/>
      <c r="O124" s="696"/>
      <c r="P124" s="735"/>
      <c r="Q124" s="696"/>
      <c r="R124" s="696"/>
      <c r="S124" s="696"/>
      <c r="T124" s="696"/>
      <c r="U124" s="16"/>
      <c r="V124" s="16"/>
      <c r="W124" s="16"/>
      <c r="X124" s="16"/>
      <c r="Y124" s="16"/>
      <c r="Z124" s="16"/>
      <c r="AA124" s="16"/>
      <c r="AB124" s="16"/>
      <c r="AC124" s="16"/>
      <c r="AD124" s="16"/>
    </row>
    <row r="125" spans="1:30" ht="15.75" customHeight="1">
      <c r="A125" s="16"/>
      <c r="B125" s="16"/>
      <c r="C125" s="16"/>
      <c r="D125" s="16"/>
      <c r="E125" s="16"/>
      <c r="F125" s="16"/>
      <c r="G125" s="16"/>
      <c r="H125" s="16"/>
      <c r="I125" s="16"/>
      <c r="J125" s="16"/>
      <c r="K125" s="16"/>
      <c r="L125" s="16"/>
      <c r="M125" s="735"/>
      <c r="N125" s="696"/>
      <c r="O125" s="696"/>
      <c r="P125" s="696"/>
      <c r="Q125" s="696"/>
      <c r="R125" s="696"/>
      <c r="S125" s="696"/>
      <c r="T125" s="696"/>
      <c r="U125" s="16"/>
      <c r="V125" s="16"/>
      <c r="W125" s="16"/>
      <c r="X125" s="16"/>
      <c r="Y125" s="16"/>
      <c r="Z125" s="16"/>
      <c r="AA125" s="16"/>
      <c r="AB125" s="16"/>
      <c r="AC125" s="16"/>
      <c r="AD125" s="16"/>
    </row>
    <row r="126" spans="1:30" ht="15.75" customHeight="1">
      <c r="A126" s="16"/>
      <c r="B126" s="16"/>
      <c r="C126" s="16"/>
      <c r="D126" s="16"/>
      <c r="E126" s="16"/>
      <c r="F126" s="16"/>
      <c r="G126" s="16"/>
      <c r="H126" s="16"/>
      <c r="I126" s="16"/>
      <c r="J126" s="16"/>
      <c r="K126" s="16"/>
      <c r="L126" s="16"/>
      <c r="M126" s="735"/>
      <c r="N126" s="696"/>
      <c r="O126" s="696"/>
      <c r="P126" s="696"/>
      <c r="Q126" s="696"/>
      <c r="R126" s="696"/>
      <c r="S126" s="696"/>
      <c r="T126" s="696"/>
      <c r="U126" s="16"/>
      <c r="V126" s="16"/>
      <c r="W126" s="16"/>
      <c r="X126" s="16"/>
      <c r="Y126" s="16"/>
      <c r="Z126" s="16"/>
      <c r="AA126" s="16"/>
      <c r="AB126" s="16"/>
      <c r="AC126" s="16"/>
      <c r="AD126" s="16"/>
    </row>
    <row r="127" spans="1:30" ht="15.75" customHeight="1">
      <c r="A127" s="16"/>
      <c r="B127" s="16"/>
      <c r="C127" s="16"/>
      <c r="D127" s="16"/>
      <c r="E127" s="16"/>
      <c r="F127" s="16"/>
      <c r="G127" s="16"/>
      <c r="H127" s="16"/>
      <c r="I127" s="16"/>
      <c r="J127" s="16"/>
      <c r="K127" s="16"/>
      <c r="L127" s="16"/>
      <c r="M127" s="735"/>
      <c r="N127" s="696"/>
      <c r="O127" s="696"/>
      <c r="P127" s="696"/>
      <c r="Q127" s="696"/>
      <c r="R127" s="696"/>
      <c r="S127" s="696"/>
      <c r="T127" s="696"/>
      <c r="U127" s="16"/>
      <c r="V127" s="16"/>
      <c r="W127" s="16"/>
      <c r="X127" s="16"/>
      <c r="Y127" s="16"/>
      <c r="Z127" s="16"/>
      <c r="AA127" s="16"/>
      <c r="AB127" s="16"/>
      <c r="AC127" s="16"/>
      <c r="AD127" s="16"/>
    </row>
    <row r="128" spans="1:30" ht="15.75" customHeight="1">
      <c r="A128" s="16"/>
      <c r="B128" s="16"/>
      <c r="C128" s="16"/>
      <c r="D128" s="16"/>
      <c r="E128" s="16"/>
      <c r="F128" s="16"/>
      <c r="G128" s="16"/>
      <c r="H128" s="16"/>
      <c r="I128" s="16"/>
      <c r="J128" s="16"/>
      <c r="K128" s="16"/>
      <c r="L128" s="16"/>
      <c r="M128" s="735"/>
      <c r="N128" s="696"/>
      <c r="O128" s="696"/>
      <c r="P128" s="696"/>
      <c r="Q128" s="696"/>
      <c r="R128" s="696"/>
      <c r="S128" s="696"/>
      <c r="T128" s="696"/>
      <c r="U128" s="16"/>
      <c r="V128" s="16"/>
      <c r="W128" s="16"/>
      <c r="X128" s="16"/>
      <c r="Y128" s="16"/>
      <c r="Z128" s="16"/>
      <c r="AA128" s="16"/>
      <c r="AB128" s="16"/>
      <c r="AC128" s="16"/>
      <c r="AD128" s="16"/>
    </row>
    <row r="129" spans="1:30" ht="15.75" customHeight="1">
      <c r="A129" s="16"/>
      <c r="B129" s="16"/>
      <c r="C129" s="16"/>
      <c r="D129" s="16"/>
      <c r="E129" s="16"/>
      <c r="F129" s="16"/>
      <c r="G129" s="16"/>
      <c r="H129" s="16"/>
      <c r="I129" s="16"/>
      <c r="J129" s="16"/>
      <c r="K129" s="16"/>
      <c r="L129" s="16"/>
      <c r="M129" s="735"/>
      <c r="N129" s="696"/>
      <c r="O129" s="696"/>
      <c r="P129" s="696"/>
      <c r="Q129" s="696"/>
      <c r="R129" s="696"/>
      <c r="S129" s="696"/>
      <c r="T129" s="696"/>
      <c r="U129" s="16"/>
      <c r="V129" s="16"/>
      <c r="W129" s="16"/>
      <c r="X129" s="16"/>
      <c r="Y129" s="16"/>
      <c r="Z129" s="16"/>
      <c r="AA129" s="16"/>
      <c r="AB129" s="16"/>
      <c r="AC129" s="16"/>
      <c r="AD129" s="16"/>
    </row>
    <row r="130" spans="1:30" ht="15.75" customHeight="1">
      <c r="A130" s="16"/>
      <c r="B130" s="16"/>
      <c r="C130" s="16"/>
      <c r="D130" s="16"/>
      <c r="E130" s="16"/>
      <c r="F130" s="16"/>
      <c r="G130" s="16"/>
      <c r="H130" s="16"/>
      <c r="I130" s="16"/>
      <c r="J130" s="16"/>
      <c r="K130" s="16"/>
      <c r="L130" s="16"/>
      <c r="M130" s="735"/>
      <c r="N130" s="696"/>
      <c r="O130" s="696"/>
      <c r="P130" s="696"/>
      <c r="Q130" s="696"/>
      <c r="R130" s="696"/>
      <c r="S130" s="696"/>
      <c r="T130" s="696"/>
      <c r="U130" s="16"/>
      <c r="V130" s="16"/>
      <c r="W130" s="16"/>
      <c r="X130" s="16"/>
      <c r="Y130" s="16"/>
      <c r="Z130" s="16"/>
      <c r="AA130" s="16"/>
      <c r="AB130" s="16"/>
      <c r="AC130" s="16"/>
      <c r="AD130" s="16"/>
    </row>
    <row r="131" spans="1:30" ht="15.75" customHeight="1">
      <c r="A131" s="16"/>
      <c r="B131" s="16"/>
      <c r="C131" s="16"/>
      <c r="D131" s="16"/>
      <c r="E131" s="16"/>
      <c r="F131" s="16"/>
      <c r="G131" s="16"/>
      <c r="H131" s="16"/>
      <c r="I131" s="16"/>
      <c r="J131" s="16"/>
      <c r="K131" s="16"/>
      <c r="L131" s="16"/>
      <c r="M131" s="735"/>
      <c r="N131" s="696"/>
      <c r="O131" s="696"/>
      <c r="P131" s="696"/>
      <c r="Q131" s="696"/>
      <c r="R131" s="696"/>
      <c r="S131" s="696"/>
      <c r="T131" s="696"/>
      <c r="U131" s="16"/>
      <c r="V131" s="16"/>
      <c r="W131" s="16"/>
      <c r="X131" s="16"/>
      <c r="Y131" s="16"/>
      <c r="Z131" s="16"/>
      <c r="AA131" s="16"/>
      <c r="AB131" s="16"/>
      <c r="AC131" s="16"/>
      <c r="AD131" s="16"/>
    </row>
    <row r="132" spans="1:30" ht="15.75" customHeight="1">
      <c r="A132" s="16"/>
      <c r="B132" s="16"/>
      <c r="C132" s="16"/>
      <c r="D132" s="16"/>
      <c r="E132" s="16"/>
      <c r="F132" s="16"/>
      <c r="G132" s="16"/>
      <c r="H132" s="16"/>
      <c r="I132" s="16"/>
      <c r="J132" s="16"/>
      <c r="K132" s="16"/>
      <c r="L132" s="16"/>
      <c r="M132" s="735"/>
      <c r="N132" s="696"/>
      <c r="O132" s="696"/>
      <c r="P132" s="696"/>
      <c r="Q132" s="696"/>
      <c r="R132" s="696"/>
      <c r="S132" s="696"/>
      <c r="T132" s="696"/>
      <c r="U132" s="16"/>
      <c r="V132" s="16"/>
      <c r="W132" s="16"/>
      <c r="X132" s="16"/>
      <c r="Y132" s="16"/>
      <c r="Z132" s="16"/>
      <c r="AA132" s="16"/>
      <c r="AB132" s="16"/>
      <c r="AC132" s="16"/>
      <c r="AD132" s="16"/>
    </row>
    <row r="133" spans="1:30" ht="15.75" customHeight="1">
      <c r="A133" s="16"/>
      <c r="B133" s="16"/>
      <c r="C133" s="16"/>
      <c r="D133" s="16"/>
      <c r="E133" s="16"/>
      <c r="F133" s="16"/>
      <c r="G133" s="16"/>
      <c r="H133" s="16"/>
      <c r="I133" s="16"/>
      <c r="J133" s="16"/>
      <c r="K133" s="16"/>
      <c r="L133" s="16"/>
      <c r="M133" s="735"/>
      <c r="N133" s="696"/>
      <c r="O133" s="696"/>
      <c r="P133" s="696"/>
      <c r="Q133" s="696"/>
      <c r="R133" s="696"/>
      <c r="S133" s="696"/>
      <c r="T133" s="696"/>
      <c r="U133" s="16"/>
      <c r="V133" s="16"/>
      <c r="W133" s="16"/>
      <c r="X133" s="16"/>
      <c r="Y133" s="16"/>
      <c r="Z133" s="16"/>
      <c r="AA133" s="16"/>
      <c r="AB133" s="16"/>
      <c r="AC133" s="16"/>
      <c r="AD133" s="16"/>
    </row>
    <row r="134" spans="1:30" ht="15.75" customHeight="1">
      <c r="A134" s="16"/>
      <c r="B134" s="16"/>
      <c r="C134" s="16"/>
      <c r="D134" s="16"/>
      <c r="E134" s="16"/>
      <c r="F134" s="16"/>
      <c r="G134" s="16"/>
      <c r="H134" s="16"/>
      <c r="I134" s="16"/>
      <c r="J134" s="16"/>
      <c r="K134" s="16"/>
      <c r="L134" s="16"/>
      <c r="M134" s="735"/>
      <c r="N134" s="696"/>
      <c r="O134" s="696"/>
      <c r="P134" s="696"/>
      <c r="Q134" s="696"/>
      <c r="R134" s="696"/>
      <c r="S134" s="696"/>
      <c r="T134" s="696"/>
      <c r="U134" s="16"/>
      <c r="V134" s="16"/>
      <c r="W134" s="16"/>
      <c r="X134" s="16"/>
      <c r="Y134" s="16"/>
      <c r="Z134" s="16"/>
      <c r="AA134" s="16"/>
      <c r="AB134" s="16"/>
      <c r="AC134" s="16"/>
      <c r="AD134" s="16"/>
    </row>
    <row r="135" spans="1:30" ht="15.75" customHeight="1">
      <c r="A135" s="16"/>
      <c r="B135" s="16"/>
      <c r="C135" s="16"/>
      <c r="D135" s="16"/>
      <c r="E135" s="16"/>
      <c r="F135" s="16"/>
      <c r="G135" s="16"/>
      <c r="H135" s="16"/>
      <c r="I135" s="16"/>
      <c r="J135" s="16"/>
      <c r="K135" s="16"/>
      <c r="L135" s="16"/>
      <c r="M135" s="735"/>
      <c r="N135" s="696"/>
      <c r="O135" s="696"/>
      <c r="P135" s="696"/>
      <c r="Q135" s="696"/>
      <c r="R135" s="696"/>
      <c r="S135" s="696"/>
      <c r="T135" s="696"/>
      <c r="U135" s="16"/>
      <c r="V135" s="16"/>
      <c r="W135" s="16"/>
      <c r="X135" s="16"/>
      <c r="Y135" s="16"/>
      <c r="Z135" s="16"/>
      <c r="AA135" s="16"/>
      <c r="AB135" s="16"/>
      <c r="AC135" s="16"/>
      <c r="AD135" s="16"/>
    </row>
    <row r="136" spans="1:30" ht="15.75" customHeight="1">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c r="AA136" s="16"/>
      <c r="AB136" s="16"/>
      <c r="AC136" s="16"/>
      <c r="AD136" s="16"/>
    </row>
    <row r="137" spans="1:30" ht="15.75" customHeight="1">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c r="AA137" s="16"/>
      <c r="AB137" s="16"/>
      <c r="AC137" s="16"/>
      <c r="AD137" s="16"/>
    </row>
    <row r="138" spans="1:30" ht="15.75" customHeight="1">
      <c r="A138" s="16"/>
      <c r="B138" s="16"/>
      <c r="C138" s="16"/>
      <c r="D138" s="16"/>
      <c r="E138" s="16"/>
      <c r="F138" s="16"/>
      <c r="G138" s="16"/>
      <c r="H138" s="16"/>
      <c r="I138" s="16"/>
      <c r="J138" s="16"/>
      <c r="K138" s="16"/>
      <c r="L138" s="16"/>
      <c r="M138" s="735"/>
      <c r="N138" s="696"/>
      <c r="O138" s="696"/>
      <c r="P138" s="735"/>
      <c r="Q138" s="696"/>
      <c r="R138" s="696"/>
      <c r="S138" s="696"/>
      <c r="T138" s="696"/>
      <c r="U138" s="16"/>
      <c r="V138" s="16"/>
      <c r="W138" s="16"/>
      <c r="X138" s="16"/>
      <c r="Y138" s="16"/>
      <c r="Z138" s="16"/>
      <c r="AA138" s="16"/>
      <c r="AB138" s="16"/>
      <c r="AC138" s="16"/>
      <c r="AD138" s="16"/>
    </row>
    <row r="139" spans="1:30" ht="15.75" customHeight="1">
      <c r="A139" s="16"/>
      <c r="B139" s="16"/>
      <c r="C139" s="16"/>
      <c r="D139" s="16"/>
      <c r="E139" s="16"/>
      <c r="F139" s="16"/>
      <c r="G139" s="16"/>
      <c r="H139" s="16"/>
      <c r="I139" s="16"/>
      <c r="J139" s="16"/>
      <c r="K139" s="16"/>
      <c r="L139" s="16"/>
      <c r="M139" s="735"/>
      <c r="N139" s="696"/>
      <c r="O139" s="696"/>
      <c r="P139" s="735"/>
      <c r="Q139" s="696"/>
      <c r="R139" s="696"/>
      <c r="S139" s="696"/>
      <c r="T139" s="696"/>
      <c r="U139" s="16"/>
      <c r="V139" s="16"/>
      <c r="W139" s="16"/>
      <c r="X139" s="16"/>
      <c r="Y139" s="16"/>
      <c r="Z139" s="16"/>
      <c r="AA139" s="16"/>
      <c r="AB139" s="16"/>
      <c r="AC139" s="16"/>
      <c r="AD139" s="16"/>
    </row>
    <row r="140" spans="1:30" ht="15.75" customHeight="1">
      <c r="A140" s="16"/>
      <c r="B140" s="16"/>
      <c r="C140" s="16"/>
      <c r="D140" s="16"/>
      <c r="E140" s="16"/>
      <c r="F140" s="16"/>
      <c r="G140" s="16"/>
      <c r="H140" s="16"/>
      <c r="I140" s="16"/>
      <c r="J140" s="16"/>
      <c r="K140" s="16"/>
      <c r="L140" s="16"/>
      <c r="M140" s="735"/>
      <c r="N140" s="696"/>
      <c r="O140" s="696"/>
      <c r="P140" s="696"/>
      <c r="Q140" s="696"/>
      <c r="R140" s="696"/>
      <c r="S140" s="696"/>
      <c r="T140" s="696"/>
      <c r="U140" s="16"/>
      <c r="V140" s="16"/>
      <c r="W140" s="16"/>
      <c r="X140" s="16"/>
      <c r="Y140" s="16"/>
      <c r="Z140" s="16"/>
      <c r="AA140" s="16"/>
      <c r="AB140" s="16"/>
      <c r="AC140" s="16"/>
      <c r="AD140" s="16"/>
    </row>
    <row r="141" spans="1:30" ht="15.75" customHeight="1">
      <c r="A141" s="16"/>
      <c r="B141" s="16"/>
      <c r="C141" s="16"/>
      <c r="D141" s="16"/>
      <c r="E141" s="16"/>
      <c r="F141" s="16"/>
      <c r="G141" s="16"/>
      <c r="H141" s="16"/>
      <c r="I141" s="16"/>
      <c r="J141" s="16"/>
      <c r="K141" s="16"/>
      <c r="L141" s="16"/>
      <c r="M141" s="735"/>
      <c r="N141" s="696"/>
      <c r="O141" s="696"/>
      <c r="P141" s="696"/>
      <c r="Q141" s="696"/>
      <c r="R141" s="696"/>
      <c r="S141" s="696"/>
      <c r="T141" s="696"/>
      <c r="U141" s="16"/>
      <c r="V141" s="16"/>
      <c r="W141" s="16"/>
      <c r="X141" s="16"/>
      <c r="Y141" s="16"/>
      <c r="Z141" s="16"/>
      <c r="AA141" s="16"/>
      <c r="AB141" s="16"/>
      <c r="AC141" s="16"/>
      <c r="AD141" s="16"/>
    </row>
    <row r="142" spans="1:30" ht="15.75" customHeight="1">
      <c r="A142" s="16"/>
      <c r="B142" s="16"/>
      <c r="C142" s="16"/>
      <c r="D142" s="16"/>
      <c r="E142" s="16"/>
      <c r="F142" s="16"/>
      <c r="G142" s="16"/>
      <c r="H142" s="16"/>
      <c r="I142" s="16"/>
      <c r="J142" s="16"/>
      <c r="K142" s="16"/>
      <c r="L142" s="16"/>
      <c r="M142" s="735"/>
      <c r="N142" s="696"/>
      <c r="O142" s="696"/>
      <c r="P142" s="696"/>
      <c r="Q142" s="696"/>
      <c r="R142" s="696"/>
      <c r="S142" s="696"/>
      <c r="T142" s="696"/>
      <c r="U142" s="16"/>
      <c r="V142" s="16"/>
      <c r="W142" s="16"/>
      <c r="X142" s="16"/>
      <c r="Y142" s="16"/>
      <c r="Z142" s="16"/>
      <c r="AA142" s="16"/>
      <c r="AB142" s="16"/>
      <c r="AC142" s="16"/>
      <c r="AD142" s="16"/>
    </row>
    <row r="143" spans="1:30" ht="15.75" customHeight="1">
      <c r="A143" s="16"/>
      <c r="B143" s="16"/>
      <c r="C143" s="16"/>
      <c r="D143" s="16"/>
      <c r="E143" s="16"/>
      <c r="F143" s="16"/>
      <c r="G143" s="16"/>
      <c r="H143" s="16"/>
      <c r="I143" s="16"/>
      <c r="J143" s="16"/>
      <c r="K143" s="16"/>
      <c r="L143" s="16"/>
      <c r="M143" s="735"/>
      <c r="N143" s="696"/>
      <c r="O143" s="696"/>
      <c r="P143" s="696"/>
      <c r="Q143" s="696"/>
      <c r="R143" s="696"/>
      <c r="S143" s="696"/>
      <c r="T143" s="696"/>
      <c r="U143" s="16"/>
      <c r="V143" s="16"/>
      <c r="W143" s="16"/>
      <c r="X143" s="16"/>
      <c r="Y143" s="16"/>
      <c r="Z143" s="16"/>
      <c r="AA143" s="16"/>
      <c r="AB143" s="16"/>
      <c r="AC143" s="16"/>
      <c r="AD143" s="16"/>
    </row>
    <row r="144" spans="1:30" ht="15.75" customHeight="1">
      <c r="A144" s="16"/>
      <c r="B144" s="16"/>
      <c r="C144" s="16"/>
      <c r="D144" s="16"/>
      <c r="E144" s="16"/>
      <c r="F144" s="16"/>
      <c r="G144" s="16"/>
      <c r="H144" s="16"/>
      <c r="I144" s="16"/>
      <c r="J144" s="16"/>
      <c r="K144" s="16"/>
      <c r="L144" s="16"/>
      <c r="M144" s="735"/>
      <c r="N144" s="696"/>
      <c r="O144" s="696"/>
      <c r="P144" s="696"/>
      <c r="Q144" s="696"/>
      <c r="R144" s="696"/>
      <c r="S144" s="696"/>
      <c r="T144" s="696"/>
      <c r="U144" s="16"/>
      <c r="V144" s="16"/>
      <c r="W144" s="16"/>
      <c r="X144" s="16"/>
      <c r="Y144" s="16"/>
      <c r="Z144" s="16"/>
      <c r="AA144" s="16"/>
      <c r="AB144" s="16"/>
      <c r="AC144" s="16"/>
      <c r="AD144" s="16"/>
    </row>
    <row r="145" spans="1:30" ht="15.75" customHeight="1">
      <c r="A145" s="16"/>
      <c r="B145" s="16"/>
      <c r="C145" s="16"/>
      <c r="D145" s="16"/>
      <c r="E145" s="16"/>
      <c r="F145" s="16"/>
      <c r="G145" s="16"/>
      <c r="H145" s="16"/>
      <c r="I145" s="16"/>
      <c r="J145" s="16"/>
      <c r="K145" s="16"/>
      <c r="L145" s="16"/>
      <c r="M145" s="735"/>
      <c r="N145" s="696"/>
      <c r="O145" s="696"/>
      <c r="P145" s="696"/>
      <c r="Q145" s="696"/>
      <c r="R145" s="696"/>
      <c r="S145" s="696"/>
      <c r="T145" s="696"/>
      <c r="U145" s="16"/>
      <c r="V145" s="16"/>
      <c r="W145" s="16"/>
      <c r="X145" s="16"/>
      <c r="Y145" s="16"/>
      <c r="Z145" s="16"/>
      <c r="AA145" s="16"/>
      <c r="AB145" s="16"/>
      <c r="AC145" s="16"/>
      <c r="AD145" s="16"/>
    </row>
    <row r="146" spans="1:30" ht="15.75" customHeight="1">
      <c r="A146" s="16"/>
      <c r="B146" s="16"/>
      <c r="C146" s="16"/>
      <c r="D146" s="16"/>
      <c r="E146" s="16"/>
      <c r="F146" s="16"/>
      <c r="G146" s="16"/>
      <c r="H146" s="16"/>
      <c r="I146" s="16"/>
      <c r="J146" s="16"/>
      <c r="K146" s="16"/>
      <c r="L146" s="16"/>
      <c r="M146" s="735"/>
      <c r="N146" s="696"/>
      <c r="O146" s="696"/>
      <c r="P146" s="696"/>
      <c r="Q146" s="696"/>
      <c r="R146" s="696"/>
      <c r="S146" s="696"/>
      <c r="T146" s="696"/>
      <c r="U146" s="16"/>
      <c r="V146" s="16"/>
      <c r="W146" s="16"/>
      <c r="X146" s="16"/>
      <c r="Y146" s="16"/>
      <c r="Z146" s="16"/>
      <c r="AA146" s="16"/>
      <c r="AB146" s="16"/>
      <c r="AC146" s="16"/>
      <c r="AD146" s="16"/>
    </row>
    <row r="147" spans="1:30" ht="15.75" customHeight="1">
      <c r="A147" s="16"/>
      <c r="B147" s="16"/>
      <c r="C147" s="16"/>
      <c r="D147" s="16"/>
      <c r="E147" s="16"/>
      <c r="F147" s="16"/>
      <c r="G147" s="16"/>
      <c r="H147" s="16"/>
      <c r="I147" s="16"/>
      <c r="J147" s="16"/>
      <c r="K147" s="16"/>
      <c r="L147" s="16"/>
      <c r="M147" s="735"/>
      <c r="N147" s="696"/>
      <c r="O147" s="696"/>
      <c r="P147" s="696"/>
      <c r="Q147" s="696"/>
      <c r="R147" s="696"/>
      <c r="S147" s="696"/>
      <c r="T147" s="696"/>
      <c r="U147" s="16"/>
      <c r="V147" s="16"/>
      <c r="W147" s="16"/>
      <c r="X147" s="16"/>
      <c r="Y147" s="16"/>
      <c r="Z147" s="16"/>
      <c r="AA147" s="16"/>
      <c r="AB147" s="16"/>
      <c r="AC147" s="16"/>
      <c r="AD147" s="16"/>
    </row>
    <row r="148" spans="1:30" ht="15.75" customHeight="1">
      <c r="A148" s="16"/>
      <c r="B148" s="16"/>
      <c r="C148" s="16"/>
      <c r="D148" s="16"/>
      <c r="E148" s="16"/>
      <c r="F148" s="16"/>
      <c r="G148" s="16"/>
      <c r="H148" s="16"/>
      <c r="I148" s="16"/>
      <c r="J148" s="16"/>
      <c r="K148" s="16"/>
      <c r="L148" s="16"/>
      <c r="M148" s="735"/>
      <c r="N148" s="696"/>
      <c r="O148" s="696"/>
      <c r="P148" s="696"/>
      <c r="Q148" s="696"/>
      <c r="R148" s="696"/>
      <c r="S148" s="696"/>
      <c r="T148" s="696"/>
      <c r="U148" s="16"/>
      <c r="V148" s="16"/>
      <c r="W148" s="16"/>
      <c r="X148" s="16"/>
      <c r="Y148" s="16"/>
      <c r="Z148" s="16"/>
      <c r="AA148" s="16"/>
      <c r="AB148" s="16"/>
      <c r="AC148" s="16"/>
      <c r="AD148" s="16"/>
    </row>
    <row r="149" spans="1:30" ht="15.75" customHeight="1">
      <c r="A149" s="16"/>
      <c r="B149" s="16"/>
      <c r="C149" s="16"/>
      <c r="D149" s="16"/>
      <c r="E149" s="16"/>
      <c r="F149" s="16"/>
      <c r="G149" s="16"/>
      <c r="H149" s="16"/>
      <c r="I149" s="16"/>
      <c r="J149" s="16"/>
      <c r="K149" s="16"/>
      <c r="L149" s="16"/>
      <c r="M149" s="735"/>
      <c r="N149" s="696"/>
      <c r="O149" s="696"/>
      <c r="P149" s="696"/>
      <c r="Q149" s="696"/>
      <c r="R149" s="696"/>
      <c r="S149" s="696"/>
      <c r="T149" s="696"/>
      <c r="U149" s="16"/>
      <c r="V149" s="16"/>
      <c r="W149" s="16"/>
      <c r="X149" s="16"/>
      <c r="Y149" s="16"/>
      <c r="Z149" s="16"/>
      <c r="AA149" s="16"/>
      <c r="AB149" s="16"/>
      <c r="AC149" s="16"/>
      <c r="AD149" s="16"/>
    </row>
    <row r="150" spans="1:30" ht="15.75" customHeight="1">
      <c r="A150" s="16"/>
      <c r="B150" s="16"/>
      <c r="C150" s="16"/>
      <c r="D150" s="16"/>
      <c r="E150" s="16"/>
      <c r="F150" s="16"/>
      <c r="G150" s="16"/>
      <c r="H150" s="16"/>
      <c r="I150" s="16"/>
      <c r="J150" s="16"/>
      <c r="K150" s="16"/>
      <c r="L150" s="16"/>
      <c r="M150" s="735"/>
      <c r="N150" s="696"/>
      <c r="O150" s="696"/>
      <c r="P150" s="696"/>
      <c r="Q150" s="696"/>
      <c r="R150" s="696"/>
      <c r="S150" s="696"/>
      <c r="T150" s="696"/>
      <c r="U150" s="16"/>
      <c r="V150" s="16"/>
      <c r="W150" s="16"/>
      <c r="X150" s="16"/>
      <c r="Y150" s="16"/>
      <c r="Z150" s="16"/>
      <c r="AA150" s="16"/>
      <c r="AB150" s="16"/>
      <c r="AC150" s="16"/>
      <c r="AD150" s="16"/>
    </row>
    <row r="151" spans="1:30" ht="15.75" customHeight="1">
      <c r="A151" s="16"/>
      <c r="B151" s="16"/>
      <c r="C151" s="16"/>
      <c r="D151" s="16"/>
      <c r="E151" s="16"/>
      <c r="F151" s="16"/>
      <c r="G151" s="16"/>
      <c r="H151" s="16"/>
      <c r="I151" s="16"/>
      <c r="J151" s="16"/>
      <c r="K151" s="16"/>
      <c r="L151" s="16"/>
      <c r="M151" s="735"/>
      <c r="N151" s="696"/>
      <c r="O151" s="696"/>
      <c r="P151" s="696"/>
      <c r="Q151" s="696"/>
      <c r="R151" s="696"/>
      <c r="S151" s="696"/>
      <c r="T151" s="696"/>
      <c r="U151" s="16"/>
      <c r="V151" s="16"/>
      <c r="W151" s="16"/>
      <c r="X151" s="16"/>
      <c r="Y151" s="16"/>
      <c r="Z151" s="16"/>
      <c r="AA151" s="16"/>
      <c r="AB151" s="16"/>
      <c r="AC151" s="16"/>
      <c r="AD151" s="16"/>
    </row>
    <row r="152" spans="1:30" ht="15.75" customHeight="1">
      <c r="A152" s="16"/>
      <c r="B152" s="16"/>
      <c r="C152" s="16"/>
      <c r="D152" s="16"/>
      <c r="E152" s="16"/>
      <c r="F152" s="16"/>
      <c r="G152" s="16"/>
      <c r="H152" s="16"/>
      <c r="I152" s="16"/>
      <c r="J152" s="16"/>
      <c r="K152" s="16"/>
      <c r="L152" s="16"/>
      <c r="M152" s="735"/>
      <c r="N152" s="696"/>
      <c r="O152" s="696"/>
      <c r="P152" s="696"/>
      <c r="Q152" s="696"/>
      <c r="R152" s="696"/>
      <c r="S152" s="696"/>
      <c r="T152" s="696"/>
      <c r="U152" s="16"/>
      <c r="V152" s="16"/>
      <c r="W152" s="16"/>
      <c r="X152" s="16"/>
      <c r="Y152" s="16"/>
      <c r="Z152" s="16"/>
      <c r="AA152" s="16"/>
      <c r="AB152" s="16"/>
      <c r="AC152" s="16"/>
      <c r="AD152" s="16"/>
    </row>
    <row r="153" spans="1:30" ht="15.75" customHeight="1">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c r="AA153" s="16"/>
      <c r="AB153" s="16"/>
      <c r="AC153" s="16"/>
      <c r="AD153" s="16"/>
    </row>
    <row r="154" spans="1:30" ht="15.75" customHeight="1">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c r="AA154" s="16"/>
      <c r="AB154" s="16"/>
      <c r="AC154" s="16"/>
      <c r="AD154" s="16"/>
    </row>
    <row r="155" spans="1:30" ht="15.75" customHeight="1">
      <c r="A155" s="16"/>
      <c r="B155" s="735"/>
      <c r="C155" s="696"/>
      <c r="D155" s="16"/>
      <c r="E155" s="16"/>
      <c r="F155" s="16"/>
      <c r="G155" s="16"/>
      <c r="H155" s="16"/>
      <c r="I155" s="16"/>
      <c r="J155" s="16"/>
      <c r="K155" s="16"/>
      <c r="L155" s="16"/>
      <c r="M155" s="735"/>
      <c r="N155" s="696"/>
      <c r="O155" s="696"/>
      <c r="P155" s="735"/>
      <c r="Q155" s="696"/>
      <c r="R155" s="696"/>
      <c r="S155" s="696"/>
      <c r="T155" s="696"/>
      <c r="U155" s="16"/>
      <c r="V155" s="16"/>
      <c r="W155" s="16"/>
      <c r="X155" s="16"/>
      <c r="Y155" s="16"/>
      <c r="Z155" s="16"/>
      <c r="AA155" s="16"/>
      <c r="AB155" s="16"/>
      <c r="AC155" s="16"/>
      <c r="AD155" s="16"/>
    </row>
    <row r="156" spans="1:30" ht="15.75" customHeight="1">
      <c r="A156" s="16"/>
      <c r="B156" s="735"/>
      <c r="C156" s="696"/>
      <c r="D156" s="16"/>
      <c r="E156" s="16"/>
      <c r="F156" s="16"/>
      <c r="G156" s="16"/>
      <c r="H156" s="16"/>
      <c r="I156" s="16"/>
      <c r="J156" s="16"/>
      <c r="K156" s="16"/>
      <c r="L156" s="16"/>
      <c r="M156" s="735"/>
      <c r="N156" s="696"/>
      <c r="O156" s="696"/>
      <c r="P156" s="735"/>
      <c r="Q156" s="696"/>
      <c r="R156" s="696"/>
      <c r="S156" s="696"/>
      <c r="T156" s="696"/>
      <c r="U156" s="16"/>
      <c r="V156" s="16"/>
      <c r="W156" s="16"/>
      <c r="X156" s="16"/>
      <c r="Y156" s="16"/>
      <c r="Z156" s="16"/>
      <c r="AA156" s="16"/>
      <c r="AB156" s="16"/>
      <c r="AC156" s="16"/>
      <c r="AD156" s="16"/>
    </row>
    <row r="157" spans="1:30" ht="15.75" customHeight="1">
      <c r="A157" s="16"/>
      <c r="B157" s="735"/>
      <c r="C157" s="696"/>
      <c r="D157" s="16"/>
      <c r="E157" s="16"/>
      <c r="F157" s="16"/>
      <c r="G157" s="16"/>
      <c r="H157" s="16"/>
      <c r="I157" s="16"/>
      <c r="J157" s="16"/>
      <c r="K157" s="16"/>
      <c r="L157" s="16"/>
      <c r="M157" s="735"/>
      <c r="N157" s="696"/>
      <c r="O157" s="696"/>
      <c r="P157" s="696"/>
      <c r="Q157" s="696"/>
      <c r="R157" s="696"/>
      <c r="S157" s="696"/>
      <c r="T157" s="696"/>
      <c r="U157" s="16"/>
      <c r="V157" s="16"/>
      <c r="W157" s="16"/>
      <c r="X157" s="16"/>
      <c r="Y157" s="16"/>
      <c r="Z157" s="16"/>
      <c r="AA157" s="16"/>
      <c r="AB157" s="16"/>
      <c r="AC157" s="16"/>
      <c r="AD157" s="16"/>
    </row>
    <row r="158" spans="1:30" ht="15.75" customHeight="1">
      <c r="A158" s="16"/>
      <c r="B158" s="735"/>
      <c r="C158" s="696"/>
      <c r="D158" s="16"/>
      <c r="E158" s="16"/>
      <c r="F158" s="16"/>
      <c r="G158" s="16"/>
      <c r="H158" s="16"/>
      <c r="I158" s="16"/>
      <c r="J158" s="16"/>
      <c r="K158" s="16"/>
      <c r="L158" s="16"/>
      <c r="M158" s="735"/>
      <c r="N158" s="696"/>
      <c r="O158" s="696"/>
      <c r="P158" s="696"/>
      <c r="Q158" s="696"/>
      <c r="R158" s="696"/>
      <c r="S158" s="696"/>
      <c r="T158" s="696"/>
      <c r="U158" s="16"/>
      <c r="V158" s="16"/>
      <c r="W158" s="16"/>
      <c r="X158" s="16"/>
      <c r="Y158" s="16"/>
      <c r="Z158" s="16"/>
      <c r="AA158" s="16"/>
      <c r="AB158" s="16"/>
      <c r="AC158" s="16"/>
      <c r="AD158" s="16"/>
    </row>
    <row r="159" spans="1:30" ht="15.75" customHeight="1">
      <c r="A159" s="16"/>
      <c r="B159" s="735"/>
      <c r="C159" s="696"/>
      <c r="D159" s="16"/>
      <c r="E159" s="16"/>
      <c r="F159" s="16"/>
      <c r="G159" s="16"/>
      <c r="H159" s="16"/>
      <c r="I159" s="16"/>
      <c r="J159" s="16"/>
      <c r="K159" s="16"/>
      <c r="L159" s="16"/>
      <c r="M159" s="735"/>
      <c r="N159" s="696"/>
      <c r="O159" s="696"/>
      <c r="P159" s="696"/>
      <c r="Q159" s="696"/>
      <c r="R159" s="696"/>
      <c r="S159" s="696"/>
      <c r="T159" s="696"/>
      <c r="U159" s="16"/>
      <c r="V159" s="16"/>
      <c r="W159" s="16"/>
      <c r="X159" s="16"/>
      <c r="Y159" s="16"/>
      <c r="Z159" s="16"/>
      <c r="AA159" s="16"/>
      <c r="AB159" s="16"/>
      <c r="AC159" s="16"/>
      <c r="AD159" s="16"/>
    </row>
    <row r="160" spans="1:30" ht="15.75" customHeight="1">
      <c r="A160" s="16"/>
      <c r="B160" s="735"/>
      <c r="C160" s="696"/>
      <c r="D160" s="16"/>
      <c r="E160" s="16"/>
      <c r="F160" s="16"/>
      <c r="G160" s="16"/>
      <c r="H160" s="16"/>
      <c r="I160" s="16"/>
      <c r="J160" s="16"/>
      <c r="K160" s="16"/>
      <c r="L160" s="16"/>
      <c r="M160" s="735"/>
      <c r="N160" s="696"/>
      <c r="O160" s="696"/>
      <c r="P160" s="696"/>
      <c r="Q160" s="696"/>
      <c r="R160" s="696"/>
      <c r="S160" s="696"/>
      <c r="T160" s="696"/>
      <c r="U160" s="16"/>
      <c r="V160" s="16"/>
      <c r="W160" s="16"/>
      <c r="X160" s="16"/>
      <c r="Y160" s="16"/>
      <c r="Z160" s="16"/>
      <c r="AA160" s="16"/>
      <c r="AB160" s="16"/>
      <c r="AC160" s="16"/>
      <c r="AD160" s="16"/>
    </row>
    <row r="161" spans="1:30" ht="15.75" customHeight="1">
      <c r="A161" s="16"/>
      <c r="B161" s="735"/>
      <c r="C161" s="696"/>
      <c r="D161" s="16"/>
      <c r="E161" s="16"/>
      <c r="F161" s="16"/>
      <c r="G161" s="16"/>
      <c r="H161" s="16"/>
      <c r="I161" s="16"/>
      <c r="J161" s="16"/>
      <c r="K161" s="16"/>
      <c r="L161" s="16"/>
      <c r="M161" s="735"/>
      <c r="N161" s="696"/>
      <c r="O161" s="696"/>
      <c r="P161" s="696"/>
      <c r="Q161" s="696"/>
      <c r="R161" s="696"/>
      <c r="S161" s="696"/>
      <c r="T161" s="696"/>
      <c r="U161" s="16"/>
      <c r="V161" s="16"/>
      <c r="W161" s="16"/>
      <c r="X161" s="16"/>
      <c r="Y161" s="16"/>
      <c r="Z161" s="16"/>
      <c r="AA161" s="16"/>
      <c r="AB161" s="16"/>
      <c r="AC161" s="16"/>
      <c r="AD161" s="16"/>
    </row>
    <row r="162" spans="1:30" ht="15.75" customHeight="1">
      <c r="A162" s="16"/>
      <c r="B162" s="735"/>
      <c r="C162" s="696"/>
      <c r="D162" s="16"/>
      <c r="E162" s="16"/>
      <c r="F162" s="16"/>
      <c r="G162" s="16"/>
      <c r="H162" s="16"/>
      <c r="I162" s="16"/>
      <c r="J162" s="16"/>
      <c r="K162" s="16"/>
      <c r="L162" s="16"/>
      <c r="M162" s="735"/>
      <c r="N162" s="696"/>
      <c r="O162" s="696"/>
      <c r="P162" s="696"/>
      <c r="Q162" s="696"/>
      <c r="R162" s="696"/>
      <c r="S162" s="696"/>
      <c r="T162" s="696"/>
      <c r="U162" s="16"/>
      <c r="V162" s="16"/>
      <c r="W162" s="16"/>
      <c r="X162" s="16"/>
      <c r="Y162" s="16"/>
      <c r="Z162" s="16"/>
      <c r="AA162" s="16"/>
      <c r="AB162" s="16"/>
      <c r="AC162" s="16"/>
      <c r="AD162" s="16"/>
    </row>
    <row r="163" spans="1:30" ht="15.75" customHeight="1">
      <c r="A163" s="16"/>
      <c r="B163" s="735"/>
      <c r="C163" s="696"/>
      <c r="D163" s="16"/>
      <c r="E163" s="16"/>
      <c r="F163" s="16"/>
      <c r="G163" s="16"/>
      <c r="H163" s="16"/>
      <c r="I163" s="16"/>
      <c r="J163" s="16"/>
      <c r="K163" s="16"/>
      <c r="L163" s="16"/>
      <c r="M163" s="735"/>
      <c r="N163" s="696"/>
      <c r="O163" s="696"/>
      <c r="P163" s="696"/>
      <c r="Q163" s="696"/>
      <c r="R163" s="696"/>
      <c r="S163" s="696"/>
      <c r="T163" s="696"/>
      <c r="U163" s="16"/>
      <c r="V163" s="16"/>
      <c r="W163" s="16"/>
      <c r="X163" s="16"/>
      <c r="Y163" s="16"/>
      <c r="Z163" s="16"/>
      <c r="AA163" s="16"/>
      <c r="AB163" s="16"/>
      <c r="AC163" s="16"/>
      <c r="AD163" s="16"/>
    </row>
    <row r="164" spans="1:30" ht="15.75" customHeight="1">
      <c r="A164" s="16"/>
      <c r="B164" s="735"/>
      <c r="C164" s="696"/>
      <c r="D164" s="16"/>
      <c r="E164" s="16"/>
      <c r="F164" s="16"/>
      <c r="G164" s="16"/>
      <c r="H164" s="16"/>
      <c r="I164" s="16"/>
      <c r="J164" s="16"/>
      <c r="K164" s="16"/>
      <c r="L164" s="16"/>
      <c r="M164" s="735"/>
      <c r="N164" s="696"/>
      <c r="O164" s="696"/>
      <c r="P164" s="696"/>
      <c r="Q164" s="696"/>
      <c r="R164" s="696"/>
      <c r="S164" s="696"/>
      <c r="T164" s="696"/>
      <c r="U164" s="16"/>
      <c r="V164" s="16"/>
      <c r="W164" s="16"/>
      <c r="X164" s="16"/>
      <c r="Y164" s="16"/>
      <c r="Z164" s="16"/>
      <c r="AA164" s="16"/>
      <c r="AB164" s="16"/>
      <c r="AC164" s="16"/>
      <c r="AD164" s="16"/>
    </row>
    <row r="165" spans="1:30" ht="15.75" customHeight="1">
      <c r="A165" s="16"/>
      <c r="B165" s="735"/>
      <c r="C165" s="696"/>
      <c r="D165" s="16"/>
      <c r="E165" s="16"/>
      <c r="F165" s="16"/>
      <c r="G165" s="16"/>
      <c r="H165" s="16"/>
      <c r="I165" s="16"/>
      <c r="J165" s="16"/>
      <c r="K165" s="16"/>
      <c r="L165" s="16"/>
      <c r="M165" s="735"/>
      <c r="N165" s="696"/>
      <c r="O165" s="696"/>
      <c r="P165" s="696"/>
      <c r="Q165" s="696"/>
      <c r="R165" s="696"/>
      <c r="S165" s="696"/>
      <c r="T165" s="696"/>
      <c r="U165" s="16"/>
      <c r="V165" s="16"/>
      <c r="W165" s="16"/>
      <c r="X165" s="16"/>
      <c r="Y165" s="16"/>
      <c r="Z165" s="16"/>
      <c r="AA165" s="16"/>
      <c r="AB165" s="16"/>
      <c r="AC165" s="16"/>
      <c r="AD165" s="16"/>
    </row>
    <row r="166" spans="1:30" ht="15.75" customHeight="1">
      <c r="A166" s="16"/>
      <c r="B166" s="735"/>
      <c r="C166" s="696"/>
      <c r="D166" s="16"/>
      <c r="E166" s="16"/>
      <c r="F166" s="16"/>
      <c r="G166" s="16"/>
      <c r="H166" s="16"/>
      <c r="I166" s="16"/>
      <c r="J166" s="16"/>
      <c r="K166" s="16"/>
      <c r="L166" s="16"/>
      <c r="M166" s="735"/>
      <c r="N166" s="696"/>
      <c r="O166" s="696"/>
      <c r="P166" s="696"/>
      <c r="Q166" s="696"/>
      <c r="R166" s="696"/>
      <c r="S166" s="696"/>
      <c r="T166" s="696"/>
      <c r="U166" s="16"/>
      <c r="V166" s="16"/>
      <c r="W166" s="16"/>
      <c r="X166" s="16"/>
      <c r="Y166" s="16"/>
      <c r="Z166" s="16"/>
      <c r="AA166" s="16"/>
      <c r="AB166" s="16"/>
      <c r="AC166" s="16"/>
      <c r="AD166" s="16"/>
    </row>
    <row r="167" spans="1:30" ht="15.75" customHeight="1">
      <c r="A167" s="16"/>
      <c r="B167" s="735"/>
      <c r="C167" s="696"/>
      <c r="D167" s="16"/>
      <c r="E167" s="16"/>
      <c r="F167" s="16"/>
      <c r="G167" s="16"/>
      <c r="H167" s="16"/>
      <c r="I167" s="16"/>
      <c r="J167" s="16"/>
      <c r="K167" s="16"/>
      <c r="L167" s="16"/>
      <c r="M167" s="735"/>
      <c r="N167" s="696"/>
      <c r="O167" s="696"/>
      <c r="P167" s="696"/>
      <c r="Q167" s="696"/>
      <c r="R167" s="696"/>
      <c r="S167" s="696"/>
      <c r="T167" s="696"/>
      <c r="U167" s="16"/>
      <c r="V167" s="16"/>
      <c r="W167" s="16"/>
      <c r="X167" s="16"/>
      <c r="Y167" s="16"/>
      <c r="Z167" s="16"/>
      <c r="AA167" s="16"/>
      <c r="AB167" s="16"/>
      <c r="AC167" s="16"/>
      <c r="AD167" s="16"/>
    </row>
    <row r="168" spans="1:30" ht="15.75" customHeight="1">
      <c r="A168" s="16"/>
      <c r="B168" s="735"/>
      <c r="C168" s="696"/>
      <c r="D168" s="16"/>
      <c r="E168" s="16"/>
      <c r="F168" s="16"/>
      <c r="G168" s="16"/>
      <c r="H168" s="16"/>
      <c r="I168" s="16"/>
      <c r="J168" s="16"/>
      <c r="K168" s="16"/>
      <c r="L168" s="16"/>
      <c r="M168" s="735"/>
      <c r="N168" s="696"/>
      <c r="O168" s="696"/>
      <c r="P168" s="696"/>
      <c r="Q168" s="696"/>
      <c r="R168" s="696"/>
      <c r="S168" s="696"/>
      <c r="T168" s="696"/>
      <c r="U168" s="16"/>
      <c r="V168" s="16"/>
      <c r="W168" s="16"/>
      <c r="X168" s="16"/>
      <c r="Y168" s="16"/>
      <c r="Z168" s="16"/>
      <c r="AA168" s="16"/>
      <c r="AB168" s="16"/>
      <c r="AC168" s="16"/>
      <c r="AD168" s="16"/>
    </row>
    <row r="169" spans="1:30" ht="15.75" customHeight="1">
      <c r="A169" s="16"/>
      <c r="B169" s="735"/>
      <c r="C169" s="696"/>
      <c r="D169" s="16"/>
      <c r="E169" s="16"/>
      <c r="F169" s="16"/>
      <c r="G169" s="16"/>
      <c r="H169" s="16"/>
      <c r="I169" s="16"/>
      <c r="J169" s="16"/>
      <c r="K169" s="16"/>
      <c r="L169" s="16"/>
      <c r="M169" s="735"/>
      <c r="N169" s="696"/>
      <c r="O169" s="696"/>
      <c r="P169" s="696"/>
      <c r="Q169" s="696"/>
      <c r="R169" s="696"/>
      <c r="S169" s="696"/>
      <c r="T169" s="696"/>
      <c r="U169" s="16"/>
      <c r="V169" s="16"/>
      <c r="W169" s="16"/>
      <c r="X169" s="16"/>
      <c r="Y169" s="16"/>
      <c r="Z169" s="16"/>
      <c r="AA169" s="16"/>
      <c r="AB169" s="16"/>
      <c r="AC169" s="16"/>
      <c r="AD169" s="16"/>
    </row>
    <row r="170" spans="1:30" ht="15.75" customHeight="1">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c r="AA170" s="16"/>
      <c r="AB170" s="16"/>
      <c r="AC170" s="16"/>
      <c r="AD170" s="16"/>
    </row>
    <row r="171" spans="1:30" ht="15.75" customHeight="1">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c r="AA171" s="16"/>
      <c r="AB171" s="16"/>
      <c r="AC171" s="16"/>
      <c r="AD171" s="16"/>
    </row>
    <row r="172" spans="1:30" ht="15.75" customHeight="1">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row>
    <row r="173" spans="1:30" ht="15.75" customHeight="1">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c r="AC173" s="16"/>
      <c r="AD173" s="16"/>
    </row>
    <row r="174" spans="1:30" ht="15.75" customHeight="1">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c r="AC174" s="16"/>
      <c r="AD174" s="16"/>
    </row>
    <row r="175" spans="1:30" ht="15.75" customHeight="1">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c r="AA175" s="16"/>
      <c r="AB175" s="16"/>
      <c r="AC175" s="16"/>
      <c r="AD175" s="16"/>
    </row>
    <row r="176" spans="1:30" ht="15.75" customHeight="1">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c r="AD176" s="16"/>
    </row>
    <row r="177" spans="1:30" ht="15.75" customHeight="1">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c r="AD177" s="16"/>
    </row>
    <row r="178" spans="1:30" ht="15.75" customHeight="1">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c r="AA178" s="16"/>
      <c r="AB178" s="16"/>
      <c r="AC178" s="16"/>
      <c r="AD178" s="16"/>
    </row>
    <row r="179" spans="1:30" ht="15.75" customHeight="1">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c r="AD179" s="16"/>
    </row>
    <row r="180" spans="1:30" ht="15.75" customHeight="1">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c r="AD180" s="16"/>
    </row>
    <row r="181" spans="1:30" ht="15.75" customHeight="1">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c r="AD181" s="16"/>
    </row>
    <row r="182" spans="1:30" ht="15.75" customHeight="1">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c r="AD182" s="16"/>
    </row>
    <row r="183" spans="1:30" ht="15.75" customHeight="1">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c r="AD183" s="16"/>
    </row>
    <row r="184" spans="1:30" ht="15.75" customHeight="1">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c r="AD184" s="16"/>
    </row>
    <row r="185" spans="1:30" ht="15.75" customHeight="1">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c r="AD185" s="16"/>
    </row>
    <row r="186" spans="1:30" ht="15.75" customHeight="1">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c r="AD186" s="16"/>
    </row>
    <row r="187" spans="1:30" ht="15.75" customHeight="1">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16"/>
      <c r="AB187" s="16"/>
      <c r="AC187" s="16"/>
      <c r="AD187" s="16"/>
    </row>
    <row r="188" spans="1:30" ht="15.75" customHeight="1">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c r="AD188" s="16"/>
    </row>
    <row r="189" spans="1:30" ht="15.75" customHeight="1">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c r="AD189" s="16"/>
    </row>
    <row r="190" spans="1:30" ht="15.75" customHeight="1">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c r="AD190" s="16"/>
    </row>
    <row r="191" spans="1:30" ht="15.75" customHeight="1">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c r="AD191" s="16"/>
    </row>
    <row r="192" spans="1:30" ht="15.75" customHeight="1">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c r="AD192" s="16"/>
    </row>
    <row r="193" spans="1:30" ht="15.75" customHeight="1">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c r="AA193" s="16"/>
      <c r="AB193" s="16"/>
      <c r="AC193" s="16"/>
      <c r="AD193" s="16"/>
    </row>
    <row r="194" spans="1:30" ht="15.75" customHeight="1">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c r="AA194" s="16"/>
      <c r="AB194" s="16"/>
      <c r="AC194" s="16"/>
      <c r="AD194" s="16"/>
    </row>
    <row r="195" spans="1:30" ht="15.75" customHeight="1">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c r="AA195" s="16"/>
      <c r="AB195" s="16"/>
      <c r="AC195" s="16"/>
      <c r="AD195" s="16"/>
    </row>
    <row r="196" spans="1:30" ht="15.75" customHeight="1">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c r="AA196" s="16"/>
      <c r="AB196" s="16"/>
      <c r="AC196" s="16"/>
      <c r="AD196" s="16"/>
    </row>
    <row r="197" spans="1:30" ht="15.75" customHeight="1">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c r="AD197" s="16"/>
    </row>
    <row r="198" spans="1:30" ht="15.75" customHeight="1">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c r="AD198" s="16"/>
    </row>
    <row r="199" spans="1:30" ht="15.75" customHeight="1">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c r="AA199" s="16"/>
      <c r="AB199" s="16"/>
      <c r="AC199" s="16"/>
      <c r="AD199" s="16"/>
    </row>
    <row r="200" spans="1:30" ht="15.75" customHeight="1">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c r="AA200" s="16"/>
      <c r="AB200" s="16"/>
      <c r="AC200" s="16"/>
      <c r="AD200" s="16"/>
    </row>
    <row r="201" spans="1:30" ht="15.75" customHeight="1">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c r="AD201" s="16"/>
    </row>
    <row r="202" spans="1:30" ht="15.75" customHeight="1">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c r="AD202" s="16"/>
    </row>
    <row r="203" spans="1:30" ht="15.75" customHeight="1">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c r="AA203" s="16"/>
      <c r="AB203" s="16"/>
      <c r="AC203" s="16"/>
      <c r="AD203" s="16"/>
    </row>
    <row r="204" spans="1:30" ht="15.75" customHeight="1">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c r="AA204" s="16"/>
      <c r="AB204" s="16"/>
      <c r="AC204" s="16"/>
      <c r="AD204" s="16"/>
    </row>
    <row r="205" spans="1:30" ht="15.75" customHeight="1">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c r="AD205" s="16"/>
    </row>
    <row r="206" spans="1:30" ht="15.75" customHeight="1">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row>
    <row r="207" spans="1:30" ht="15.75" customHeight="1">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c r="AD207" s="16"/>
    </row>
    <row r="208" spans="1:30" ht="15.75" customHeight="1">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c r="AD208" s="16"/>
    </row>
    <row r="209" spans="1:30" ht="15.75" customHeight="1">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c r="AD209" s="16"/>
    </row>
    <row r="210" spans="1:30" ht="15.75" customHeight="1">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c r="AD210" s="16"/>
    </row>
    <row r="211" spans="1:30" ht="15.75" customHeight="1">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row>
    <row r="212" spans="1:30" ht="15.75" customHeight="1">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c r="AD212" s="16"/>
    </row>
    <row r="213" spans="1:30" ht="15.75" customHeight="1">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c r="AD213" s="16"/>
    </row>
    <row r="214" spans="1:30" ht="15.75" customHeight="1">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row>
    <row r="215" spans="1:30" ht="15.75" customHeight="1">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c r="AD215" s="16"/>
    </row>
    <row r="216" spans="1:30" ht="15.75" customHeight="1">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c r="AD216" s="16"/>
    </row>
    <row r="217" spans="1:30" ht="15.75" customHeight="1">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c r="AD217" s="16"/>
    </row>
    <row r="218" spans="1:30" ht="15.75" customHeight="1">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c r="AD218" s="16"/>
    </row>
    <row r="219" spans="1:30" ht="15.75" customHeight="1">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c r="AD219" s="16"/>
    </row>
    <row r="220" spans="1:30" ht="15.75" customHeight="1">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c r="AD220" s="16"/>
    </row>
    <row r="221" spans="1:30" ht="15.75" customHeight="1">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row>
    <row r="222" spans="1:30" ht="15.75" customHeight="1">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row>
    <row r="223" spans="1:30" ht="15.75" customHeight="1">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c r="AD223" s="16"/>
    </row>
    <row r="224" spans="1:30" ht="15.75" customHeight="1">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c r="AD224" s="16"/>
    </row>
    <row r="225" spans="1:30" ht="15.75" customHeight="1">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16"/>
    </row>
    <row r="226" spans="1:30" ht="15.75" customHeight="1">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row>
    <row r="227" spans="1:30" ht="15.75" customHeight="1">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16"/>
    </row>
    <row r="228" spans="1:30" ht="15.75" customHeight="1">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c r="AD228" s="16"/>
    </row>
    <row r="229" spans="1:30" ht="15.75" customHeight="1">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c r="AD229" s="16"/>
    </row>
    <row r="230" spans="1:30" ht="15.75" customHeight="1">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row>
    <row r="231" spans="1:30" ht="15.75" customHeight="1">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c r="AD231" s="16"/>
    </row>
    <row r="232" spans="1:30" ht="15.75" customHeight="1">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c r="AD232" s="16"/>
    </row>
    <row r="233" spans="1:30" ht="15.75" customHeight="1">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c r="AD233" s="16"/>
    </row>
    <row r="234" spans="1:30" ht="15.75" customHeight="1">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c r="AD234" s="16"/>
    </row>
    <row r="235" spans="1:30" ht="15.75" customHeight="1">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row>
    <row r="236" spans="1:30" ht="15.75" customHeight="1">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c r="AD236" s="16"/>
    </row>
    <row r="237" spans="1:30" ht="15.75" customHeight="1">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c r="AD237" s="16"/>
    </row>
    <row r="238" spans="1:30" ht="15.75" customHeight="1">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c r="AD238" s="16"/>
    </row>
    <row r="239" spans="1:30" ht="15.75" customHeight="1">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c r="AD239" s="16"/>
    </row>
    <row r="240" spans="1:30" ht="15.75" customHeight="1">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c r="AD240" s="16"/>
    </row>
    <row r="241" spans="1:30" ht="15.75" customHeight="1">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c r="AD241" s="16"/>
    </row>
    <row r="242" spans="1:30" ht="15.75" customHeight="1">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c r="AD242" s="16"/>
    </row>
    <row r="243" spans="1:30" ht="15.75" customHeight="1">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c r="AD243" s="16"/>
    </row>
    <row r="244" spans="1:30" ht="15.75" customHeight="1">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16"/>
    </row>
    <row r="245" spans="1:30" ht="15.75" customHeight="1">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c r="AD245" s="16"/>
    </row>
    <row r="246" spans="1:30" ht="15.75" customHeight="1">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row>
    <row r="247" spans="1:30" ht="15.75" customHeight="1">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c r="AD247" s="16"/>
    </row>
    <row r="248" spans="1:30" ht="15.75" customHeight="1">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row>
    <row r="249" spans="1:30" ht="15.75" customHeight="1">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row>
    <row r="250" spans="1:30" ht="15.75" customHeight="1">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c r="AD250" s="16"/>
    </row>
    <row r="251" spans="1:30" ht="15.75" customHeight="1">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row>
    <row r="252" spans="1:30" ht="15.75" customHeight="1">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16"/>
    </row>
    <row r="253" spans="1:30" ht="15.75" customHeight="1">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c r="AD253" s="16"/>
    </row>
    <row r="254" spans="1:30" ht="15.75" customHeight="1">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row>
    <row r="255" spans="1:30" ht="15.75" customHeight="1">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c r="AD255" s="16"/>
    </row>
    <row r="256" spans="1:30" ht="15.75" customHeight="1">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row>
    <row r="257" spans="1:30" ht="15.75" customHeight="1">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c r="AD257" s="16"/>
    </row>
    <row r="258" spans="1:30" ht="15.75" customHeight="1">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c r="AD258" s="16"/>
    </row>
    <row r="259" spans="1:30" ht="15.75" customHeight="1">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row>
    <row r="260" spans="1:30" ht="15.75" customHeight="1">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row>
    <row r="261" spans="1:30" ht="15.75" customHeight="1">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c r="AD261" s="16"/>
    </row>
    <row r="262" spans="1:30" ht="15.75" customHeight="1">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row>
    <row r="263" spans="1:30" ht="15.75" customHeight="1">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row>
    <row r="264" spans="1:30" ht="15.75" customHeight="1">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c r="AD264" s="16"/>
    </row>
    <row r="265" spans="1:30" ht="15.75" customHeight="1">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row>
    <row r="266" spans="1:30" ht="15.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row>
    <row r="267" spans="1:30" ht="15.75" customHeight="1">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row>
    <row r="268" spans="1:30" ht="15.75" customHeight="1">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c r="AD268" s="16"/>
    </row>
    <row r="269" spans="1:30" ht="15.75" customHeight="1">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row>
    <row r="270" spans="1:30" ht="15.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row>
    <row r="271" spans="1:30" ht="15.75" customHeight="1">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c r="AD271" s="16"/>
    </row>
    <row r="272" spans="1:30" ht="15.75" customHeight="1">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c r="AD272" s="16"/>
    </row>
    <row r="273" spans="1:30" ht="15.75" customHeight="1">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c r="AD273" s="16"/>
    </row>
    <row r="274" spans="1:30" ht="15.75" customHeight="1">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c r="AD274" s="16"/>
    </row>
    <row r="275" spans="1:30" ht="15.75" customHeight="1">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c r="AD275" s="16"/>
    </row>
    <row r="276" spans="1:30" ht="15.75" customHeight="1">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row>
    <row r="277" spans="1:30" ht="15.75" customHeight="1">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16"/>
    </row>
    <row r="278" spans="1:30" ht="15.75" customHeight="1">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row>
    <row r="279" spans="1:30" ht="15.75" customHeight="1">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16"/>
    </row>
    <row r="280" spans="1:30" ht="15.75" customHeight="1">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c r="AD280" s="16"/>
    </row>
    <row r="281" spans="1:30" ht="15.75" customHeight="1">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c r="AD281" s="16"/>
    </row>
    <row r="282" spans="1:30" ht="15.75" customHeight="1">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c r="AD282" s="16"/>
    </row>
    <row r="283" spans="1:30" ht="15.75" customHeight="1">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c r="AD283" s="16"/>
    </row>
    <row r="284" spans="1:30" ht="15.75" customHeight="1">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c r="AD284" s="16"/>
    </row>
    <row r="285" spans="1:30" ht="15.75" customHeight="1">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c r="AD285" s="16"/>
    </row>
    <row r="286" spans="1:30" ht="15.75" customHeight="1">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row>
    <row r="287" spans="1:30" ht="15.75" customHeight="1">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row>
    <row r="288" spans="1:30" ht="15.75" customHeight="1">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row>
    <row r="289" spans="1:30" ht="15.75" customHeight="1">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row>
    <row r="290" spans="1:30" ht="15.75" customHeight="1">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row>
    <row r="291" spans="1:30" ht="15.75" customHeight="1">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c r="AD291" s="16"/>
    </row>
    <row r="292" spans="1:30" ht="15.75" customHeight="1">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row>
    <row r="293" spans="1:30" ht="15.75" customHeight="1">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row>
    <row r="294" spans="1:30" ht="15.75" customHeight="1">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row>
    <row r="295" spans="1:30" ht="15.75" customHeight="1">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row>
    <row r="296" spans="1:30" ht="15.75" customHeight="1">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row>
    <row r="297" spans="1:30" ht="15.75" customHeight="1">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row>
    <row r="298" spans="1:30" ht="15.75" customHeight="1">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row>
    <row r="299" spans="1:30" ht="15.75" customHeight="1">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row>
    <row r="300" spans="1:30" ht="15.75" customHeight="1">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row>
    <row r="301" spans="1:30" ht="15.75" customHeight="1">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c r="AD301" s="16"/>
    </row>
    <row r="302" spans="1:30" ht="15.75" customHeight="1">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c r="AD302" s="16"/>
    </row>
    <row r="303" spans="1:30" ht="15.75" customHeight="1">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row>
    <row r="304" spans="1:30" ht="15.75" customHeight="1">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c r="AD304" s="16"/>
    </row>
    <row r="305" spans="1:30" ht="15.75" customHeight="1">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c r="AD305" s="16"/>
    </row>
    <row r="306" spans="1:30" ht="15.75" customHeight="1"/>
    <row r="307" spans="1:30" ht="15.75" customHeight="1"/>
    <row r="308" spans="1:30" ht="15.75" customHeight="1"/>
    <row r="309" spans="1:30" ht="15.75" customHeight="1"/>
    <row r="310" spans="1:30" ht="15.75" customHeight="1"/>
    <row r="311" spans="1:30" ht="15.75" customHeight="1"/>
    <row r="312" spans="1:30" ht="15.75" customHeight="1"/>
    <row r="313" spans="1:30" ht="15.75" customHeight="1"/>
    <row r="314" spans="1:30" ht="15.75" customHeight="1"/>
    <row r="315" spans="1:30" ht="15.75" customHeight="1"/>
    <row r="316" spans="1:30" ht="15.75" customHeight="1"/>
    <row r="317" spans="1:30" ht="15.75" customHeight="1"/>
    <row r="318" spans="1:30" ht="15.75" customHeight="1"/>
    <row r="319" spans="1:30" ht="15.75" customHeight="1"/>
    <row r="320" spans="1:3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99">
    <mergeCell ref="M164:O164"/>
    <mergeCell ref="B168:C168"/>
    <mergeCell ref="M168:O168"/>
    <mergeCell ref="B169:C169"/>
    <mergeCell ref="M169:O169"/>
    <mergeCell ref="B165:C165"/>
    <mergeCell ref="M165:O165"/>
    <mergeCell ref="B166:C166"/>
    <mergeCell ref="M166:O166"/>
    <mergeCell ref="B167:C167"/>
    <mergeCell ref="M167:O167"/>
    <mergeCell ref="M152:O152"/>
    <mergeCell ref="B155:C155"/>
    <mergeCell ref="M155:O155"/>
    <mergeCell ref="M158:O158"/>
    <mergeCell ref="B159:C159"/>
    <mergeCell ref="M159:O159"/>
    <mergeCell ref="P155:T155"/>
    <mergeCell ref="B156:C156"/>
    <mergeCell ref="M156:O156"/>
    <mergeCell ref="P156:T169"/>
    <mergeCell ref="B157:C157"/>
    <mergeCell ref="M157:O157"/>
    <mergeCell ref="B158:C158"/>
    <mergeCell ref="B161:C161"/>
    <mergeCell ref="M161:O161"/>
    <mergeCell ref="B160:C160"/>
    <mergeCell ref="M160:O160"/>
    <mergeCell ref="B162:C162"/>
    <mergeCell ref="M162:O162"/>
    <mergeCell ref="B163:C163"/>
    <mergeCell ref="M163:O163"/>
    <mergeCell ref="B164:C164"/>
    <mergeCell ref="M151:O151"/>
    <mergeCell ref="M138:O138"/>
    <mergeCell ref="P138:T138"/>
    <mergeCell ref="M139:O139"/>
    <mergeCell ref="P139:T152"/>
    <mergeCell ref="M140:O140"/>
    <mergeCell ref="M141:O141"/>
    <mergeCell ref="M142:O142"/>
    <mergeCell ref="M143:O143"/>
    <mergeCell ref="M144:O144"/>
    <mergeCell ref="M145:O145"/>
    <mergeCell ref="M146:O146"/>
    <mergeCell ref="M147:O147"/>
    <mergeCell ref="M148:O148"/>
    <mergeCell ref="M149:O149"/>
    <mergeCell ref="M150:O150"/>
    <mergeCell ref="M135:O135"/>
    <mergeCell ref="P121:R121"/>
    <mergeCell ref="M123:O123"/>
    <mergeCell ref="P123:T123"/>
    <mergeCell ref="M124:O124"/>
    <mergeCell ref="P124:T135"/>
    <mergeCell ref="M125:O125"/>
    <mergeCell ref="M126:O126"/>
    <mergeCell ref="M127:O127"/>
    <mergeCell ref="M128:O128"/>
    <mergeCell ref="M129:O129"/>
    <mergeCell ref="M130:O130"/>
    <mergeCell ref="M131:O131"/>
    <mergeCell ref="M132:O132"/>
    <mergeCell ref="M133:O133"/>
    <mergeCell ref="M134:O134"/>
    <mergeCell ref="P119:R119"/>
    <mergeCell ref="P120:R120"/>
    <mergeCell ref="AG29:AH29"/>
    <mergeCell ref="AI29:AJ29"/>
    <mergeCell ref="AG30:AH40"/>
    <mergeCell ref="AI30:AJ40"/>
    <mergeCell ref="P115:R115"/>
    <mergeCell ref="P70:Q70"/>
    <mergeCell ref="H92:I105"/>
    <mergeCell ref="J92:K105"/>
    <mergeCell ref="P116:R116"/>
    <mergeCell ref="P117:R117"/>
    <mergeCell ref="P118:R118"/>
    <mergeCell ref="H37:J37"/>
    <mergeCell ref="K71:O87"/>
    <mergeCell ref="P71:Q87"/>
    <mergeCell ref="H91:I91"/>
    <mergeCell ref="J91:K91"/>
    <mergeCell ref="K70:O70"/>
    <mergeCell ref="H38:J42"/>
    <mergeCell ref="I45:K45"/>
    <mergeCell ref="I46:K50"/>
    <mergeCell ref="K54:M54"/>
    <mergeCell ref="K55:M67"/>
    <mergeCell ref="A1:C1"/>
    <mergeCell ref="E1:H1"/>
    <mergeCell ref="D7:I7"/>
    <mergeCell ref="D8:I8"/>
    <mergeCell ref="A28:F28"/>
    <mergeCell ref="A30:F30"/>
    <mergeCell ref="A31:F31"/>
    <mergeCell ref="A32:F32"/>
    <mergeCell ref="A34:F34"/>
    <mergeCell ref="A29:F29"/>
  </mergeCells>
  <phoneticPr fontId="35" type="noConversion"/>
  <conditionalFormatting sqref="I55:I66">
    <cfRule type="containsText" dxfId="773" priority="1" operator="containsText" text="5">
      <formula>NOT(ISERROR(SEARCH(("5"),(I55))))</formula>
    </cfRule>
    <cfRule type="containsText" dxfId="772" priority="2" operator="containsText" text="42">
      <formula>NOT(ISERROR(SEARCH(("42"),(I55))))</formula>
    </cfRule>
    <cfRule type="containsText" dxfId="771" priority="3" operator="containsText" text="Please fill in">
      <formula>NOT(ISERROR(SEARCH(("Please fill in"),(I55))))</formula>
    </cfRule>
  </conditionalFormatting>
  <dataValidations count="3">
    <dataValidation type="list" allowBlank="1" showErrorMessage="1" sqref="D47:D50 H59:H67" xr:uid="{EEB5E46B-9804-4444-B694-260DB17EDAAF}">
      <formula1>Buitenwesten!TypesOfTrainers</formula1>
    </dataValidation>
    <dataValidation type="list" allowBlank="1" showErrorMessage="1" sqref="B9" xr:uid="{1BC95DAC-4ECC-4D88-B7A6-ED7BB475565E}">
      <formula1>"yes,no,partial"</formula1>
    </dataValidation>
    <dataValidation type="list" allowBlank="1" sqref="G46:G50" xr:uid="{63B0BD51-0DDD-449A-BE38-B68F4E0D9C79}">
      <formula1>"yes,no"</formula1>
    </dataValidation>
  </dataValidations>
  <pageMargins left="0.7" right="0.7" top="0.75" bottom="0.75" header="0" footer="0"/>
  <pageSetup paperSize="9" orientation="portrait"/>
  <drawing r:id="rId1"/>
  <legacyDrawing r:id="rId2"/>
  <tableParts count="6">
    <tablePart r:id="rId3"/>
    <tablePart r:id="rId4"/>
    <tablePart r:id="rId5"/>
    <tablePart r:id="rId6"/>
    <tablePart r:id="rId7"/>
    <tablePart r:id="rId8"/>
  </tableParts>
  <extLst>
    <ext xmlns:x14="http://schemas.microsoft.com/office/spreadsheetml/2009/9/main" uri="{CCE6A557-97BC-4b89-ADB6-D9C93CAAB3DF}">
      <x14:dataValidations xmlns:xm="http://schemas.microsoft.com/office/excel/2006/main" count="4">
        <x14:dataValidation type="list" allowBlank="1" showInputMessage="1" showErrorMessage="1" xr:uid="{A4434281-0109-4180-AFCA-4A833875A767}">
          <x14:formula1>
            <xm:f>Constants!$M$6:$M$7</xm:f>
          </x14:formula1>
          <xm:sqref>B92:B107</xm:sqref>
        </x14:dataValidation>
        <x14:dataValidation type="list" allowBlank="1" showInputMessage="1" showErrorMessage="1" xr:uid="{C53C3E15-81B5-4628-8816-F43F09E7FD9C}">
          <x14:formula1>
            <xm:f>Constants!$C$55:$C$56</xm:f>
          </x14:formula1>
          <xm:sqref>B12</xm:sqref>
        </x14:dataValidation>
        <x14:dataValidation type="list" allowBlank="1" showErrorMessage="1" xr:uid="{5D01E3E1-CF48-4B78-A14D-B8BC12ED04BD}">
          <x14:formula1>
            <xm:f>Constants!$H$6:$H$13</xm:f>
          </x14:formula1>
          <xm:sqref>B55:B67</xm:sqref>
        </x14:dataValidation>
        <x14:dataValidation type="list" allowBlank="1" showErrorMessage="1" xr:uid="{3C7A79CF-44B6-4B37-90A8-37DDE817ADA8}">
          <x14:formula1>
            <xm:f>Constants!$A$2:$AD$2</xm:f>
          </x14:formula1>
          <xm:sqref>B71:B87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96D0B0B40E63B40A6CD3EA6881AD3D7" ma:contentTypeVersion="6" ma:contentTypeDescription="Create a new document." ma:contentTypeScope="" ma:versionID="cc0fe394ed6eb7129af9915c75cb7a7e">
  <xsd:schema xmlns:xsd="http://www.w3.org/2001/XMLSchema" xmlns:xs="http://www.w3.org/2001/XMLSchema" xmlns:p="http://schemas.microsoft.com/office/2006/metadata/properties" xmlns:ns2="074d5ecb-c224-45af-9233-0896ecfa4395" xmlns:ns3="73ac1a0f-e6c6-4ffa-b337-0b6c0f7119b6" targetNamespace="http://schemas.microsoft.com/office/2006/metadata/properties" ma:root="true" ma:fieldsID="937afe2d78342b6b36e5426c2f3b8218" ns2:_="" ns3:_="">
    <xsd:import namespace="074d5ecb-c224-45af-9233-0896ecfa4395"/>
    <xsd:import namespace="73ac1a0f-e6c6-4ffa-b337-0b6c0f7119b6"/>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74d5ecb-c224-45af-9233-0896ecfa439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3ac1a0f-e6c6-4ffa-b337-0b6c0f7119b6"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C60482E-87AC-41E0-9FB5-462E0DFC0E97}"/>
</file>

<file path=customXml/itemProps2.xml><?xml version="1.0" encoding="utf-8"?>
<ds:datastoreItem xmlns:ds="http://schemas.openxmlformats.org/officeDocument/2006/customXml" ds:itemID="{5C2664F1-F7B1-472A-8B2B-72629CABC4C2}"/>
</file>

<file path=customXml/itemProps3.xml><?xml version="1.0" encoding="utf-8"?>
<ds:datastoreItem xmlns:ds="http://schemas.openxmlformats.org/officeDocument/2006/customXml" ds:itemID="{9BA6B71B-14C8-4830-9290-0DBFCE5DE09E}"/>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Sander Oosterveld</dc:creator>
  <cp:keywords/>
  <dc:description/>
  <cp:lastModifiedBy>Harris, H.R. (Henry, Student B-MST)</cp:lastModifiedBy>
  <cp:revision/>
  <dcterms:created xsi:type="dcterms:W3CDTF">2015-06-05T18:19:34Z</dcterms:created>
  <dcterms:modified xsi:type="dcterms:W3CDTF">2025-08-19T09:30:21Z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0x010100196D0B0B40E63B40A6CD3EA6881AD3D7</vt:lpwstr>
  </property>
</Properties>
</file>